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7A0CEFCE-184B-4AE6-AD93-5BC92F1E1A78}" xr6:coauthVersionLast="47" xr6:coauthVersionMax="47" xr10:uidLastSave="{00000000-0000-0000-0000-000000000000}"/>
  <bookViews>
    <workbookView xWindow="-110" yWindow="-110" windowWidth="22780" windowHeight="14540" firstSheet="3" activeTab="5" xr2:uid="{00000000-000D-0000-FFFF-FFFF00000000}"/>
  </bookViews>
  <sheets>
    <sheet name="zinz nº28" sheetId="1" r:id="rId1"/>
    <sheet name="bluenº28" sheetId="2" r:id="rId2"/>
    <sheet name="RAL nº28" sheetId="3" r:id="rId3"/>
    <sheet name="Gan j-60" sheetId="4" r:id="rId4"/>
    <sheet name="clavos" sheetId="5" r:id="rId5"/>
    <sheet name="clavos 2" sheetId="12" r:id="rId6"/>
    <sheet name="RAL Nº26" sheetId="6" r:id="rId7"/>
    <sheet name="Blanco" sheetId="7" r:id="rId8"/>
    <sheet name="Galvan" sheetId="8" r:id="rId9"/>
    <sheet name="TIR 6.3-76.2" sheetId="9" r:id="rId10"/>
    <sheet name="TER6.3-63.5" sheetId="10" r:id="rId11"/>
    <sheet name="juntas de goma" sheetId="11" r:id="rId12"/>
  </sheets>
  <externalReferences>
    <externalReference r:id="rId13"/>
    <externalReference r:id="rId14"/>
  </externalReferences>
  <definedNames>
    <definedName name="_xlnm.Print_Area" localSheetId="1">bluenº28!$A$1:$N$28</definedName>
    <definedName name="_xlnm.Print_Area" localSheetId="4">clavos!$A$1:$M$35</definedName>
    <definedName name="_xlnm.Print_Area" localSheetId="8">Galvan!$A$1:$N$35</definedName>
    <definedName name="_xlnm.Print_Area" localSheetId="3">'Gan j-60'!$A$1:$M$20</definedName>
    <definedName name="_xlnm.Print_Area" localSheetId="6">'RAL Nº26'!$A$1:$N$41</definedName>
    <definedName name="_xlnm.Print_Area" localSheetId="2">'RAL nº28'!$A$1:$N$52</definedName>
    <definedName name="_xlnm.Print_Area" localSheetId="10">'TER6.3-63.5'!$A$1:$M$44</definedName>
    <definedName name="_xlnm.Print_Area" localSheetId="9">'TIR 6.3-76.2'!$A$1:$M$138</definedName>
    <definedName name="_xlnm.Print_Area" localSheetId="0">'zinz nº28'!$A$1:$N$337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0" i="12" l="1"/>
  <c r="C110" i="12"/>
  <c r="H108" i="12"/>
  <c r="F108" i="12" s="1"/>
  <c r="H107" i="12"/>
  <c r="F107" i="12" s="1"/>
  <c r="H93" i="12"/>
  <c r="F93" i="12" s="1"/>
  <c r="H81" i="12"/>
  <c r="F81" i="12"/>
  <c r="H58" i="12"/>
  <c r="F58" i="12"/>
  <c r="H35" i="12"/>
  <c r="E12" i="12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J115" i="12" s="1"/>
  <c r="J11" i="12"/>
  <c r="G12" i="12" s="1"/>
  <c r="I12" i="12" s="1"/>
  <c r="F11" i="12"/>
  <c r="J12" i="12" l="1"/>
  <c r="H110" i="12"/>
  <c r="F35" i="12"/>
  <c r="D256" i="1"/>
  <c r="D33" i="6"/>
  <c r="G13" i="12" l="1"/>
  <c r="I13" i="12" s="1"/>
  <c r="J13" i="12"/>
  <c r="H38" i="10"/>
  <c r="D38" i="10"/>
  <c r="H134" i="9"/>
  <c r="D134" i="9"/>
  <c r="H36" i="6"/>
  <c r="C36" i="6"/>
  <c r="H29" i="5"/>
  <c r="D29" i="5"/>
  <c r="C29" i="5"/>
  <c r="I14" i="4"/>
  <c r="D303" i="1"/>
  <c r="D302" i="1"/>
  <c r="F163" i="1"/>
  <c r="G14" i="12" l="1"/>
  <c r="I14" i="12" s="1"/>
  <c r="J14" i="12"/>
  <c r="H330" i="1"/>
  <c r="D329" i="1"/>
  <c r="D328" i="1"/>
  <c r="D327" i="1"/>
  <c r="D326" i="1"/>
  <c r="G15" i="12" l="1"/>
  <c r="I15" i="12" s="1"/>
  <c r="J15" i="12" s="1"/>
  <c r="D325" i="1"/>
  <c r="D323" i="1"/>
  <c r="D322" i="1"/>
  <c r="D321" i="1"/>
  <c r="D320" i="1"/>
  <c r="D319" i="1"/>
  <c r="D318" i="1"/>
  <c r="D317" i="1"/>
  <c r="D316" i="1"/>
  <c r="D313" i="1"/>
  <c r="D312" i="1"/>
  <c r="D310" i="1"/>
  <c r="D309" i="1"/>
  <c r="D308" i="1"/>
  <c r="D307" i="1"/>
  <c r="D21" i="2"/>
  <c r="D305" i="1"/>
  <c r="D20" i="2"/>
  <c r="D19" i="2"/>
  <c r="D43" i="3"/>
  <c r="D301" i="1"/>
  <c r="D300" i="1"/>
  <c r="D299" i="1"/>
  <c r="D298" i="1"/>
  <c r="G16" i="12" l="1"/>
  <c r="I16" i="12" s="1"/>
  <c r="J16" i="12"/>
  <c r="D297" i="1"/>
  <c r="D296" i="1"/>
  <c r="D295" i="1"/>
  <c r="D294" i="1"/>
  <c r="D293" i="1"/>
  <c r="D292" i="1"/>
  <c r="D25" i="7"/>
  <c r="D291" i="1"/>
  <c r="D290" i="1"/>
  <c r="D288" i="1"/>
  <c r="D287" i="1"/>
  <c r="D286" i="1"/>
  <c r="D285" i="1"/>
  <c r="D284" i="1"/>
  <c r="D283" i="1"/>
  <c r="D282" i="1"/>
  <c r="D281" i="1"/>
  <c r="D280" i="1"/>
  <c r="D279" i="1"/>
  <c r="D278" i="1"/>
  <c r="G17" i="12" l="1"/>
  <c r="I17" i="12" s="1"/>
  <c r="J17" i="12" s="1"/>
  <c r="D277" i="1"/>
  <c r="D276" i="1"/>
  <c r="D275" i="1"/>
  <c r="D274" i="1"/>
  <c r="D272" i="1"/>
  <c r="D271" i="1"/>
  <c r="G18" i="12" l="1"/>
  <c r="I18" i="12" s="1"/>
  <c r="J18" i="12" s="1"/>
  <c r="D270" i="1"/>
  <c r="D269" i="1"/>
  <c r="D268" i="1"/>
  <c r="D267" i="1"/>
  <c r="D266" i="1"/>
  <c r="D265" i="1"/>
  <c r="G19" i="12" l="1"/>
  <c r="I19" i="12" s="1"/>
  <c r="J19" i="12"/>
  <c r="D264" i="1"/>
  <c r="D263" i="1"/>
  <c r="D262" i="1"/>
  <c r="G20" i="12" l="1"/>
  <c r="I20" i="12" s="1"/>
  <c r="J20" i="12" s="1"/>
  <c r="D261" i="1"/>
  <c r="D260" i="1"/>
  <c r="D259" i="1"/>
  <c r="D258" i="1"/>
  <c r="D257" i="1"/>
  <c r="G21" i="12" l="1"/>
  <c r="I21" i="12" s="1"/>
  <c r="J21" i="12" s="1"/>
  <c r="D254" i="1"/>
  <c r="D253" i="1"/>
  <c r="D252" i="1"/>
  <c r="D251" i="1"/>
  <c r="D250" i="1"/>
  <c r="D249" i="1"/>
  <c r="D248" i="1"/>
  <c r="G22" i="12" l="1"/>
  <c r="I22" i="12" s="1"/>
  <c r="J22" i="12" s="1"/>
  <c r="D28" i="8"/>
  <c r="D247" i="1"/>
  <c r="D35" i="6"/>
  <c r="D27" i="8"/>
  <c r="D246" i="1"/>
  <c r="D26" i="8"/>
  <c r="D34" i="6"/>
  <c r="G23" i="12" l="1"/>
  <c r="I23" i="12" s="1"/>
  <c r="J23" i="12" s="1"/>
  <c r="D24" i="7"/>
  <c r="D244" i="1"/>
  <c r="D23" i="7"/>
  <c r="D243" i="1"/>
  <c r="G24" i="12" l="1"/>
  <c r="I24" i="12" s="1"/>
  <c r="J24" i="12"/>
  <c r="D242" i="1"/>
  <c r="D241" i="1"/>
  <c r="D239" i="1"/>
  <c r="G25" i="12" l="1"/>
  <c r="I25" i="12" s="1"/>
  <c r="J25" i="12" s="1"/>
  <c r="D238" i="1"/>
  <c r="D236" i="1"/>
  <c r="D235" i="1"/>
  <c r="D234" i="1"/>
  <c r="D233" i="1"/>
  <c r="D232" i="1"/>
  <c r="D231" i="1"/>
  <c r="D230" i="1"/>
  <c r="D229" i="1"/>
  <c r="D17" i="2"/>
  <c r="D228" i="1"/>
  <c r="D227" i="1"/>
  <c r="D226" i="1"/>
  <c r="G26" i="12" l="1"/>
  <c r="I26" i="12" s="1"/>
  <c r="J26" i="12" s="1"/>
  <c r="D225" i="1"/>
  <c r="D224" i="1"/>
  <c r="D32" i="6"/>
  <c r="D223" i="1"/>
  <c r="D25" i="8"/>
  <c r="D31" i="6"/>
  <c r="G27" i="12" l="1"/>
  <c r="I27" i="12" s="1"/>
  <c r="J27" i="12"/>
  <c r="D222" i="1"/>
  <c r="D221" i="1"/>
  <c r="D220" i="1"/>
  <c r="D219" i="1"/>
  <c r="D15" i="2"/>
  <c r="G28" i="12" l="1"/>
  <c r="I28" i="12" s="1"/>
  <c r="K28" i="12" s="1"/>
  <c r="D218" i="1"/>
  <c r="J28" i="12" l="1"/>
  <c r="D217" i="1"/>
  <c r="D30" i="6"/>
  <c r="D215" i="1"/>
  <c r="D214" i="1"/>
  <c r="D14" i="2"/>
  <c r="D213" i="1"/>
  <c r="D29" i="6"/>
  <c r="G29" i="12" l="1"/>
  <c r="I29" i="12" s="1"/>
  <c r="D212" i="1"/>
  <c r="D211" i="1"/>
  <c r="D210" i="1"/>
  <c r="D209" i="1"/>
  <c r="D208" i="1"/>
  <c r="D207" i="1"/>
  <c r="D22" i="7"/>
  <c r="D206" i="1"/>
  <c r="D205" i="1"/>
  <c r="D204" i="1"/>
  <c r="D203" i="1"/>
  <c r="D13" i="2"/>
  <c r="D202" i="1"/>
  <c r="D201" i="1"/>
  <c r="J29" i="12" l="1"/>
  <c r="F106" i="1"/>
  <c r="G30" i="12" l="1"/>
  <c r="I30" i="12" s="1"/>
  <c r="D200" i="1"/>
  <c r="D199" i="1"/>
  <c r="D198" i="1"/>
  <c r="D197" i="1"/>
  <c r="D196" i="1"/>
  <c r="D195" i="1"/>
  <c r="D194" i="1"/>
  <c r="D193" i="1"/>
  <c r="D192" i="1"/>
  <c r="D191" i="1"/>
  <c r="D190" i="1"/>
  <c r="D189" i="1"/>
  <c r="J30" i="12" l="1"/>
  <c r="D187" i="1"/>
  <c r="D186" i="1"/>
  <c r="D26" i="6"/>
  <c r="D17" i="6"/>
  <c r="D18" i="6"/>
  <c r="D19" i="6"/>
  <c r="D21" i="6"/>
  <c r="D22" i="6"/>
  <c r="D23" i="6"/>
  <c r="D24" i="6"/>
  <c r="D28" i="6"/>
  <c r="J11" i="11"/>
  <c r="J18" i="11" s="1"/>
  <c r="E11" i="11"/>
  <c r="D18" i="7"/>
  <c r="G31" i="12" l="1"/>
  <c r="I31" i="12" s="1"/>
  <c r="F11" i="11"/>
  <c r="J17" i="11" s="1"/>
  <c r="J19" i="11" s="1"/>
  <c r="D185" i="1"/>
  <c r="D184" i="1"/>
  <c r="D183" i="1"/>
  <c r="D182" i="1"/>
  <c r="D181" i="1"/>
  <c r="D180" i="1"/>
  <c r="D179" i="1"/>
  <c r="D24" i="8"/>
  <c r="D178" i="1"/>
  <c r="D177" i="1"/>
  <c r="D176" i="1"/>
  <c r="D175" i="1"/>
  <c r="D174" i="1"/>
  <c r="D173" i="1"/>
  <c r="D172" i="1"/>
  <c r="D171" i="1"/>
  <c r="D170" i="1"/>
  <c r="D169" i="1"/>
  <c r="D167" i="1"/>
  <c r="D38" i="3"/>
  <c r="D37" i="3"/>
  <c r="D166" i="1"/>
  <c r="D165" i="1"/>
  <c r="D164" i="1"/>
  <c r="D162" i="1"/>
  <c r="D34" i="3"/>
  <c r="D33" i="3"/>
  <c r="D161" i="1"/>
  <c r="D160" i="1"/>
  <c r="D159" i="1"/>
  <c r="D158" i="1"/>
  <c r="D157" i="1"/>
  <c r="D156" i="1"/>
  <c r="D155" i="1"/>
  <c r="D153" i="1"/>
  <c r="D152" i="1"/>
  <c r="D151" i="1"/>
  <c r="D150" i="1"/>
  <c r="D149" i="1"/>
  <c r="D148" i="1"/>
  <c r="D147" i="1"/>
  <c r="D145" i="1"/>
  <c r="D143" i="1"/>
  <c r="D32" i="3"/>
  <c r="J31" i="12" l="1"/>
  <c r="D31" i="3"/>
  <c r="D142" i="1"/>
  <c r="D141" i="1"/>
  <c r="D140" i="1"/>
  <c r="D30" i="3"/>
  <c r="D139" i="1"/>
  <c r="D138" i="1"/>
  <c r="D137" i="1"/>
  <c r="D136" i="1"/>
  <c r="D135" i="1"/>
  <c r="D134" i="1"/>
  <c r="D133" i="1"/>
  <c r="D28" i="3"/>
  <c r="D27" i="3"/>
  <c r="D132" i="1"/>
  <c r="D26" i="3"/>
  <c r="D131" i="1"/>
  <c r="D23" i="8"/>
  <c r="D129" i="1"/>
  <c r="D22" i="8"/>
  <c r="D127" i="1"/>
  <c r="D126" i="1"/>
  <c r="D125" i="1"/>
  <c r="D124" i="1"/>
  <c r="G32" i="12" l="1"/>
  <c r="I32" i="12" s="1"/>
  <c r="J32" i="12" s="1"/>
  <c r="D123" i="1"/>
  <c r="D122" i="1"/>
  <c r="D121" i="1"/>
  <c r="D120" i="1"/>
  <c r="D119" i="1"/>
  <c r="D118" i="1"/>
  <c r="D117" i="1"/>
  <c r="D116" i="1"/>
  <c r="D115" i="1"/>
  <c r="D114" i="1"/>
  <c r="D24" i="3"/>
  <c r="D113" i="1"/>
  <c r="G33" i="12" l="1"/>
  <c r="I33" i="12" s="1"/>
  <c r="J33" i="12" s="1"/>
  <c r="D112" i="1"/>
  <c r="D111" i="1"/>
  <c r="D110" i="1"/>
  <c r="D109" i="1"/>
  <c r="D108" i="1"/>
  <c r="D107" i="1"/>
  <c r="D105" i="1"/>
  <c r="D104" i="1"/>
  <c r="D20" i="3"/>
  <c r="D103" i="1"/>
  <c r="D102" i="1"/>
  <c r="D101" i="1"/>
  <c r="D100" i="1"/>
  <c r="D99" i="1"/>
  <c r="G34" i="12" l="1"/>
  <c r="I34" i="12" s="1"/>
  <c r="J34" i="12" s="1"/>
  <c r="J35" i="12" s="1"/>
  <c r="D98" i="1"/>
  <c r="D97" i="1"/>
  <c r="D96" i="1"/>
  <c r="D95" i="1"/>
  <c r="D21" i="8"/>
  <c r="D94" i="1"/>
  <c r="D93" i="1"/>
  <c r="D92" i="1"/>
  <c r="D91" i="1"/>
  <c r="D90" i="1"/>
  <c r="D89" i="1"/>
  <c r="D88" i="1"/>
  <c r="D87" i="1"/>
  <c r="D20" i="8"/>
  <c r="D86" i="1"/>
  <c r="D85" i="1"/>
  <c r="D83" i="1"/>
  <c r="D19" i="3"/>
  <c r="D81" i="1"/>
  <c r="D80" i="1"/>
  <c r="D79" i="1"/>
  <c r="D78" i="1"/>
  <c r="D77" i="1"/>
  <c r="D76" i="1"/>
  <c r="D75" i="1"/>
  <c r="D74" i="1"/>
  <c r="D12" i="2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19" i="8"/>
  <c r="D59" i="1"/>
  <c r="D58" i="1"/>
  <c r="D11" i="2"/>
  <c r="D57" i="1"/>
  <c r="D56" i="1"/>
  <c r="D55" i="1"/>
  <c r="D54" i="1"/>
  <c r="D53" i="1"/>
  <c r="D52" i="1"/>
  <c r="G36" i="12" l="1"/>
  <c r="I36" i="12" s="1"/>
  <c r="J36" i="12"/>
  <c r="D50" i="1"/>
  <c r="D49" i="1"/>
  <c r="D48" i="1"/>
  <c r="D46" i="1"/>
  <c r="D45" i="1"/>
  <c r="D44" i="1"/>
  <c r="D17" i="3"/>
  <c r="D43" i="1"/>
  <c r="D18" i="8"/>
  <c r="D42" i="1"/>
  <c r="D41" i="1"/>
  <c r="D40" i="1"/>
  <c r="D38" i="1"/>
  <c r="D37" i="1"/>
  <c r="D36" i="1"/>
  <c r="D20" i="7"/>
  <c r="D35" i="1"/>
  <c r="D19" i="7"/>
  <c r="D33" i="1"/>
  <c r="D17" i="8"/>
  <c r="D31" i="1"/>
  <c r="D30" i="1"/>
  <c r="D16" i="8"/>
  <c r="D29" i="1"/>
  <c r="D16" i="3"/>
  <c r="G37" i="12" l="1"/>
  <c r="I37" i="12" s="1"/>
  <c r="K37" i="12" s="1"/>
  <c r="L37" i="12" s="1"/>
  <c r="D16" i="6"/>
  <c r="D14" i="6"/>
  <c r="D13" i="6"/>
  <c r="D10" i="2"/>
  <c r="D22" i="2" s="1"/>
  <c r="D28" i="1"/>
  <c r="J37" i="12" l="1"/>
  <c r="D15" i="3"/>
  <c r="D12" i="6"/>
  <c r="J38" i="12" l="1"/>
  <c r="G38" i="12"/>
  <c r="I38" i="12" s="1"/>
  <c r="D11" i="6"/>
  <c r="D10" i="6"/>
  <c r="D36" i="6" s="1"/>
  <c r="G39" i="12" l="1"/>
  <c r="I39" i="12" s="1"/>
  <c r="D26" i="1"/>
  <c r="J39" i="12" l="1"/>
  <c r="D25" i="1"/>
  <c r="D24" i="1"/>
  <c r="D15" i="8"/>
  <c r="D13" i="3"/>
  <c r="D14" i="8"/>
  <c r="D13" i="8"/>
  <c r="D12" i="8"/>
  <c r="D12" i="3"/>
  <c r="D22" i="1"/>
  <c r="D11" i="3"/>
  <c r="D21" i="1"/>
  <c r="D11" i="8"/>
  <c r="D20" i="1"/>
  <c r="D17" i="7"/>
  <c r="D16" i="7"/>
  <c r="D19" i="1"/>
  <c r="D15" i="7"/>
  <c r="G40" i="12" l="1"/>
  <c r="I40" i="12" s="1"/>
  <c r="D18" i="1"/>
  <c r="D17" i="1"/>
  <c r="D16" i="1"/>
  <c r="D15" i="1"/>
  <c r="D14" i="7"/>
  <c r="D10" i="3"/>
  <c r="D13" i="7"/>
  <c r="D13" i="1"/>
  <c r="D10" i="8"/>
  <c r="D29" i="8" s="1"/>
  <c r="D12" i="7"/>
  <c r="D10" i="1"/>
  <c r="D10" i="7"/>
  <c r="D26" i="7" s="1"/>
  <c r="J11" i="10"/>
  <c r="C11" i="10"/>
  <c r="J11" i="9"/>
  <c r="C11" i="9"/>
  <c r="H9" i="8"/>
  <c r="C9" i="8"/>
  <c r="H9" i="7"/>
  <c r="C9" i="7"/>
  <c r="J9" i="6"/>
  <c r="E9" i="6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H11" i="4"/>
  <c r="C11" i="4"/>
  <c r="H9" i="3"/>
  <c r="H45" i="3" s="1"/>
  <c r="C9" i="3"/>
  <c r="C45" i="3" s="1"/>
  <c r="H9" i="2"/>
  <c r="C9" i="2"/>
  <c r="J40" i="12" l="1"/>
  <c r="J9" i="2"/>
  <c r="H22" i="2"/>
  <c r="J9" i="7"/>
  <c r="H26" i="7"/>
  <c r="D330" i="1"/>
  <c r="E9" i="8"/>
  <c r="C29" i="8"/>
  <c r="E11" i="10"/>
  <c r="E12" i="10" s="1"/>
  <c r="C38" i="10"/>
  <c r="E9" i="2"/>
  <c r="C22" i="2"/>
  <c r="E9" i="7"/>
  <c r="E10" i="7" s="1"/>
  <c r="E11" i="7" s="1"/>
  <c r="E12" i="7" s="1"/>
  <c r="C26" i="7"/>
  <c r="E11" i="9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J136" i="9" s="1"/>
  <c r="C134" i="9"/>
  <c r="J9" i="8"/>
  <c r="H29" i="8"/>
  <c r="J11" i="4"/>
  <c r="H14" i="4"/>
  <c r="E11" i="4"/>
  <c r="E12" i="4" s="1"/>
  <c r="C14" i="4"/>
  <c r="E9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J49" i="3" s="1"/>
  <c r="E34" i="6"/>
  <c r="E35" i="6" s="1"/>
  <c r="G10" i="6"/>
  <c r="I10" i="6" s="1"/>
  <c r="E10" i="8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J33" i="8" s="1"/>
  <c r="F11" i="5"/>
  <c r="F9" i="3"/>
  <c r="J9" i="3"/>
  <c r="E13" i="10"/>
  <c r="E14" i="10" s="1"/>
  <c r="F9" i="6"/>
  <c r="F9" i="7"/>
  <c r="F9" i="2"/>
  <c r="J11" i="5"/>
  <c r="F9" i="8"/>
  <c r="F11" i="9"/>
  <c r="F11" i="10"/>
  <c r="E13" i="7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G12" i="9"/>
  <c r="I12" i="9" s="1"/>
  <c r="G10" i="8"/>
  <c r="I10" i="8" s="1"/>
  <c r="E11" i="5"/>
  <c r="E12" i="5" s="1"/>
  <c r="F11" i="4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G10" i="2"/>
  <c r="I10" i="2" s="1"/>
  <c r="G41" i="12" l="1"/>
  <c r="I41" i="12" s="1"/>
  <c r="K41" i="12" s="1"/>
  <c r="G12" i="10"/>
  <c r="I12" i="10" s="1"/>
  <c r="J12" i="10" s="1"/>
  <c r="G13" i="10" s="1"/>
  <c r="I13" i="10" s="1"/>
  <c r="J13" i="10" s="1"/>
  <c r="G10" i="7"/>
  <c r="I10" i="7" s="1"/>
  <c r="J10" i="7" s="1"/>
  <c r="G11" i="7" s="1"/>
  <c r="I11" i="7" s="1"/>
  <c r="J11" i="7" s="1"/>
  <c r="G12" i="7" s="1"/>
  <c r="I12" i="7" s="1"/>
  <c r="J12" i="7" s="1"/>
  <c r="G10" i="3"/>
  <c r="I10" i="3" s="1"/>
  <c r="G12" i="4"/>
  <c r="I12" i="4" s="1"/>
  <c r="K26" i="2"/>
  <c r="J39" i="6"/>
  <c r="J29" i="7"/>
  <c r="J10" i="2"/>
  <c r="G11" i="2" s="1"/>
  <c r="I11" i="2" s="1"/>
  <c r="L10" i="2"/>
  <c r="M10" i="2" s="1"/>
  <c r="G12" i="5"/>
  <c r="I12" i="5" s="1"/>
  <c r="J10" i="8"/>
  <c r="G11" i="8" s="1"/>
  <c r="I11" i="8" s="1"/>
  <c r="J12" i="9"/>
  <c r="G13" i="9" s="1"/>
  <c r="I13" i="9" s="1"/>
  <c r="J13" i="9" s="1"/>
  <c r="J10" i="6"/>
  <c r="G11" i="6" s="1"/>
  <c r="I11" i="6" s="1"/>
  <c r="J11" i="6" s="1"/>
  <c r="G12" i="6" s="1"/>
  <c r="I12" i="6" s="1"/>
  <c r="J12" i="6" s="1"/>
  <c r="G13" i="6" s="1"/>
  <c r="I13" i="6" s="1"/>
  <c r="J13" i="6" s="1"/>
  <c r="G14" i="6" s="1"/>
  <c r="I14" i="6" s="1"/>
  <c r="J14" i="6" s="1"/>
  <c r="E13" i="5"/>
  <c r="E15" i="10"/>
  <c r="J41" i="12" l="1"/>
  <c r="J10" i="3"/>
  <c r="G11" i="3" s="1"/>
  <c r="I11" i="3" s="1"/>
  <c r="J11" i="3" s="1"/>
  <c r="J12" i="4"/>
  <c r="J18" i="4" s="1"/>
  <c r="J19" i="4" s="1"/>
  <c r="K12" i="4"/>
  <c r="L12" i="4" s="1"/>
  <c r="J17" i="4"/>
  <c r="L11" i="3"/>
  <c r="L14" i="6"/>
  <c r="M14" i="6" s="1"/>
  <c r="J11" i="2"/>
  <c r="G12" i="2" s="1"/>
  <c r="I12" i="2" s="1"/>
  <c r="L11" i="2"/>
  <c r="M11" i="2" s="1"/>
  <c r="J11" i="8"/>
  <c r="G12" i="8" s="1"/>
  <c r="I12" i="8" s="1"/>
  <c r="L11" i="8"/>
  <c r="G14" i="10"/>
  <c r="I14" i="10" s="1"/>
  <c r="J14" i="10" s="1"/>
  <c r="G15" i="10" s="1"/>
  <c r="I15" i="10" s="1"/>
  <c r="K14" i="10"/>
  <c r="J12" i="5"/>
  <c r="G13" i="5" s="1"/>
  <c r="I13" i="5" s="1"/>
  <c r="K12" i="5"/>
  <c r="L12" i="5" s="1"/>
  <c r="G15" i="6"/>
  <c r="I15" i="6" s="1"/>
  <c r="E16" i="10"/>
  <c r="E14" i="5"/>
  <c r="G12" i="3"/>
  <c r="I12" i="3" s="1"/>
  <c r="G14" i="9"/>
  <c r="I14" i="9" s="1"/>
  <c r="G13" i="7"/>
  <c r="I13" i="7" s="1"/>
  <c r="J13" i="7" s="1"/>
  <c r="C9" i="1"/>
  <c r="J42" i="12" l="1"/>
  <c r="G42" i="12"/>
  <c r="I42" i="12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C330" i="1"/>
  <c r="J15" i="10"/>
  <c r="G16" i="10" s="1"/>
  <c r="I16" i="10" s="1"/>
  <c r="J16" i="10" s="1"/>
  <c r="J12" i="2"/>
  <c r="G13" i="2" s="1"/>
  <c r="I13" i="2" s="1"/>
  <c r="L12" i="2"/>
  <c r="M12" i="2" s="1"/>
  <c r="J14" i="9"/>
  <c r="G15" i="9" s="1"/>
  <c r="I15" i="9" s="1"/>
  <c r="J15" i="9" s="1"/>
  <c r="J13" i="5"/>
  <c r="K13" i="5"/>
  <c r="L13" i="5" s="1"/>
  <c r="J12" i="8"/>
  <c r="G13" i="8" s="1"/>
  <c r="I13" i="8" s="1"/>
  <c r="J13" i="8" s="1"/>
  <c r="J12" i="3"/>
  <c r="J15" i="6"/>
  <c r="G16" i="6" s="1"/>
  <c r="I16" i="6" s="1"/>
  <c r="E17" i="10"/>
  <c r="E15" i="5"/>
  <c r="G13" i="3"/>
  <c r="I13" i="3" s="1"/>
  <c r="J13" i="3" s="1"/>
  <c r="G14" i="7"/>
  <c r="I14" i="7" s="1"/>
  <c r="J14" i="7" s="1"/>
  <c r="G43" i="12" l="1"/>
  <c r="I43" i="12" s="1"/>
  <c r="E302" i="1"/>
  <c r="J13" i="2"/>
  <c r="G14" i="2" s="1"/>
  <c r="I14" i="2" s="1"/>
  <c r="L13" i="2"/>
  <c r="M13" i="2" s="1"/>
  <c r="J16" i="6"/>
  <c r="G17" i="6" s="1"/>
  <c r="I17" i="6" s="1"/>
  <c r="J17" i="6" s="1"/>
  <c r="G18" i="6" s="1"/>
  <c r="I18" i="6" s="1"/>
  <c r="J18" i="6" s="1"/>
  <c r="G19" i="6" s="1"/>
  <c r="I19" i="6" s="1"/>
  <c r="J19" i="6" s="1"/>
  <c r="G20" i="6" s="1"/>
  <c r="I20" i="6" s="1"/>
  <c r="J20" i="6" s="1"/>
  <c r="G17" i="10"/>
  <c r="I17" i="10" s="1"/>
  <c r="J17" i="10" s="1"/>
  <c r="G14" i="5"/>
  <c r="I14" i="5" s="1"/>
  <c r="E18" i="10"/>
  <c r="E19" i="10" s="1"/>
  <c r="E16" i="5"/>
  <c r="G14" i="3"/>
  <c r="I14" i="3" s="1"/>
  <c r="J14" i="3" s="1"/>
  <c r="G14" i="8"/>
  <c r="I14" i="8" s="1"/>
  <c r="J14" i="8" s="1"/>
  <c r="G16" i="9"/>
  <c r="I16" i="9" s="1"/>
  <c r="J16" i="9" s="1"/>
  <c r="G15" i="7"/>
  <c r="I15" i="7" s="1"/>
  <c r="J43" i="12" l="1"/>
  <c r="K14" i="5"/>
  <c r="L14" i="5" s="1"/>
  <c r="E303" i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J334" i="1" s="1"/>
  <c r="J14" i="2"/>
  <c r="G15" i="2" s="1"/>
  <c r="I15" i="2" s="1"/>
  <c r="L14" i="2"/>
  <c r="J14" i="5"/>
  <c r="G15" i="5" s="1"/>
  <c r="I15" i="5" s="1"/>
  <c r="K15" i="5" s="1"/>
  <c r="L15" i="5" s="1"/>
  <c r="J15" i="7"/>
  <c r="G16" i="7" s="1"/>
  <c r="I16" i="7" s="1"/>
  <c r="J16" i="7" s="1"/>
  <c r="G18" i="10"/>
  <c r="I18" i="10" s="1"/>
  <c r="J18" i="10" s="1"/>
  <c r="G19" i="10" s="1"/>
  <c r="I19" i="10" s="1"/>
  <c r="J19" i="10" s="1"/>
  <c r="G20" i="10" s="1"/>
  <c r="I20" i="10" s="1"/>
  <c r="J20" i="10" s="1"/>
  <c r="G21" i="10" s="1"/>
  <c r="I21" i="10" s="1"/>
  <c r="G21" i="6"/>
  <c r="I21" i="6" s="1"/>
  <c r="J21" i="6" s="1"/>
  <c r="G22" i="6" s="1"/>
  <c r="I22" i="6" s="1"/>
  <c r="J22" i="6" s="1"/>
  <c r="G23" i="6" s="1"/>
  <c r="I23" i="6" s="1"/>
  <c r="J23" i="6" s="1"/>
  <c r="E17" i="5"/>
  <c r="E20" i="10"/>
  <c r="G15" i="3"/>
  <c r="I15" i="3" s="1"/>
  <c r="J15" i="3" s="1"/>
  <c r="G15" i="8"/>
  <c r="I15" i="8" s="1"/>
  <c r="G17" i="9"/>
  <c r="I17" i="9" s="1"/>
  <c r="G44" i="12" l="1"/>
  <c r="I44" i="12" s="1"/>
  <c r="J15" i="2"/>
  <c r="L15" i="2"/>
  <c r="J15" i="5"/>
  <c r="G16" i="5" s="1"/>
  <c r="I16" i="5" s="1"/>
  <c r="M15" i="2"/>
  <c r="J21" i="10"/>
  <c r="J15" i="8"/>
  <c r="G16" i="8" s="1"/>
  <c r="I16" i="8" s="1"/>
  <c r="L15" i="8"/>
  <c r="M15" i="8" s="1"/>
  <c r="K20" i="10"/>
  <c r="L20" i="10" s="1"/>
  <c r="L15" i="3"/>
  <c r="M15" i="3" s="1"/>
  <c r="J17" i="9"/>
  <c r="G18" i="9" s="1"/>
  <c r="I18" i="9" s="1"/>
  <c r="G24" i="6"/>
  <c r="I24" i="6" s="1"/>
  <c r="E18" i="5"/>
  <c r="G16" i="2"/>
  <c r="I16" i="2" s="1"/>
  <c r="E21" i="10"/>
  <c r="G16" i="3"/>
  <c r="I16" i="3" s="1"/>
  <c r="G17" i="7"/>
  <c r="I17" i="7" s="1"/>
  <c r="J17" i="7" s="1"/>
  <c r="J44" i="12" l="1"/>
  <c r="J16" i="5"/>
  <c r="G17" i="5" s="1"/>
  <c r="I17" i="5" s="1"/>
  <c r="K16" i="5"/>
  <c r="J16" i="2"/>
  <c r="G17" i="2" s="1"/>
  <c r="I17" i="2" s="1"/>
  <c r="J17" i="2" s="1"/>
  <c r="J18" i="9"/>
  <c r="G19" i="9" s="1"/>
  <c r="I19" i="9" s="1"/>
  <c r="J19" i="9" s="1"/>
  <c r="J16" i="8"/>
  <c r="G17" i="8" s="1"/>
  <c r="I17" i="8" s="1"/>
  <c r="J17" i="8" s="1"/>
  <c r="L17" i="7"/>
  <c r="J16" i="3"/>
  <c r="G17" i="3" s="1"/>
  <c r="I17" i="3" s="1"/>
  <c r="L16" i="3"/>
  <c r="J24" i="6"/>
  <c r="G25" i="6" s="1"/>
  <c r="I25" i="6" s="1"/>
  <c r="L24" i="6"/>
  <c r="M24" i="6" s="1"/>
  <c r="G22" i="10"/>
  <c r="I22" i="10" s="1"/>
  <c r="K22" i="10" s="1"/>
  <c r="E19" i="5"/>
  <c r="E22" i="10"/>
  <c r="G18" i="7"/>
  <c r="I18" i="7" s="1"/>
  <c r="G45" i="12" l="1"/>
  <c r="I45" i="12" s="1"/>
  <c r="J45" i="12"/>
  <c r="J17" i="5"/>
  <c r="G18" i="5" s="1"/>
  <c r="I18" i="5" s="1"/>
  <c r="K17" i="5"/>
  <c r="L17" i="5" s="1"/>
  <c r="L17" i="2"/>
  <c r="M17" i="2" s="1"/>
  <c r="J22" i="10"/>
  <c r="G23" i="10" s="1"/>
  <c r="I23" i="10" s="1"/>
  <c r="J23" i="10" s="1"/>
  <c r="L17" i="8"/>
  <c r="J17" i="3"/>
  <c r="G18" i="3" s="1"/>
  <c r="I18" i="3" s="1"/>
  <c r="J18" i="3" s="1"/>
  <c r="J25" i="6"/>
  <c r="G26" i="6" s="1"/>
  <c r="I26" i="6" s="1"/>
  <c r="L25" i="6"/>
  <c r="M25" i="6" s="1"/>
  <c r="J18" i="7"/>
  <c r="G19" i="7" s="1"/>
  <c r="I19" i="7" s="1"/>
  <c r="L18" i="7"/>
  <c r="M18" i="7" s="1"/>
  <c r="E20" i="5"/>
  <c r="G18" i="2"/>
  <c r="I18" i="2" s="1"/>
  <c r="E23" i="10"/>
  <c r="G18" i="8"/>
  <c r="I18" i="8" s="1"/>
  <c r="G20" i="9"/>
  <c r="I20" i="9" s="1"/>
  <c r="J20" i="9" s="1"/>
  <c r="G46" i="12" l="1"/>
  <c r="I46" i="12" s="1"/>
  <c r="J46" i="12" s="1"/>
  <c r="J18" i="5"/>
  <c r="G19" i="5" s="1"/>
  <c r="I19" i="5" s="1"/>
  <c r="J19" i="5" s="1"/>
  <c r="G20" i="5" s="1"/>
  <c r="I20" i="5" s="1"/>
  <c r="K19" i="5"/>
  <c r="J18" i="2"/>
  <c r="G19" i="2" s="1"/>
  <c r="I19" i="2" s="1"/>
  <c r="L18" i="2"/>
  <c r="M18" i="2" s="1"/>
  <c r="K23" i="10"/>
  <c r="L23" i="10" s="1"/>
  <c r="J19" i="7"/>
  <c r="G20" i="7" s="1"/>
  <c r="I20" i="7" s="1"/>
  <c r="J26" i="6"/>
  <c r="G27" i="6" s="1"/>
  <c r="I27" i="6" s="1"/>
  <c r="L26" i="6"/>
  <c r="M26" i="6" s="1"/>
  <c r="L18" i="3"/>
  <c r="M18" i="3" s="1"/>
  <c r="J18" i="8"/>
  <c r="G24" i="10"/>
  <c r="I24" i="10" s="1"/>
  <c r="E21" i="5"/>
  <c r="E24" i="10"/>
  <c r="G19" i="3"/>
  <c r="I19" i="3" s="1"/>
  <c r="G19" i="8"/>
  <c r="I19" i="8" s="1"/>
  <c r="J19" i="8" s="1"/>
  <c r="G21" i="9"/>
  <c r="I21" i="9" s="1"/>
  <c r="J21" i="9" s="1"/>
  <c r="G47" i="12" l="1"/>
  <c r="I47" i="12" s="1"/>
  <c r="J47" i="12" s="1"/>
  <c r="J20" i="5"/>
  <c r="G21" i="5" s="1"/>
  <c r="I21" i="5" s="1"/>
  <c r="J21" i="5" s="1"/>
  <c r="J19" i="2"/>
  <c r="G20" i="2" s="1"/>
  <c r="I20" i="2" s="1"/>
  <c r="G22" i="5"/>
  <c r="I22" i="5" s="1"/>
  <c r="J22" i="5" s="1"/>
  <c r="J20" i="7"/>
  <c r="G21" i="7" s="1"/>
  <c r="I21" i="7" s="1"/>
  <c r="L20" i="7"/>
  <c r="M20" i="7" s="1"/>
  <c r="J27" i="6"/>
  <c r="G28" i="6" s="1"/>
  <c r="I28" i="6" s="1"/>
  <c r="L27" i="6"/>
  <c r="M27" i="6" s="1"/>
  <c r="J24" i="10"/>
  <c r="K24" i="10"/>
  <c r="L24" i="10" s="1"/>
  <c r="J19" i="3"/>
  <c r="G20" i="3" s="1"/>
  <c r="I20" i="3" s="1"/>
  <c r="J20" i="3" s="1"/>
  <c r="L19" i="8"/>
  <c r="M19" i="8" s="1"/>
  <c r="E22" i="5"/>
  <c r="E25" i="10"/>
  <c r="G20" i="8"/>
  <c r="I20" i="8" s="1"/>
  <c r="G22" i="9"/>
  <c r="I22" i="9" s="1"/>
  <c r="J22" i="9" s="1"/>
  <c r="G48" i="12" l="1"/>
  <c r="I48" i="12" s="1"/>
  <c r="K48" i="12" s="1"/>
  <c r="L48" i="12" s="1"/>
  <c r="J20" i="2"/>
  <c r="K22" i="5"/>
  <c r="L22" i="5" s="1"/>
  <c r="G23" i="5"/>
  <c r="I23" i="5" s="1"/>
  <c r="J21" i="7"/>
  <c r="G22" i="7" s="1"/>
  <c r="I22" i="7" s="1"/>
  <c r="L21" i="7"/>
  <c r="M21" i="7" s="1"/>
  <c r="J20" i="8"/>
  <c r="G25" i="10"/>
  <c r="I25" i="10" s="1"/>
  <c r="J25" i="10" s="1"/>
  <c r="G26" i="10" s="1"/>
  <c r="I26" i="10" s="1"/>
  <c r="J26" i="10" s="1"/>
  <c r="L20" i="3"/>
  <c r="M20" i="3" s="1"/>
  <c r="J28" i="6"/>
  <c r="G29" i="6" s="1"/>
  <c r="I29" i="6" s="1"/>
  <c r="L28" i="6"/>
  <c r="M28" i="6" s="1"/>
  <c r="E26" i="10"/>
  <c r="E23" i="5"/>
  <c r="G21" i="2"/>
  <c r="I21" i="2" s="1"/>
  <c r="L21" i="2" s="1"/>
  <c r="M21" i="2" s="1"/>
  <c r="M22" i="2" s="1"/>
  <c r="G21" i="3"/>
  <c r="I21" i="3" s="1"/>
  <c r="G21" i="8"/>
  <c r="I21" i="8" s="1"/>
  <c r="J21" i="8" s="1"/>
  <c r="G23" i="9"/>
  <c r="I23" i="9" s="1"/>
  <c r="J23" i="9" s="1"/>
  <c r="J48" i="12" l="1"/>
  <c r="J23" i="5"/>
  <c r="G24" i="5" s="1"/>
  <c r="I24" i="5" s="1"/>
  <c r="J21" i="2"/>
  <c r="K27" i="2" s="1"/>
  <c r="K28" i="2" s="1"/>
  <c r="I22" i="2"/>
  <c r="J22" i="7"/>
  <c r="L22" i="7"/>
  <c r="M22" i="7" s="1"/>
  <c r="J29" i="6"/>
  <c r="G30" i="6" s="1"/>
  <c r="I30" i="6" s="1"/>
  <c r="J30" i="6" s="1"/>
  <c r="G31" i="6" s="1"/>
  <c r="I31" i="6" s="1"/>
  <c r="L30" i="6"/>
  <c r="M30" i="6" s="1"/>
  <c r="G27" i="10"/>
  <c r="I27" i="10" s="1"/>
  <c r="K26" i="10"/>
  <c r="L26" i="10" s="1"/>
  <c r="L21" i="8"/>
  <c r="M21" i="8" s="1"/>
  <c r="J21" i="3"/>
  <c r="G22" i="3" s="1"/>
  <c r="I22" i="3" s="1"/>
  <c r="J22" i="3" s="1"/>
  <c r="E27" i="10"/>
  <c r="E24" i="5"/>
  <c r="G22" i="8"/>
  <c r="I22" i="8" s="1"/>
  <c r="G24" i="9"/>
  <c r="I24" i="9" s="1"/>
  <c r="J24" i="9" s="1"/>
  <c r="G23" i="7"/>
  <c r="I23" i="7" s="1"/>
  <c r="G49" i="12" l="1"/>
  <c r="I49" i="12" s="1"/>
  <c r="J49" i="12"/>
  <c r="J24" i="5"/>
  <c r="G25" i="5"/>
  <c r="I25" i="5" s="1"/>
  <c r="J25" i="5" s="1"/>
  <c r="XFD22" i="7"/>
  <c r="J23" i="7"/>
  <c r="J31" i="6"/>
  <c r="G32" i="6" s="1"/>
  <c r="I32" i="6" s="1"/>
  <c r="J32" i="6" s="1"/>
  <c r="G33" i="6" s="1"/>
  <c r="I33" i="6" s="1"/>
  <c r="J22" i="8"/>
  <c r="G23" i="8" s="1"/>
  <c r="I23" i="8" s="1"/>
  <c r="J23" i="8" s="1"/>
  <c r="J27" i="10"/>
  <c r="G28" i="10" s="1"/>
  <c r="I28" i="10" s="1"/>
  <c r="J28" i="10" s="1"/>
  <c r="E28" i="10"/>
  <c r="E25" i="5"/>
  <c r="G23" i="3"/>
  <c r="I23" i="3" s="1"/>
  <c r="J23" i="3" s="1"/>
  <c r="G25" i="9"/>
  <c r="I25" i="9" s="1"/>
  <c r="G24" i="7"/>
  <c r="I24" i="7" s="1"/>
  <c r="J24" i="7" s="1"/>
  <c r="G50" i="12" l="1"/>
  <c r="I50" i="12" s="1"/>
  <c r="J50" i="12"/>
  <c r="G26" i="5"/>
  <c r="I26" i="5" s="1"/>
  <c r="K25" i="5"/>
  <c r="L24" i="7"/>
  <c r="M24" i="7" s="1"/>
  <c r="L32" i="6"/>
  <c r="J33" i="6"/>
  <c r="G34" i="6" s="1"/>
  <c r="I34" i="6" s="1"/>
  <c r="L33" i="6"/>
  <c r="G29" i="10"/>
  <c r="I29" i="10" s="1"/>
  <c r="K29" i="10" s="1"/>
  <c r="J25" i="9"/>
  <c r="K25" i="9"/>
  <c r="K28" i="10"/>
  <c r="L23" i="8"/>
  <c r="M23" i="8" s="1"/>
  <c r="E29" i="10"/>
  <c r="E26" i="5"/>
  <c r="G24" i="3"/>
  <c r="I24" i="3" s="1"/>
  <c r="G24" i="8"/>
  <c r="I24" i="8" s="1"/>
  <c r="G26" i="9"/>
  <c r="I26" i="9" s="1"/>
  <c r="G25" i="7"/>
  <c r="I25" i="7" s="1"/>
  <c r="G51" i="12" l="1"/>
  <c r="I51" i="12" s="1"/>
  <c r="J51" i="12"/>
  <c r="J25" i="7"/>
  <c r="J30" i="7" s="1"/>
  <c r="J31" i="7" s="1"/>
  <c r="L25" i="7"/>
  <c r="M25" i="7" s="1"/>
  <c r="M26" i="7" s="1"/>
  <c r="I26" i="7"/>
  <c r="G27" i="5"/>
  <c r="I27" i="5" s="1"/>
  <c r="J27" i="5" s="1"/>
  <c r="J26" i="5"/>
  <c r="J34" i="6"/>
  <c r="G35" i="6" s="1"/>
  <c r="I35" i="6" s="1"/>
  <c r="J35" i="6" s="1"/>
  <c r="J40" i="6" s="1"/>
  <c r="J41" i="6" s="1"/>
  <c r="L29" i="10"/>
  <c r="M33" i="6"/>
  <c r="J29" i="10"/>
  <c r="G30" i="10" s="1"/>
  <c r="I30" i="10" s="1"/>
  <c r="J30" i="10" s="1"/>
  <c r="J26" i="9"/>
  <c r="G27" i="9" s="1"/>
  <c r="I27" i="9" s="1"/>
  <c r="J27" i="9" s="1"/>
  <c r="J24" i="8"/>
  <c r="G25" i="8" s="1"/>
  <c r="I25" i="8" s="1"/>
  <c r="L24" i="8"/>
  <c r="M24" i="8" s="1"/>
  <c r="J24" i="3"/>
  <c r="G25" i="3" s="1"/>
  <c r="I25" i="3" s="1"/>
  <c r="L24" i="3"/>
  <c r="E30" i="10"/>
  <c r="E27" i="5"/>
  <c r="G28" i="5" s="1"/>
  <c r="I28" i="5" s="1"/>
  <c r="K28" i="5" s="1"/>
  <c r="L28" i="5" s="1"/>
  <c r="L29" i="5" s="1"/>
  <c r="G52" i="12" l="1"/>
  <c r="I52" i="12" s="1"/>
  <c r="J52" i="12" s="1"/>
  <c r="J28" i="5"/>
  <c r="J33" i="5" s="1"/>
  <c r="I29" i="5"/>
  <c r="I36" i="6"/>
  <c r="L35" i="6"/>
  <c r="M35" i="6" s="1"/>
  <c r="M36" i="6" s="1"/>
  <c r="J25" i="8"/>
  <c r="L25" i="8"/>
  <c r="M25" i="8" s="1"/>
  <c r="K30" i="10"/>
  <c r="L30" i="10" s="1"/>
  <c r="J25" i="3"/>
  <c r="G26" i="3" s="1"/>
  <c r="I26" i="3" s="1"/>
  <c r="J26" i="3" s="1"/>
  <c r="G31" i="10"/>
  <c r="I31" i="10" s="1"/>
  <c r="E31" i="10"/>
  <c r="E28" i="5"/>
  <c r="J32" i="5" s="1"/>
  <c r="J34" i="5" s="1"/>
  <c r="G26" i="8"/>
  <c r="I26" i="8" s="1"/>
  <c r="G28" i="9"/>
  <c r="I28" i="9" s="1"/>
  <c r="J28" i="9" s="1"/>
  <c r="G53" i="12" l="1"/>
  <c r="I53" i="12" s="1"/>
  <c r="J53" i="12" s="1"/>
  <c r="J26" i="8"/>
  <c r="G27" i="8" s="1"/>
  <c r="I27" i="8" s="1"/>
  <c r="J27" i="8" s="1"/>
  <c r="J31" i="10"/>
  <c r="G32" i="10"/>
  <c r="I32" i="10" s="1"/>
  <c r="J32" i="10" s="1"/>
  <c r="E32" i="10"/>
  <c r="G27" i="3"/>
  <c r="I27" i="3" s="1"/>
  <c r="J27" i="3" s="1"/>
  <c r="G29" i="9"/>
  <c r="I29" i="9" s="1"/>
  <c r="J29" i="9" s="1"/>
  <c r="G54" i="12" l="1"/>
  <c r="I54" i="12" s="1"/>
  <c r="J54" i="12"/>
  <c r="G33" i="10"/>
  <c r="I33" i="10" s="1"/>
  <c r="J33" i="10" s="1"/>
  <c r="E33" i="10"/>
  <c r="G28" i="3"/>
  <c r="I28" i="3" s="1"/>
  <c r="J28" i="3" s="1"/>
  <c r="G28" i="8"/>
  <c r="I28" i="8" s="1"/>
  <c r="G30" i="9"/>
  <c r="I30" i="9" s="1"/>
  <c r="G55" i="12" l="1"/>
  <c r="I55" i="12" s="1"/>
  <c r="J55" i="12"/>
  <c r="J28" i="8"/>
  <c r="J34" i="8" s="1"/>
  <c r="J35" i="8" s="1"/>
  <c r="I29" i="8"/>
  <c r="G34" i="10"/>
  <c r="I34" i="10" s="1"/>
  <c r="L28" i="8"/>
  <c r="M28" i="8" s="1"/>
  <c r="M29" i="8" s="1"/>
  <c r="K33" i="10"/>
  <c r="L33" i="10" s="1"/>
  <c r="J30" i="9"/>
  <c r="G31" i="9" s="1"/>
  <c r="I31" i="9" s="1"/>
  <c r="J31" i="9" s="1"/>
  <c r="L28" i="3"/>
  <c r="M28" i="3" s="1"/>
  <c r="E34" i="10"/>
  <c r="G29" i="3"/>
  <c r="I29" i="3" s="1"/>
  <c r="G56" i="12" l="1"/>
  <c r="I56" i="12" s="1"/>
  <c r="K56" i="12" s="1"/>
  <c r="J34" i="10"/>
  <c r="G35" i="10" s="1"/>
  <c r="I35" i="10" s="1"/>
  <c r="K34" i="10"/>
  <c r="L34" i="10" s="1"/>
  <c r="J29" i="3"/>
  <c r="G30" i="3" s="1"/>
  <c r="I30" i="3" s="1"/>
  <c r="J30" i="3" s="1"/>
  <c r="E35" i="10"/>
  <c r="G32" i="9"/>
  <c r="I32" i="9" s="1"/>
  <c r="J56" i="12" l="1"/>
  <c r="J35" i="10"/>
  <c r="G36" i="10" s="1"/>
  <c r="I36" i="10" s="1"/>
  <c r="K35" i="10"/>
  <c r="L35" i="10" s="1"/>
  <c r="J32" i="9"/>
  <c r="G33" i="9" s="1"/>
  <c r="I33" i="9" s="1"/>
  <c r="J33" i="9" s="1"/>
  <c r="E36" i="10"/>
  <c r="G31" i="3"/>
  <c r="I31" i="3" s="1"/>
  <c r="J31" i="3" s="1"/>
  <c r="G57" i="12" l="1"/>
  <c r="I57" i="12" s="1"/>
  <c r="J36" i="10"/>
  <c r="G37" i="10" s="1"/>
  <c r="I37" i="10" s="1"/>
  <c r="K36" i="10"/>
  <c r="K33" i="9"/>
  <c r="L33" i="9" s="1"/>
  <c r="E37" i="10"/>
  <c r="J42" i="10" s="1"/>
  <c r="G32" i="3"/>
  <c r="I32" i="3" s="1"/>
  <c r="J32" i="3" s="1"/>
  <c r="G34" i="9"/>
  <c r="I34" i="9" s="1"/>
  <c r="J57" i="12" l="1"/>
  <c r="J58" i="12" s="1"/>
  <c r="J37" i="10"/>
  <c r="J43" i="10" s="1"/>
  <c r="K37" i="10"/>
  <c r="I38" i="10"/>
  <c r="L37" i="10"/>
  <c r="L38" i="10" s="1"/>
  <c r="J44" i="10"/>
  <c r="J34" i="9"/>
  <c r="G35" i="9" s="1"/>
  <c r="I35" i="9" s="1"/>
  <c r="J35" i="9" s="1"/>
  <c r="L32" i="3"/>
  <c r="G33" i="3"/>
  <c r="I33" i="3" s="1"/>
  <c r="G59" i="12" l="1"/>
  <c r="I59" i="12" s="1"/>
  <c r="J33" i="3"/>
  <c r="G34" i="3" s="1"/>
  <c r="I34" i="3" s="1"/>
  <c r="J34" i="3" s="1"/>
  <c r="G36" i="9"/>
  <c r="I36" i="9" s="1"/>
  <c r="J59" i="12" l="1"/>
  <c r="J36" i="9"/>
  <c r="G37" i="9" s="1"/>
  <c r="I37" i="9" s="1"/>
  <c r="G35" i="3"/>
  <c r="I35" i="3" s="1"/>
  <c r="J35" i="3" s="1"/>
  <c r="J60" i="12" l="1"/>
  <c r="G60" i="12"/>
  <c r="I60" i="12" s="1"/>
  <c r="J37" i="9"/>
  <c r="K37" i="9"/>
  <c r="G36" i="3"/>
  <c r="I36" i="3" s="1"/>
  <c r="J36" i="3" s="1"/>
  <c r="G38" i="9"/>
  <c r="I38" i="9" s="1"/>
  <c r="J61" i="12" l="1"/>
  <c r="G61" i="12"/>
  <c r="I61" i="12" s="1"/>
  <c r="J38" i="9"/>
  <c r="G39" i="9" s="1"/>
  <c r="I39" i="9" s="1"/>
  <c r="G37" i="3"/>
  <c r="I37" i="3" s="1"/>
  <c r="J62" i="12" l="1"/>
  <c r="G62" i="12"/>
  <c r="I62" i="12" s="1"/>
  <c r="K62" i="12" s="1"/>
  <c r="L62" i="12" s="1"/>
  <c r="J39" i="9"/>
  <c r="G40" i="9" s="1"/>
  <c r="I40" i="9" s="1"/>
  <c r="J37" i="3"/>
  <c r="G38" i="3" s="1"/>
  <c r="I38" i="3" s="1"/>
  <c r="J38" i="3" s="1"/>
  <c r="G63" i="12" l="1"/>
  <c r="I63" i="12" s="1"/>
  <c r="K63" i="12" s="1"/>
  <c r="J63" i="12"/>
  <c r="L38" i="3"/>
  <c r="M38" i="3" s="1"/>
  <c r="J40" i="9"/>
  <c r="G39" i="3"/>
  <c r="I39" i="3" s="1"/>
  <c r="G41" i="9"/>
  <c r="I41" i="9" s="1"/>
  <c r="J41" i="9" s="1"/>
  <c r="G64" i="12" l="1"/>
  <c r="I64" i="12" s="1"/>
  <c r="J64" i="12"/>
  <c r="J39" i="3"/>
  <c r="G40" i="3" s="1"/>
  <c r="I40" i="3" s="1"/>
  <c r="J40" i="3" s="1"/>
  <c r="G42" i="9"/>
  <c r="I42" i="9" s="1"/>
  <c r="J42" i="9" s="1"/>
  <c r="G65" i="12" l="1"/>
  <c r="I65" i="12" s="1"/>
  <c r="L40" i="3"/>
  <c r="K42" i="9"/>
  <c r="L42" i="9" s="1"/>
  <c r="G41" i="3"/>
  <c r="I41" i="3" s="1"/>
  <c r="G43" i="9"/>
  <c r="I43" i="9" s="1"/>
  <c r="J65" i="12" l="1"/>
  <c r="J41" i="3"/>
  <c r="L41" i="3"/>
  <c r="M41" i="3" s="1"/>
  <c r="J43" i="9"/>
  <c r="G44" i="9" s="1"/>
  <c r="I44" i="9" s="1"/>
  <c r="J44" i="9" s="1"/>
  <c r="G42" i="3"/>
  <c r="I42" i="3" s="1"/>
  <c r="G66" i="12" l="1"/>
  <c r="I66" i="12" s="1"/>
  <c r="J42" i="3"/>
  <c r="G43" i="3" s="1"/>
  <c r="I43" i="3" s="1"/>
  <c r="L42" i="3"/>
  <c r="M42" i="3" s="1"/>
  <c r="G45" i="9"/>
  <c r="I45" i="9" s="1"/>
  <c r="J66" i="12" l="1"/>
  <c r="J43" i="3"/>
  <c r="L43" i="3"/>
  <c r="M43" i="3" s="1"/>
  <c r="J45" i="9"/>
  <c r="G46" i="9"/>
  <c r="I46" i="9" s="1"/>
  <c r="J46" i="9" s="1"/>
  <c r="G67" i="12" l="1"/>
  <c r="I67" i="12" s="1"/>
  <c r="J67" i="12"/>
  <c r="G44" i="3"/>
  <c r="I44" i="3" s="1"/>
  <c r="G47" i="9"/>
  <c r="I47" i="9" s="1"/>
  <c r="J47" i="9" s="1"/>
  <c r="F9" i="1"/>
  <c r="J9" i="1"/>
  <c r="G10" i="1" s="1"/>
  <c r="I10" i="1" s="1"/>
  <c r="G68" i="12" l="1"/>
  <c r="I68" i="12" s="1"/>
  <c r="K68" i="12" s="1"/>
  <c r="L68" i="12" s="1"/>
  <c r="J68" i="12"/>
  <c r="J44" i="3"/>
  <c r="J50" i="3" s="1"/>
  <c r="J51" i="3" s="1"/>
  <c r="L44" i="3"/>
  <c r="M44" i="3" s="1"/>
  <c r="M45" i="3" s="1"/>
  <c r="I45" i="3"/>
  <c r="J10" i="1"/>
  <c r="G11" i="1" s="1"/>
  <c r="I11" i="1" s="1"/>
  <c r="G48" i="9"/>
  <c r="I48" i="9" s="1"/>
  <c r="J48" i="9" s="1"/>
  <c r="G69" i="12" l="1"/>
  <c r="I69" i="12" s="1"/>
  <c r="J11" i="1"/>
  <c r="G12" i="1" s="1"/>
  <c r="I12" i="1" s="1"/>
  <c r="G49" i="9"/>
  <c r="I49" i="9" s="1"/>
  <c r="J49" i="9" s="1"/>
  <c r="J69" i="12" l="1"/>
  <c r="J12" i="1"/>
  <c r="G13" i="1" s="1"/>
  <c r="I13" i="1" s="1"/>
  <c r="G50" i="9"/>
  <c r="I50" i="9" s="1"/>
  <c r="K50" i="9" s="1"/>
  <c r="G70" i="12" l="1"/>
  <c r="I70" i="12" s="1"/>
  <c r="J13" i="1"/>
  <c r="G14" i="1" s="1"/>
  <c r="I14" i="1" s="1"/>
  <c r="J50" i="9"/>
  <c r="G51" i="9" s="1"/>
  <c r="I51" i="9" s="1"/>
  <c r="J70" i="12" l="1"/>
  <c r="J14" i="1"/>
  <c r="G15" i="1" s="1"/>
  <c r="I15" i="1" s="1"/>
  <c r="J15" i="1" s="1"/>
  <c r="J51" i="9"/>
  <c r="G52" i="9" s="1"/>
  <c r="I52" i="9" s="1"/>
  <c r="J52" i="9" s="1"/>
  <c r="G53" i="9" s="1"/>
  <c r="I53" i="9" s="1"/>
  <c r="J53" i="9" s="1"/>
  <c r="G54" i="9" s="1"/>
  <c r="I54" i="9" s="1"/>
  <c r="J54" i="9" s="1"/>
  <c r="G55" i="9" s="1"/>
  <c r="I55" i="9" s="1"/>
  <c r="J55" i="9" s="1"/>
  <c r="G56" i="9" s="1"/>
  <c r="I56" i="9" s="1"/>
  <c r="G71" i="12" l="1"/>
  <c r="I71" i="12" s="1"/>
  <c r="J56" i="9"/>
  <c r="G57" i="9" s="1"/>
  <c r="I57" i="9" s="1"/>
  <c r="J57" i="9" s="1"/>
  <c r="G58" i="9" s="1"/>
  <c r="I58" i="9" s="1"/>
  <c r="J58" i="9" s="1"/>
  <c r="G59" i="9" s="1"/>
  <c r="I59" i="9" s="1"/>
  <c r="J59" i="9" s="1"/>
  <c r="G60" i="9" s="1"/>
  <c r="I60" i="9" s="1"/>
  <c r="J60" i="9" s="1"/>
  <c r="G61" i="9" s="1"/>
  <c r="I61" i="9" s="1"/>
  <c r="J61" i="9" s="1"/>
  <c r="G62" i="9" s="1"/>
  <c r="I62" i="9" s="1"/>
  <c r="J62" i="9" s="1"/>
  <c r="G63" i="9" s="1"/>
  <c r="I63" i="9" s="1"/>
  <c r="J63" i="9" s="1"/>
  <c r="G64" i="9" s="1"/>
  <c r="I64" i="9" s="1"/>
  <c r="K55" i="9"/>
  <c r="L55" i="9" s="1"/>
  <c r="G16" i="1"/>
  <c r="I16" i="1" s="1"/>
  <c r="J16" i="1" s="1"/>
  <c r="J71" i="12" l="1"/>
  <c r="K63" i="9"/>
  <c r="J64" i="9"/>
  <c r="G65" i="9" s="1"/>
  <c r="I65" i="9" s="1"/>
  <c r="J65" i="9" s="1"/>
  <c r="G66" i="9" s="1"/>
  <c r="I66" i="9" s="1"/>
  <c r="J66" i="9" s="1"/>
  <c r="G67" i="9" s="1"/>
  <c r="I67" i="9" s="1"/>
  <c r="J67" i="9" s="1"/>
  <c r="G68" i="9" s="1"/>
  <c r="I68" i="9" s="1"/>
  <c r="J68" i="9" s="1"/>
  <c r="G69" i="9" s="1"/>
  <c r="I69" i="9" s="1"/>
  <c r="G17" i="1"/>
  <c r="I17" i="1" s="1"/>
  <c r="J17" i="1" s="1"/>
  <c r="G72" i="12" l="1"/>
  <c r="I72" i="12" s="1"/>
  <c r="J72" i="12" s="1"/>
  <c r="J69" i="9"/>
  <c r="G70" i="9" s="1"/>
  <c r="I70" i="9" s="1"/>
  <c r="J70" i="9" s="1"/>
  <c r="G71" i="9" s="1"/>
  <c r="I71" i="9" s="1"/>
  <c r="J71" i="9" s="1"/>
  <c r="G72" i="9" s="1"/>
  <c r="I72" i="9" s="1"/>
  <c r="J72" i="9" s="1"/>
  <c r="G73" i="9" s="1"/>
  <c r="I73" i="9" s="1"/>
  <c r="J73" i="9" s="1"/>
  <c r="G74" i="9" s="1"/>
  <c r="I74" i="9" s="1"/>
  <c r="J74" i="9" s="1"/>
  <c r="G75" i="9" s="1"/>
  <c r="I75" i="9" s="1"/>
  <c r="J75" i="9" s="1"/>
  <c r="G76" i="9" s="1"/>
  <c r="I76" i="9" s="1"/>
  <c r="K68" i="9"/>
  <c r="L68" i="9" s="1"/>
  <c r="G18" i="1"/>
  <c r="I18" i="1" s="1"/>
  <c r="J18" i="1" s="1"/>
  <c r="G73" i="12" l="1"/>
  <c r="I73" i="12" s="1"/>
  <c r="K73" i="12" s="1"/>
  <c r="K75" i="9"/>
  <c r="J76" i="9"/>
  <c r="G77" i="9" s="1"/>
  <c r="I77" i="9" s="1"/>
  <c r="J77" i="9" s="1"/>
  <c r="G78" i="9" s="1"/>
  <c r="I78" i="9" s="1"/>
  <c r="J78" i="9" s="1"/>
  <c r="G79" i="9" s="1"/>
  <c r="I79" i="9" s="1"/>
  <c r="J79" i="9" s="1"/>
  <c r="G80" i="9" s="1"/>
  <c r="I80" i="9" s="1"/>
  <c r="G19" i="1"/>
  <c r="I19" i="1" s="1"/>
  <c r="J19" i="1" s="1"/>
  <c r="J73" i="12" l="1"/>
  <c r="J80" i="9"/>
  <c r="G81" i="9" s="1"/>
  <c r="I81" i="9" s="1"/>
  <c r="J81" i="9" s="1"/>
  <c r="G82" i="9" s="1"/>
  <c r="I82" i="9" s="1"/>
  <c r="J82" i="9" s="1"/>
  <c r="G83" i="9" s="1"/>
  <c r="I83" i="9" s="1"/>
  <c r="J83" i="9" s="1"/>
  <c r="G84" i="9" s="1"/>
  <c r="I84" i="9" s="1"/>
  <c r="J84" i="9" s="1"/>
  <c r="G85" i="9" s="1"/>
  <c r="I85" i="9" s="1"/>
  <c r="J85" i="9" s="1"/>
  <c r="G86" i="9" s="1"/>
  <c r="I86" i="9" s="1"/>
  <c r="J86" i="9" s="1"/>
  <c r="G87" i="9" s="1"/>
  <c r="I87" i="9" s="1"/>
  <c r="J87" i="9" s="1"/>
  <c r="G88" i="9" s="1"/>
  <c r="I88" i="9" s="1"/>
  <c r="J88" i="9" s="1"/>
  <c r="G89" i="9" s="1"/>
  <c r="I89" i="9" s="1"/>
  <c r="J89" i="9" s="1"/>
  <c r="G90" i="9" s="1"/>
  <c r="I90" i="9" s="1"/>
  <c r="J90" i="9" s="1"/>
  <c r="G91" i="9" s="1"/>
  <c r="I91" i="9" s="1"/>
  <c r="K79" i="9"/>
  <c r="L79" i="9" s="1"/>
  <c r="G20" i="1"/>
  <c r="I20" i="1" s="1"/>
  <c r="J20" i="1" s="1"/>
  <c r="G74" i="12" l="1"/>
  <c r="I74" i="12" s="1"/>
  <c r="J74" i="12" s="1"/>
  <c r="J91" i="9"/>
  <c r="G92" i="9" s="1"/>
  <c r="I92" i="9" s="1"/>
  <c r="J92" i="9" s="1"/>
  <c r="G93" i="9" s="1"/>
  <c r="I93" i="9" s="1"/>
  <c r="J93" i="9" s="1"/>
  <c r="G94" i="9" s="1"/>
  <c r="I94" i="9" s="1"/>
  <c r="J94" i="9" s="1"/>
  <c r="G95" i="9" s="1"/>
  <c r="I95" i="9" s="1"/>
  <c r="K90" i="9"/>
  <c r="G21" i="1"/>
  <c r="I21" i="1" s="1"/>
  <c r="G75" i="12" l="1"/>
  <c r="I75" i="12" s="1"/>
  <c r="J75" i="12" s="1"/>
  <c r="K94" i="9"/>
  <c r="L94" i="9" s="1"/>
  <c r="J95" i="9"/>
  <c r="G96" i="9" s="1"/>
  <c r="I96" i="9" s="1"/>
  <c r="J96" i="9" s="1"/>
  <c r="G97" i="9" s="1"/>
  <c r="I97" i="9" s="1"/>
  <c r="J21" i="1"/>
  <c r="G22" i="1" s="1"/>
  <c r="I22" i="1" s="1"/>
  <c r="L21" i="1"/>
  <c r="G76" i="12" l="1"/>
  <c r="I76" i="12" s="1"/>
  <c r="J76" i="12"/>
  <c r="K96" i="9"/>
  <c r="L96" i="9" s="1"/>
  <c r="J97" i="9"/>
  <c r="G98" i="9" s="1"/>
  <c r="I98" i="9" s="1"/>
  <c r="K97" i="9"/>
  <c r="J22" i="1"/>
  <c r="G23" i="1" s="1"/>
  <c r="I23" i="1" s="1"/>
  <c r="J23" i="1" s="1"/>
  <c r="G77" i="12" l="1"/>
  <c r="I77" i="12" s="1"/>
  <c r="J77" i="12"/>
  <c r="J98" i="9"/>
  <c r="G99" i="9" s="1"/>
  <c r="I99" i="9" s="1"/>
  <c r="J99" i="9" s="1"/>
  <c r="G100" i="9" s="1"/>
  <c r="I100" i="9" s="1"/>
  <c r="J100" i="9" s="1"/>
  <c r="G101" i="9" s="1"/>
  <c r="I101" i="9" s="1"/>
  <c r="J101" i="9" s="1"/>
  <c r="G102" i="9" s="1"/>
  <c r="I102" i="9" s="1"/>
  <c r="G24" i="1"/>
  <c r="I24" i="1" s="1"/>
  <c r="G78" i="12" l="1"/>
  <c r="I78" i="12" s="1"/>
  <c r="J78" i="12" s="1"/>
  <c r="J102" i="9"/>
  <c r="G103" i="9" s="1"/>
  <c r="I103" i="9" s="1"/>
  <c r="J103" i="9" s="1"/>
  <c r="G104" i="9" s="1"/>
  <c r="I104" i="9" s="1"/>
  <c r="J104" i="9" s="1"/>
  <c r="G105" i="9" s="1"/>
  <c r="I105" i="9" s="1"/>
  <c r="J105" i="9" s="1"/>
  <c r="K101" i="9"/>
  <c r="L101" i="9" s="1"/>
  <c r="J24" i="1"/>
  <c r="G25" i="1" s="1"/>
  <c r="I25" i="1" s="1"/>
  <c r="J25" i="1" s="1"/>
  <c r="G79" i="12" l="1"/>
  <c r="I79" i="12" s="1"/>
  <c r="J79" i="12"/>
  <c r="G106" i="9"/>
  <c r="I106" i="9" s="1"/>
  <c r="J106" i="9" s="1"/>
  <c r="G26" i="1"/>
  <c r="I26" i="1" s="1"/>
  <c r="J26" i="1" s="1"/>
  <c r="G80" i="12" l="1"/>
  <c r="I80" i="12" s="1"/>
  <c r="K80" i="12" s="1"/>
  <c r="L80" i="12" s="1"/>
  <c r="J80" i="12"/>
  <c r="J81" i="12" s="1"/>
  <c r="G107" i="9"/>
  <c r="I107" i="9" s="1"/>
  <c r="G27" i="1"/>
  <c r="I27" i="1" s="1"/>
  <c r="J27" i="1" s="1"/>
  <c r="G82" i="12" l="1"/>
  <c r="I82" i="12" s="1"/>
  <c r="J107" i="9"/>
  <c r="G108" i="9" s="1"/>
  <c r="I108" i="9" s="1"/>
  <c r="G28" i="1"/>
  <c r="I28" i="1" s="1"/>
  <c r="J28" i="1" s="1"/>
  <c r="J82" i="12" l="1"/>
  <c r="J108" i="9"/>
  <c r="K108" i="9"/>
  <c r="L108" i="9" s="1"/>
  <c r="G109" i="9"/>
  <c r="I109" i="9" s="1"/>
  <c r="L28" i="1"/>
  <c r="M28" i="1" s="1"/>
  <c r="G29" i="1"/>
  <c r="I29" i="1" s="1"/>
  <c r="G83" i="12" l="1"/>
  <c r="I83" i="12" s="1"/>
  <c r="J109" i="9"/>
  <c r="G110" i="9" s="1"/>
  <c r="I110" i="9" s="1"/>
  <c r="J29" i="1"/>
  <c r="G30" i="1" s="1"/>
  <c r="I30" i="1" s="1"/>
  <c r="J30" i="1" s="1"/>
  <c r="J83" i="12" l="1"/>
  <c r="J110" i="9"/>
  <c r="G111" i="9" s="1"/>
  <c r="I111" i="9" s="1"/>
  <c r="G31" i="1"/>
  <c r="I31" i="1" s="1"/>
  <c r="J31" i="1" s="1"/>
  <c r="G84" i="12" l="1"/>
  <c r="I84" i="12" s="1"/>
  <c r="J111" i="9"/>
  <c r="G112" i="9" s="1"/>
  <c r="I112" i="9" s="1"/>
  <c r="K111" i="9"/>
  <c r="G32" i="1"/>
  <c r="I32" i="1" s="1"/>
  <c r="J84" i="12" l="1"/>
  <c r="J112" i="9"/>
  <c r="G113" i="9" s="1"/>
  <c r="I113" i="9" s="1"/>
  <c r="J113" i="9" s="1"/>
  <c r="G114" i="9" s="1"/>
  <c r="I114" i="9" s="1"/>
  <c r="J114" i="9" s="1"/>
  <c r="G115" i="9" s="1"/>
  <c r="I115" i="9" s="1"/>
  <c r="J115" i="9" s="1"/>
  <c r="G116" i="9" s="1"/>
  <c r="I116" i="9" s="1"/>
  <c r="J116" i="9" s="1"/>
  <c r="G117" i="9" s="1"/>
  <c r="I117" i="9" s="1"/>
  <c r="J117" i="9" s="1"/>
  <c r="G118" i="9" s="1"/>
  <c r="I118" i="9" s="1"/>
  <c r="J118" i="9" s="1"/>
  <c r="G119" i="9" s="1"/>
  <c r="I119" i="9" s="1"/>
  <c r="J32" i="1"/>
  <c r="G33" i="1" s="1"/>
  <c r="I33" i="1" s="1"/>
  <c r="J33" i="1" s="1"/>
  <c r="G85" i="12" l="1"/>
  <c r="I85" i="12" s="1"/>
  <c r="K85" i="12" s="1"/>
  <c r="J119" i="9"/>
  <c r="G120" i="9" s="1"/>
  <c r="I120" i="9" s="1"/>
  <c r="J120" i="9" s="1"/>
  <c r="G121" i="9" s="1"/>
  <c r="I121" i="9" s="1"/>
  <c r="K118" i="9"/>
  <c r="L118" i="9" s="1"/>
  <c r="G34" i="1"/>
  <c r="I34" i="1" s="1"/>
  <c r="J34" i="1" s="1"/>
  <c r="J85" i="12" l="1"/>
  <c r="K120" i="9"/>
  <c r="J121" i="9"/>
  <c r="G122" i="9" s="1"/>
  <c r="I122" i="9" s="1"/>
  <c r="J122" i="9" s="1"/>
  <c r="G123" i="9" s="1"/>
  <c r="I123" i="9" s="1"/>
  <c r="J123" i="9" s="1"/>
  <c r="G124" i="9" s="1"/>
  <c r="I124" i="9" s="1"/>
  <c r="J124" i="9" s="1"/>
  <c r="G125" i="9" s="1"/>
  <c r="I125" i="9" s="1"/>
  <c r="J125" i="9" s="1"/>
  <c r="G126" i="9" s="1"/>
  <c r="I126" i="9" s="1"/>
  <c r="J126" i="9" s="1"/>
  <c r="G127" i="9" s="1"/>
  <c r="I127" i="9" s="1"/>
  <c r="G35" i="1"/>
  <c r="I35" i="1" s="1"/>
  <c r="J35" i="1" s="1"/>
  <c r="J86" i="12" l="1"/>
  <c r="G86" i="12"/>
  <c r="I86" i="12" s="1"/>
  <c r="K86" i="12" s="1"/>
  <c r="L86" i="12" s="1"/>
  <c r="J127" i="9"/>
  <c r="G128" i="9" s="1"/>
  <c r="I128" i="9" s="1"/>
  <c r="J128" i="9" s="1"/>
  <c r="G129" i="9" s="1"/>
  <c r="I129" i="9" s="1"/>
  <c r="J129" i="9" s="1"/>
  <c r="G130" i="9" s="1"/>
  <c r="I130" i="9" s="1"/>
  <c r="J130" i="9" s="1"/>
  <c r="G131" i="9" s="1"/>
  <c r="I131" i="9" s="1"/>
  <c r="J131" i="9" s="1"/>
  <c r="G132" i="9" s="1"/>
  <c r="I132" i="9" s="1"/>
  <c r="K126" i="9"/>
  <c r="L126" i="9"/>
  <c r="G36" i="1"/>
  <c r="I36" i="1" s="1"/>
  <c r="J36" i="1" s="1"/>
  <c r="G87" i="12" l="1"/>
  <c r="I87" i="12" s="1"/>
  <c r="J87" i="12" s="1"/>
  <c r="K131" i="9"/>
  <c r="J132" i="9"/>
  <c r="G133" i="9" s="1"/>
  <c r="I133" i="9" s="1"/>
  <c r="K133" i="9" s="1"/>
  <c r="G37" i="1"/>
  <c r="I37" i="1" s="1"/>
  <c r="G88" i="12" l="1"/>
  <c r="I88" i="12" s="1"/>
  <c r="J88" i="12" s="1"/>
  <c r="J133" i="9"/>
  <c r="J137" i="9" s="1"/>
  <c r="J138" i="9" s="1"/>
  <c r="I134" i="9"/>
  <c r="L133" i="9"/>
  <c r="J37" i="1"/>
  <c r="G38" i="1" s="1"/>
  <c r="I38" i="1" s="1"/>
  <c r="L37" i="1"/>
  <c r="G89" i="12" l="1"/>
  <c r="I89" i="12" s="1"/>
  <c r="J89" i="12"/>
  <c r="K89" i="12"/>
  <c r="L89" i="12" s="1"/>
  <c r="J38" i="1"/>
  <c r="G39" i="1" s="1"/>
  <c r="I39" i="1" s="1"/>
  <c r="J39" i="1" s="1"/>
  <c r="G90" i="12" l="1"/>
  <c r="I90" i="12" s="1"/>
  <c r="G40" i="1"/>
  <c r="I40" i="1" s="1"/>
  <c r="J40" i="1" s="1"/>
  <c r="J90" i="12" l="1"/>
  <c r="G41" i="1"/>
  <c r="I41" i="1" s="1"/>
  <c r="J41" i="1" s="1"/>
  <c r="G91" i="12" l="1"/>
  <c r="I91" i="12" s="1"/>
  <c r="G42" i="1"/>
  <c r="I42" i="1" s="1"/>
  <c r="J91" i="12" l="1"/>
  <c r="J42" i="1"/>
  <c r="G43" i="1" s="1"/>
  <c r="I43" i="1" s="1"/>
  <c r="G92" i="12" l="1"/>
  <c r="I92" i="12" s="1"/>
  <c r="K92" i="12" s="1"/>
  <c r="J43" i="1"/>
  <c r="G44" i="1" s="1"/>
  <c r="I44" i="1" s="1"/>
  <c r="J44" i="1" s="1"/>
  <c r="J92" i="12" l="1"/>
  <c r="J93" i="12" s="1"/>
  <c r="G45" i="1"/>
  <c r="I45" i="1" s="1"/>
  <c r="J45" i="1" s="1"/>
  <c r="G94" i="12" l="1"/>
  <c r="I94" i="12" s="1"/>
  <c r="K94" i="12" s="1"/>
  <c r="L94" i="12" s="1"/>
  <c r="G46" i="1"/>
  <c r="I46" i="1" s="1"/>
  <c r="J46" i="1" s="1"/>
  <c r="J94" i="12" l="1"/>
  <c r="G47" i="1"/>
  <c r="I47" i="1" s="1"/>
  <c r="J47" i="1" s="1"/>
  <c r="G95" i="12" l="1"/>
  <c r="I95" i="12" s="1"/>
  <c r="G48" i="1"/>
  <c r="I48" i="1" s="1"/>
  <c r="J48" i="1" s="1"/>
  <c r="J95" i="12" l="1"/>
  <c r="G49" i="1"/>
  <c r="I49" i="1" s="1"/>
  <c r="J49" i="1" s="1"/>
  <c r="G96" i="12" l="1"/>
  <c r="I96" i="12" s="1"/>
  <c r="G50" i="1"/>
  <c r="I50" i="1" s="1"/>
  <c r="J50" i="1" s="1"/>
  <c r="J96" i="12" l="1"/>
  <c r="G51" i="1"/>
  <c r="I51" i="1" s="1"/>
  <c r="J51" i="1" s="1"/>
  <c r="G97" i="12" l="1"/>
  <c r="I97" i="12" s="1"/>
  <c r="G52" i="1"/>
  <c r="I52" i="1" s="1"/>
  <c r="J52" i="1" s="1"/>
  <c r="J97" i="12" l="1"/>
  <c r="G53" i="1"/>
  <c r="I53" i="1" s="1"/>
  <c r="J53" i="1" s="1"/>
  <c r="G98" i="12" l="1"/>
  <c r="I98" i="12" s="1"/>
  <c r="J98" i="12" s="1"/>
  <c r="G54" i="1"/>
  <c r="I54" i="1" s="1"/>
  <c r="J54" i="1" s="1"/>
  <c r="G99" i="12" l="1"/>
  <c r="I99" i="12" s="1"/>
  <c r="J99" i="12" s="1"/>
  <c r="G55" i="1"/>
  <c r="I55" i="1" s="1"/>
  <c r="J55" i="1" s="1"/>
  <c r="J100" i="12" l="1"/>
  <c r="G100" i="12"/>
  <c r="I100" i="12" s="1"/>
  <c r="G56" i="1"/>
  <c r="I56" i="1" s="1"/>
  <c r="J56" i="1" s="1"/>
  <c r="J101" i="12" l="1"/>
  <c r="G101" i="12"/>
  <c r="I101" i="12" s="1"/>
  <c r="G57" i="1"/>
  <c r="I57" i="1" s="1"/>
  <c r="J57" i="1" s="1"/>
  <c r="G102" i="12" l="1"/>
  <c r="I102" i="12" s="1"/>
  <c r="K102" i="12" s="1"/>
  <c r="G58" i="1"/>
  <c r="I58" i="1" s="1"/>
  <c r="J58" i="1" s="1"/>
  <c r="J102" i="12" l="1"/>
  <c r="G59" i="1"/>
  <c r="I59" i="1" s="1"/>
  <c r="J59" i="1" s="1"/>
  <c r="G103" i="12" l="1"/>
  <c r="I103" i="12" s="1"/>
  <c r="J103" i="12" s="1"/>
  <c r="G60" i="1"/>
  <c r="I60" i="1" s="1"/>
  <c r="G104" i="12" l="1"/>
  <c r="I104" i="12" s="1"/>
  <c r="J104" i="12" s="1"/>
  <c r="J60" i="1"/>
  <c r="G61" i="1" s="1"/>
  <c r="I61" i="1" s="1"/>
  <c r="L60" i="1"/>
  <c r="M60" i="1" s="1"/>
  <c r="G105" i="12" l="1"/>
  <c r="I105" i="12" s="1"/>
  <c r="J61" i="1"/>
  <c r="G62" i="1" s="1"/>
  <c r="I62" i="1" s="1"/>
  <c r="J62" i="1" s="1"/>
  <c r="J105" i="12" l="1"/>
  <c r="G63" i="1"/>
  <c r="I63" i="1" s="1"/>
  <c r="J63" i="1" s="1"/>
  <c r="G106" i="12" l="1"/>
  <c r="I106" i="12" s="1"/>
  <c r="K106" i="12" s="1"/>
  <c r="L106" i="12" s="1"/>
  <c r="G64" i="1"/>
  <c r="I64" i="1" s="1"/>
  <c r="J64" i="1" s="1"/>
  <c r="J106" i="12" l="1"/>
  <c r="J107" i="12" s="1"/>
  <c r="J108" i="12" s="1"/>
  <c r="G65" i="1"/>
  <c r="I65" i="1" s="1"/>
  <c r="J65" i="1" s="1"/>
  <c r="G109" i="12" l="1"/>
  <c r="I109" i="12" s="1"/>
  <c r="J109" i="12"/>
  <c r="J116" i="12" s="1"/>
  <c r="J117" i="12" s="1"/>
  <c r="G66" i="1"/>
  <c r="I66" i="1" s="1"/>
  <c r="J66" i="1" s="1"/>
  <c r="K109" i="12" l="1"/>
  <c r="L109" i="12" s="1"/>
  <c r="L110" i="12" s="1"/>
  <c r="I110" i="12"/>
  <c r="G67" i="1"/>
  <c r="I67" i="1" s="1"/>
  <c r="J67" i="1" s="1"/>
  <c r="G68" i="1" l="1"/>
  <c r="I68" i="1" s="1"/>
  <c r="J68" i="1" s="1"/>
  <c r="G69" i="1" l="1"/>
  <c r="I69" i="1" s="1"/>
  <c r="J69" i="1" s="1"/>
  <c r="G70" i="1" l="1"/>
  <c r="I70" i="1" s="1"/>
  <c r="J70" i="1" s="1"/>
  <c r="G71" i="1" l="1"/>
  <c r="I71" i="1" s="1"/>
  <c r="J71" i="1" s="1"/>
  <c r="G72" i="1" l="1"/>
  <c r="I72" i="1" s="1"/>
  <c r="J72" i="1" s="1"/>
  <c r="G73" i="1" l="1"/>
  <c r="I73" i="1" s="1"/>
  <c r="J73" i="1" s="1"/>
  <c r="G74" i="1" l="1"/>
  <c r="I74" i="1" s="1"/>
  <c r="J74" i="1" s="1"/>
  <c r="G75" i="1" l="1"/>
  <c r="I75" i="1" s="1"/>
  <c r="J75" i="1" s="1"/>
  <c r="G76" i="1" l="1"/>
  <c r="I76" i="1" s="1"/>
  <c r="J76" i="1" s="1"/>
  <c r="G77" i="1" l="1"/>
  <c r="I77" i="1" s="1"/>
  <c r="J77" i="1" s="1"/>
  <c r="G78" i="1" l="1"/>
  <c r="I78" i="1" s="1"/>
  <c r="J78" i="1" s="1"/>
  <c r="G79" i="1" l="1"/>
  <c r="I79" i="1" s="1"/>
  <c r="J79" i="1" s="1"/>
  <c r="G80" i="1" l="1"/>
  <c r="I80" i="1" s="1"/>
  <c r="J80" i="1" l="1"/>
  <c r="G81" i="1" s="1"/>
  <c r="I81" i="1" s="1"/>
  <c r="L80" i="1"/>
  <c r="J81" i="1" l="1"/>
  <c r="G82" i="1" s="1"/>
  <c r="I82" i="1" s="1"/>
  <c r="J82" i="1" s="1"/>
  <c r="G83" i="1" l="1"/>
  <c r="I83" i="1" s="1"/>
  <c r="J83" i="1" s="1"/>
  <c r="G84" i="1" l="1"/>
  <c r="I84" i="1" s="1"/>
  <c r="J84" i="1" s="1"/>
  <c r="G85" i="1" l="1"/>
  <c r="I85" i="1" s="1"/>
  <c r="J85" i="1" l="1"/>
  <c r="G86" i="1" s="1"/>
  <c r="I86" i="1" s="1"/>
  <c r="J86" i="1" l="1"/>
  <c r="G87" i="1" s="1"/>
  <c r="I87" i="1" s="1"/>
  <c r="J87" i="1" s="1"/>
  <c r="G88" i="1" l="1"/>
  <c r="I88" i="1" s="1"/>
  <c r="J88" i="1" s="1"/>
  <c r="G89" i="1" l="1"/>
  <c r="I89" i="1" s="1"/>
  <c r="J89" i="1" s="1"/>
  <c r="G90" i="1" l="1"/>
  <c r="I90" i="1" s="1"/>
  <c r="J90" i="1" s="1"/>
  <c r="G91" i="1" l="1"/>
  <c r="I91" i="1" s="1"/>
  <c r="J91" i="1" s="1"/>
  <c r="G92" i="1" l="1"/>
  <c r="I92" i="1" s="1"/>
  <c r="J92" i="1" s="1"/>
  <c r="G93" i="1" l="1"/>
  <c r="I93" i="1" s="1"/>
  <c r="J93" i="1" s="1"/>
  <c r="G94" i="1" l="1"/>
  <c r="I94" i="1" s="1"/>
  <c r="J94" i="1" s="1"/>
  <c r="G95" i="1" l="1"/>
  <c r="I95" i="1" s="1"/>
  <c r="J95" i="1" s="1"/>
  <c r="G96" i="1" l="1"/>
  <c r="I96" i="1" s="1"/>
  <c r="J96" i="1" s="1"/>
  <c r="G97" i="1" l="1"/>
  <c r="I97" i="1" s="1"/>
  <c r="J97" i="1" s="1"/>
  <c r="G98" i="1" l="1"/>
  <c r="I98" i="1" s="1"/>
  <c r="J98" i="1" s="1"/>
  <c r="G99" i="1" l="1"/>
  <c r="I99" i="1" s="1"/>
  <c r="J99" i="1" s="1"/>
  <c r="G100" i="1" l="1"/>
  <c r="I100" i="1" s="1"/>
  <c r="J100" i="1" s="1"/>
  <c r="G101" i="1" l="1"/>
  <c r="I101" i="1" s="1"/>
  <c r="J101" i="1" s="1"/>
  <c r="G102" i="1" l="1"/>
  <c r="I102" i="1" s="1"/>
  <c r="J102" i="1" s="1"/>
  <c r="G103" i="1" l="1"/>
  <c r="I103" i="1" s="1"/>
  <c r="J103" i="1" s="1"/>
  <c r="G104" i="1" l="1"/>
  <c r="I104" i="1" s="1"/>
  <c r="J104" i="1" l="1"/>
  <c r="L104" i="1"/>
  <c r="M104" i="1" s="1"/>
  <c r="G105" i="1"/>
  <c r="I105" i="1" s="1"/>
  <c r="J105" i="1" l="1"/>
  <c r="J106" i="1" s="1"/>
  <c r="G107" i="1" s="1"/>
  <c r="I107" i="1" s="1"/>
  <c r="J107" i="1" s="1"/>
  <c r="G108" i="1" l="1"/>
  <c r="I108" i="1" s="1"/>
  <c r="J108" i="1" s="1"/>
  <c r="G109" i="1" l="1"/>
  <c r="I109" i="1" s="1"/>
  <c r="J109" i="1" l="1"/>
  <c r="G110" i="1" s="1"/>
  <c r="I110" i="1" s="1"/>
  <c r="J110" i="1" s="1"/>
  <c r="G111" i="1" s="1"/>
  <c r="I111" i="1" s="1"/>
  <c r="J111" i="1" s="1"/>
  <c r="G112" i="1" l="1"/>
  <c r="I112" i="1" s="1"/>
  <c r="J112" i="1" s="1"/>
  <c r="G113" i="1" s="1"/>
  <c r="I113" i="1" s="1"/>
  <c r="J113" i="1" s="1"/>
  <c r="G114" i="1" l="1"/>
  <c r="I114" i="1" s="1"/>
  <c r="J114" i="1" s="1"/>
  <c r="G115" i="1" s="1"/>
  <c r="I115" i="1" s="1"/>
  <c r="J115" i="1" s="1"/>
  <c r="G116" i="1" l="1"/>
  <c r="I116" i="1" s="1"/>
  <c r="J116" i="1" s="1"/>
  <c r="G117" i="1" l="1"/>
  <c r="I117" i="1" s="1"/>
  <c r="J117" i="1" s="1"/>
  <c r="G118" i="1" l="1"/>
  <c r="I118" i="1" s="1"/>
  <c r="J118" i="1" s="1"/>
  <c r="G119" i="1" l="1"/>
  <c r="I119" i="1" s="1"/>
  <c r="J119" i="1" s="1"/>
  <c r="G120" i="1" l="1"/>
  <c r="I120" i="1" s="1"/>
  <c r="J120" i="1" s="1"/>
  <c r="G121" i="1" l="1"/>
  <c r="I121" i="1" s="1"/>
  <c r="J121" i="1" l="1"/>
  <c r="G122" i="1" s="1"/>
  <c r="I122" i="1" s="1"/>
  <c r="L121" i="1"/>
  <c r="J122" i="1" l="1"/>
  <c r="G123" i="1" s="1"/>
  <c r="I123" i="1" s="1"/>
  <c r="J123" i="1" s="1"/>
  <c r="G124" i="1" l="1"/>
  <c r="I124" i="1" s="1"/>
  <c r="J124" i="1" l="1"/>
  <c r="G125" i="1" l="1"/>
  <c r="I125" i="1" s="1"/>
  <c r="J125" i="1" s="1"/>
  <c r="G126" i="1" s="1"/>
  <c r="I126" i="1" s="1"/>
  <c r="J126" i="1" s="1"/>
  <c r="G127" i="1" l="1"/>
  <c r="I127" i="1" s="1"/>
  <c r="J127" i="1" s="1"/>
  <c r="G128" i="1" s="1"/>
  <c r="I128" i="1" s="1"/>
  <c r="J128" i="1" s="1"/>
  <c r="G129" i="1" l="1"/>
  <c r="I129" i="1" s="1"/>
  <c r="J129" i="1" s="1"/>
  <c r="G130" i="1" l="1"/>
  <c r="I130" i="1" s="1"/>
  <c r="J130" i="1" s="1"/>
  <c r="G131" i="1" s="1"/>
  <c r="I131" i="1" s="1"/>
  <c r="J131" i="1" s="1"/>
  <c r="G132" i="1" s="1"/>
  <c r="I132" i="1" s="1"/>
  <c r="J132" i="1" s="1"/>
  <c r="G133" i="1" l="1"/>
  <c r="I133" i="1" s="1"/>
  <c r="J133" i="1" s="1"/>
  <c r="G134" i="1" l="1"/>
  <c r="I134" i="1" s="1"/>
  <c r="J134" i="1" s="1"/>
  <c r="G135" i="1" l="1"/>
  <c r="I135" i="1" s="1"/>
  <c r="L135" i="1" s="1"/>
  <c r="M135" i="1" s="1"/>
  <c r="J135" i="1" l="1"/>
  <c r="G136" i="1" s="1"/>
  <c r="I136" i="1" s="1"/>
  <c r="J136" i="1" l="1"/>
  <c r="G137" i="1" s="1"/>
  <c r="I137" i="1" s="1"/>
  <c r="J137" i="1" s="1"/>
  <c r="G138" i="1" s="1"/>
  <c r="I138" i="1" s="1"/>
  <c r="J138" i="1" s="1"/>
  <c r="G139" i="1" s="1"/>
  <c r="I139" i="1" s="1"/>
  <c r="J139" i="1" s="1"/>
  <c r="G140" i="1" s="1"/>
  <c r="I140" i="1" s="1"/>
  <c r="J140" i="1" s="1"/>
  <c r="G141" i="1" s="1"/>
  <c r="I141" i="1" s="1"/>
  <c r="J141" i="1" s="1"/>
  <c r="G142" i="1" s="1"/>
  <c r="I142" i="1" s="1"/>
  <c r="J142" i="1" s="1"/>
  <c r="G143" i="1" s="1"/>
  <c r="I143" i="1" s="1"/>
  <c r="J143" i="1" s="1"/>
  <c r="G144" i="1" s="1"/>
  <c r="I144" i="1" s="1"/>
  <c r="J144" i="1" s="1"/>
  <c r="G145" i="1" s="1"/>
  <c r="I145" i="1" s="1"/>
  <c r="J145" i="1" s="1"/>
  <c r="G146" i="1" s="1"/>
  <c r="I146" i="1" s="1"/>
  <c r="J146" i="1" s="1"/>
  <c r="G147" i="1" s="1"/>
  <c r="I147" i="1" s="1"/>
  <c r="J147" i="1" s="1"/>
  <c r="G148" i="1" s="1"/>
  <c r="I148" i="1" s="1"/>
  <c r="J148" i="1" s="1"/>
  <c r="G149" i="1" s="1"/>
  <c r="I149" i="1" s="1"/>
  <c r="J149" i="1" s="1"/>
  <c r="G150" i="1" s="1"/>
  <c r="I150" i="1" s="1"/>
  <c r="J150" i="1" s="1"/>
  <c r="G151" i="1" s="1"/>
  <c r="I151" i="1" s="1"/>
  <c r="L150" i="1" l="1"/>
  <c r="J151" i="1"/>
  <c r="G152" i="1" s="1"/>
  <c r="I152" i="1" s="1"/>
  <c r="J152" i="1" s="1"/>
  <c r="G153" i="1" s="1"/>
  <c r="I153" i="1" s="1"/>
  <c r="J153" i="1" s="1"/>
  <c r="G154" i="1" s="1"/>
  <c r="I154" i="1" s="1"/>
  <c r="J154" i="1" s="1"/>
  <c r="G155" i="1" s="1"/>
  <c r="I155" i="1" s="1"/>
  <c r="J155" i="1" s="1"/>
  <c r="G156" i="1" s="1"/>
  <c r="I156" i="1" s="1"/>
  <c r="J156" i="1" s="1"/>
  <c r="G157" i="1" s="1"/>
  <c r="I157" i="1" s="1"/>
  <c r="J157" i="1" s="1"/>
  <c r="G158" i="1" s="1"/>
  <c r="I158" i="1" s="1"/>
  <c r="J158" i="1" s="1"/>
  <c r="G159" i="1" s="1"/>
  <c r="I159" i="1" s="1"/>
  <c r="J159" i="1" s="1"/>
  <c r="G160" i="1" s="1"/>
  <c r="I160" i="1" s="1"/>
  <c r="J160" i="1" s="1"/>
  <c r="G161" i="1" s="1"/>
  <c r="I161" i="1" s="1"/>
  <c r="J161" i="1" s="1"/>
  <c r="G162" i="1" s="1"/>
  <c r="I162" i="1" s="1"/>
  <c r="J162" i="1" s="1"/>
  <c r="J163" i="1" s="1"/>
  <c r="G164" i="1" l="1"/>
  <c r="I164" i="1" s="1"/>
  <c r="J164" i="1" l="1"/>
  <c r="G165" i="1" s="1"/>
  <c r="I165" i="1" s="1"/>
  <c r="J165" i="1" s="1"/>
  <c r="G166" i="1" s="1"/>
  <c r="I166" i="1" s="1"/>
  <c r="J166" i="1" s="1"/>
  <c r="G167" i="1" s="1"/>
  <c r="I167" i="1" s="1"/>
  <c r="J167" i="1" s="1"/>
  <c r="G168" i="1" s="1"/>
  <c r="I168" i="1" s="1"/>
  <c r="J168" i="1" s="1"/>
  <c r="G169" i="1" s="1"/>
  <c r="I169" i="1" s="1"/>
  <c r="J169" i="1" s="1"/>
  <c r="G170" i="1" s="1"/>
  <c r="I170" i="1" s="1"/>
  <c r="J170" i="1" s="1"/>
  <c r="G171" i="1" s="1"/>
  <c r="I171" i="1" s="1"/>
  <c r="J171" i="1" s="1"/>
  <c r="G172" i="1" s="1"/>
  <c r="I172" i="1" s="1"/>
  <c r="J172" i="1" s="1"/>
  <c r="G173" i="1" s="1"/>
  <c r="I173" i="1" s="1"/>
  <c r="J173" i="1" s="1"/>
  <c r="G174" i="1" s="1"/>
  <c r="I174" i="1" s="1"/>
  <c r="J174" i="1" s="1"/>
  <c r="G175" i="1" s="1"/>
  <c r="I175" i="1" s="1"/>
  <c r="J175" i="1" s="1"/>
  <c r="G176" i="1" s="1"/>
  <c r="I176" i="1" s="1"/>
  <c r="J176" i="1" s="1"/>
  <c r="G177" i="1" s="1"/>
  <c r="I177" i="1" s="1"/>
  <c r="J177" i="1" s="1"/>
  <c r="G178" i="1" s="1"/>
  <c r="I178" i="1" s="1"/>
  <c r="J178" i="1" s="1"/>
  <c r="G179" i="1" l="1"/>
  <c r="I179" i="1" s="1"/>
  <c r="J179" i="1" s="1"/>
  <c r="G180" i="1" s="1"/>
  <c r="I180" i="1" s="1"/>
  <c r="J180" i="1" s="1"/>
  <c r="G181" i="1" s="1"/>
  <c r="I181" i="1" s="1"/>
  <c r="J181" i="1" s="1"/>
  <c r="G182" i="1" s="1"/>
  <c r="I182" i="1" s="1"/>
  <c r="J182" i="1" s="1"/>
  <c r="G183" i="1" s="1"/>
  <c r="I183" i="1" s="1"/>
  <c r="J183" i="1" s="1"/>
  <c r="G184" i="1" s="1"/>
  <c r="I184" i="1" s="1"/>
  <c r="J184" i="1" s="1"/>
  <c r="G185" i="1" s="1"/>
  <c r="I185" i="1" s="1"/>
  <c r="J185" i="1" s="1"/>
  <c r="G186" i="1" s="1"/>
  <c r="I186" i="1" s="1"/>
  <c r="J186" i="1" s="1"/>
  <c r="G187" i="1" s="1"/>
  <c r="I187" i="1" s="1"/>
  <c r="J187" i="1" s="1"/>
  <c r="G188" i="1" s="1"/>
  <c r="I188" i="1" s="1"/>
  <c r="J188" i="1" s="1"/>
  <c r="G189" i="1" s="1"/>
  <c r="I189" i="1" s="1"/>
  <c r="J189" i="1" s="1"/>
  <c r="G190" i="1" s="1"/>
  <c r="I190" i="1" s="1"/>
  <c r="J190" i="1" s="1"/>
  <c r="G191" i="1" s="1"/>
  <c r="I191" i="1" s="1"/>
  <c r="J191" i="1" s="1"/>
  <c r="G192" i="1" s="1"/>
  <c r="I192" i="1" s="1"/>
  <c r="J192" i="1" s="1"/>
  <c r="G193" i="1" s="1"/>
  <c r="I193" i="1" s="1"/>
  <c r="J193" i="1" s="1"/>
  <c r="G194" i="1" s="1"/>
  <c r="I194" i="1" s="1"/>
  <c r="J194" i="1" s="1"/>
  <c r="G195" i="1" s="1"/>
  <c r="I195" i="1" s="1"/>
  <c r="J195" i="1" s="1"/>
  <c r="G196" i="1" s="1"/>
  <c r="I196" i="1" s="1"/>
  <c r="J196" i="1" s="1"/>
  <c r="G197" i="1" s="1"/>
  <c r="I197" i="1" s="1"/>
  <c r="J197" i="1" s="1"/>
  <c r="G198" i="1" s="1"/>
  <c r="I198" i="1" s="1"/>
  <c r="J198" i="1" s="1"/>
  <c r="G199" i="1" s="1"/>
  <c r="I199" i="1" s="1"/>
  <c r="J199" i="1" s="1"/>
  <c r="G200" i="1" s="1"/>
  <c r="I200" i="1" s="1"/>
  <c r="J200" i="1" s="1"/>
  <c r="L178" i="1"/>
  <c r="M178" i="1" s="1"/>
  <c r="G201" i="1" l="1"/>
  <c r="I201" i="1" s="1"/>
  <c r="J201" i="1" s="1"/>
  <c r="G202" i="1" s="1"/>
  <c r="I202" i="1" s="1"/>
  <c r="J202" i="1" s="1"/>
  <c r="G203" i="1" s="1"/>
  <c r="I203" i="1" s="1"/>
  <c r="J203" i="1" s="1"/>
  <c r="G204" i="1" s="1"/>
  <c r="I204" i="1" s="1"/>
  <c r="J204" i="1" s="1"/>
  <c r="G205" i="1" s="1"/>
  <c r="I205" i="1" s="1"/>
  <c r="J205" i="1" s="1"/>
  <c r="L200" i="1"/>
  <c r="G206" i="1" l="1"/>
  <c r="I206" i="1" s="1"/>
  <c r="J206" i="1" s="1"/>
  <c r="G207" i="1" s="1"/>
  <c r="I207" i="1" s="1"/>
  <c r="J207" i="1" s="1"/>
  <c r="G208" i="1" s="1"/>
  <c r="I208" i="1" s="1"/>
  <c r="J208" i="1" s="1"/>
  <c r="G209" i="1" s="1"/>
  <c r="I209" i="1" s="1"/>
  <c r="J209" i="1" s="1"/>
  <c r="G210" i="1" s="1"/>
  <c r="I210" i="1" s="1"/>
  <c r="J210" i="1" s="1"/>
  <c r="G211" i="1" s="1"/>
  <c r="I211" i="1" s="1"/>
  <c r="J211" i="1" s="1"/>
  <c r="G212" i="1" s="1"/>
  <c r="I212" i="1" s="1"/>
  <c r="J212" i="1" s="1"/>
  <c r="G213" i="1" s="1"/>
  <c r="I213" i="1" s="1"/>
  <c r="J213" i="1" s="1"/>
  <c r="G214" i="1" s="1"/>
  <c r="I214" i="1" s="1"/>
  <c r="J214" i="1" s="1"/>
  <c r="G215" i="1" s="1"/>
  <c r="I215" i="1" s="1"/>
  <c r="J215" i="1" s="1"/>
  <c r="G216" i="1" s="1"/>
  <c r="I216" i="1" s="1"/>
  <c r="J216" i="1" s="1"/>
  <c r="L205" i="1"/>
  <c r="M205" i="1" s="1"/>
  <c r="G217" i="1" l="1"/>
  <c r="I217" i="1" s="1"/>
  <c r="J217" i="1" s="1"/>
  <c r="G218" i="1" s="1"/>
  <c r="I218" i="1" s="1"/>
  <c r="J218" i="1" s="1"/>
  <c r="G219" i="1" s="1"/>
  <c r="I219" i="1" s="1"/>
  <c r="J219" i="1" s="1"/>
  <c r="G220" i="1" s="1"/>
  <c r="I220" i="1" s="1"/>
  <c r="J220" i="1" s="1"/>
  <c r="G221" i="1" s="1"/>
  <c r="I221" i="1" s="1"/>
  <c r="J221" i="1" s="1"/>
  <c r="L216" i="1"/>
  <c r="G222" i="1" l="1"/>
  <c r="I222" i="1" s="1"/>
  <c r="J222" i="1" s="1"/>
  <c r="G223" i="1" s="1"/>
  <c r="I223" i="1" s="1"/>
  <c r="J223" i="1" s="1"/>
  <c r="G224" i="1" s="1"/>
  <c r="I224" i="1" s="1"/>
  <c r="J224" i="1" s="1"/>
  <c r="G225" i="1" s="1"/>
  <c r="I225" i="1" s="1"/>
  <c r="J225" i="1" s="1"/>
  <c r="G226" i="1" s="1"/>
  <c r="I226" i="1" s="1"/>
  <c r="J226" i="1" s="1"/>
  <c r="G227" i="1" s="1"/>
  <c r="I227" i="1" s="1"/>
  <c r="J227" i="1" s="1"/>
  <c r="G228" i="1" s="1"/>
  <c r="I228" i="1" s="1"/>
  <c r="J228" i="1" s="1"/>
  <c r="G229" i="1" s="1"/>
  <c r="I229" i="1" s="1"/>
  <c r="J229" i="1" s="1"/>
  <c r="G230" i="1" s="1"/>
  <c r="I230" i="1" s="1"/>
  <c r="J230" i="1" s="1"/>
  <c r="L221" i="1"/>
  <c r="M221" i="1" s="1"/>
  <c r="G231" i="1" l="1"/>
  <c r="I231" i="1" s="1"/>
  <c r="J231" i="1"/>
  <c r="G232" i="1" s="1"/>
  <c r="I232" i="1" s="1"/>
  <c r="J232" i="1" s="1"/>
  <c r="G233" i="1" s="1"/>
  <c r="I233" i="1" s="1"/>
  <c r="J233" i="1" s="1"/>
  <c r="G234" i="1" s="1"/>
  <c r="I234" i="1" s="1"/>
  <c r="J234" i="1" s="1"/>
  <c r="G235" i="1" s="1"/>
  <c r="I235" i="1" s="1"/>
  <c r="J235" i="1" s="1"/>
  <c r="G236" i="1" s="1"/>
  <c r="I236" i="1" s="1"/>
  <c r="J236" i="1" s="1"/>
  <c r="G237" i="1" s="1"/>
  <c r="I237" i="1" s="1"/>
  <c r="J237" i="1" s="1"/>
  <c r="G238" i="1" s="1"/>
  <c r="I238" i="1" s="1"/>
  <c r="J238" i="1" s="1"/>
  <c r="G239" i="1" s="1"/>
  <c r="I239" i="1" s="1"/>
  <c r="J239" i="1" s="1"/>
  <c r="G240" i="1" s="1"/>
  <c r="I240" i="1" s="1"/>
  <c r="J240" i="1" s="1"/>
  <c r="G241" i="1" s="1"/>
  <c r="I241" i="1" s="1"/>
  <c r="J241" i="1" s="1"/>
  <c r="G242" i="1" s="1"/>
  <c r="I242" i="1" s="1"/>
  <c r="J242" i="1" s="1"/>
  <c r="L230" i="1"/>
  <c r="G243" i="1" l="1"/>
  <c r="I243" i="1" s="1"/>
  <c r="J243" i="1" s="1"/>
  <c r="G244" i="1" s="1"/>
  <c r="I244" i="1" s="1"/>
  <c r="J244" i="1" s="1"/>
  <c r="L242" i="1"/>
  <c r="M242" i="1" s="1"/>
  <c r="G245" i="1" l="1"/>
  <c r="I245" i="1" s="1"/>
  <c r="J245" i="1" s="1"/>
  <c r="G246" i="1" s="1"/>
  <c r="I246" i="1" s="1"/>
  <c r="J246" i="1" s="1"/>
  <c r="G247" i="1" s="1"/>
  <c r="I247" i="1" s="1"/>
  <c r="J247" i="1" s="1"/>
  <c r="L244" i="1"/>
  <c r="G248" i="1" l="1"/>
  <c r="I248" i="1" s="1"/>
  <c r="J248" i="1" s="1"/>
  <c r="G249" i="1" s="1"/>
  <c r="I249" i="1" s="1"/>
  <c r="J249" i="1" s="1"/>
  <c r="G250" i="1" s="1"/>
  <c r="I250" i="1" s="1"/>
  <c r="J250" i="1" s="1"/>
  <c r="G251" i="1" s="1"/>
  <c r="I251" i="1" s="1"/>
  <c r="J251" i="1" s="1"/>
  <c r="G252" i="1" s="1"/>
  <c r="I252" i="1" s="1"/>
  <c r="J252" i="1" s="1"/>
  <c r="G253" i="1" s="1"/>
  <c r="I253" i="1" s="1"/>
  <c r="J253" i="1" s="1"/>
  <c r="G254" i="1" s="1"/>
  <c r="I254" i="1" s="1"/>
  <c r="J254" i="1" s="1"/>
  <c r="G255" i="1" s="1"/>
  <c r="I255" i="1" s="1"/>
  <c r="J255" i="1" s="1"/>
  <c r="G256" i="1" s="1"/>
  <c r="I256" i="1" s="1"/>
  <c r="J256" i="1" s="1"/>
  <c r="G257" i="1" s="1"/>
  <c r="I257" i="1" s="1"/>
  <c r="J257" i="1" s="1"/>
  <c r="G258" i="1" s="1"/>
  <c r="I258" i="1" s="1"/>
  <c r="J258" i="1" s="1"/>
  <c r="L247" i="1"/>
  <c r="M247" i="1" s="1"/>
  <c r="G259" i="1" l="1"/>
  <c r="I259" i="1" s="1"/>
  <c r="J259" i="1" s="1"/>
  <c r="G260" i="1" s="1"/>
  <c r="I260" i="1" s="1"/>
  <c r="J260" i="1" s="1"/>
  <c r="G261" i="1" s="1"/>
  <c r="I261" i="1" s="1"/>
  <c r="J261" i="1" s="1"/>
  <c r="G262" i="1" s="1"/>
  <c r="I262" i="1" s="1"/>
  <c r="J262" i="1" s="1"/>
  <c r="G263" i="1" s="1"/>
  <c r="I263" i="1" s="1"/>
  <c r="J263" i="1" s="1"/>
  <c r="G264" i="1" s="1"/>
  <c r="I264" i="1" s="1"/>
  <c r="J264" i="1" s="1"/>
  <c r="G265" i="1" s="1"/>
  <c r="I265" i="1" s="1"/>
  <c r="J265" i="1" s="1"/>
  <c r="G266" i="1" s="1"/>
  <c r="I266" i="1" s="1"/>
  <c r="L258" i="1"/>
  <c r="J266" i="1" l="1"/>
  <c r="G267" i="1" s="1"/>
  <c r="I267" i="1" s="1"/>
  <c r="J267" i="1" s="1"/>
  <c r="G268" i="1" s="1"/>
  <c r="I268" i="1" s="1"/>
  <c r="J268" i="1" s="1"/>
  <c r="G269" i="1" s="1"/>
  <c r="I269" i="1" s="1"/>
  <c r="J269" i="1" s="1"/>
  <c r="G270" i="1" s="1"/>
  <c r="I270" i="1" s="1"/>
  <c r="J270" i="1" s="1"/>
  <c r="G271" i="1" s="1"/>
  <c r="I271" i="1" s="1"/>
  <c r="J271" i="1" s="1"/>
  <c r="L265" i="1"/>
  <c r="M265" i="1" s="1"/>
  <c r="G272" i="1" l="1"/>
  <c r="I272" i="1" s="1"/>
  <c r="J272" i="1" s="1"/>
  <c r="G273" i="1" l="1"/>
  <c r="I273" i="1" s="1"/>
  <c r="J273" i="1" s="1"/>
  <c r="G274" i="1" l="1"/>
  <c r="I274" i="1" s="1"/>
  <c r="J274" i="1" s="1"/>
  <c r="G275" i="1" l="1"/>
  <c r="I275" i="1" s="1"/>
  <c r="J275" i="1" l="1"/>
  <c r="G276" i="1" s="1"/>
  <c r="I276" i="1" s="1"/>
  <c r="J276" i="1" s="1"/>
  <c r="G277" i="1" l="1"/>
  <c r="I277" i="1" s="1"/>
  <c r="J277" i="1" l="1"/>
  <c r="G278" i="1" s="1"/>
  <c r="I278" i="1" s="1"/>
  <c r="L277" i="1"/>
  <c r="J278" i="1" l="1"/>
  <c r="G279" i="1" s="1"/>
  <c r="I279" i="1" s="1"/>
  <c r="J279" i="1" s="1"/>
  <c r="G280" i="1" l="1"/>
  <c r="I280" i="1" s="1"/>
  <c r="J280" i="1" s="1"/>
  <c r="G281" i="1" l="1"/>
  <c r="I281" i="1" s="1"/>
  <c r="J281" i="1" s="1"/>
  <c r="G282" i="1" l="1"/>
  <c r="I282" i="1" s="1"/>
  <c r="J282" i="1" s="1"/>
  <c r="G283" i="1" l="1"/>
  <c r="I283" i="1" s="1"/>
  <c r="J283" i="1" s="1"/>
  <c r="G284" i="1" l="1"/>
  <c r="I284" i="1" s="1"/>
  <c r="J284" i="1" s="1"/>
  <c r="G285" i="1" s="1"/>
  <c r="I285" i="1" s="1"/>
  <c r="J285" i="1" s="1"/>
  <c r="G286" i="1" s="1"/>
  <c r="I286" i="1" s="1"/>
  <c r="J286" i="1" s="1"/>
  <c r="G287" i="1" s="1"/>
  <c r="I287" i="1" s="1"/>
  <c r="J287" i="1" s="1"/>
  <c r="G288" i="1" s="1"/>
  <c r="I288" i="1" s="1"/>
  <c r="J288" i="1" s="1"/>
  <c r="G289" i="1" s="1"/>
  <c r="I289" i="1" s="1"/>
  <c r="J289" i="1" s="1"/>
  <c r="G290" i="1" s="1"/>
  <c r="I290" i="1" s="1"/>
  <c r="J290" i="1" s="1"/>
  <c r="G291" i="1" s="1"/>
  <c r="I291" i="1" s="1"/>
  <c r="J291" i="1" l="1"/>
  <c r="G292" i="1" s="1"/>
  <c r="I292" i="1" s="1"/>
  <c r="L291" i="1"/>
  <c r="M291" i="1" s="1"/>
  <c r="J292" i="1" l="1"/>
  <c r="G293" i="1" s="1"/>
  <c r="I293" i="1" s="1"/>
  <c r="J293" i="1" s="1"/>
  <c r="G294" i="1" s="1"/>
  <c r="I294" i="1" s="1"/>
  <c r="J294" i="1" s="1"/>
  <c r="G295" i="1" s="1"/>
  <c r="I295" i="1" s="1"/>
  <c r="J295" i="1" s="1"/>
  <c r="G296" i="1" s="1"/>
  <c r="I296" i="1" s="1"/>
  <c r="J296" i="1" s="1"/>
  <c r="G297" i="1" s="1"/>
  <c r="I297" i="1" s="1"/>
  <c r="J297" i="1" s="1"/>
  <c r="G298" i="1" s="1"/>
  <c r="I298" i="1" s="1"/>
  <c r="J298" i="1" s="1"/>
  <c r="G299" i="1" s="1"/>
  <c r="I299" i="1" s="1"/>
  <c r="J299" i="1" s="1"/>
  <c r="G300" i="1" s="1"/>
  <c r="I300" i="1" s="1"/>
  <c r="J300" i="1" s="1"/>
  <c r="G301" i="1" s="1"/>
  <c r="I301" i="1" s="1"/>
  <c r="J301" i="1" s="1"/>
  <c r="G302" i="1" l="1"/>
  <c r="I302" i="1" s="1"/>
  <c r="J302" i="1" s="1"/>
  <c r="G303" i="1" l="1"/>
  <c r="I303" i="1" s="1"/>
  <c r="J303" i="1" s="1"/>
  <c r="G304" i="1" s="1"/>
  <c r="I304" i="1" s="1"/>
  <c r="J304" i="1" s="1"/>
  <c r="G305" i="1" s="1"/>
  <c r="I305" i="1" s="1"/>
  <c r="J305" i="1" l="1"/>
  <c r="G306" i="1" s="1"/>
  <c r="I306" i="1" l="1"/>
  <c r="J306" i="1" s="1"/>
  <c r="G307" i="1" s="1"/>
  <c r="I307" i="1" l="1"/>
  <c r="J307" i="1" s="1"/>
  <c r="G308" i="1" s="1"/>
  <c r="I308" i="1" l="1"/>
  <c r="L308" i="1" s="1"/>
  <c r="J308" i="1" l="1"/>
  <c r="G309" i="1" s="1"/>
  <c r="I309" i="1" l="1"/>
  <c r="J309" i="1" s="1"/>
  <c r="G310" i="1" s="1"/>
  <c r="I310" i="1" l="1"/>
  <c r="J310" i="1" s="1"/>
  <c r="G311" i="1" s="1"/>
  <c r="I311" i="1" l="1"/>
  <c r="J311" i="1" s="1"/>
  <c r="G312" i="1" s="1"/>
  <c r="I312" i="1" l="1"/>
  <c r="J312" i="1" s="1"/>
  <c r="G313" i="1" s="1"/>
  <c r="I313" i="1" l="1"/>
  <c r="J313" i="1" s="1"/>
  <c r="G314" i="1" s="1"/>
  <c r="I314" i="1" l="1"/>
  <c r="J314" i="1" s="1"/>
  <c r="G315" i="1" s="1"/>
  <c r="I315" i="1" l="1"/>
  <c r="J315" i="1" s="1"/>
  <c r="G316" i="1" s="1"/>
  <c r="I316" i="1" l="1"/>
  <c r="J316" i="1" s="1"/>
  <c r="G317" i="1" s="1"/>
  <c r="I317" i="1" l="1"/>
  <c r="J317" i="1" s="1"/>
  <c r="G318" i="1" s="1"/>
  <c r="I318" i="1" l="1"/>
  <c r="J318" i="1" s="1"/>
  <c r="G319" i="1" s="1"/>
  <c r="I319" i="1" l="1"/>
  <c r="J319" i="1" s="1"/>
  <c r="G320" i="1" s="1"/>
  <c r="I320" i="1" l="1"/>
  <c r="J320" i="1" s="1"/>
  <c r="G321" i="1" s="1"/>
  <c r="I321" i="1" l="1"/>
  <c r="J321" i="1" s="1"/>
  <c r="G322" i="1" s="1"/>
  <c r="I322" i="1" l="1"/>
  <c r="J322" i="1" s="1"/>
  <c r="G323" i="1" s="1"/>
  <c r="I323" i="1" l="1"/>
  <c r="J323" i="1" s="1"/>
  <c r="G324" i="1" s="1"/>
  <c r="I324" i="1" l="1"/>
  <c r="J324" i="1" s="1"/>
  <c r="G325" i="1" s="1"/>
  <c r="I325" i="1" l="1"/>
  <c r="J325" i="1" s="1"/>
  <c r="G326" i="1" s="1"/>
  <c r="I326" i="1" l="1"/>
  <c r="J326" i="1" s="1"/>
  <c r="G327" i="1" s="1"/>
  <c r="I327" i="1" l="1"/>
  <c r="J327" i="1" s="1"/>
  <c r="G328" i="1" s="1"/>
  <c r="I328" i="1" l="1"/>
  <c r="J328" i="1" l="1"/>
  <c r="G329" i="1" s="1"/>
  <c r="I329" i="1" l="1"/>
  <c r="J329" i="1" s="1"/>
  <c r="J335" i="1" s="1"/>
  <c r="J336" i="1" s="1"/>
  <c r="I330" i="1" l="1"/>
  <c r="L329" i="1"/>
  <c r="M329" i="1" s="1"/>
  <c r="M330" i="1" s="1"/>
</calcChain>
</file>

<file path=xl/sharedStrings.xml><?xml version="1.0" encoding="utf-8"?>
<sst xmlns="http://schemas.openxmlformats.org/spreadsheetml/2006/main" count="1034" uniqueCount="751">
  <si>
    <t>FELIX DELGADILLO MEJIA</t>
  </si>
  <si>
    <t>Metodo:Promedio Ponderado</t>
  </si>
  <si>
    <t>NIT  358900018</t>
  </si>
  <si>
    <t>Mercaderia:Planchas para calaminas</t>
  </si>
  <si>
    <t>Cochabamba - Bolivia</t>
  </si>
  <si>
    <t>Unidad de Medida:Metros lineales</t>
  </si>
  <si>
    <t>KARDEX  FISICO VALORADO</t>
  </si>
  <si>
    <t xml:space="preserve">               (Expresado en bolivianos)</t>
  </si>
  <si>
    <t>FECHA</t>
  </si>
  <si>
    <t>DETALLE</t>
  </si>
  <si>
    <t>KARDEX FISICO</t>
  </si>
  <si>
    <t>COSTO UNITARIO</t>
  </si>
  <si>
    <t>KARDEX VALORADO</t>
  </si>
  <si>
    <t>OBSERVACIONES</t>
  </si>
  <si>
    <t>ENTRADA</t>
  </si>
  <si>
    <t>SALIDA</t>
  </si>
  <si>
    <t xml:space="preserve">SALDO </t>
  </si>
  <si>
    <t>ADQ.</t>
  </si>
  <si>
    <t>PROM.</t>
  </si>
  <si>
    <t>DEBE</t>
  </si>
  <si>
    <t>HABER</t>
  </si>
  <si>
    <t>SALDO</t>
  </si>
  <si>
    <t xml:space="preserve">inventario inicial </t>
  </si>
  <si>
    <t>Mercaderia:Plancha BLUE para calaminas # 28</t>
  </si>
  <si>
    <t>inventario inicial</t>
  </si>
  <si>
    <t>Inventario Inicial</t>
  </si>
  <si>
    <t xml:space="preserve">ENTRADA </t>
  </si>
  <si>
    <t>Inv Inic gancho j-60</t>
  </si>
  <si>
    <t>Peso: kg</t>
  </si>
  <si>
    <t xml:space="preserve">INVENTARIO INICIAL </t>
  </si>
  <si>
    <t>Mercaderia:Planchas Cortadas</t>
  </si>
  <si>
    <t>Mercaderia:Tirafondos 6.3*76.2c/gomas</t>
  </si>
  <si>
    <t>Unidad de Medida:Uds.</t>
  </si>
  <si>
    <t>INVENTARIO INICIAL</t>
  </si>
  <si>
    <t>Mercaderia:Tirafondos 6.3*63.5c/gomas</t>
  </si>
  <si>
    <t>INENTARIO INICIAL</t>
  </si>
  <si>
    <t>Venta Calamina WHITE GREY F- 2289</t>
  </si>
  <si>
    <t>Calamina Ondulada F- 2290</t>
  </si>
  <si>
    <t>ANULADO F-2291</t>
  </si>
  <si>
    <t>Venta tirafondos 63*76.2 c/gomas F- 2292</t>
  </si>
  <si>
    <t>Calamina Ondulada F- 2293</t>
  </si>
  <si>
    <t>Venta Calamina WHITE GREY F- 2294</t>
  </si>
  <si>
    <t>Venta tirafondos 63*76.2 c/gomas F- 2295</t>
  </si>
  <si>
    <t>Calamina Ondulada F- 2296</t>
  </si>
  <si>
    <t>Venta Calamina Galvanizada F- 2297</t>
  </si>
  <si>
    <t>Calamina Ondulada F-2298</t>
  </si>
  <si>
    <t>Calamina Ondulada F- 2299</t>
  </si>
  <si>
    <t>Venta Calamina WHITE GREY F- 2300</t>
  </si>
  <si>
    <t>Venta tirafondos 63*63.5 c/gomas F- 2300</t>
  </si>
  <si>
    <t>Venta tirafondos 63*76.2 c/gomas F- 2301</t>
  </si>
  <si>
    <t>Venta tirafondos 63*76.2 c/gomas F- 2302</t>
  </si>
  <si>
    <t>Venta tirafondos 63*76.2 c/gomas F- 2303</t>
  </si>
  <si>
    <t>Venta Calamina RAL F- 2304</t>
  </si>
  <si>
    <t>VENTA CLAVOS DE CALAMINA F- 2304</t>
  </si>
  <si>
    <t xml:space="preserve">Venta Calamina WHITE GREY F- 2305 </t>
  </si>
  <si>
    <t>Calamina Ondulada F- 2306</t>
  </si>
  <si>
    <t>Calamina Ondulada F- 2307</t>
  </si>
  <si>
    <t>Venta tirafondos 63*63.5 c/gomas F- 2307</t>
  </si>
  <si>
    <t>Venta tirafondos 63*63.5 c/gomas F- 2308</t>
  </si>
  <si>
    <t>Venta tirafondos 63*76.2 c/gomas F- 2309</t>
  </si>
  <si>
    <t>Calamina Ondulada F- 2310</t>
  </si>
  <si>
    <t>Calamina Ondulada F- 2311</t>
  </si>
  <si>
    <t>Venta tirafondos 63*76.2 c/gomas F- 2312</t>
  </si>
  <si>
    <t xml:space="preserve">                Practicado al 31 de diciembre de 2016</t>
  </si>
  <si>
    <t xml:space="preserve">                Practicado al 31 diciembre 2016</t>
  </si>
  <si>
    <t xml:space="preserve">                Practicado al 31 de diciembre DE 2016</t>
  </si>
  <si>
    <t xml:space="preserve">                Practicado al 31 de diciembre DEL 2016</t>
  </si>
  <si>
    <t>Venta Calamina WHITE GREY F- 2313</t>
  </si>
  <si>
    <t>Venta tirafondos 63*76.2 c/gomas F-2314</t>
  </si>
  <si>
    <t>Calamina Ondulada F- 2315</t>
  </si>
  <si>
    <t>Venta tirafondos 63*76.2 c/gomas F-2316</t>
  </si>
  <si>
    <t>Venta tirafondos 63*76.2 c/gomas F-2317</t>
  </si>
  <si>
    <t>Venta Calamina WHITE GREY F- 2318</t>
  </si>
  <si>
    <t>Venta Calamina WHITE GREY F-2319</t>
  </si>
  <si>
    <t>Calamina Ondulada F-2320</t>
  </si>
  <si>
    <t>Venta tirafondos 63*76.2 c/gomas F-2321</t>
  </si>
  <si>
    <t>Venta Calamina Galvanizada F- 2322</t>
  </si>
  <si>
    <t>ANULADO F- 2323</t>
  </si>
  <si>
    <t>Venta tirafondos 63*76.2 c/gomas F-2324</t>
  </si>
  <si>
    <t>Calamina Ondulada F-2325</t>
  </si>
  <si>
    <t>Venta Calamina RAL F- 2326</t>
  </si>
  <si>
    <t>Venta tirafondos 63*76.2 c/gomas F-2327</t>
  </si>
  <si>
    <t>Calamina Ondulada F-2328</t>
  </si>
  <si>
    <t>Venta Calamina RAL F-2329</t>
  </si>
  <si>
    <t>Venta Calamina Galvanizada F- 2330</t>
  </si>
  <si>
    <t>Venta Calamina Galvanizada F- 2331</t>
  </si>
  <si>
    <t>Venta Calamina Galvanizada F- 2332</t>
  </si>
  <si>
    <t>Venta tirafondos 63*63.5 c/gomas F- 2333</t>
  </si>
  <si>
    <t>Venta tirafondos 63*76.2 c/gomas F-2334</t>
  </si>
  <si>
    <t>Venta tirafondos 63*76.2 c/gomas F-2335</t>
  </si>
  <si>
    <t>Calamina Ondulada F-2336</t>
  </si>
  <si>
    <t>Venta Calamina RAL F-2337</t>
  </si>
  <si>
    <t>Venta Calamina RAL F-2338</t>
  </si>
  <si>
    <t>Venta tirafondos 63*76.2 c/gomas F-2339</t>
  </si>
  <si>
    <t>Venta Calamina Galvanizada F- 2340</t>
  </si>
  <si>
    <t>Venta tirafondos 63*63.5 c/gomas F- 2341</t>
  </si>
  <si>
    <t>Venta tirafondos 63*63.5 c/gomas F-2342</t>
  </si>
  <si>
    <t>Calamina Ondulada F-2343</t>
  </si>
  <si>
    <t>Venta tirafondos 63*76.2 c/gomas F-2343</t>
  </si>
  <si>
    <t>Venta tirafondos 63*63.5 c/gomas F-2344</t>
  </si>
  <si>
    <t>Calamina Ondulada F-2345</t>
  </si>
  <si>
    <t>Venta tirafondos 63*76.2 c/gomas F-2346</t>
  </si>
  <si>
    <t>Venta tirafondos 63*76.2 c/gomas F-2347</t>
  </si>
  <si>
    <t>Venta tirafondos 63*63.5 c/gomas F-2348</t>
  </si>
  <si>
    <t>Venta Calamina WHITE GREY F-2349</t>
  </si>
  <si>
    <t>Venta tirafondos 63*63.5 c/gomas F-2350</t>
  </si>
  <si>
    <t>Calamina Ondulada F-01</t>
  </si>
  <si>
    <t>Venta Calamina RAL F- 02</t>
  </si>
  <si>
    <t>VENTA CLAVOS DE CALAMINA F- 03</t>
  </si>
  <si>
    <t>Venta Calamina RAL F- 04</t>
  </si>
  <si>
    <t>Venta tirafondos 63*76.2 c/gomas F-04</t>
  </si>
  <si>
    <t>Calamina Ondulada F-05</t>
  </si>
  <si>
    <t>Venta Calamina RAL F- 06</t>
  </si>
  <si>
    <t>Venta Calamina RAL F-07</t>
  </si>
  <si>
    <t>Calamina Ondulada F-08</t>
  </si>
  <si>
    <t>Venta Calamina  Blue F- 09</t>
  </si>
  <si>
    <t>Venta Calamina RAL F- 10</t>
  </si>
  <si>
    <t>Venta tirafondos 63*76.2 c/gomas F-11</t>
  </si>
  <si>
    <t>Venta Calamina RAL F- 12</t>
  </si>
  <si>
    <t>Venta tirafondos 63*63.5 c/gomas F-13</t>
  </si>
  <si>
    <t>Venta Calamina RAL F- 15</t>
  </si>
  <si>
    <t>VENTA CLAVOS DE CALAMINA F- 15</t>
  </si>
  <si>
    <t>Venta Calamina RAL F- 16</t>
  </si>
  <si>
    <t>Venta tirafondos 63*76.2 c/gomas F- 16</t>
  </si>
  <si>
    <t>Venta Calamina RAL F- 17</t>
  </si>
  <si>
    <t>Calamina Ondulada F- 18</t>
  </si>
  <si>
    <t>Venta Calamina RAL F- 19</t>
  </si>
  <si>
    <t>Venta Calamina Galvanizada F- 20</t>
  </si>
  <si>
    <t>Venta Calamina RAL F- 21</t>
  </si>
  <si>
    <t>Calamina Ondulada F- 22</t>
  </si>
  <si>
    <t>Venta tirafondos 63*76.2 c/gomas F- 22</t>
  </si>
  <si>
    <t>Calamina Ondulada F- 23</t>
  </si>
  <si>
    <t>Venta Calamina Galvanizada F- 24</t>
  </si>
  <si>
    <t>Calamina Ondulada F- 24</t>
  </si>
  <si>
    <t>Calamina Ondulada F- 25</t>
  </si>
  <si>
    <t>Venta tirafondos 63*63.5 c/gomas F- 25</t>
  </si>
  <si>
    <t>Venta Calamina WHITE GREY F- 26</t>
  </si>
  <si>
    <t>Calamina Ondulada F- 27</t>
  </si>
  <si>
    <t>Calamina Ondulada F- 28</t>
  </si>
  <si>
    <t>Venta tirafondos 63*76.2 c/gomas F- 28</t>
  </si>
  <si>
    <t>Venta Calamina WHITE GREY F- 29</t>
  </si>
  <si>
    <t>Calamina Ondulada F- 30</t>
  </si>
  <si>
    <t>Venta Calamina RAL F- 31</t>
  </si>
  <si>
    <t>Venta Calamina RAL F- 32</t>
  </si>
  <si>
    <t>Venta tirafondos 63*76.2 c/gomas F- 33</t>
  </si>
  <si>
    <t>Venta Calamina RAL F- 34</t>
  </si>
  <si>
    <t>Calamina Ondulada F- 35</t>
  </si>
  <si>
    <t>Venta Calamina RAL F- 36</t>
  </si>
  <si>
    <t>Venta Calamina RAL F- 37</t>
  </si>
  <si>
    <t>Venta tirafondos 63*76.2 c/gomas F- 38</t>
  </si>
  <si>
    <t>Calamina Ondulada F- 39</t>
  </si>
  <si>
    <t>Calamina Ondulada F- 40</t>
  </si>
  <si>
    <t>Venta tirafondos 63*76.2 c/gomas F- 41</t>
  </si>
  <si>
    <t>Calamina Ondulada F- 42</t>
  </si>
  <si>
    <t>Venta tirafondos 63*76.2 c/gomas F- 43</t>
  </si>
  <si>
    <t>Calamina Ondulada F- 44</t>
  </si>
  <si>
    <t>Calamina Ondulada F- 45</t>
  </si>
  <si>
    <t>Venta Calamina Galvanizada F- 46</t>
  </si>
  <si>
    <t>Calamina Ondulada F- 47</t>
  </si>
  <si>
    <t>Venta Calamina RAL F- 48</t>
  </si>
  <si>
    <t>Calamina Ondulada F- 49</t>
  </si>
  <si>
    <t>Calamina Ondulada F- 50</t>
  </si>
  <si>
    <t>Calamina Ondulada F- 51</t>
  </si>
  <si>
    <t>Calamina Ondulada F- 52</t>
  </si>
  <si>
    <t>Calamina Ondulada F- 53</t>
  </si>
  <si>
    <t>Calamina Ondulada F- 54</t>
  </si>
  <si>
    <t>Calamina Ondulada F- 55</t>
  </si>
  <si>
    <t>Venta Calamina RAL F-56</t>
  </si>
  <si>
    <t>Calamina Ondulada F-57</t>
  </si>
  <si>
    <t>Calamina Ondulada F-58</t>
  </si>
  <si>
    <t>Venta tirafondos 63*76.2 c/gomas F- 59</t>
  </si>
  <si>
    <t>Calamina Ondulada F-60</t>
  </si>
  <si>
    <t>Calamina Ondulada F-61</t>
  </si>
  <si>
    <t>Calamina Ondulada F-62</t>
  </si>
  <si>
    <t>Calamina Ondulada F-63</t>
  </si>
  <si>
    <t>Calamina Ondulada F-64</t>
  </si>
  <si>
    <t>Venta Calamina  Blue F- 65</t>
  </si>
  <si>
    <t>Venta tirafondos 63*76.2 c/gomas F- 66</t>
  </si>
  <si>
    <t>Calamina Ondulada F-67</t>
  </si>
  <si>
    <t>Calamina Ondulada F-68</t>
  </si>
  <si>
    <t>Venta tirafondos 63*63.5 c/gomas F- 68</t>
  </si>
  <si>
    <t>Venta Calamina Galvanizada F- 69</t>
  </si>
  <si>
    <t>Calamina Ondulada F-70</t>
  </si>
  <si>
    <t>Calamina Ondulada F-71</t>
  </si>
  <si>
    <t>Venta tirafondos 63*76.2 c/gomas F- 72</t>
  </si>
  <si>
    <t>Calamina Ondulada F-73</t>
  </si>
  <si>
    <t>Calamina Ondulada F-74</t>
  </si>
  <si>
    <t>Calamina Ondulada F-75</t>
  </si>
  <si>
    <t>Calamina Ondulada F-76</t>
  </si>
  <si>
    <t>Calamina Ondulada F-77</t>
  </si>
  <si>
    <t>Calamina Ondulada F-78</t>
  </si>
  <si>
    <t>Calamina Ondulada F-79</t>
  </si>
  <si>
    <t>Calamina Ondulada F-80</t>
  </si>
  <si>
    <t>Venta tirafondos 63*76.2 c/gomas F- 81</t>
  </si>
  <si>
    <t>Calamina Ondulada F-82</t>
  </si>
  <si>
    <t>Calamina Ondulada F-83</t>
  </si>
  <si>
    <t>Calamina Ondulada F-84</t>
  </si>
  <si>
    <t>Calamina Ondulada F-85</t>
  </si>
  <si>
    <t>Venta tirafondos 63*76.2 c/gomas F- 86</t>
  </si>
  <si>
    <t>Venta Calamina  Blue F- 87</t>
  </si>
  <si>
    <t>Venta tirafondos 63*76.2 c/gomas F- 88</t>
  </si>
  <si>
    <t>Calamina Ondulada F-90</t>
  </si>
  <si>
    <t>Venta tirafondos 63*76.2 c/gomas F- 91</t>
  </si>
  <si>
    <t>Venta tirafondos 63*76.2 c/gomas F- 89</t>
  </si>
  <si>
    <t>Venta Calamina RAL F- 92</t>
  </si>
  <si>
    <t>Calamina Ondulada F-93</t>
  </si>
  <si>
    <t>Venta tirafondos 63*76.2 c/gomas F- 94</t>
  </si>
  <si>
    <t>Calamina Ondulada F-95</t>
  </si>
  <si>
    <t>Calamina Ondulada F-96</t>
  </si>
  <si>
    <t>Calamina Ondulada F-97</t>
  </si>
  <si>
    <t>Calamina Ondulada F-98</t>
  </si>
  <si>
    <t>Calamina Ondulada F-99</t>
  </si>
  <si>
    <t>Venta tirafondos 63*63.5 c/gomas F- 99</t>
  </si>
  <si>
    <t>Calamina Ondulada F-101</t>
  </si>
  <si>
    <t>Venta Calamina RAL F-102</t>
  </si>
  <si>
    <t>Venta tirafondos 63*76.2 c/gomas F-103</t>
  </si>
  <si>
    <t>Venta tirafondos 63*76.2 c/gomas F-104</t>
  </si>
  <si>
    <t>Calamina Ondulada F-105</t>
  </si>
  <si>
    <t>Calamina Ondulada F-106</t>
  </si>
  <si>
    <t>Calamina Ondulada F-107</t>
  </si>
  <si>
    <t>Calamina Ondulada F-108</t>
  </si>
  <si>
    <t>Calamina Ondulada F-109</t>
  </si>
  <si>
    <t>Venta Calamina Galvanizada F- 110</t>
  </si>
  <si>
    <t>Calamina Ondulada F-111</t>
  </si>
  <si>
    <t>Calamina Ondulada F-112</t>
  </si>
  <si>
    <t>Calamina Ondulada F-113</t>
  </si>
  <si>
    <t>Calamina Ondulada F-114</t>
  </si>
  <si>
    <t>Calamina Ondulada F-115</t>
  </si>
  <si>
    <t>Venta tirafondos 63*76.2 c/gomas F-116</t>
  </si>
  <si>
    <t>Calamina Ondulada F-117</t>
  </si>
  <si>
    <t>Calamina Ondulada F-118</t>
  </si>
  <si>
    <t>Calamina Ondulada F-119</t>
  </si>
  <si>
    <t>Venta Calamina Galvanizada F- 120</t>
  </si>
  <si>
    <t>Calamina Ondulada F-121</t>
  </si>
  <si>
    <t>Calamina Ondulada F-122</t>
  </si>
  <si>
    <t>Venta tirafondos 63*76.2 c/gomas F-123</t>
  </si>
  <si>
    <t>Calamina Ondulada F-124</t>
  </si>
  <si>
    <t>Calamina Ondulada F-125</t>
  </si>
  <si>
    <t>Venta tirafondos 63*76.2 c/gomas F-126</t>
  </si>
  <si>
    <t>Calamina Ondulada F-127</t>
  </si>
  <si>
    <t>Calamina Ondulada F-128</t>
  </si>
  <si>
    <t>Calamina Ondulada F-129</t>
  </si>
  <si>
    <t>Calamina Ondulada F-130</t>
  </si>
  <si>
    <t>Calamina Ondulada F-131</t>
  </si>
  <si>
    <t>Venta Calamina RAL F-132</t>
  </si>
  <si>
    <t>Calamina Ondulada F-133</t>
  </si>
  <si>
    <t>Venta tirafondos 63*76.2 c/gomas F-134</t>
  </si>
  <si>
    <t>Calamina Ondulada F-135</t>
  </si>
  <si>
    <t>Calamina Ondulada F-136</t>
  </si>
  <si>
    <t>Calamina Ondulada F-137</t>
  </si>
  <si>
    <t>Venta tirafondos 63*76.2 c/gomas F-138</t>
  </si>
  <si>
    <t>Calamina Ondulada F-139</t>
  </si>
  <si>
    <t>Calamina Ondulada F-140</t>
  </si>
  <si>
    <t>Calamina Ondulada F-141</t>
  </si>
  <si>
    <t>Venta tirafondos 63*76.2 c/gomas F-142</t>
  </si>
  <si>
    <t>Venta tirafondos 63*63.5 c/gomas F-143</t>
  </si>
  <si>
    <t>Venta Calamina RAL F-144</t>
  </si>
  <si>
    <t>Venta tirafondos 63*76.2 c/gomas F-145</t>
  </si>
  <si>
    <t>Venta tirafondos 63*76.2 c/gomas F-146</t>
  </si>
  <si>
    <t>Calamina Ondulada F-147</t>
  </si>
  <si>
    <t>Venta Calamina RAL F-148</t>
  </si>
  <si>
    <t>Calamina Ondulada F-149</t>
  </si>
  <si>
    <t>Venta Calamina RAL F-151</t>
  </si>
  <si>
    <t>Calamina Ondulada F-152</t>
  </si>
  <si>
    <t>Calamina Ondulada F-153</t>
  </si>
  <si>
    <t>Calamina Ondulada F-154</t>
  </si>
  <si>
    <t>Venta tirafondos 63*76.2 c/gomas F-155</t>
  </si>
  <si>
    <t>Calamina Ondulada F-156</t>
  </si>
  <si>
    <t>Venta Calamina RAL F- 157</t>
  </si>
  <si>
    <t>Venta tirafondos 63*63.5 c/gomas F-158</t>
  </si>
  <si>
    <t>Calamina Ondulada F-159</t>
  </si>
  <si>
    <t>Venta tirafondos 63*76.2 c/gomas F-160</t>
  </si>
  <si>
    <t>Venta tirafondos 63*76.2 c/gomas F-161</t>
  </si>
  <si>
    <t>Calamina Ondulada F-162</t>
  </si>
  <si>
    <t>Calamina Ondulada F-163</t>
  </si>
  <si>
    <t>Calamina Ondulada F-164</t>
  </si>
  <si>
    <t>Calamina Ondulada F-165</t>
  </si>
  <si>
    <t>Venta Calamina WHITE GREY F-166</t>
  </si>
  <si>
    <t>Calamina Ondulada F-167</t>
  </si>
  <si>
    <t>Venta tirafondos 63*76.2 c/gomas F-168</t>
  </si>
  <si>
    <t>Venta tirafondos 63*76.2 c/gomas F- 169</t>
  </si>
  <si>
    <t>Calamina Ondulada F- 170</t>
  </si>
  <si>
    <t>Calamina Ondulada F- 171</t>
  </si>
  <si>
    <t>Venta tirafondos 63*76.2 c/gomas F- 172</t>
  </si>
  <si>
    <t>Calamina Ondulada F- 173</t>
  </si>
  <si>
    <t>Calamina Ondulada F- 174</t>
  </si>
  <si>
    <t>VENTA CLAVOS DE CALAMINA F- 175</t>
  </si>
  <si>
    <t>Calamina Ondulada F- 176</t>
  </si>
  <si>
    <t>Calamina Ondulada F- 177</t>
  </si>
  <si>
    <t>Venta Calamina Galvanizada F- 178</t>
  </si>
  <si>
    <t>Venta Calamina Galvanizada F- 176</t>
  </si>
  <si>
    <t>Calamina Ondulada F- 180</t>
  </si>
  <si>
    <t>Calamina Ondulada F- 182</t>
  </si>
  <si>
    <t>Venta Calamina RAL F- 182</t>
  </si>
  <si>
    <t>Venta Calamina RAL F- 183</t>
  </si>
  <si>
    <t>Venta Calamina RAL F- 184</t>
  </si>
  <si>
    <t>Venta tirafondos 63*76.2 c/gomas F- 185</t>
  </si>
  <si>
    <t>Calamina Ondulada F- 186</t>
  </si>
  <si>
    <t>Venta tirafondos 63*76.2 c/gomas F- 187</t>
  </si>
  <si>
    <t>Calamina Ondulada F- 188</t>
  </si>
  <si>
    <t>Calamina Ondulada F- 189</t>
  </si>
  <si>
    <t>Calamina Ondulada F- 190</t>
  </si>
  <si>
    <t>Calamina Ondulada F- 191</t>
  </si>
  <si>
    <t>Venta tirafondos 63*76.2 c/gomas F- 192</t>
  </si>
  <si>
    <t>Calamina Ondulada F- 193</t>
  </si>
  <si>
    <t>Venta tirafondos 63*76.2 c/gomas F- 194</t>
  </si>
  <si>
    <t>Venta tirafondos 63*76.2 c/gomas F- 195</t>
  </si>
  <si>
    <t>Calamina Ondulada F- 196</t>
  </si>
  <si>
    <t>Venta Calamina RAL F- 197</t>
  </si>
  <si>
    <t>Venta tirafondos 63*76.2 c/gomas F- 198</t>
  </si>
  <si>
    <t>Venta Calamina RAL F- 199</t>
  </si>
  <si>
    <t>Venta tirafondos 63*76.2 c/gomas F- 200</t>
  </si>
  <si>
    <t>Calamina Ondulada F- 200</t>
  </si>
  <si>
    <t>Calamina Ondulada F- 201</t>
  </si>
  <si>
    <t>Venta tirafondos 63*63.5 c/gomas F- 201</t>
  </si>
  <si>
    <t>Calamina Ondulada F- 202</t>
  </si>
  <si>
    <t>Venta Calamina RAL F- 203</t>
  </si>
  <si>
    <t>Venta Calamina RAL F-204</t>
  </si>
  <si>
    <t>Calamina Ondulada F-205</t>
  </si>
  <si>
    <t>Calamina Ondulada F-206</t>
  </si>
  <si>
    <t>Calamina Ondulada F-207</t>
  </si>
  <si>
    <t>Calamina Ondulada F-208</t>
  </si>
  <si>
    <t>Calamina Ondulada F-209</t>
  </si>
  <si>
    <t>Venta tirafondos 63*76.2 c/gomas F- 210</t>
  </si>
  <si>
    <t>Calamina Ondulada F-211</t>
  </si>
  <si>
    <t>Calamina Ondulada F-212</t>
  </si>
  <si>
    <t>Calamina Ondulada F-213</t>
  </si>
  <si>
    <t>Venta tirafondos 63*63.5 c/gomas F- 213</t>
  </si>
  <si>
    <t>Venta tirafondos 63*76.2 c/gomas F- 214</t>
  </si>
  <si>
    <t>Calamina Ondulada F-215</t>
  </si>
  <si>
    <t>Calamina Ondulada F-216</t>
  </si>
  <si>
    <t>Calamina Ondulada F-217</t>
  </si>
  <si>
    <t>Calamina Ondulada F-218</t>
  </si>
  <si>
    <t>Calamina Ondulada F-219</t>
  </si>
  <si>
    <t>Venta tirafondos 63*76.2 c/gomas F- 220</t>
  </si>
  <si>
    <t>Calamina Ondulada F-221</t>
  </si>
  <si>
    <t>Calamina Ondulada F-222</t>
  </si>
  <si>
    <t>Calamina Ondulada F-223</t>
  </si>
  <si>
    <t>Venta tirafondos 63*76.2 c/gomas F- 224</t>
  </si>
  <si>
    <t>Calamina Ondulada F-225</t>
  </si>
  <si>
    <t>Calamina Ondulada F-226</t>
  </si>
  <si>
    <t>Venta tirafondos 63*76.2 c/gomas F-227</t>
  </si>
  <si>
    <t>Calamina Ondulada F-228</t>
  </si>
  <si>
    <t>Venta Calamina RAL F-229</t>
  </si>
  <si>
    <t>Venta Calamina RAL F-230</t>
  </si>
  <si>
    <t>Venta tirafondos 63*76.2 c/gomas F- 231</t>
  </si>
  <si>
    <t>Calamina Ondulada F-232</t>
  </si>
  <si>
    <t>Venta Calamina RAL F- 233</t>
  </si>
  <si>
    <t>Venta Calamina RAL F-234</t>
  </si>
  <si>
    <t>Calamina Ondulada F-235</t>
  </si>
  <si>
    <t>Calamina Ondulada F-236</t>
  </si>
  <si>
    <t>Calamina Ondulada F-237</t>
  </si>
  <si>
    <t>Venta Calamina RAL F-238</t>
  </si>
  <si>
    <t>Venta tirafondos 63*63.5 c/gomas F- 239</t>
  </si>
  <si>
    <t>Calamina Ondulada F-240</t>
  </si>
  <si>
    <t>Calamina Ondulada F-241</t>
  </si>
  <si>
    <t>Calamina Ondulada F-242</t>
  </si>
  <si>
    <t>Calamina Ondulada F-243</t>
  </si>
  <si>
    <t>Venta Calamina RAL F-244</t>
  </si>
  <si>
    <t>Calamina Ondulada F-245</t>
  </si>
  <si>
    <t>Venta Calamina RAL F-246</t>
  </si>
  <si>
    <t>Calamina Ondulada F-247</t>
  </si>
  <si>
    <t>Calamina Ondulada F-248</t>
  </si>
  <si>
    <t>Calamina Ondulada F-249</t>
  </si>
  <si>
    <t>Calamina Ondulada F-250</t>
  </si>
  <si>
    <t>Calamina Ondulada F-251</t>
  </si>
  <si>
    <t>Calamina Ondulada F-252</t>
  </si>
  <si>
    <t>Calamina Ondulada F-253</t>
  </si>
  <si>
    <t>Venta tirafondos 63*76.2 c/gomas F- 254</t>
  </si>
  <si>
    <t>Venta Calamina Galvanizada F- 255</t>
  </si>
  <si>
    <t>Calamina Ondulada F- 256</t>
  </si>
  <si>
    <t>Venta tirafondos 63*76.2 c/gomas F-257</t>
  </si>
  <si>
    <t>Calamina Ondulada F-258</t>
  </si>
  <si>
    <t>Calamina Ondulada F-259</t>
  </si>
  <si>
    <t>Calamina Ondulada F-260</t>
  </si>
  <si>
    <t>Venta Calamina RAL F-261</t>
  </si>
  <si>
    <t>Venta tirafondos 63*76.2 c/gomas F- 261</t>
  </si>
  <si>
    <t>Calamina Ondulada F-262</t>
  </si>
  <si>
    <t>Venta Calamina RAL F- 263</t>
  </si>
  <si>
    <t>Venta tirafondos 63*76.2 c/gomas F-264</t>
  </si>
  <si>
    <t>Calamina Ondulada F-265</t>
  </si>
  <si>
    <t>Calamina Ondulada F-266</t>
  </si>
  <si>
    <t>Venta tirafondos 63*76.2 c/gomas F-267</t>
  </si>
  <si>
    <t>INVENTARIO INICIAL clavos Calamina</t>
  </si>
  <si>
    <t>Mercaderia:Juntas de goma</t>
  </si>
  <si>
    <t>ANULADA F-14</t>
  </si>
  <si>
    <t>Venta tirafondos 63*76.2 c/gomas F- 100</t>
  </si>
  <si>
    <t>ANULADA F- 179</t>
  </si>
  <si>
    <t>ANULADA F- 181</t>
  </si>
  <si>
    <t>ANULADA F- 150</t>
  </si>
  <si>
    <t>Calamina Ondulada F-268</t>
  </si>
  <si>
    <t>Venta tirafondos 63*76.2 c/gomas F-269</t>
  </si>
  <si>
    <t>Calamina Ondulada F-270</t>
  </si>
  <si>
    <t>Calamina Ondulada F-271</t>
  </si>
  <si>
    <t>Calamina Ondulada F-272</t>
  </si>
  <si>
    <t>Venta tirafondos 63*76.2 c/gomas F-273</t>
  </si>
  <si>
    <t>Calamina Ondulada F-274</t>
  </si>
  <si>
    <t>Calamina Ondulada F-275</t>
  </si>
  <si>
    <t>Venta tirafondos 63*76.2 c/gomas F-276</t>
  </si>
  <si>
    <t>Calamina Ondulada F-277</t>
  </si>
  <si>
    <t>Calamina Ondulada F-278</t>
  </si>
  <si>
    <t>Calamina Ondulada F-279</t>
  </si>
  <si>
    <t>Venta tirafondos 63*76.2 c/gomas F-280</t>
  </si>
  <si>
    <t>Calamina Ondulada F-281</t>
  </si>
  <si>
    <t>Venta tirafondos 63*63.5 c/gomas F-281</t>
  </si>
  <si>
    <t>Calamina Ondulada F-282</t>
  </si>
  <si>
    <t>Venta tirafondos 63*76.2 c/gomas F-283</t>
  </si>
  <si>
    <t>Calamina Ondulada F-284</t>
  </si>
  <si>
    <t>Venta Calamina RAL F-285</t>
  </si>
  <si>
    <t>Calamina Ondulada F-286</t>
  </si>
  <si>
    <t>Calamina Ondulada F-287</t>
  </si>
  <si>
    <t>Venta tirafondos 63*76.2 c/gomas F-288</t>
  </si>
  <si>
    <t>Calamina Ondulada F-289</t>
  </si>
  <si>
    <t>Venta tirafondos 63*76.2 c/gomas F-290</t>
  </si>
  <si>
    <t>COMPRA DUI C-9728</t>
  </si>
  <si>
    <t>COMPRA DUI C-5803</t>
  </si>
  <si>
    <t xml:space="preserve">Mercaderia:Clavos de calamina </t>
  </si>
  <si>
    <t>Unidad de Medida:Kg.</t>
  </si>
  <si>
    <t>Mercaderia:Ganchos j-60</t>
  </si>
  <si>
    <t>Unidad de Medida:Unidades</t>
  </si>
  <si>
    <t>Calamina Ondulada F-291</t>
  </si>
  <si>
    <t>Venta tirafondos 63*76.2 c/gomas F-292</t>
  </si>
  <si>
    <t>Calamina Ondulada F-293</t>
  </si>
  <si>
    <t>Venta tirafondos 63*76.2 c/gomas F-294</t>
  </si>
  <si>
    <t>Venta Calamina  Blue F- 295</t>
  </si>
  <si>
    <t>Calamina Ondulada F-296</t>
  </si>
  <si>
    <t>Calamina Ondulada F-297</t>
  </si>
  <si>
    <t>Venta tirafondos 63*76.2 c/gomas F-298</t>
  </si>
  <si>
    <t>Calamina Ondulada F-299</t>
  </si>
  <si>
    <t>Venta Calamina RAL F-300</t>
  </si>
  <si>
    <t>Calamina Ondulada F-301</t>
  </si>
  <si>
    <t>Venta tirafondos 63*63.5 c/gomas F-301</t>
  </si>
  <si>
    <t>Venta Calamina WHITE GREY F-302</t>
  </si>
  <si>
    <t>Venta tirafondos 63*63.5 c/gomas F-303</t>
  </si>
  <si>
    <t>Calamina Ondulada F-304</t>
  </si>
  <si>
    <t>Calamina Ondulada F-305</t>
  </si>
  <si>
    <t>Calamina Ondulada F-306</t>
  </si>
  <si>
    <t>Calamina Ondulada F-307</t>
  </si>
  <si>
    <t>Calamina Ondulada F-308</t>
  </si>
  <si>
    <t>Calamina Ondulada F-309</t>
  </si>
  <si>
    <t>Venta Calamina RAL F- 310</t>
  </si>
  <si>
    <t>Venta Calamina RAL F-310</t>
  </si>
  <si>
    <t>Venta tirafondos 63*76.2 c/gomas F-310</t>
  </si>
  <si>
    <t>Calamina Ondulada F-311</t>
  </si>
  <si>
    <t>Venta tirafondos 63*63.5 c/gomas F-311</t>
  </si>
  <si>
    <t>Venta Calamina  Blue F- 312</t>
  </si>
  <si>
    <t>Calamina Ondulada F-313</t>
  </si>
  <si>
    <t>Calamina Ondulada F-314</t>
  </si>
  <si>
    <t>Calamina Ondulada F-315</t>
  </si>
  <si>
    <t>Venta Calamina RAL F- 316</t>
  </si>
  <si>
    <t>Venta tirafondos 63*76.2 c/gomas F-316</t>
  </si>
  <si>
    <t>Calamina Ondulada F-317</t>
  </si>
  <si>
    <t>Calamina Ondulada F- 318</t>
  </si>
  <si>
    <t>Venta Calamina  Blue F- 319</t>
  </si>
  <si>
    <t>Calamina Ondulada F-320</t>
  </si>
  <si>
    <t>Calamina Ondulada F-321</t>
  </si>
  <si>
    <t>Calamina Ondulada F-322</t>
  </si>
  <si>
    <t>Calamina Ondulada F-323</t>
  </si>
  <si>
    <t>Venta Calamina RAL F- 324</t>
  </si>
  <si>
    <t>Venta Calamina Galvanizada F- 325</t>
  </si>
  <si>
    <t>Calamina Ondulada F-326</t>
  </si>
  <si>
    <t>Venta Calamina RAL F- 327</t>
  </si>
  <si>
    <t>Calamina Ondulada F-328</t>
  </si>
  <si>
    <t>Calamina Ondulada F-329</t>
  </si>
  <si>
    <t>Calamina Ondulada F-330</t>
  </si>
  <si>
    <t>Calamina Ondulada F-331</t>
  </si>
  <si>
    <t>Calamina Ondulada F-332</t>
  </si>
  <si>
    <t>Venta tirafondos 63*76.2 c/gomas F-333</t>
  </si>
  <si>
    <t>Anulada F- 334</t>
  </si>
  <si>
    <t>Venta Calamina  Blue F- 335</t>
  </si>
  <si>
    <t>Calamina Ondulada F-336</t>
  </si>
  <si>
    <t>Calamina Ondulada F-337</t>
  </si>
  <si>
    <t>Venta Calamina RAL F- 338</t>
  </si>
  <si>
    <t>Venta tirafondos 63*76.2 c/gomas F-343</t>
  </si>
  <si>
    <t>Venta tirafondos 63*76.2 c/gomas F-344</t>
  </si>
  <si>
    <t>Calamina Ondulada F-339</t>
  </si>
  <si>
    <t>Calamina Ondulada F-340</t>
  </si>
  <si>
    <t>Calamina Ondulada F-341</t>
  </si>
  <si>
    <t>Calamina Ondulada F-342</t>
  </si>
  <si>
    <t>Calamina Ondulada F-344</t>
  </si>
  <si>
    <t>Calamina Ondulada F-345</t>
  </si>
  <si>
    <t>Calamina Ondulada F-346</t>
  </si>
  <si>
    <t>Calamina Ondulada F-347</t>
  </si>
  <si>
    <t>Calamina Ondulada F-348</t>
  </si>
  <si>
    <t>Calamina Ondulada F-349</t>
  </si>
  <si>
    <t>Calamina Ondulada F-350</t>
  </si>
  <si>
    <t>Venta tirafondos 63*76.2 c/gomas F-351</t>
  </si>
  <si>
    <t>Calamina Ondulada F-352</t>
  </si>
  <si>
    <t>Venta tirafondos 63*76.2 c/gomas F-353</t>
  </si>
  <si>
    <t>Mercaderia:Planchas para calaminas RAL #26 0.40mm</t>
  </si>
  <si>
    <t>Calamina Ondulada F-354</t>
  </si>
  <si>
    <t>Venta Calamina WHITE GREY F-355</t>
  </si>
  <si>
    <t>Calamina Ondulada F-356</t>
  </si>
  <si>
    <t>Venta Calamina WHITE GREY F-357</t>
  </si>
  <si>
    <t>Calamina Ondulada F-358</t>
  </si>
  <si>
    <t>Venta tirafondos 63*76.2 c/gomas F-359</t>
  </si>
  <si>
    <t>Venta tirafondos 63*76.2 c/gomas F-360</t>
  </si>
  <si>
    <t>Venta Calamina RAL F- 361</t>
  </si>
  <si>
    <t>Venta tirafondos 63*76.2 c/gomas F-362</t>
  </si>
  <si>
    <t>Venta Calamina Galvanizada F- 363</t>
  </si>
  <si>
    <t>Calamina Ondulada F-364</t>
  </si>
  <si>
    <t>Venta tirafondos 63*76.2 c/gomas F-365</t>
  </si>
  <si>
    <t>Venta Calamina Galvanizada F- 366</t>
  </si>
  <si>
    <t>Venta tirafondos 63*63.5 c/gomas F-368</t>
  </si>
  <si>
    <t>Venta tirafondos 63*76.2 c/gomas F-369</t>
  </si>
  <si>
    <t>Calamina Ondulada F-370</t>
  </si>
  <si>
    <t>Venta tirafondos 63*76.2 c/gomas F-371</t>
  </si>
  <si>
    <t>Venta Calamina Galvanizada F- 372</t>
  </si>
  <si>
    <t>Venta tirafondos 63*76.2 c/gomas F-373</t>
  </si>
  <si>
    <t>Venta Calamina RAL F- 367</t>
  </si>
  <si>
    <t>Calamina Ondulada F-374</t>
  </si>
  <si>
    <t>Calamina Ondulada F-375</t>
  </si>
  <si>
    <t>Calamina Ondulada F-376</t>
  </si>
  <si>
    <t>Calamina Ondulada F-377</t>
  </si>
  <si>
    <t>Calamina Ondulada F-378</t>
  </si>
  <si>
    <t>Calamina Ondulada F-379</t>
  </si>
  <si>
    <t>Calamina Ondulada F-380</t>
  </si>
  <si>
    <t>Venta tirafondos 63*76.2 c/gomas F-381</t>
  </si>
  <si>
    <t>Venta tirafondos 63*76.2 c/gomas F-382</t>
  </si>
  <si>
    <t>Venta tirafondos 63*76.2 c/gomas F-383</t>
  </si>
  <si>
    <t>Anulada F-384</t>
  </si>
  <si>
    <t>Calamina Ondulada F-385</t>
  </si>
  <si>
    <t>Venta tirafondos 63*63.5 c/gomas F-386</t>
  </si>
  <si>
    <t>Calamina Ondulada F-387</t>
  </si>
  <si>
    <t>VENTA CLAVOS DE CALAMINA F- 388</t>
  </si>
  <si>
    <t>Calamina Ondulada F-389</t>
  </si>
  <si>
    <t>Calamina Ondulada F-390</t>
  </si>
  <si>
    <t>Venta tirafondos 63*76.2 c/gomas F-390</t>
  </si>
  <si>
    <t>Venta tirafondos 63*76.2 c/gomas F-391</t>
  </si>
  <si>
    <t>Calamina Ondulada F-392</t>
  </si>
  <si>
    <t>Calamina Ondulada F-393</t>
  </si>
  <si>
    <t>VENTA CLAVOS DE CALAMINA F- 393</t>
  </si>
  <si>
    <t>Venta tirafondos 63*76.2 c/gomas F-394</t>
  </si>
  <si>
    <t>Venta tirafondos 63*76.2 c/gomas F-395</t>
  </si>
  <si>
    <t>Venta Calamina  Blue F- 396</t>
  </si>
  <si>
    <t>Venta tirafondos 63*76.2 c/gomas F-397</t>
  </si>
  <si>
    <t>Calamina Ondulada F-398</t>
  </si>
  <si>
    <t>Calamina Ondulada F-399</t>
  </si>
  <si>
    <t>Calamina Ondulada F-400</t>
  </si>
  <si>
    <t>Venta tirafondos 63*76.2 c/gomas F-401</t>
  </si>
  <si>
    <t>Venta tirafondos 63*76.2 c/gomas F-402</t>
  </si>
  <si>
    <t>Calamina Ondulada F-403</t>
  </si>
  <si>
    <t>Calamina Ondulada F-404</t>
  </si>
  <si>
    <t>Calamina Ondulada F-405</t>
  </si>
  <si>
    <t>Venta tirafondos 63*76.2 c/gomas F-406</t>
  </si>
  <si>
    <t>Venta tirafondos 63*63.5 c/gomas F-407</t>
  </si>
  <si>
    <t>Calamina Ondulada F-408</t>
  </si>
  <si>
    <t>Calamina Ondulada F-409</t>
  </si>
  <si>
    <t>Calamina Ondulada F-410</t>
  </si>
  <si>
    <t>31/09/2016</t>
  </si>
  <si>
    <t>Calamina Ondulada F-411</t>
  </si>
  <si>
    <t>VENTA CLAVOS DE CALAMINA F- 411</t>
  </si>
  <si>
    <t>Calamina Ondulada F-412</t>
  </si>
  <si>
    <t>Calamina Ondulada F-413</t>
  </si>
  <si>
    <t>Calamina Ondulada F-414</t>
  </si>
  <si>
    <t>Venta tirafondos 63*76.2 c/gomas F-415</t>
  </si>
  <si>
    <t>Calamina Ondulada F-416</t>
  </si>
  <si>
    <t>VENTA CLAVOS DE CALAMINA F- 416</t>
  </si>
  <si>
    <t>Calamina Ondulada F-417</t>
  </si>
  <si>
    <t>Calamina Ondulada F-418</t>
  </si>
  <si>
    <t>Calamina Ondulada F-419</t>
  </si>
  <si>
    <t>Calamina Ondulada F-420</t>
  </si>
  <si>
    <t>Calamina Ondulada F-421</t>
  </si>
  <si>
    <t>Calamina Ondulada F-422</t>
  </si>
  <si>
    <t>VENTA CLAVOS DE CALAMINA F- 422</t>
  </si>
  <si>
    <t>Venta tirafondos 63*76.2 c/gomas F-423</t>
  </si>
  <si>
    <t>Venta tirafondos 63*76.2 c/gomas F-424</t>
  </si>
  <si>
    <t>Calamina Ondulada F-425</t>
  </si>
  <si>
    <t>Venta tirafondos 63*76.2 c/gomas F-426</t>
  </si>
  <si>
    <t>Calamina Ondulada F-427</t>
  </si>
  <si>
    <t>Calamina Ondulada F-428</t>
  </si>
  <si>
    <t>Calamina Ondulada F-429</t>
  </si>
  <si>
    <t>Calamina Ondulada F-430</t>
  </si>
  <si>
    <t>VENTA CLAVOS DE CALAMINA F- 430</t>
  </si>
  <si>
    <t>Calamina Ondulada F-431</t>
  </si>
  <si>
    <t>VENTA CLAVOS DE CALAMINA F- 431</t>
  </si>
  <si>
    <t>Calamina Ondulada F-432</t>
  </si>
  <si>
    <t>Anulada F-433</t>
  </si>
  <si>
    <t>Calamina Ondulada F-434</t>
  </si>
  <si>
    <t>Venta tirafondos 63*76.2 c/gomas F-435</t>
  </si>
  <si>
    <t>No Utilizada F-436-600</t>
  </si>
  <si>
    <t>Calamina Ondulada F-601</t>
  </si>
  <si>
    <t>Venta Calamina WHITE GREY F-602</t>
  </si>
  <si>
    <t>Venta tirafondos 63*76.2 c/gomas F-603</t>
  </si>
  <si>
    <t>Venta tirafondos 63*63.5 c/gomas F-604</t>
  </si>
  <si>
    <t>Calamina Ondulada F-605</t>
  </si>
  <si>
    <t>Calamina Ondulada F-606</t>
  </si>
  <si>
    <t>Calamina Ondulada F-607</t>
  </si>
  <si>
    <t>Venta tirafondos 63*76.2 c/gomas F-608</t>
  </si>
  <si>
    <t>Calamina Ondulada F-609</t>
  </si>
  <si>
    <t>Calamina Ondulada F-610</t>
  </si>
  <si>
    <t>VENTA CLAVOS DE CALAMINA F- 610</t>
  </si>
  <si>
    <t>Calamina Ondulada F-611</t>
  </si>
  <si>
    <t>Calamina Ondulada F-612</t>
  </si>
  <si>
    <t>Calamina Ondulada F-613</t>
  </si>
  <si>
    <t>Venta tirafondos 63*76.2 c/gomas F-614</t>
  </si>
  <si>
    <t>Calamina Ondulada F-615</t>
  </si>
  <si>
    <t>Venta tirafondos 63*76.2 c/gomas F-616</t>
  </si>
  <si>
    <t>Calamina Ondulada F-617</t>
  </si>
  <si>
    <t>Venta Calamina RAL F-618</t>
  </si>
  <si>
    <t>VENTA CLAVOS DE CALAMINA F- 620</t>
  </si>
  <si>
    <t>Venta Calamina  Blue F- 621</t>
  </si>
  <si>
    <t>Venta Calamina  Blue F- 622</t>
  </si>
  <si>
    <t>Anulada  F-623</t>
  </si>
  <si>
    <t>Calamina Ondulada F-624</t>
  </si>
  <si>
    <t>Venta tirafondos 63*76.2 c/gomas F-625</t>
  </si>
  <si>
    <t>Calamina Ondulada F-626</t>
  </si>
  <si>
    <t>Venta Calamina  Blue F- 627</t>
  </si>
  <si>
    <t>Calamina Ondulada F-628</t>
  </si>
  <si>
    <t>VENTA CLAVOS DE CALAMINA F- 628</t>
  </si>
  <si>
    <t>Venta tirafondos 63*76.2 c/gomas F-629</t>
  </si>
  <si>
    <t>Calamina Ondulada F-630</t>
  </si>
  <si>
    <t>Calamina Ondulada F-631</t>
  </si>
  <si>
    <t>Calamina Ondulada F-632</t>
  </si>
  <si>
    <t>Calamina Ondulada F-633</t>
  </si>
  <si>
    <t>Calamina Ondulada F-634</t>
  </si>
  <si>
    <t>Calamina Ondulada F-635</t>
  </si>
  <si>
    <t>Calamina Ondulada F-636</t>
  </si>
  <si>
    <t>Calamina Ondulada F-637</t>
  </si>
  <si>
    <t>Calamina Ondulada F-638</t>
  </si>
  <si>
    <t>VENTA CLAVOS DE CALAMINA F- 638</t>
  </si>
  <si>
    <t>Calamina Ondulada F-639</t>
  </si>
  <si>
    <t>Calamina Ondulada F-640</t>
  </si>
  <si>
    <t>Calamina Ondulada F-641</t>
  </si>
  <si>
    <t>VENTA CLAVOS DE CALAMINA F- 641</t>
  </si>
  <si>
    <t>Calamina Ondulada F-642</t>
  </si>
  <si>
    <t>Calamina Ondulada F-643</t>
  </si>
  <si>
    <t>Calamina Ondulada F-644</t>
  </si>
  <si>
    <t>Calamina Ondulada F-645</t>
  </si>
  <si>
    <t>Calamina Ondulada F-646</t>
  </si>
  <si>
    <t>Calamina Ondulada F-647</t>
  </si>
  <si>
    <t>Venta tirafondos 63*76.2 c/gomas F-648</t>
  </si>
  <si>
    <t>Calamina Ondulada F-649</t>
  </si>
  <si>
    <t>Calamina Ondulada F-650</t>
  </si>
  <si>
    <t>Venta tirafondos 63*76.2 c/gomas F-651</t>
  </si>
  <si>
    <t>Calamina Ondulada F-652</t>
  </si>
  <si>
    <t xml:space="preserve">VENTA CLAVOS DE CALAMINA F-652 </t>
  </si>
  <si>
    <t>Calamina Ondulada F-653</t>
  </si>
  <si>
    <t>TOTAL</t>
  </si>
  <si>
    <t>VALORACIÓN INVENTARIO FINAL, PRECIO DE LAS FACTURAS DE COMPRAS (ULTIMAS COMPRAS) Art..9 del D.S. 24051</t>
  </si>
  <si>
    <t>INVENTARIO FINAL AL COSTO HISTORICO</t>
  </si>
  <si>
    <t>AJUSTE</t>
  </si>
  <si>
    <t>INVENTARIO FINAL AL 31/12/2016</t>
  </si>
  <si>
    <t>Calamina Ondulada F-619</t>
  </si>
  <si>
    <t>Calamina Ondulada F-620</t>
  </si>
  <si>
    <t>Venta Ganchos J- 60 F-654</t>
  </si>
  <si>
    <t>Venta Calamina RAL F-655</t>
  </si>
  <si>
    <t>Mercaderia:Planchas RAL N°28 0,35 mm para calaminas</t>
  </si>
  <si>
    <t>Mercaderia:Planchas para calaminas N°28 0.35mm</t>
  </si>
  <si>
    <t>ELVA FERNANDEZ DE DELGADILLO</t>
  </si>
  <si>
    <t>NIT  3733613014</t>
  </si>
  <si>
    <t>Mercaderia:Clavos de Calamina</t>
  </si>
  <si>
    <t>COMPRA C-15898</t>
  </si>
  <si>
    <t>VENTA CLAVOS DE CALAMINA F- 1100</t>
  </si>
  <si>
    <t>VENTA CLAVOS DE CALAMINA F- 1106</t>
  </si>
  <si>
    <t>VENTA CLAVOS DE CALAMINA F- 1107</t>
  </si>
  <si>
    <t>VENTA CLAVOS DE CALAMINA F- 1108</t>
  </si>
  <si>
    <t>VENTA CLAVOS DE CALAMINA F- 1112</t>
  </si>
  <si>
    <t>VENTA CLAVOS DE CALAMINA F- 1115</t>
  </si>
  <si>
    <t>VENTA CLAVOS DE CALAMINA F- 1116</t>
  </si>
  <si>
    <t>VENTA CLAVOS DE CALAMINA F- 1123</t>
  </si>
  <si>
    <t>VENTA CLAVOS DE CALAMINA F- 1124</t>
  </si>
  <si>
    <t>VENTA CLAVOS DE CALAMINA F- 1127</t>
  </si>
  <si>
    <t>VENTA CLAVOS DE CALAMINA F- 1128</t>
  </si>
  <si>
    <t>VENTA CLAVOS DE CALAMINA F- 1140</t>
  </si>
  <si>
    <t>VENTA CLAVOS DE CALAMINA F- 1144</t>
  </si>
  <si>
    <t>VENTA CLAVOS DE CALAMINA F- 1148</t>
  </si>
  <si>
    <t>VENTA CLAVOS DE CALAMINA F- 04</t>
  </si>
  <si>
    <t>VENTA CLAVOS DE CALAMINA F- 05</t>
  </si>
  <si>
    <t>VENTA CLAVOS DE CALAMINA F- 16</t>
  </si>
  <si>
    <t>VENTA CLAVOS DE CALAMINA F- 20</t>
  </si>
  <si>
    <t>VENTA CLAVOS DE CALAMINA F- 22</t>
  </si>
  <si>
    <t>VENTA CLAVOS DE CALAMINA F- 28</t>
  </si>
  <si>
    <t>VENTA CLAVOS DE CALAMINA F- 31</t>
  </si>
  <si>
    <t>VENTA CLAVOS DE CALAMINA F- 32</t>
  </si>
  <si>
    <t>COMPRA CLAVOS F- 1446</t>
  </si>
  <si>
    <t>VENTA CLAVOS DE CALAMINA F- 49</t>
  </si>
  <si>
    <t>VENTA CLAVOS DE CALAMINA F- 52</t>
  </si>
  <si>
    <t>VENTA CLAVOS DE CALAMINA F- 58</t>
  </si>
  <si>
    <t>VENTA CLAVOS DE CALAMINA F- 61</t>
  </si>
  <si>
    <t>VENTA CLAVOS DE CALAMINA F- 65</t>
  </si>
  <si>
    <t>VENTA CLAVOS DE CALAMINA F- 68</t>
  </si>
  <si>
    <t>VENTA CLAVOS DE CALAMINA F- 74</t>
  </si>
  <si>
    <t>VENTA CLAVOS DE CALAMINA F- 75</t>
  </si>
  <si>
    <t>VENTA CLAVOS DE CALAMINA F- 83</t>
  </si>
  <si>
    <t>VENTA CLAVOS DE CALAMINA F- 84</t>
  </si>
  <si>
    <t>VENTA CLAVOS DE CALAMINA F- 88</t>
  </si>
  <si>
    <t>VENTA CLAVOS DE CALAMINA F- 93</t>
  </si>
  <si>
    <t>VENTA CLAVOS DE CALAMINA F- 94</t>
  </si>
  <si>
    <t>VENTA CLAVOS DE CALAMINA F- 97</t>
  </si>
  <si>
    <t>VENTA CLAVOS DE CALAMINA F- 99</t>
  </si>
  <si>
    <t>VENTA CLAVOS DE CALAMINA F- 104</t>
  </si>
  <si>
    <t>VENTA CLAVOS DE CALAMINA F- 106</t>
  </si>
  <si>
    <t>VENTA CLAVOS DE CALAMINA F- 112</t>
  </si>
  <si>
    <t>VENTA CLAVOS DE CALAMINA F- 117</t>
  </si>
  <si>
    <t>VENTA CLAVOS DE CALAMINA F- 119</t>
  </si>
  <si>
    <t>VENTA CLAVOS DE CALAMINA F- 120</t>
  </si>
  <si>
    <t>VENTA CLAVOS DE CALAMINA F- 124</t>
  </si>
  <si>
    <t>COMPRA CLAVOS F- 2012</t>
  </si>
  <si>
    <t>VENTA CLAVOS DE CALAMINA F- 138</t>
  </si>
  <si>
    <t>VENTA CLAVOS DE CALAMINA F- 146</t>
  </si>
  <si>
    <t>VENTA CLAVOS DE CALAMINA F- 148</t>
  </si>
  <si>
    <t>VENTA CLAVOS DE CALAMINA F- 150</t>
  </si>
  <si>
    <t>VENTA CLAVOS DE CALAMINA F- 177</t>
  </si>
  <si>
    <t>VENTA CLAVOS DE CALAMINA F- 179</t>
  </si>
  <si>
    <t>VENTA CLAVOS DE CALAMINA F- 185</t>
  </si>
  <si>
    <t>VENTA CLAVOS DE CALAMINA F- 187</t>
  </si>
  <si>
    <t>VENTA CLAVOS DE CALAMINA F- 188</t>
  </si>
  <si>
    <t>VENTA CLAVOS DE CALAMINA F- 195</t>
  </si>
  <si>
    <t>VENTA CLAVOS DE CALAMINA F- 196</t>
  </si>
  <si>
    <t>VENTA CLAVOS DE CALAMINA F- 198</t>
  </si>
  <si>
    <t>VENTA CLAVOS DE CALAMINA F- 207</t>
  </si>
  <si>
    <t>VENTA CLAVOS DE CALAMINA F- 212</t>
  </si>
  <si>
    <t>VENTA CLAVOS DE CALAMINA F- 215</t>
  </si>
  <si>
    <t>VENTA CLAVOS DE CALAMINA F- 219</t>
  </si>
  <si>
    <t>VENTA CLAVOS DE CALAMINA F- 221</t>
  </si>
  <si>
    <t>VENTA CLAVOS DE CALAMINA F- 223</t>
  </si>
  <si>
    <t>VENTA CLAVOS DE CALAMINA F- 229</t>
  </si>
  <si>
    <t>VENTA CLAVOS DE CALAMINA F- 234</t>
  </si>
  <si>
    <t>VENTA CLAVOS DE CALAMINA F- 239</t>
  </si>
  <si>
    <t>VENTA CLAVOS DE CALAMINA F- 241</t>
  </si>
  <si>
    <t>COMPRA CLAVOS F- 721</t>
  </si>
  <si>
    <t>VENTA CLAVOS DE CALAMINA F- 244</t>
  </si>
  <si>
    <t>VENTA CLAVOS DE CALAMINA F- 246</t>
  </si>
  <si>
    <t>VENTA CLAVOS DE CALAMINA F- 248</t>
  </si>
  <si>
    <t>VENTA CLAVOS DE CALAMINA F- 253</t>
  </si>
  <si>
    <t>VENTA CLAVOS DE CALAMINA F- 277</t>
  </si>
  <si>
    <t>VENTA CLAVOS DE CALAMINA F- 284</t>
  </si>
  <si>
    <t>VENTA CLAVOS DE CALAMINA F- 288</t>
  </si>
  <si>
    <t>VENTA CLAVOS DE CALAMINA F- 290</t>
  </si>
  <si>
    <t>VENTA CLAVOS DE CALAMINA F- 298</t>
  </si>
  <si>
    <t>VENTA CLAVOS DE CALAMINA F- 301</t>
  </si>
  <si>
    <t>VENTA CLAVOS DE CALAMINA F- 315</t>
  </si>
  <si>
    <t>COMPRA CLAVOS F- 1858</t>
  </si>
  <si>
    <t>VENTA CLAVOS DE CALAMINA F- 323</t>
  </si>
  <si>
    <t>VENTA CLAVOS DE CALAMINA F- 325</t>
  </si>
  <si>
    <t>VENTA CLAVOS DE CALAMINA F- 330</t>
  </si>
  <si>
    <t>VENTA CLAVOS DE CALAMINA F- 333</t>
  </si>
  <si>
    <t>VENTA CLAVOS DE CALAMINA F- 336</t>
  </si>
  <si>
    <t>VENTA CLAVOS DE CALAMINA F- 341</t>
  </si>
  <si>
    <t>VENTA CLAVOS DE CALAMINA F- 344</t>
  </si>
  <si>
    <t>VENTA CLAVOS DE CALAMINA F- 348</t>
  </si>
  <si>
    <t>VENTA CLAVOS DE CALAMINA F- 352</t>
  </si>
  <si>
    <t>VENTA CLAVOS DE CALAMINA F- 365</t>
  </si>
  <si>
    <t>VENTA CLAVOS DE CALAMINA F- 366</t>
  </si>
  <si>
    <t>VENTA CLAVOS DE CALAMINA F- 369</t>
  </si>
  <si>
    <t>VENTA CLAVOS DE CALAMINA F- 378</t>
  </si>
  <si>
    <t>COMPRA CLAVOS F- 90</t>
  </si>
  <si>
    <t>COMPRA CLAVOS F- 1042</t>
  </si>
  <si>
    <t>VENTA CLAVOS DE CALAMINA F- 625</t>
  </si>
  <si>
    <t>VALORACIÓN INVENTARIO FINAL, PERCIO DE LAS FACTURAS DE COMPRAS (ULTIMAS COMPRAS) Art..9 del D.S. 24051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</si>
</sst>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u/>
      <sz val="8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  <font>
      <b/>
      <sz val="6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0" fillId="0" borderId="2" xfId="0" applyBorder="1"/>
    <xf numFmtId="0" fontId="3" fillId="0" borderId="2" xfId="0" applyFont="1" applyBorder="1"/>
    <xf numFmtId="0" fontId="4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0" fillId="0" borderId="0" xfId="0" applyBorder="1"/>
    <xf numFmtId="0" fontId="3" fillId="0" borderId="0" xfId="0" applyFont="1" applyBorder="1"/>
    <xf numFmtId="0" fontId="4" fillId="0" borderId="5" xfId="0" applyFont="1" applyBorder="1"/>
    <xf numFmtId="0" fontId="5" fillId="0" borderId="4" xfId="0" applyFont="1" applyBorder="1"/>
    <xf numFmtId="0" fontId="5" fillId="0" borderId="0" xfId="0" applyFont="1" applyBorder="1"/>
    <xf numFmtId="0" fontId="0" fillId="0" borderId="4" xfId="0" applyBorder="1"/>
    <xf numFmtId="0" fontId="7" fillId="0" borderId="0" xfId="0" applyFont="1" applyBorder="1" applyAlignment="1">
      <alignment horizontal="center"/>
    </xf>
    <xf numFmtId="0" fontId="8" fillId="0" borderId="4" xfId="0" applyFont="1" applyBorder="1"/>
    <xf numFmtId="0" fontId="2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3" fontId="9" fillId="2" borderId="14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4" fontId="9" fillId="2" borderId="14" xfId="0" applyNumberFormat="1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14" fontId="10" fillId="0" borderId="12" xfId="0" applyNumberFormat="1" applyFont="1" applyBorder="1"/>
    <xf numFmtId="4" fontId="10" fillId="0" borderId="16" xfId="0" applyNumberFormat="1" applyFont="1" applyFill="1" applyBorder="1"/>
    <xf numFmtId="4" fontId="10" fillId="0" borderId="16" xfId="0" applyNumberFormat="1" applyFont="1" applyBorder="1"/>
    <xf numFmtId="4" fontId="8" fillId="0" borderId="0" xfId="0" applyNumberFormat="1" applyFont="1"/>
    <xf numFmtId="4" fontId="8" fillId="0" borderId="16" xfId="0" applyNumberFormat="1" applyFont="1" applyBorder="1"/>
    <xf numFmtId="4" fontId="12" fillId="0" borderId="16" xfId="0" applyNumberFormat="1" applyFont="1" applyBorder="1"/>
    <xf numFmtId="0" fontId="10" fillId="0" borderId="16" xfId="0" applyFont="1" applyBorder="1"/>
    <xf numFmtId="4" fontId="10" fillId="0" borderId="16" xfId="0" applyNumberFormat="1" applyFont="1" applyBorder="1" applyAlignment="1">
      <alignment horizontal="right"/>
    </xf>
    <xf numFmtId="4" fontId="10" fillId="2" borderId="16" xfId="0" applyNumberFormat="1" applyFont="1" applyFill="1" applyBorder="1"/>
    <xf numFmtId="0" fontId="12" fillId="0" borderId="18" xfId="0" applyFont="1" applyBorder="1"/>
    <xf numFmtId="0" fontId="8" fillId="0" borderId="2" xfId="0" applyFont="1" applyBorder="1"/>
    <xf numFmtId="0" fontId="10" fillId="0" borderId="2" xfId="0" applyFont="1" applyBorder="1"/>
    <xf numFmtId="0" fontId="12" fillId="0" borderId="3" xfId="0" applyFont="1" applyBorder="1"/>
    <xf numFmtId="0" fontId="8" fillId="0" borderId="0" xfId="0" applyFont="1" applyBorder="1"/>
    <xf numFmtId="0" fontId="10" fillId="0" borderId="0" xfId="0" applyFont="1" applyBorder="1"/>
    <xf numFmtId="0" fontId="12" fillId="0" borderId="5" xfId="0" applyFont="1" applyBorder="1"/>
    <xf numFmtId="0" fontId="2" fillId="0" borderId="0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3" fontId="2" fillId="2" borderId="14" xfId="0" applyNumberFormat="1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4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4" fontId="10" fillId="0" borderId="19" xfId="0" applyNumberFormat="1" applyFont="1" applyBorder="1"/>
    <xf numFmtId="0" fontId="12" fillId="0" borderId="16" xfId="0" applyFont="1" applyBorder="1"/>
    <xf numFmtId="2" fontId="10" fillId="0" borderId="16" xfId="0" applyNumberFormat="1" applyFont="1" applyBorder="1"/>
    <xf numFmtId="2" fontId="8" fillId="0" borderId="16" xfId="0" applyNumberFormat="1" applyFont="1" applyBorder="1"/>
    <xf numFmtId="0" fontId="10" fillId="0" borderId="17" xfId="0" applyFont="1" applyBorder="1"/>
    <xf numFmtId="14" fontId="10" fillId="2" borderId="12" xfId="0" applyNumberFormat="1" applyFont="1" applyFill="1" applyBorder="1"/>
    <xf numFmtId="0" fontId="10" fillId="2" borderId="16" xfId="0" applyFont="1" applyFill="1" applyBorder="1"/>
    <xf numFmtId="0" fontId="12" fillId="2" borderId="16" xfId="0" applyFont="1" applyFill="1" applyBorder="1"/>
    <xf numFmtId="4" fontId="10" fillId="2" borderId="16" xfId="0" applyNumberFormat="1" applyFont="1" applyFill="1" applyBorder="1" applyAlignment="1">
      <alignment horizontal="right"/>
    </xf>
    <xf numFmtId="2" fontId="10" fillId="2" borderId="16" xfId="0" applyNumberFormat="1" applyFont="1" applyFill="1" applyBorder="1"/>
    <xf numFmtId="4" fontId="12" fillId="2" borderId="16" xfId="0" applyNumberFormat="1" applyFont="1" applyFill="1" applyBorder="1"/>
    <xf numFmtId="2" fontId="10" fillId="0" borderId="16" xfId="0" applyNumberFormat="1" applyFont="1" applyFill="1" applyBorder="1"/>
    <xf numFmtId="2" fontId="10" fillId="0" borderId="16" xfId="0" applyNumberFormat="1" applyFont="1" applyBorder="1" applyAlignment="1">
      <alignment horizontal="right"/>
    </xf>
    <xf numFmtId="2" fontId="12" fillId="0" borderId="16" xfId="0" applyNumberFormat="1" applyFont="1" applyBorder="1"/>
    <xf numFmtId="0" fontId="10" fillId="0" borderId="18" xfId="0" applyFont="1" applyBorder="1"/>
    <xf numFmtId="0" fontId="0" fillId="0" borderId="5" xfId="0" applyBorder="1"/>
    <xf numFmtId="0" fontId="0" fillId="0" borderId="20" xfId="0" applyBorder="1"/>
    <xf numFmtId="0" fontId="0" fillId="0" borderId="11" xfId="0" applyBorder="1"/>
    <xf numFmtId="0" fontId="0" fillId="0" borderId="23" xfId="0" applyBorder="1"/>
    <xf numFmtId="0" fontId="0" fillId="0" borderId="14" xfId="0" applyBorder="1"/>
    <xf numFmtId="0" fontId="0" fillId="0" borderId="15" xfId="0" applyBorder="1"/>
    <xf numFmtId="0" fontId="0" fillId="0" borderId="24" xfId="0" applyBorder="1"/>
    <xf numFmtId="0" fontId="0" fillId="0" borderId="13" xfId="0" applyBorder="1"/>
    <xf numFmtId="0" fontId="0" fillId="0" borderId="25" xfId="0" applyBorder="1"/>
    <xf numFmtId="14" fontId="0" fillId="0" borderId="19" xfId="0" applyNumberFormat="1" applyBorder="1"/>
    <xf numFmtId="0" fontId="0" fillId="0" borderId="16" xfId="0" applyBorder="1"/>
    <xf numFmtId="2" fontId="0" fillId="0" borderId="16" xfId="0" applyNumberFormat="1" applyBorder="1"/>
    <xf numFmtId="2" fontId="0" fillId="0" borderId="0" xfId="0" applyNumberFormat="1" applyBorder="1"/>
    <xf numFmtId="2" fontId="0" fillId="0" borderId="18" xfId="0" applyNumberFormat="1" applyBorder="1"/>
    <xf numFmtId="14" fontId="8" fillId="0" borderId="19" xfId="0" applyNumberFormat="1" applyFont="1" applyBorder="1"/>
    <xf numFmtId="0" fontId="8" fillId="0" borderId="16" xfId="0" applyFont="1" applyBorder="1"/>
    <xf numFmtId="2" fontId="8" fillId="0" borderId="18" xfId="0" applyNumberFormat="1" applyFont="1" applyBorder="1"/>
    <xf numFmtId="0" fontId="10" fillId="0" borderId="14" xfId="0" applyFont="1" applyBorder="1"/>
    <xf numFmtId="2" fontId="10" fillId="0" borderId="16" xfId="1" applyNumberFormat="1" applyFont="1" applyBorder="1"/>
    <xf numFmtId="2" fontId="10" fillId="0" borderId="16" xfId="1" applyNumberFormat="1" applyFont="1" applyBorder="1" applyAlignment="1">
      <alignment horizontal="right" vertical="center" wrapText="1"/>
    </xf>
    <xf numFmtId="2" fontId="12" fillId="0" borderId="16" xfId="1" applyNumberFormat="1" applyFont="1" applyBorder="1"/>
    <xf numFmtId="2" fontId="10" fillId="0" borderId="17" xfId="0" applyNumberFormat="1" applyFont="1" applyBorder="1"/>
    <xf numFmtId="2" fontId="10" fillId="0" borderId="16" xfId="1" applyNumberFormat="1" applyFont="1" applyFill="1" applyBorder="1"/>
    <xf numFmtId="2" fontId="10" fillId="0" borderId="16" xfId="1" applyNumberFormat="1" applyFont="1" applyBorder="1" applyAlignment="1">
      <alignment horizontal="right"/>
    </xf>
    <xf numFmtId="2" fontId="12" fillId="0" borderId="18" xfId="0" applyNumberFormat="1" applyFont="1" applyBorder="1"/>
    <xf numFmtId="2" fontId="10" fillId="0" borderId="16" xfId="0" applyNumberFormat="1" applyFont="1" applyBorder="1" applyAlignment="1">
      <alignment horizontal="right" vertical="center" wrapText="1"/>
    </xf>
    <xf numFmtId="14" fontId="10" fillId="2" borderId="19" xfId="0" applyNumberFormat="1" applyFont="1" applyFill="1" applyBorder="1"/>
    <xf numFmtId="2" fontId="12" fillId="2" borderId="16" xfId="0" applyNumberFormat="1" applyFont="1" applyFill="1" applyBorder="1"/>
    <xf numFmtId="2" fontId="10" fillId="2" borderId="16" xfId="0" applyNumberFormat="1" applyFont="1" applyFill="1" applyBorder="1" applyAlignment="1">
      <alignment horizontal="right"/>
    </xf>
    <xf numFmtId="0" fontId="12" fillId="2" borderId="18" xfId="0" applyFont="1" applyFill="1" applyBorder="1"/>
    <xf numFmtId="2" fontId="0" fillId="0" borderId="16" xfId="0" applyNumberFormat="1" applyFill="1" applyBorder="1"/>
    <xf numFmtId="14" fontId="0" fillId="0" borderId="19" xfId="0" applyNumberFormat="1" applyFont="1" applyBorder="1"/>
    <xf numFmtId="0" fontId="0" fillId="0" borderId="16" xfId="0" applyFont="1" applyBorder="1"/>
    <xf numFmtId="2" fontId="0" fillId="0" borderId="16" xfId="0" applyNumberFormat="1" applyFont="1" applyBorder="1"/>
    <xf numFmtId="2" fontId="0" fillId="0" borderId="18" xfId="0" applyNumberFormat="1" applyFont="1" applyBorder="1"/>
    <xf numFmtId="4" fontId="12" fillId="0" borderId="16" xfId="0" applyNumberFormat="1" applyFont="1" applyFill="1" applyBorder="1"/>
    <xf numFmtId="0" fontId="12" fillId="0" borderId="18" xfId="0" applyFont="1" applyFill="1" applyBorder="1"/>
    <xf numFmtId="0" fontId="0" fillId="0" borderId="0" xfId="0" applyFill="1"/>
    <xf numFmtId="14" fontId="15" fillId="0" borderId="12" xfId="0" applyNumberFormat="1" applyFont="1" applyFill="1" applyBorder="1"/>
    <xf numFmtId="0" fontId="15" fillId="0" borderId="16" xfId="0" applyFont="1" applyFill="1" applyBorder="1"/>
    <xf numFmtId="4" fontId="15" fillId="0" borderId="16" xfId="0" applyNumberFormat="1" applyFont="1" applyFill="1" applyBorder="1"/>
    <xf numFmtId="4" fontId="15" fillId="0" borderId="16" xfId="0" applyNumberFormat="1" applyFont="1" applyFill="1" applyBorder="1" applyAlignment="1">
      <alignment horizontal="right"/>
    </xf>
    <xf numFmtId="14" fontId="15" fillId="0" borderId="12" xfId="0" applyNumberFormat="1" applyFont="1" applyBorder="1"/>
    <xf numFmtId="0" fontId="15" fillId="0" borderId="16" xfId="0" applyFont="1" applyBorder="1"/>
    <xf numFmtId="4" fontId="15" fillId="0" borderId="16" xfId="0" applyNumberFormat="1" applyFont="1" applyBorder="1"/>
    <xf numFmtId="4" fontId="15" fillId="0" borderId="16" xfId="0" applyNumberFormat="1" applyFont="1" applyBorder="1" applyAlignment="1">
      <alignment horizontal="right"/>
    </xf>
    <xf numFmtId="4" fontId="15" fillId="2" borderId="16" xfId="0" applyNumberFormat="1" applyFont="1" applyFill="1" applyBorder="1"/>
    <xf numFmtId="0" fontId="15" fillId="0" borderId="18" xfId="0" applyFont="1" applyBorder="1"/>
    <xf numFmtId="0" fontId="14" fillId="0" borderId="0" xfId="0" applyFont="1"/>
    <xf numFmtId="4" fontId="0" fillId="0" borderId="0" xfId="0" applyNumberFormat="1"/>
    <xf numFmtId="14" fontId="15" fillId="2" borderId="12" xfId="0" applyNumberFormat="1" applyFont="1" applyFill="1" applyBorder="1"/>
    <xf numFmtId="0" fontId="15" fillId="2" borderId="16" xfId="0" applyFont="1" applyFill="1" applyBorder="1"/>
    <xf numFmtId="4" fontId="15" fillId="2" borderId="16" xfId="0" applyNumberFormat="1" applyFont="1" applyFill="1" applyBorder="1" applyAlignment="1">
      <alignment horizontal="right"/>
    </xf>
    <xf numFmtId="2" fontId="15" fillId="2" borderId="16" xfId="0" applyNumberFormat="1" applyFont="1" applyFill="1" applyBorder="1"/>
    <xf numFmtId="14" fontId="14" fillId="0" borderId="0" xfId="0" applyNumberFormat="1" applyFont="1"/>
    <xf numFmtId="14" fontId="15" fillId="0" borderId="19" xfId="0" applyNumberFormat="1" applyFont="1" applyBorder="1"/>
    <xf numFmtId="2" fontId="15" fillId="0" borderId="16" xfId="0" applyNumberFormat="1" applyFont="1" applyFill="1" applyBorder="1"/>
    <xf numFmtId="2" fontId="15" fillId="0" borderId="16" xfId="0" applyNumberFormat="1" applyFont="1" applyBorder="1" applyAlignment="1">
      <alignment horizontal="right"/>
    </xf>
    <xf numFmtId="2" fontId="15" fillId="0" borderId="16" xfId="0" applyNumberFormat="1" applyFont="1" applyBorder="1"/>
    <xf numFmtId="2" fontId="14" fillId="0" borderId="0" xfId="0" applyNumberFormat="1" applyFont="1"/>
    <xf numFmtId="14" fontId="16" fillId="0" borderId="19" xfId="0" applyNumberFormat="1" applyFont="1" applyBorder="1"/>
    <xf numFmtId="0" fontId="16" fillId="0" borderId="16" xfId="0" applyFont="1" applyBorder="1"/>
    <xf numFmtId="2" fontId="16" fillId="0" borderId="16" xfId="0" applyNumberFormat="1" applyFont="1" applyBorder="1"/>
    <xf numFmtId="2" fontId="16" fillId="0" borderId="18" xfId="0" applyNumberFormat="1" applyFont="1" applyBorder="1"/>
    <xf numFmtId="2" fontId="17" fillId="0" borderId="16" xfId="0" applyNumberFormat="1" applyFont="1" applyBorder="1"/>
    <xf numFmtId="2" fontId="17" fillId="0" borderId="18" xfId="0" applyNumberFormat="1" applyFont="1" applyBorder="1"/>
    <xf numFmtId="2" fontId="15" fillId="0" borderId="16" xfId="1" applyNumberFormat="1" applyFont="1" applyFill="1" applyBorder="1"/>
    <xf numFmtId="2" fontId="15" fillId="0" borderId="16" xfId="1" applyNumberFormat="1" applyFont="1" applyBorder="1" applyAlignment="1">
      <alignment horizontal="right"/>
    </xf>
    <xf numFmtId="2" fontId="15" fillId="0" borderId="16" xfId="1" applyNumberFormat="1" applyFont="1" applyBorder="1"/>
    <xf numFmtId="2" fontId="15" fillId="0" borderId="18" xfId="0" applyNumberFormat="1" applyFont="1" applyBorder="1"/>
    <xf numFmtId="2" fontId="0" fillId="0" borderId="0" xfId="0" applyNumberFormat="1"/>
    <xf numFmtId="14" fontId="15" fillId="2" borderId="19" xfId="0" applyNumberFormat="1" applyFont="1" applyFill="1" applyBorder="1"/>
    <xf numFmtId="2" fontId="15" fillId="2" borderId="16" xfId="0" applyNumberFormat="1" applyFont="1" applyFill="1" applyBorder="1" applyAlignment="1">
      <alignment horizontal="right"/>
    </xf>
    <xf numFmtId="0" fontId="15" fillId="2" borderId="18" xfId="0" applyFont="1" applyFill="1" applyBorder="1"/>
    <xf numFmtId="14" fontId="8" fillId="0" borderId="16" xfId="0" applyNumberFormat="1" applyFont="1" applyBorder="1"/>
    <xf numFmtId="14" fontId="16" fillId="0" borderId="16" xfId="0" applyNumberFormat="1" applyFont="1" applyBorder="1"/>
    <xf numFmtId="0" fontId="8" fillId="0" borderId="0" xfId="0" applyFont="1"/>
    <xf numFmtId="0" fontId="8" fillId="2" borderId="0" xfId="0" applyFont="1" applyFill="1" applyBorder="1"/>
    <xf numFmtId="2" fontId="16" fillId="0" borderId="0" xfId="0" applyNumberFormat="1" applyFont="1"/>
    <xf numFmtId="14" fontId="16" fillId="0" borderId="0" xfId="0" applyNumberFormat="1" applyFont="1"/>
    <xf numFmtId="2" fontId="8" fillId="0" borderId="0" xfId="0" applyNumberFormat="1" applyFont="1"/>
    <xf numFmtId="0" fontId="8" fillId="0" borderId="3" xfId="0" applyFont="1" applyBorder="1"/>
    <xf numFmtId="0" fontId="8" fillId="0" borderId="5" xfId="0" applyFont="1" applyBorder="1"/>
    <xf numFmtId="0" fontId="8" fillId="0" borderId="30" xfId="0" applyFont="1" applyBorder="1"/>
    <xf numFmtId="0" fontId="8" fillId="0" borderId="31" xfId="0" applyFont="1" applyBorder="1"/>
    <xf numFmtId="0" fontId="8" fillId="0" borderId="32" xfId="0" applyFont="1" applyBorder="1"/>
    <xf numFmtId="0" fontId="8" fillId="0" borderId="28" xfId="0" applyFont="1" applyBorder="1"/>
    <xf numFmtId="0" fontId="8" fillId="0" borderId="23" xfId="0" applyFont="1" applyBorder="1"/>
    <xf numFmtId="0" fontId="8" fillId="0" borderId="14" xfId="0" applyFont="1" applyBorder="1"/>
    <xf numFmtId="43" fontId="8" fillId="0" borderId="16" xfId="1" applyFont="1" applyBorder="1"/>
    <xf numFmtId="43" fontId="8" fillId="0" borderId="0" xfId="1" applyFont="1" applyBorder="1"/>
    <xf numFmtId="43" fontId="8" fillId="0" borderId="16" xfId="1" applyFont="1" applyFill="1" applyBorder="1"/>
    <xf numFmtId="43" fontId="8" fillId="0" borderId="18" xfId="1" applyFont="1" applyBorder="1"/>
    <xf numFmtId="43" fontId="16" fillId="0" borderId="16" xfId="1" applyFont="1" applyBorder="1"/>
    <xf numFmtId="43" fontId="16" fillId="0" borderId="18" xfId="1" applyFont="1" applyBorder="1"/>
    <xf numFmtId="43" fontId="16" fillId="0" borderId="0" xfId="0" applyNumberFormat="1" applyFont="1"/>
    <xf numFmtId="0" fontId="16" fillId="0" borderId="0" xfId="0" applyFont="1"/>
    <xf numFmtId="43" fontId="8" fillId="0" borderId="0" xfId="0" applyNumberFormat="1" applyFont="1"/>
    <xf numFmtId="4" fontId="10" fillId="0" borderId="0" xfId="0" applyNumberFormat="1" applyFont="1" applyBorder="1" applyAlignment="1">
      <alignment horizontal="right"/>
    </xf>
    <xf numFmtId="4" fontId="10" fillId="2" borderId="0" xfId="0" applyNumberFormat="1" applyFont="1" applyFill="1" applyBorder="1"/>
    <xf numFmtId="4" fontId="10" fillId="0" borderId="0" xfId="0" applyNumberFormat="1" applyFont="1" applyBorder="1"/>
    <xf numFmtId="4" fontId="12" fillId="0" borderId="0" xfId="0" applyNumberFormat="1" applyFont="1" applyBorder="1"/>
    <xf numFmtId="0" fontId="9" fillId="2" borderId="33" xfId="0" applyFont="1" applyFill="1" applyBorder="1" applyAlignment="1">
      <alignment horizontal="center"/>
    </xf>
    <xf numFmtId="0" fontId="9" fillId="2" borderId="17" xfId="0" applyFont="1" applyFill="1" applyBorder="1"/>
    <xf numFmtId="4" fontId="8" fillId="0" borderId="0" xfId="0" applyNumberFormat="1" applyFont="1" applyBorder="1"/>
    <xf numFmtId="0" fontId="10" fillId="0" borderId="27" xfId="0" applyFont="1" applyBorder="1"/>
    <xf numFmtId="4" fontId="10" fillId="0" borderId="27" xfId="0" applyNumberFormat="1" applyFont="1" applyBorder="1" applyAlignment="1">
      <alignment horizontal="right"/>
    </xf>
    <xf numFmtId="4" fontId="10" fillId="2" borderId="27" xfId="0" applyNumberFormat="1" applyFont="1" applyFill="1" applyBorder="1"/>
    <xf numFmtId="4" fontId="10" fillId="0" borderId="27" xfId="0" applyNumberFormat="1" applyFont="1" applyBorder="1"/>
    <xf numFmtId="4" fontId="12" fillId="0" borderId="27" xfId="0" applyNumberFormat="1" applyFont="1" applyBorder="1"/>
    <xf numFmtId="14" fontId="8" fillId="0" borderId="0" xfId="0" applyNumberFormat="1" applyFont="1" applyBorder="1"/>
    <xf numFmtId="4" fontId="8" fillId="0" borderId="24" xfId="0" applyNumberFormat="1" applyFont="1" applyBorder="1"/>
    <xf numFmtId="4" fontId="16" fillId="0" borderId="0" xfId="0" applyNumberFormat="1" applyFont="1" applyFill="1"/>
    <xf numFmtId="0" fontId="16" fillId="0" borderId="0" xfId="0" applyFont="1" applyFill="1"/>
    <xf numFmtId="14" fontId="16" fillId="0" borderId="0" xfId="0" applyNumberFormat="1" applyFont="1" applyFill="1"/>
    <xf numFmtId="4" fontId="16" fillId="0" borderId="0" xfId="0" applyNumberFormat="1" applyFont="1"/>
    <xf numFmtId="0" fontId="8" fillId="0" borderId="18" xfId="0" applyFont="1" applyBorder="1"/>
    <xf numFmtId="0" fontId="16" fillId="0" borderId="18" xfId="0" applyFont="1" applyBorder="1"/>
    <xf numFmtId="4" fontId="8" fillId="0" borderId="27" xfId="0" applyNumberFormat="1" applyFont="1" applyBorder="1"/>
    <xf numFmtId="0" fontId="8" fillId="0" borderId="34" xfId="0" applyFont="1" applyBorder="1"/>
    <xf numFmtId="14" fontId="10" fillId="2" borderId="0" xfId="0" applyNumberFormat="1" applyFont="1" applyFill="1" applyBorder="1"/>
    <xf numFmtId="0" fontId="10" fillId="2" borderId="0" xfId="0" applyFont="1" applyFill="1" applyBorder="1"/>
    <xf numFmtId="0" fontId="12" fillId="2" borderId="0" xfId="0" applyFont="1" applyFill="1" applyBorder="1"/>
    <xf numFmtId="4" fontId="10" fillId="2" borderId="0" xfId="0" applyNumberFormat="1" applyFont="1" applyFill="1" applyBorder="1" applyAlignment="1">
      <alignment horizontal="right"/>
    </xf>
    <xf numFmtId="2" fontId="11" fillId="2" borderId="0" xfId="0" applyNumberFormat="1" applyFont="1" applyFill="1" applyBorder="1"/>
    <xf numFmtId="2" fontId="10" fillId="2" borderId="0" xfId="0" applyNumberFormat="1" applyFont="1" applyFill="1" applyBorder="1"/>
    <xf numFmtId="0" fontId="13" fillId="2" borderId="0" xfId="0" applyFont="1" applyFill="1" applyBorder="1"/>
    <xf numFmtId="4" fontId="12" fillId="2" borderId="0" xfId="0" applyNumberFormat="1" applyFont="1" applyFill="1" applyBorder="1"/>
    <xf numFmtId="0" fontId="11" fillId="2" borderId="0" xfId="0" applyFont="1" applyFill="1" applyBorder="1"/>
    <xf numFmtId="0" fontId="2" fillId="2" borderId="17" xfId="0" applyFont="1" applyFill="1" applyBorder="1"/>
    <xf numFmtId="14" fontId="10" fillId="2" borderId="35" xfId="0" applyNumberFormat="1" applyFont="1" applyFill="1" applyBorder="1"/>
    <xf numFmtId="0" fontId="10" fillId="2" borderId="27" xfId="0" applyFont="1" applyFill="1" applyBorder="1"/>
    <xf numFmtId="4" fontId="10" fillId="2" borderId="27" xfId="0" applyNumberFormat="1" applyFont="1" applyFill="1" applyBorder="1" applyAlignment="1">
      <alignment horizontal="right"/>
    </xf>
    <xf numFmtId="2" fontId="11" fillId="2" borderId="27" xfId="0" applyNumberFormat="1" applyFont="1" applyFill="1" applyBorder="1"/>
    <xf numFmtId="2" fontId="10" fillId="2" borderId="27" xfId="0" applyNumberFormat="1" applyFont="1" applyFill="1" applyBorder="1"/>
    <xf numFmtId="4" fontId="12" fillId="2" borderId="27" xfId="0" applyNumberFormat="1" applyFont="1" applyFill="1" applyBorder="1"/>
    <xf numFmtId="0" fontId="11" fillId="2" borderId="34" xfId="0" applyFont="1" applyFill="1" applyBorder="1"/>
    <xf numFmtId="0" fontId="10" fillId="2" borderId="18" xfId="0" applyFont="1" applyFill="1" applyBorder="1"/>
    <xf numFmtId="4" fontId="8" fillId="0" borderId="36" xfId="0" applyNumberFormat="1" applyFont="1" applyBorder="1"/>
    <xf numFmtId="14" fontId="10" fillId="0" borderId="0" xfId="0" applyNumberFormat="1" applyFont="1" applyBorder="1"/>
    <xf numFmtId="0" fontId="12" fillId="0" borderId="0" xfId="0" applyFont="1" applyBorder="1"/>
    <xf numFmtId="2" fontId="10" fillId="0" borderId="0" xfId="0" applyNumberFormat="1" applyFont="1" applyFill="1" applyBorder="1"/>
    <xf numFmtId="2" fontId="10" fillId="0" borderId="0" xfId="0" applyNumberFormat="1" applyFont="1" applyBorder="1" applyAlignment="1">
      <alignment horizontal="right"/>
    </xf>
    <xf numFmtId="2" fontId="10" fillId="0" borderId="0" xfId="0" applyNumberFormat="1" applyFont="1" applyBorder="1"/>
    <xf numFmtId="2" fontId="12" fillId="0" borderId="0" xfId="0" applyNumberFormat="1" applyFont="1" applyBorder="1"/>
    <xf numFmtId="14" fontId="10" fillId="0" borderId="37" xfId="0" applyNumberFormat="1" applyFont="1" applyBorder="1"/>
    <xf numFmtId="2" fontId="10" fillId="0" borderId="27" xfId="0" applyNumberFormat="1" applyFont="1" applyFill="1" applyBorder="1"/>
    <xf numFmtId="2" fontId="10" fillId="0" borderId="27" xfId="0" applyNumberFormat="1" applyFont="1" applyBorder="1" applyAlignment="1">
      <alignment horizontal="right"/>
    </xf>
    <xf numFmtId="2" fontId="10" fillId="0" borderId="27" xfId="0" applyNumberFormat="1" applyFont="1" applyBorder="1"/>
    <xf numFmtId="2" fontId="12" fillId="0" borderId="27" xfId="0" applyNumberFormat="1" applyFont="1" applyBorder="1"/>
    <xf numFmtId="0" fontId="10" fillId="0" borderId="34" xfId="0" applyFont="1" applyBorder="1"/>
    <xf numFmtId="2" fontId="0" fillId="0" borderId="36" xfId="0" applyNumberFormat="1" applyBorder="1"/>
    <xf numFmtId="2" fontId="8" fillId="0" borderId="0" xfId="0" applyNumberFormat="1" applyFont="1" applyBorder="1"/>
    <xf numFmtId="2" fontId="17" fillId="0" borderId="0" xfId="0" applyNumberFormat="1" applyFont="1" applyBorder="1"/>
    <xf numFmtId="14" fontId="8" fillId="0" borderId="37" xfId="0" applyNumberFormat="1" applyFont="1" applyBorder="1"/>
    <xf numFmtId="0" fontId="8" fillId="0" borderId="27" xfId="0" applyFont="1" applyBorder="1"/>
    <xf numFmtId="2" fontId="8" fillId="0" borderId="27" xfId="0" applyNumberFormat="1" applyFont="1" applyBorder="1"/>
    <xf numFmtId="2" fontId="17" fillId="0" borderId="27" xfId="0" applyNumberFormat="1" applyFont="1" applyBorder="1"/>
    <xf numFmtId="2" fontId="17" fillId="0" borderId="34" xfId="0" applyNumberFormat="1" applyFont="1" applyBorder="1"/>
    <xf numFmtId="2" fontId="10" fillId="0" borderId="0" xfId="1" applyNumberFormat="1" applyFont="1" applyFill="1" applyBorder="1"/>
    <xf numFmtId="2" fontId="10" fillId="0" borderId="0" xfId="1" applyNumberFormat="1" applyFont="1" applyBorder="1" applyAlignment="1">
      <alignment horizontal="right"/>
    </xf>
    <xf numFmtId="2" fontId="10" fillId="0" borderId="0" xfId="1" applyNumberFormat="1" applyFont="1" applyBorder="1"/>
    <xf numFmtId="2" fontId="12" fillId="0" borderId="0" xfId="1" applyNumberFormat="1" applyFont="1" applyBorder="1"/>
    <xf numFmtId="2" fontId="10" fillId="0" borderId="27" xfId="1" applyNumberFormat="1" applyFont="1" applyBorder="1" applyAlignment="1">
      <alignment horizontal="right"/>
    </xf>
    <xf numFmtId="2" fontId="12" fillId="0" borderId="27" xfId="1" applyNumberFormat="1" applyFont="1" applyBorder="1"/>
    <xf numFmtId="2" fontId="12" fillId="0" borderId="34" xfId="0" applyNumberFormat="1" applyFont="1" applyBorder="1"/>
    <xf numFmtId="2" fontId="8" fillId="0" borderId="36" xfId="0" applyNumberFormat="1" applyFont="1" applyBorder="1"/>
    <xf numFmtId="2" fontId="12" fillId="2" borderId="0" xfId="0" applyNumberFormat="1" applyFont="1" applyFill="1" applyBorder="1"/>
    <xf numFmtId="2" fontId="10" fillId="2" borderId="0" xfId="0" applyNumberFormat="1" applyFont="1" applyFill="1" applyBorder="1" applyAlignment="1">
      <alignment horizontal="right"/>
    </xf>
    <xf numFmtId="14" fontId="10" fillId="2" borderId="37" xfId="0" applyNumberFormat="1" applyFont="1" applyFill="1" applyBorder="1"/>
    <xf numFmtId="2" fontId="12" fillId="2" borderId="27" xfId="0" applyNumberFormat="1" applyFont="1" applyFill="1" applyBorder="1"/>
    <xf numFmtId="2" fontId="10" fillId="2" borderId="27" xfId="0" applyNumberFormat="1" applyFont="1" applyFill="1" applyBorder="1" applyAlignment="1">
      <alignment horizontal="right"/>
    </xf>
    <xf numFmtId="0" fontId="12" fillId="2" borderId="34" xfId="0" applyFont="1" applyFill="1" applyBorder="1"/>
    <xf numFmtId="2" fontId="11" fillId="0" borderId="0" xfId="0" applyNumberFormat="1" applyFont="1" applyBorder="1"/>
    <xf numFmtId="14" fontId="10" fillId="0" borderId="35" xfId="0" applyNumberFormat="1" applyFont="1" applyBorder="1"/>
    <xf numFmtId="0" fontId="12" fillId="0" borderId="34" xfId="0" applyFont="1" applyBorder="1"/>
    <xf numFmtId="0" fontId="8" fillId="0" borderId="37" xfId="0" applyFont="1" applyBorder="1"/>
    <xf numFmtId="43" fontId="8" fillId="0" borderId="27" xfId="1" applyFont="1" applyBorder="1"/>
    <xf numFmtId="43" fontId="8" fillId="0" borderId="34" xfId="1" applyFont="1" applyBorder="1"/>
    <xf numFmtId="43" fontId="8" fillId="0" borderId="27" xfId="0" applyNumberFormat="1" applyFont="1" applyBorder="1"/>
    <xf numFmtId="0" fontId="8" fillId="0" borderId="15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4" fontId="15" fillId="0" borderId="6" xfId="0" applyNumberFormat="1" applyFont="1" applyBorder="1"/>
    <xf numFmtId="0" fontId="15" fillId="0" borderId="11" xfId="0" applyFont="1" applyBorder="1"/>
    <xf numFmtId="2" fontId="15" fillId="0" borderId="11" xfId="0" applyNumberFormat="1" applyFont="1" applyFill="1" applyBorder="1"/>
    <xf numFmtId="2" fontId="15" fillId="0" borderId="11" xfId="0" applyNumberFormat="1" applyFont="1" applyBorder="1"/>
    <xf numFmtId="0" fontId="15" fillId="0" borderId="33" xfId="0" applyFont="1" applyBorder="1"/>
    <xf numFmtId="0" fontId="8" fillId="0" borderId="20" xfId="0" applyFont="1" applyBorder="1"/>
    <xf numFmtId="0" fontId="8" fillId="0" borderId="11" xfId="0" applyFont="1" applyBorder="1"/>
    <xf numFmtId="2" fontId="8" fillId="0" borderId="34" xfId="0" applyNumberFormat="1" applyFont="1" applyBorder="1"/>
    <xf numFmtId="0" fontId="8" fillId="0" borderId="16" xfId="0" applyFont="1" applyBorder="1" applyAlignment="1">
      <alignment horizontal="center"/>
    </xf>
    <xf numFmtId="0" fontId="5" fillId="0" borderId="0" xfId="0" applyFont="1" applyBorder="1" applyAlignment="1"/>
    <xf numFmtId="2" fontId="8" fillId="0" borderId="38" xfId="0" applyNumberFormat="1" applyFont="1" applyBorder="1"/>
    <xf numFmtId="2" fontId="8" fillId="0" borderId="16" xfId="0" applyNumberFormat="1" applyFont="1" applyFill="1" applyBorder="1"/>
    <xf numFmtId="14" fontId="16" fillId="0" borderId="6" xfId="0" applyNumberFormat="1" applyFont="1" applyBorder="1"/>
    <xf numFmtId="0" fontId="16" fillId="0" borderId="11" xfId="0" applyFont="1" applyBorder="1"/>
    <xf numFmtId="2" fontId="16" fillId="0" borderId="11" xfId="0" applyNumberFormat="1" applyFont="1" applyBorder="1"/>
    <xf numFmtId="2" fontId="16" fillId="0" borderId="33" xfId="0" applyNumberFormat="1" applyFont="1" applyBorder="1"/>
    <xf numFmtId="2" fontId="8" fillId="0" borderId="39" xfId="0" applyNumberFormat="1" applyFont="1" applyBorder="1"/>
    <xf numFmtId="14" fontId="0" fillId="0" borderId="0" xfId="0" applyNumberFormat="1" applyFont="1" applyBorder="1"/>
    <xf numFmtId="0" fontId="0" fillId="0" borderId="0" xfId="0" applyFont="1" applyBorder="1"/>
    <xf numFmtId="2" fontId="0" fillId="0" borderId="0" xfId="0" applyNumberFormat="1" applyFont="1" applyBorder="1"/>
    <xf numFmtId="14" fontId="0" fillId="0" borderId="16" xfId="0" applyNumberFormat="1" applyFont="1" applyBorder="1"/>
    <xf numFmtId="0" fontId="6" fillId="0" borderId="0" xfId="0" applyFont="1" applyBorder="1" applyAlignment="1">
      <alignment horizont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2" xfId="0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5" xfId="0" applyFont="1" applyBorder="1"/>
    <xf numFmtId="0" fontId="8" fillId="0" borderId="24" xfId="0" applyFont="1" applyBorder="1"/>
    <xf numFmtId="0" fontId="8" fillId="0" borderId="13" xfId="0" applyFont="1" applyBorder="1"/>
    <xf numFmtId="0" fontId="8" fillId="0" borderId="25" xfId="0" applyFont="1" applyBorder="1"/>
    <xf numFmtId="0" fontId="17" fillId="0" borderId="14" xfId="0" applyFont="1" applyBorder="1"/>
    <xf numFmtId="14" fontId="17" fillId="0" borderId="19" xfId="0" applyNumberFormat="1" applyFont="1" applyBorder="1"/>
    <xf numFmtId="0" fontId="17" fillId="0" borderId="16" xfId="0" applyFont="1" applyBorder="1"/>
    <xf numFmtId="2" fontId="17" fillId="0" borderId="0" xfId="0" applyNumberFormat="1" applyFont="1"/>
    <xf numFmtId="0" fontId="17" fillId="0" borderId="0" xfId="0" applyFont="1"/>
    <xf numFmtId="2" fontId="16" fillId="0" borderId="24" xfId="0" applyNumberFormat="1" applyFont="1" applyBorder="1"/>
    <xf numFmtId="14" fontId="8" fillId="0" borderId="0" xfId="0" applyNumberFormat="1" applyFont="1"/>
    <xf numFmtId="0" fontId="18" fillId="0" borderId="1" xfId="0" applyFont="1" applyBorder="1"/>
    <xf numFmtId="0" fontId="18" fillId="0" borderId="2" xfId="0" applyFont="1" applyBorder="1"/>
    <xf numFmtId="0" fontId="18" fillId="0" borderId="4" xfId="0" applyFont="1" applyBorder="1"/>
    <xf numFmtId="0" fontId="18" fillId="0" borderId="0" xfId="0" applyFont="1"/>
    <xf numFmtId="0" fontId="19" fillId="0" borderId="4" xfId="0" applyFont="1" applyBorder="1"/>
    <xf numFmtId="0" fontId="19" fillId="0" borderId="0" xfId="0" applyFont="1"/>
    <xf numFmtId="0" fontId="17" fillId="0" borderId="4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Font="1"/>
    <xf numFmtId="4" fontId="0" fillId="0" borderId="0" xfId="0" applyNumberFormat="1" applyFont="1"/>
    <xf numFmtId="4" fontId="0" fillId="0" borderId="24" xfId="0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iscal%20Felix%202015\Inventario%20Facturado%202015%20nuev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LVA%20FERNANDEZ%20FISCAL2015\INVENTARIO%20GESTION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dulada"/>
      <sheetName val="azul"/>
      <sheetName val="ral #28"/>
      <sheetName val="j-50"/>
      <sheetName val="j-60"/>
      <sheetName val="clavos"/>
      <sheetName val="ral #26"/>
      <sheetName val="blanco"/>
      <sheetName val="galva."/>
      <sheetName val="J-   70"/>
      <sheetName val="tiraf63-76"/>
      <sheetName val="tiraf 63-63"/>
      <sheetName val="Hoja2"/>
      <sheetName val="Hoja1"/>
    </sheetNames>
    <sheetDataSet>
      <sheetData sheetId="0" refreshError="1">
        <row r="150">
          <cell r="E150">
            <v>19661.449999999997</v>
          </cell>
        </row>
      </sheetData>
      <sheetData sheetId="1" refreshError="1">
        <row r="16">
          <cell r="E16">
            <v>2859.06</v>
          </cell>
          <cell r="J16">
            <v>72987.721727004842</v>
          </cell>
        </row>
      </sheetData>
      <sheetData sheetId="2" refreshError="1">
        <row r="80">
          <cell r="E80">
            <v>1575.5500000000006</v>
          </cell>
          <cell r="J80">
            <v>40744.622342977658</v>
          </cell>
        </row>
      </sheetData>
      <sheetData sheetId="3" refreshError="1"/>
      <sheetData sheetId="4" refreshError="1">
        <row r="35">
          <cell r="E35">
            <v>30</v>
          </cell>
          <cell r="J35">
            <v>14.433256206060321</v>
          </cell>
        </row>
      </sheetData>
      <sheetData sheetId="5" refreshError="1"/>
      <sheetData sheetId="6" refreshError="1"/>
      <sheetData sheetId="7" refreshError="1">
        <row r="61">
          <cell r="E61">
            <v>1175.2600000000016</v>
          </cell>
          <cell r="J61">
            <v>30289.324285599676</v>
          </cell>
        </row>
      </sheetData>
      <sheetData sheetId="8" refreshError="1">
        <row r="61">
          <cell r="E61">
            <v>4219.2</v>
          </cell>
          <cell r="J61">
            <v>83629.956344150138</v>
          </cell>
        </row>
      </sheetData>
      <sheetData sheetId="9" refreshError="1"/>
      <sheetData sheetId="10" refreshError="1">
        <row r="127">
          <cell r="E127">
            <v>1120531</v>
          </cell>
        </row>
      </sheetData>
      <sheetData sheetId="11" refreshError="1">
        <row r="43">
          <cell r="E43">
            <v>288850</v>
          </cell>
        </row>
      </sheetData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. RAL#26"/>
      <sheetName val="CLAVOS"/>
      <sheetName val="ZINCALUM"/>
      <sheetName val="ganchos j-70"/>
      <sheetName val="ganchos j-50"/>
      <sheetName val="ganchosj-60"/>
    </sheetNames>
    <sheetDataSet>
      <sheetData sheetId="0" refreshError="1"/>
      <sheetData sheetId="1" refreshError="1">
        <row r="45">
          <cell r="J45">
            <v>1039.9147826086955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N346"/>
  <sheetViews>
    <sheetView workbookViewId="0">
      <selection sqref="A1:N337"/>
    </sheetView>
  </sheetViews>
  <sheetFormatPr baseColWidth="10" defaultRowHeight="14.5" x14ac:dyDescent="0.35"/>
  <cols>
    <col min="2" max="2" width="23.453125" customWidth="1"/>
  </cols>
  <sheetData>
    <row r="1" spans="1:14" x14ac:dyDescent="0.35">
      <c r="A1" s="1" t="s">
        <v>0</v>
      </c>
      <c r="B1" s="2"/>
      <c r="C1" s="3"/>
      <c r="D1" s="3"/>
      <c r="E1" s="3"/>
      <c r="F1" s="3"/>
      <c r="G1" s="3"/>
      <c r="H1" s="4" t="s">
        <v>1</v>
      </c>
      <c r="I1" s="3"/>
      <c r="J1" s="3"/>
      <c r="K1" s="5"/>
    </row>
    <row r="2" spans="1:14" x14ac:dyDescent="0.35">
      <c r="A2" s="6" t="s">
        <v>2</v>
      </c>
      <c r="B2" s="7"/>
      <c r="C2" s="8"/>
      <c r="D2" s="8"/>
      <c r="E2" s="8"/>
      <c r="F2" s="8"/>
      <c r="G2" s="8"/>
      <c r="H2" s="9" t="s">
        <v>3</v>
      </c>
      <c r="I2" s="8"/>
      <c r="J2" s="8"/>
      <c r="K2" s="10"/>
    </row>
    <row r="3" spans="1:14" x14ac:dyDescent="0.35">
      <c r="A3" s="11" t="s">
        <v>4</v>
      </c>
      <c r="B3" s="12"/>
      <c r="C3" s="8"/>
      <c r="D3" s="8"/>
      <c r="E3" s="8"/>
      <c r="F3" s="8"/>
      <c r="G3" s="8"/>
      <c r="H3" s="9" t="s">
        <v>5</v>
      </c>
      <c r="I3" s="8"/>
      <c r="J3" s="8"/>
      <c r="K3" s="10"/>
    </row>
    <row r="4" spans="1:14" ht="18" x14ac:dyDescent="0.4">
      <c r="A4" s="13"/>
      <c r="B4" s="8"/>
      <c r="C4" s="8"/>
      <c r="D4" s="269" t="s">
        <v>6</v>
      </c>
      <c r="E4" s="269"/>
      <c r="F4" s="269"/>
      <c r="G4" s="269"/>
      <c r="H4" s="269"/>
      <c r="I4" s="8"/>
      <c r="J4" s="8"/>
      <c r="K4" s="10"/>
    </row>
    <row r="5" spans="1:14" x14ac:dyDescent="0.35">
      <c r="A5" s="13"/>
      <c r="B5" s="14"/>
      <c r="C5" s="8"/>
      <c r="D5" s="9" t="s">
        <v>64</v>
      </c>
      <c r="E5" s="14"/>
      <c r="F5" s="14"/>
      <c r="G5" s="8"/>
      <c r="H5" s="8"/>
      <c r="I5" s="8"/>
      <c r="J5" s="8"/>
      <c r="K5" s="10"/>
    </row>
    <row r="6" spans="1:14" x14ac:dyDescent="0.35">
      <c r="A6" s="15"/>
      <c r="B6" s="14"/>
      <c r="C6" s="8"/>
      <c r="D6" s="8" t="s">
        <v>7</v>
      </c>
      <c r="E6" s="14"/>
      <c r="F6" s="14"/>
      <c r="G6" s="8"/>
      <c r="H6" s="8"/>
      <c r="I6" s="8"/>
      <c r="J6" s="8"/>
      <c r="K6" s="10"/>
    </row>
    <row r="7" spans="1:14" x14ac:dyDescent="0.35">
      <c r="A7" s="16" t="s">
        <v>8</v>
      </c>
      <c r="B7" s="17" t="s">
        <v>9</v>
      </c>
      <c r="C7" s="270" t="s">
        <v>10</v>
      </c>
      <c r="D7" s="270"/>
      <c r="E7" s="271"/>
      <c r="F7" s="272" t="s">
        <v>11</v>
      </c>
      <c r="G7" s="272"/>
      <c r="H7" s="273" t="s">
        <v>12</v>
      </c>
      <c r="I7" s="274"/>
      <c r="J7" s="274"/>
      <c r="K7" s="166" t="s">
        <v>13</v>
      </c>
    </row>
    <row r="8" spans="1:14" x14ac:dyDescent="0.35">
      <c r="A8" s="18"/>
      <c r="B8" s="19"/>
      <c r="C8" s="19" t="s">
        <v>14</v>
      </c>
      <c r="D8" s="20" t="s">
        <v>15</v>
      </c>
      <c r="E8" s="21" t="s">
        <v>16</v>
      </c>
      <c r="F8" s="22" t="s">
        <v>17</v>
      </c>
      <c r="G8" s="22" t="s">
        <v>18</v>
      </c>
      <c r="H8" s="20" t="s">
        <v>19</v>
      </c>
      <c r="I8" s="23" t="s">
        <v>20</v>
      </c>
      <c r="J8" s="24" t="s">
        <v>21</v>
      </c>
      <c r="K8" s="167"/>
    </row>
    <row r="9" spans="1:14" x14ac:dyDescent="0.35">
      <c r="A9" s="25">
        <v>42371</v>
      </c>
      <c r="B9" s="81" t="s">
        <v>22</v>
      </c>
      <c r="C9" s="26">
        <f>+[1]ondulada!$E$150</f>
        <v>19661.449999999997</v>
      </c>
      <c r="D9" s="27"/>
      <c r="E9" s="30">
        <f>+C9</f>
        <v>19661.449999999997</v>
      </c>
      <c r="F9" s="27">
        <f>+H9/C9</f>
        <v>18.192888622151472</v>
      </c>
      <c r="G9" s="168"/>
      <c r="H9" s="29">
        <v>357698.57</v>
      </c>
      <c r="I9" s="30"/>
      <c r="J9" s="30">
        <f>+H9</f>
        <v>357698.57</v>
      </c>
      <c r="K9" s="53"/>
      <c r="L9" s="140"/>
      <c r="M9" s="140"/>
      <c r="N9" s="140"/>
    </row>
    <row r="10" spans="1:14" x14ac:dyDescent="0.35">
      <c r="A10" s="25">
        <v>42371</v>
      </c>
      <c r="B10" s="31" t="s">
        <v>37</v>
      </c>
      <c r="C10" s="30"/>
      <c r="D10" s="30">
        <f>5.12</f>
        <v>5.12</v>
      </c>
      <c r="E10" s="32">
        <f>+E9-D10</f>
        <v>19656.329999999998</v>
      </c>
      <c r="F10" s="33"/>
      <c r="G10" s="27">
        <f>+J9/E9</f>
        <v>18.192888622151472</v>
      </c>
      <c r="H10" s="33"/>
      <c r="I10" s="27">
        <f>+D10*G10</f>
        <v>93.14758974541553</v>
      </c>
      <c r="J10" s="30">
        <f>+J9-I10</f>
        <v>357605.4224102546</v>
      </c>
      <c r="K10" s="34"/>
      <c r="L10" s="140"/>
      <c r="M10" s="140"/>
      <c r="N10" s="140"/>
    </row>
    <row r="11" spans="1:14" x14ac:dyDescent="0.35">
      <c r="A11" s="25">
        <v>42373</v>
      </c>
      <c r="B11" s="31" t="s">
        <v>40</v>
      </c>
      <c r="C11" s="30"/>
      <c r="D11" s="30">
        <v>2.23</v>
      </c>
      <c r="E11" s="32">
        <f t="shared" ref="E11" si="0">+E10-D11</f>
        <v>19654.099999999999</v>
      </c>
      <c r="F11" s="33"/>
      <c r="G11" s="27">
        <f t="shared" ref="G11" si="1">+J10/E10</f>
        <v>18.192888622151472</v>
      </c>
      <c r="H11" s="33"/>
      <c r="I11" s="27">
        <f t="shared" ref="I11" si="2">+D11*G11</f>
        <v>40.570141627397781</v>
      </c>
      <c r="J11" s="30">
        <f t="shared" ref="J11" si="3">+J10-I11</f>
        <v>357564.8522686272</v>
      </c>
      <c r="K11" s="34"/>
      <c r="L11" s="140"/>
      <c r="M11" s="140"/>
      <c r="N11" s="140"/>
    </row>
    <row r="12" spans="1:14" x14ac:dyDescent="0.35">
      <c r="A12" s="25">
        <v>42375</v>
      </c>
      <c r="B12" s="31" t="s">
        <v>43</v>
      </c>
      <c r="C12" s="30"/>
      <c r="D12" s="30">
        <v>6</v>
      </c>
      <c r="E12" s="32">
        <f t="shared" ref="E12:E48" si="4">+E11-D12</f>
        <v>19648.099999999999</v>
      </c>
      <c r="F12" s="33"/>
      <c r="G12" s="27">
        <f t="shared" ref="G12:G48" si="5">+J11/E11</f>
        <v>18.192888622151472</v>
      </c>
      <c r="H12" s="33"/>
      <c r="I12" s="27">
        <f t="shared" ref="I12:I48" si="6">+D12*G12</f>
        <v>109.15733173290883</v>
      </c>
      <c r="J12" s="30">
        <f t="shared" ref="J12:J48" si="7">+J11-I12</f>
        <v>357455.69493689429</v>
      </c>
      <c r="K12" s="34"/>
      <c r="L12" s="140"/>
      <c r="M12" s="140"/>
      <c r="N12" s="140"/>
    </row>
    <row r="13" spans="1:14" x14ac:dyDescent="0.35">
      <c r="A13" s="25">
        <v>42375</v>
      </c>
      <c r="B13" s="31" t="s">
        <v>45</v>
      </c>
      <c r="C13" s="30"/>
      <c r="D13" s="30">
        <f>4*4.76</f>
        <v>19.04</v>
      </c>
      <c r="E13" s="32">
        <f t="shared" si="4"/>
        <v>19629.059999999998</v>
      </c>
      <c r="F13" s="33"/>
      <c r="G13" s="27">
        <f t="shared" si="5"/>
        <v>18.192888622151472</v>
      </c>
      <c r="H13" s="33"/>
      <c r="I13" s="27">
        <f t="shared" si="6"/>
        <v>346.392599365764</v>
      </c>
      <c r="J13" s="30">
        <f t="shared" si="7"/>
        <v>357109.3023375285</v>
      </c>
      <c r="K13" s="34"/>
      <c r="L13" s="140"/>
      <c r="M13" s="140"/>
      <c r="N13" s="140"/>
    </row>
    <row r="14" spans="1:14" x14ac:dyDescent="0.35">
      <c r="A14" s="25">
        <v>42375</v>
      </c>
      <c r="B14" s="31" t="s">
        <v>46</v>
      </c>
      <c r="C14" s="30"/>
      <c r="D14" s="30">
        <v>7</v>
      </c>
      <c r="E14" s="32">
        <f t="shared" si="4"/>
        <v>19622.059999999998</v>
      </c>
      <c r="F14" s="33"/>
      <c r="G14" s="27">
        <f t="shared" si="5"/>
        <v>18.192888622151472</v>
      </c>
      <c r="H14" s="33"/>
      <c r="I14" s="27">
        <f t="shared" si="6"/>
        <v>127.3502203550603</v>
      </c>
      <c r="J14" s="30">
        <f t="shared" si="7"/>
        <v>356981.95211717341</v>
      </c>
      <c r="K14" s="34"/>
      <c r="L14" s="140"/>
      <c r="M14" s="140"/>
      <c r="N14" s="140"/>
    </row>
    <row r="15" spans="1:14" x14ac:dyDescent="0.35">
      <c r="A15" s="25">
        <v>42377</v>
      </c>
      <c r="B15" s="31" t="s">
        <v>55</v>
      </c>
      <c r="C15" s="30"/>
      <c r="D15" s="30">
        <f>3*6.1</f>
        <v>18.299999999999997</v>
      </c>
      <c r="E15" s="32">
        <f t="shared" si="4"/>
        <v>19603.759999999998</v>
      </c>
      <c r="F15" s="33"/>
      <c r="G15" s="27">
        <f t="shared" si="5"/>
        <v>18.192888622151468</v>
      </c>
      <c r="H15" s="33"/>
      <c r="I15" s="27">
        <f t="shared" si="6"/>
        <v>332.92986178537183</v>
      </c>
      <c r="J15" s="30">
        <f t="shared" si="7"/>
        <v>356649.02225538803</v>
      </c>
      <c r="K15" s="34"/>
      <c r="L15" s="140"/>
      <c r="M15" s="140"/>
      <c r="N15" s="140"/>
    </row>
    <row r="16" spans="1:14" x14ac:dyDescent="0.35">
      <c r="A16" s="25">
        <v>42378</v>
      </c>
      <c r="B16" s="31" t="s">
        <v>56</v>
      </c>
      <c r="C16" s="30"/>
      <c r="D16" s="30">
        <f>10*5</f>
        <v>50</v>
      </c>
      <c r="E16" s="32">
        <f t="shared" si="4"/>
        <v>19553.759999999998</v>
      </c>
      <c r="F16" s="33"/>
      <c r="G16" s="27">
        <f t="shared" si="5"/>
        <v>18.192888622151468</v>
      </c>
      <c r="H16" s="33"/>
      <c r="I16" s="27">
        <f t="shared" si="6"/>
        <v>909.64443110757338</v>
      </c>
      <c r="J16" s="30">
        <f t="shared" si="7"/>
        <v>355739.37782428047</v>
      </c>
      <c r="K16" s="34"/>
      <c r="L16" s="140"/>
      <c r="M16" s="140"/>
      <c r="N16" s="140"/>
    </row>
    <row r="17" spans="1:14" x14ac:dyDescent="0.35">
      <c r="A17" s="25">
        <v>42378</v>
      </c>
      <c r="B17" s="31" t="s">
        <v>60</v>
      </c>
      <c r="C17" s="30"/>
      <c r="D17" s="30">
        <f>7*2.8</f>
        <v>19.599999999999998</v>
      </c>
      <c r="E17" s="32">
        <f t="shared" si="4"/>
        <v>19534.16</v>
      </c>
      <c r="F17" s="33"/>
      <c r="G17" s="27">
        <f t="shared" si="5"/>
        <v>18.192888622151468</v>
      </c>
      <c r="H17" s="33"/>
      <c r="I17" s="27">
        <f t="shared" si="6"/>
        <v>356.58061699416874</v>
      </c>
      <c r="J17" s="30">
        <f t="shared" si="7"/>
        <v>355382.79720728629</v>
      </c>
      <c r="K17" s="34"/>
      <c r="L17" s="140"/>
      <c r="M17" s="140"/>
      <c r="N17" s="140"/>
    </row>
    <row r="18" spans="1:14" x14ac:dyDescent="0.35">
      <c r="A18" s="25">
        <v>42380</v>
      </c>
      <c r="B18" s="31" t="s">
        <v>61</v>
      </c>
      <c r="C18" s="30"/>
      <c r="D18" s="30">
        <f>5*4.5</f>
        <v>22.5</v>
      </c>
      <c r="E18" s="32">
        <f t="shared" si="4"/>
        <v>19511.66</v>
      </c>
      <c r="F18" s="33"/>
      <c r="G18" s="27">
        <f t="shared" si="5"/>
        <v>18.192888622151468</v>
      </c>
      <c r="H18" s="33"/>
      <c r="I18" s="27">
        <f t="shared" si="6"/>
        <v>409.33999399840803</v>
      </c>
      <c r="J18" s="30">
        <f t="shared" si="7"/>
        <v>354973.45721328788</v>
      </c>
      <c r="K18" s="34"/>
      <c r="L18" s="140"/>
      <c r="M18" s="140"/>
      <c r="N18" s="140"/>
    </row>
    <row r="19" spans="1:14" x14ac:dyDescent="0.35">
      <c r="A19" s="25">
        <v>42382</v>
      </c>
      <c r="B19" s="31" t="s">
        <v>69</v>
      </c>
      <c r="C19" s="30"/>
      <c r="D19" s="30">
        <f>22*5.7</f>
        <v>125.4</v>
      </c>
      <c r="E19" s="32">
        <f t="shared" si="4"/>
        <v>19386.259999999998</v>
      </c>
      <c r="F19" s="33"/>
      <c r="G19" s="27">
        <f t="shared" si="5"/>
        <v>18.192888622151468</v>
      </c>
      <c r="H19" s="33"/>
      <c r="I19" s="27">
        <f t="shared" si="6"/>
        <v>2281.3882332177941</v>
      </c>
      <c r="J19" s="30">
        <f t="shared" si="7"/>
        <v>352692.06898007006</v>
      </c>
      <c r="K19" s="34"/>
      <c r="L19" s="140"/>
      <c r="M19" s="140"/>
      <c r="N19" s="140"/>
    </row>
    <row r="20" spans="1:14" x14ac:dyDescent="0.35">
      <c r="A20" s="25">
        <v>42383</v>
      </c>
      <c r="B20" s="31" t="s">
        <v>74</v>
      </c>
      <c r="C20" s="30"/>
      <c r="D20" s="30">
        <f>29*2.6</f>
        <v>75.400000000000006</v>
      </c>
      <c r="E20" s="32">
        <f t="shared" si="4"/>
        <v>19310.859999999997</v>
      </c>
      <c r="F20" s="33"/>
      <c r="G20" s="27">
        <f t="shared" si="5"/>
        <v>18.192888622151468</v>
      </c>
      <c r="H20" s="33"/>
      <c r="I20" s="27">
        <f t="shared" si="6"/>
        <v>1371.7438021102207</v>
      </c>
      <c r="J20" s="30">
        <f t="shared" si="7"/>
        <v>351320.32517795986</v>
      </c>
      <c r="K20" s="34"/>
      <c r="L20" s="140"/>
      <c r="M20" s="140"/>
      <c r="N20" s="140"/>
    </row>
    <row r="21" spans="1:14" s="101" customFormat="1" x14ac:dyDescent="0.35">
      <c r="A21" s="102">
        <v>42384</v>
      </c>
      <c r="B21" s="103" t="s">
        <v>79</v>
      </c>
      <c r="C21" s="104"/>
      <c r="D21" s="104">
        <f>14*5.22</f>
        <v>73.08</v>
      </c>
      <c r="E21" s="105">
        <f t="shared" si="4"/>
        <v>19237.779999999995</v>
      </c>
      <c r="F21" s="104"/>
      <c r="G21" s="104">
        <f t="shared" si="5"/>
        <v>18.192888622151468</v>
      </c>
      <c r="H21" s="104"/>
      <c r="I21" s="104">
        <f t="shared" si="6"/>
        <v>1329.5363005068293</v>
      </c>
      <c r="J21" s="104">
        <f t="shared" si="7"/>
        <v>349990.78887745301</v>
      </c>
      <c r="K21" s="100"/>
      <c r="L21" s="176">
        <f>SUM(I10:I21)</f>
        <v>7707.7811225469122</v>
      </c>
      <c r="M21" s="177"/>
      <c r="N21" s="178">
        <v>42384</v>
      </c>
    </row>
    <row r="22" spans="1:14" x14ac:dyDescent="0.35">
      <c r="A22" s="25">
        <v>42385</v>
      </c>
      <c r="B22" s="31" t="s">
        <v>82</v>
      </c>
      <c r="C22" s="30"/>
      <c r="D22" s="30">
        <f>36*4.17</f>
        <v>150.12</v>
      </c>
      <c r="E22" s="32">
        <f t="shared" si="4"/>
        <v>19087.659999999996</v>
      </c>
      <c r="F22" s="33"/>
      <c r="G22" s="27">
        <f t="shared" si="5"/>
        <v>18.192888622151468</v>
      </c>
      <c r="H22" s="33"/>
      <c r="I22" s="27">
        <f t="shared" si="6"/>
        <v>2731.1164399573786</v>
      </c>
      <c r="J22" s="30">
        <f t="shared" si="7"/>
        <v>347259.67243749561</v>
      </c>
      <c r="K22" s="34"/>
      <c r="L22" s="140"/>
      <c r="M22" s="140"/>
      <c r="N22" s="140"/>
    </row>
    <row r="23" spans="1:14" x14ac:dyDescent="0.35">
      <c r="A23" s="25">
        <v>42388</v>
      </c>
      <c r="B23" s="31" t="s">
        <v>90</v>
      </c>
      <c r="C23" s="30"/>
      <c r="D23" s="30">
        <v>0.5</v>
      </c>
      <c r="E23" s="32">
        <f t="shared" si="4"/>
        <v>19087.159999999996</v>
      </c>
      <c r="F23" s="33"/>
      <c r="G23" s="27">
        <f t="shared" si="5"/>
        <v>18.192888622151468</v>
      </c>
      <c r="H23" s="33"/>
      <c r="I23" s="27">
        <f t="shared" si="6"/>
        <v>9.096444311075734</v>
      </c>
      <c r="J23" s="30">
        <f t="shared" si="7"/>
        <v>347250.57599318452</v>
      </c>
      <c r="K23" s="34"/>
      <c r="L23" s="140"/>
      <c r="M23" s="140"/>
      <c r="N23" s="140"/>
    </row>
    <row r="24" spans="1:14" x14ac:dyDescent="0.35">
      <c r="A24" s="25">
        <v>42390</v>
      </c>
      <c r="B24" s="31" t="s">
        <v>97</v>
      </c>
      <c r="C24" s="30"/>
      <c r="D24" s="30">
        <f>7*5.5+7*4.7+12*5</f>
        <v>131.4</v>
      </c>
      <c r="E24" s="32">
        <f t="shared" si="4"/>
        <v>18955.759999999995</v>
      </c>
      <c r="F24" s="33"/>
      <c r="G24" s="27">
        <f t="shared" si="5"/>
        <v>18.192888622151468</v>
      </c>
      <c r="H24" s="33"/>
      <c r="I24" s="27">
        <f t="shared" si="6"/>
        <v>2390.545564950703</v>
      </c>
      <c r="J24" s="30">
        <f t="shared" si="7"/>
        <v>344860.03042823385</v>
      </c>
      <c r="K24" s="34"/>
      <c r="L24" s="140"/>
      <c r="M24" s="140"/>
      <c r="N24" s="140"/>
    </row>
    <row r="25" spans="1:14" x14ac:dyDescent="0.35">
      <c r="A25" s="25">
        <v>42392</v>
      </c>
      <c r="B25" s="31" t="s">
        <v>100</v>
      </c>
      <c r="C25" s="30"/>
      <c r="D25" s="30">
        <f>39*6.1+20*4.3</f>
        <v>323.89999999999998</v>
      </c>
      <c r="E25" s="32">
        <f t="shared" si="4"/>
        <v>18631.859999999993</v>
      </c>
      <c r="F25" s="33"/>
      <c r="G25" s="27">
        <f t="shared" si="5"/>
        <v>18.192888622151468</v>
      </c>
      <c r="H25" s="33"/>
      <c r="I25" s="27">
        <f t="shared" si="6"/>
        <v>5892.6766247148598</v>
      </c>
      <c r="J25" s="30">
        <f t="shared" si="7"/>
        <v>338967.35380351898</v>
      </c>
      <c r="K25" s="34"/>
      <c r="L25" s="140"/>
      <c r="M25" s="140"/>
      <c r="N25" s="140"/>
    </row>
    <row r="26" spans="1:14" x14ac:dyDescent="0.35">
      <c r="A26" s="25">
        <v>42396</v>
      </c>
      <c r="B26" s="31" t="s">
        <v>106</v>
      </c>
      <c r="C26" s="30"/>
      <c r="D26" s="30">
        <f>16*4.43+11.07</f>
        <v>81.949999999999989</v>
      </c>
      <c r="E26" s="32">
        <f t="shared" si="4"/>
        <v>18549.909999999993</v>
      </c>
      <c r="F26" s="33"/>
      <c r="G26" s="27">
        <f t="shared" si="5"/>
        <v>18.192888622151472</v>
      </c>
      <c r="H26" s="33"/>
      <c r="I26" s="27">
        <f t="shared" si="6"/>
        <v>1490.9072225853129</v>
      </c>
      <c r="J26" s="30">
        <f t="shared" si="7"/>
        <v>337476.4465809337</v>
      </c>
      <c r="K26" s="34"/>
      <c r="L26" s="140"/>
      <c r="M26" s="140"/>
      <c r="N26" s="140"/>
    </row>
    <row r="27" spans="1:14" x14ac:dyDescent="0.35">
      <c r="A27" s="25">
        <v>42397</v>
      </c>
      <c r="B27" s="31" t="s">
        <v>111</v>
      </c>
      <c r="C27" s="30"/>
      <c r="D27" s="30">
        <v>16</v>
      </c>
      <c r="E27" s="32">
        <f t="shared" si="4"/>
        <v>18533.909999999993</v>
      </c>
      <c r="F27" s="33"/>
      <c r="G27" s="27">
        <f t="shared" si="5"/>
        <v>18.192888622151472</v>
      </c>
      <c r="H27" s="33"/>
      <c r="I27" s="27">
        <f t="shared" si="6"/>
        <v>291.08621795442355</v>
      </c>
      <c r="J27" s="30">
        <f t="shared" si="7"/>
        <v>337185.36036297929</v>
      </c>
      <c r="K27" s="34"/>
      <c r="L27" s="140"/>
      <c r="M27" s="140"/>
      <c r="N27" s="140"/>
    </row>
    <row r="28" spans="1:14" x14ac:dyDescent="0.35">
      <c r="A28" s="106">
        <v>42398</v>
      </c>
      <c r="B28" s="107" t="s">
        <v>114</v>
      </c>
      <c r="C28" s="108"/>
      <c r="D28" s="108">
        <f>14*0.75+6*1.6</f>
        <v>20.100000000000001</v>
      </c>
      <c r="E28" s="109">
        <f t="shared" si="4"/>
        <v>18513.809999999994</v>
      </c>
      <c r="F28" s="110"/>
      <c r="G28" s="108">
        <f t="shared" si="5"/>
        <v>18.192888622151475</v>
      </c>
      <c r="H28" s="110"/>
      <c r="I28" s="108">
        <f t="shared" si="6"/>
        <v>365.67706130524465</v>
      </c>
      <c r="J28" s="108">
        <f t="shared" si="7"/>
        <v>336819.68330167403</v>
      </c>
      <c r="K28" s="34"/>
      <c r="L28" s="179">
        <f>SUM(I22:I28)</f>
        <v>13171.105575778998</v>
      </c>
      <c r="M28" s="179">
        <f>SUM(L21:L28)</f>
        <v>20878.88669832591</v>
      </c>
      <c r="N28" s="143">
        <v>42400</v>
      </c>
    </row>
    <row r="29" spans="1:14" x14ac:dyDescent="0.35">
      <c r="A29" s="25">
        <v>42406</v>
      </c>
      <c r="B29" s="31" t="s">
        <v>125</v>
      </c>
      <c r="C29" s="30"/>
      <c r="D29" s="30">
        <f>20</f>
        <v>20</v>
      </c>
      <c r="E29" s="32">
        <f t="shared" si="4"/>
        <v>18493.809999999994</v>
      </c>
      <c r="F29" s="33"/>
      <c r="G29" s="27">
        <f t="shared" si="5"/>
        <v>18.192888622151472</v>
      </c>
      <c r="H29" s="33"/>
      <c r="I29" s="27">
        <f t="shared" si="6"/>
        <v>363.85777244302943</v>
      </c>
      <c r="J29" s="30">
        <f t="shared" si="7"/>
        <v>336455.82552923099</v>
      </c>
      <c r="K29" s="34"/>
      <c r="L29" s="140"/>
      <c r="M29" s="140"/>
      <c r="N29" s="140"/>
    </row>
    <row r="30" spans="1:14" x14ac:dyDescent="0.35">
      <c r="A30" s="25">
        <v>42410</v>
      </c>
      <c r="B30" s="31" t="s">
        <v>129</v>
      </c>
      <c r="C30" s="30"/>
      <c r="D30" s="30">
        <f>227*3+0.54</f>
        <v>681.54</v>
      </c>
      <c r="E30" s="32">
        <f t="shared" si="4"/>
        <v>17812.269999999993</v>
      </c>
      <c r="F30" s="33"/>
      <c r="G30" s="27">
        <f t="shared" si="5"/>
        <v>18.192888622151472</v>
      </c>
      <c r="H30" s="33"/>
      <c r="I30" s="27">
        <f t="shared" si="6"/>
        <v>12399.181311541113</v>
      </c>
      <c r="J30" s="30">
        <f t="shared" si="7"/>
        <v>324056.64421768987</v>
      </c>
      <c r="K30" s="34"/>
      <c r="L30" s="140"/>
      <c r="M30" s="140"/>
      <c r="N30" s="140"/>
    </row>
    <row r="31" spans="1:14" x14ac:dyDescent="0.35">
      <c r="A31" s="25">
        <v>42410</v>
      </c>
      <c r="B31" s="31" t="s">
        <v>131</v>
      </c>
      <c r="C31" s="30"/>
      <c r="D31" s="30">
        <f>13</f>
        <v>13</v>
      </c>
      <c r="E31" s="32">
        <f t="shared" si="4"/>
        <v>17799.269999999993</v>
      </c>
      <c r="F31" s="33"/>
      <c r="G31" s="27">
        <f t="shared" si="5"/>
        <v>18.192888622151472</v>
      </c>
      <c r="H31" s="33"/>
      <c r="I31" s="27">
        <f t="shared" si="6"/>
        <v>236.50755208796915</v>
      </c>
      <c r="J31" s="30">
        <f t="shared" si="7"/>
        <v>323820.13666560192</v>
      </c>
      <c r="K31" s="34"/>
      <c r="L31" s="140"/>
      <c r="M31" s="140"/>
      <c r="N31" s="140"/>
    </row>
    <row r="32" spans="1:14" x14ac:dyDescent="0.35">
      <c r="A32" s="25">
        <v>42410</v>
      </c>
      <c r="B32" s="31" t="s">
        <v>133</v>
      </c>
      <c r="C32" s="30"/>
      <c r="D32" s="30">
        <v>1.92</v>
      </c>
      <c r="E32" s="32">
        <f t="shared" si="4"/>
        <v>17797.349999999995</v>
      </c>
      <c r="F32" s="33"/>
      <c r="G32" s="27">
        <f t="shared" si="5"/>
        <v>18.192888622151472</v>
      </c>
      <c r="H32" s="33"/>
      <c r="I32" s="27">
        <f t="shared" si="6"/>
        <v>34.930346154530824</v>
      </c>
      <c r="J32" s="30">
        <f t="shared" si="7"/>
        <v>323785.20631944737</v>
      </c>
      <c r="K32" s="34"/>
      <c r="L32" s="140"/>
      <c r="M32" s="140"/>
      <c r="N32" s="140"/>
    </row>
    <row r="33" spans="1:14" x14ac:dyDescent="0.35">
      <c r="A33" s="25">
        <v>42410</v>
      </c>
      <c r="B33" s="31" t="s">
        <v>134</v>
      </c>
      <c r="C33" s="30"/>
      <c r="D33" s="30">
        <f>4*3.76+12*4.8</f>
        <v>72.639999999999986</v>
      </c>
      <c r="E33" s="32">
        <f t="shared" si="4"/>
        <v>17724.709999999995</v>
      </c>
      <c r="F33" s="33"/>
      <c r="G33" s="27">
        <f t="shared" si="5"/>
        <v>18.192888622151472</v>
      </c>
      <c r="H33" s="33"/>
      <c r="I33" s="27">
        <f t="shared" si="6"/>
        <v>1321.5314295130827</v>
      </c>
      <c r="J33" s="30">
        <f t="shared" si="7"/>
        <v>322463.67488993431</v>
      </c>
      <c r="K33" s="34"/>
      <c r="L33" s="140"/>
      <c r="M33" s="140"/>
      <c r="N33" s="140"/>
    </row>
    <row r="34" spans="1:14" x14ac:dyDescent="0.35">
      <c r="A34" s="25">
        <v>42411</v>
      </c>
      <c r="B34" s="31" t="s">
        <v>137</v>
      </c>
      <c r="C34" s="30"/>
      <c r="D34" s="30">
        <v>15</v>
      </c>
      <c r="E34" s="32">
        <f t="shared" si="4"/>
        <v>17709.709999999995</v>
      </c>
      <c r="F34" s="33"/>
      <c r="G34" s="27">
        <f t="shared" si="5"/>
        <v>18.192888622151472</v>
      </c>
      <c r="H34" s="33"/>
      <c r="I34" s="27">
        <f t="shared" si="6"/>
        <v>272.89332933227206</v>
      </c>
      <c r="J34" s="30">
        <f t="shared" si="7"/>
        <v>322190.78156060202</v>
      </c>
      <c r="K34" s="34"/>
      <c r="L34" s="140"/>
      <c r="M34" s="140"/>
      <c r="N34" s="140"/>
    </row>
    <row r="35" spans="1:14" x14ac:dyDescent="0.35">
      <c r="A35" s="25">
        <v>42411</v>
      </c>
      <c r="B35" s="31" t="s">
        <v>138</v>
      </c>
      <c r="C35" s="30"/>
      <c r="D35" s="30">
        <f>130*8+50*4+30*5+15*3+13.15</f>
        <v>1448.15</v>
      </c>
      <c r="E35" s="32">
        <f t="shared" si="4"/>
        <v>16261.559999999996</v>
      </c>
      <c r="F35" s="33"/>
      <c r="G35" s="27">
        <f t="shared" si="5"/>
        <v>18.192888622151468</v>
      </c>
      <c r="H35" s="33"/>
      <c r="I35" s="27">
        <f t="shared" si="6"/>
        <v>26346.031658168649</v>
      </c>
      <c r="J35" s="30">
        <f t="shared" si="7"/>
        <v>295844.74990243337</v>
      </c>
      <c r="K35" s="34"/>
      <c r="L35" s="140"/>
      <c r="M35" s="140"/>
      <c r="N35" s="140"/>
    </row>
    <row r="36" spans="1:14" x14ac:dyDescent="0.35">
      <c r="A36" s="25">
        <v>42412</v>
      </c>
      <c r="B36" s="31" t="s">
        <v>141</v>
      </c>
      <c r="C36" s="30"/>
      <c r="D36" s="30">
        <f>11*6.15+2*6.3+10*2</f>
        <v>100.25</v>
      </c>
      <c r="E36" s="32">
        <f t="shared" si="4"/>
        <v>16161.309999999996</v>
      </c>
      <c r="F36" s="33"/>
      <c r="G36" s="27">
        <f t="shared" si="5"/>
        <v>18.192888622151468</v>
      </c>
      <c r="H36" s="33"/>
      <c r="I36" s="27">
        <f t="shared" si="6"/>
        <v>1823.8370843706846</v>
      </c>
      <c r="J36" s="30">
        <f t="shared" si="7"/>
        <v>294020.9128180627</v>
      </c>
      <c r="K36" s="34"/>
      <c r="L36" s="140"/>
      <c r="M36" s="140"/>
      <c r="N36" s="140"/>
    </row>
    <row r="37" spans="1:14" x14ac:dyDescent="0.35">
      <c r="A37" s="106">
        <v>42415</v>
      </c>
      <c r="B37" s="107" t="s">
        <v>146</v>
      </c>
      <c r="C37" s="108"/>
      <c r="D37" s="108">
        <f>9*5.55+2*3.3+4*4.05+2.4+4.4</f>
        <v>79.550000000000011</v>
      </c>
      <c r="E37" s="109">
        <f t="shared" si="4"/>
        <v>16081.759999999997</v>
      </c>
      <c r="F37" s="110"/>
      <c r="G37" s="108">
        <f t="shared" si="5"/>
        <v>18.192888622151472</v>
      </c>
      <c r="H37" s="110"/>
      <c r="I37" s="108">
        <f t="shared" si="6"/>
        <v>1447.2442898921497</v>
      </c>
      <c r="J37" s="108">
        <f t="shared" si="7"/>
        <v>292573.66852817056</v>
      </c>
      <c r="K37" s="34"/>
      <c r="L37" s="179">
        <f>SUM(I29:I37)</f>
        <v>44246.014773503484</v>
      </c>
      <c r="M37" s="160"/>
      <c r="N37" s="143">
        <v>42415</v>
      </c>
    </row>
    <row r="38" spans="1:14" x14ac:dyDescent="0.35">
      <c r="A38" s="25">
        <v>42418</v>
      </c>
      <c r="B38" s="31" t="s">
        <v>150</v>
      </c>
      <c r="C38" s="30"/>
      <c r="D38" s="30">
        <f>2*2.15</f>
        <v>4.3</v>
      </c>
      <c r="E38" s="32">
        <f t="shared" si="4"/>
        <v>16077.459999999997</v>
      </c>
      <c r="F38" s="33"/>
      <c r="G38" s="27">
        <f t="shared" si="5"/>
        <v>18.192888622151468</v>
      </c>
      <c r="H38" s="33"/>
      <c r="I38" s="27">
        <f t="shared" si="6"/>
        <v>78.22942107525131</v>
      </c>
      <c r="J38" s="30">
        <f t="shared" si="7"/>
        <v>292495.4391070953</v>
      </c>
      <c r="K38" s="34"/>
      <c r="L38" s="140"/>
      <c r="M38" s="140"/>
      <c r="N38" s="140"/>
    </row>
    <row r="39" spans="1:14" x14ac:dyDescent="0.35">
      <c r="A39" s="25">
        <v>42418</v>
      </c>
      <c r="B39" s="31" t="s">
        <v>151</v>
      </c>
      <c r="C39" s="30"/>
      <c r="D39" s="30">
        <v>3.5</v>
      </c>
      <c r="E39" s="32">
        <f t="shared" si="4"/>
        <v>16073.959999999997</v>
      </c>
      <c r="F39" s="33"/>
      <c r="G39" s="27">
        <f t="shared" si="5"/>
        <v>18.192888622151468</v>
      </c>
      <c r="H39" s="33"/>
      <c r="I39" s="27">
        <f t="shared" si="6"/>
        <v>63.675110177530136</v>
      </c>
      <c r="J39" s="30">
        <f t="shared" si="7"/>
        <v>292431.76399691775</v>
      </c>
      <c r="K39" s="34"/>
      <c r="L39" s="140"/>
      <c r="M39" s="140"/>
      <c r="N39" s="140"/>
    </row>
    <row r="40" spans="1:14" x14ac:dyDescent="0.35">
      <c r="A40" s="25">
        <v>42419</v>
      </c>
      <c r="B40" s="31" t="s">
        <v>153</v>
      </c>
      <c r="C40" s="30"/>
      <c r="D40" s="30">
        <f>41*2.8</f>
        <v>114.8</v>
      </c>
      <c r="E40" s="32">
        <f t="shared" si="4"/>
        <v>15959.159999999998</v>
      </c>
      <c r="F40" s="33"/>
      <c r="G40" s="27">
        <f t="shared" si="5"/>
        <v>18.192888622151468</v>
      </c>
      <c r="H40" s="33"/>
      <c r="I40" s="27">
        <f t="shared" si="6"/>
        <v>2088.5436138229884</v>
      </c>
      <c r="J40" s="30">
        <f t="shared" si="7"/>
        <v>290343.22038309474</v>
      </c>
      <c r="K40" s="34"/>
      <c r="L40" s="140"/>
      <c r="M40" s="140"/>
      <c r="N40" s="140"/>
    </row>
    <row r="41" spans="1:14" x14ac:dyDescent="0.35">
      <c r="A41" s="25">
        <v>42420</v>
      </c>
      <c r="B41" s="31" t="s">
        <v>155</v>
      </c>
      <c r="C41" s="30"/>
      <c r="D41" s="30">
        <f>250*0.28+1.34</f>
        <v>71.34</v>
      </c>
      <c r="E41" s="32">
        <f t="shared" si="4"/>
        <v>15887.819999999998</v>
      </c>
      <c r="F41" s="33"/>
      <c r="G41" s="27">
        <f t="shared" si="5"/>
        <v>18.192888622151465</v>
      </c>
      <c r="H41" s="33"/>
      <c r="I41" s="27">
        <f t="shared" si="6"/>
        <v>1297.8806743042855</v>
      </c>
      <c r="J41" s="30">
        <f t="shared" si="7"/>
        <v>289045.33970879047</v>
      </c>
      <c r="K41" s="34"/>
      <c r="L41" s="140"/>
      <c r="M41" s="140"/>
      <c r="N41" s="140"/>
    </row>
    <row r="42" spans="1:14" x14ac:dyDescent="0.35">
      <c r="A42" s="25">
        <v>42420</v>
      </c>
      <c r="B42" s="31" t="s">
        <v>156</v>
      </c>
      <c r="C42" s="30"/>
      <c r="D42" s="30">
        <f>7*3.3</f>
        <v>23.099999999999998</v>
      </c>
      <c r="E42" s="32">
        <f t="shared" si="4"/>
        <v>15864.719999999998</v>
      </c>
      <c r="F42" s="33"/>
      <c r="G42" s="27">
        <f t="shared" si="5"/>
        <v>18.192888622151468</v>
      </c>
      <c r="H42" s="33"/>
      <c r="I42" s="27">
        <f t="shared" si="6"/>
        <v>420.25572717169888</v>
      </c>
      <c r="J42" s="30">
        <f t="shared" si="7"/>
        <v>288625.08398161875</v>
      </c>
      <c r="K42" s="34"/>
      <c r="L42" s="140"/>
      <c r="M42" s="140"/>
      <c r="N42" s="140"/>
    </row>
    <row r="43" spans="1:14" x14ac:dyDescent="0.35">
      <c r="A43" s="25">
        <v>42420</v>
      </c>
      <c r="B43" s="31" t="s">
        <v>158</v>
      </c>
      <c r="C43" s="30"/>
      <c r="D43" s="30">
        <f>9*5.6</f>
        <v>50.4</v>
      </c>
      <c r="E43" s="32">
        <f t="shared" si="4"/>
        <v>15814.319999999998</v>
      </c>
      <c r="F43" s="33"/>
      <c r="G43" s="27">
        <f t="shared" si="5"/>
        <v>18.192888622151465</v>
      </c>
      <c r="H43" s="33"/>
      <c r="I43" s="27">
        <f t="shared" si="6"/>
        <v>916.92158655643379</v>
      </c>
      <c r="J43" s="30">
        <f t="shared" si="7"/>
        <v>287708.16239506233</v>
      </c>
      <c r="K43" s="34"/>
      <c r="L43" s="140"/>
      <c r="M43" s="140"/>
      <c r="N43" s="140"/>
    </row>
    <row r="44" spans="1:14" x14ac:dyDescent="0.35">
      <c r="A44" s="25">
        <v>42420</v>
      </c>
      <c r="B44" s="31" t="s">
        <v>160</v>
      </c>
      <c r="C44" s="30"/>
      <c r="D44" s="30">
        <f>2*2</f>
        <v>4</v>
      </c>
      <c r="E44" s="32">
        <f t="shared" si="4"/>
        <v>15810.319999999998</v>
      </c>
      <c r="F44" s="33"/>
      <c r="G44" s="27">
        <f t="shared" si="5"/>
        <v>18.192888622151465</v>
      </c>
      <c r="H44" s="33"/>
      <c r="I44" s="27">
        <f t="shared" si="6"/>
        <v>72.771554488605858</v>
      </c>
      <c r="J44" s="30">
        <f t="shared" si="7"/>
        <v>287635.3908405737</v>
      </c>
      <c r="K44" s="34"/>
      <c r="L44" s="140"/>
      <c r="M44" s="140"/>
      <c r="N44" s="140"/>
    </row>
    <row r="45" spans="1:14" x14ac:dyDescent="0.35">
      <c r="A45" s="25">
        <v>42422</v>
      </c>
      <c r="B45" s="31" t="s">
        <v>161</v>
      </c>
      <c r="C45" s="30"/>
      <c r="D45" s="30">
        <f>3*5.85+4.6</f>
        <v>22.15</v>
      </c>
      <c r="E45" s="32">
        <f t="shared" si="4"/>
        <v>15788.169999999998</v>
      </c>
      <c r="F45" s="33"/>
      <c r="G45" s="27">
        <f t="shared" si="5"/>
        <v>18.192888622151465</v>
      </c>
      <c r="H45" s="33"/>
      <c r="I45" s="27">
        <f t="shared" si="6"/>
        <v>402.97248298065489</v>
      </c>
      <c r="J45" s="30">
        <f t="shared" si="7"/>
        <v>287232.41835759307</v>
      </c>
      <c r="K45" s="34"/>
      <c r="L45" s="140"/>
      <c r="M45" s="140"/>
      <c r="N45" s="140"/>
    </row>
    <row r="46" spans="1:14" x14ac:dyDescent="0.35">
      <c r="A46" s="25">
        <v>42422</v>
      </c>
      <c r="B46" s="31" t="s">
        <v>162</v>
      </c>
      <c r="C46" s="30"/>
      <c r="D46" s="30">
        <f>6*5.5+5*5.3</f>
        <v>59.5</v>
      </c>
      <c r="E46" s="32">
        <f t="shared" si="4"/>
        <v>15728.669999999998</v>
      </c>
      <c r="F46" s="33"/>
      <c r="G46" s="27">
        <f t="shared" si="5"/>
        <v>18.192888622151465</v>
      </c>
      <c r="H46" s="33"/>
      <c r="I46" s="27">
        <f t="shared" si="6"/>
        <v>1082.4768730180122</v>
      </c>
      <c r="J46" s="30">
        <f t="shared" si="7"/>
        <v>286149.94148457504</v>
      </c>
      <c r="K46" s="34"/>
      <c r="L46" s="140"/>
      <c r="M46" s="140"/>
      <c r="N46" s="140"/>
    </row>
    <row r="47" spans="1:14" x14ac:dyDescent="0.35">
      <c r="A47" s="25">
        <v>42422</v>
      </c>
      <c r="B47" s="31" t="s">
        <v>163</v>
      </c>
      <c r="C47" s="30"/>
      <c r="D47" s="30">
        <v>2</v>
      </c>
      <c r="E47" s="32">
        <f t="shared" si="4"/>
        <v>15726.669999999998</v>
      </c>
      <c r="F47" s="33"/>
      <c r="G47" s="27">
        <f t="shared" si="5"/>
        <v>18.192888622151465</v>
      </c>
      <c r="H47" s="33"/>
      <c r="I47" s="27">
        <f t="shared" si="6"/>
        <v>36.385777244302929</v>
      </c>
      <c r="J47" s="30">
        <f t="shared" si="7"/>
        <v>286113.55570733076</v>
      </c>
      <c r="K47" s="34"/>
      <c r="L47" s="140"/>
      <c r="M47" s="140"/>
      <c r="N47" s="140"/>
    </row>
    <row r="48" spans="1:14" x14ac:dyDescent="0.35">
      <c r="A48" s="25">
        <v>42422</v>
      </c>
      <c r="B48" s="31" t="s">
        <v>164</v>
      </c>
      <c r="C48" s="30"/>
      <c r="D48" s="30">
        <f>14*6</f>
        <v>84</v>
      </c>
      <c r="E48" s="32">
        <f t="shared" si="4"/>
        <v>15642.669999999998</v>
      </c>
      <c r="F48" s="33"/>
      <c r="G48" s="27">
        <f t="shared" si="5"/>
        <v>18.192888622151465</v>
      </c>
      <c r="H48" s="33"/>
      <c r="I48" s="27">
        <f t="shared" si="6"/>
        <v>1528.202644260723</v>
      </c>
      <c r="J48" s="30">
        <f t="shared" si="7"/>
        <v>284585.35306307004</v>
      </c>
      <c r="K48" s="34"/>
      <c r="L48" s="140"/>
      <c r="M48" s="140"/>
      <c r="N48" s="140"/>
    </row>
    <row r="49" spans="1:14" x14ac:dyDescent="0.35">
      <c r="A49" s="25">
        <v>42422</v>
      </c>
      <c r="B49" s="31" t="s">
        <v>165</v>
      </c>
      <c r="C49" s="30"/>
      <c r="D49" s="30">
        <f>25*5.4+25*5.45</f>
        <v>271.25</v>
      </c>
      <c r="E49" s="32">
        <f t="shared" ref="E49:E99" si="8">+E48-D49</f>
        <v>15371.419999999998</v>
      </c>
      <c r="F49" s="33"/>
      <c r="G49" s="27">
        <f t="shared" ref="G49:G99" si="9">+J48/E48</f>
        <v>18.192888622151465</v>
      </c>
      <c r="H49" s="33"/>
      <c r="I49" s="27">
        <f t="shared" ref="I49:I99" si="10">+D49*G49</f>
        <v>4934.821038758585</v>
      </c>
      <c r="J49" s="30">
        <f t="shared" ref="J49:J99" si="11">+J48-I49</f>
        <v>279650.53202431148</v>
      </c>
      <c r="K49" s="34"/>
      <c r="L49" s="140"/>
      <c r="M49" s="140"/>
      <c r="N49" s="140"/>
    </row>
    <row r="50" spans="1:14" x14ac:dyDescent="0.35">
      <c r="A50" s="25">
        <v>42423</v>
      </c>
      <c r="B50" s="31" t="s">
        <v>166</v>
      </c>
      <c r="C50" s="30"/>
      <c r="D50" s="30">
        <f>3.4+4*1.87+1.2+0.9+2*1.5+0.6+2.5</f>
        <v>19.080000000000002</v>
      </c>
      <c r="E50" s="32">
        <f t="shared" si="8"/>
        <v>15352.339999999998</v>
      </c>
      <c r="F50" s="33"/>
      <c r="G50" s="27">
        <f t="shared" si="9"/>
        <v>18.192888622151468</v>
      </c>
      <c r="H50" s="33"/>
      <c r="I50" s="27">
        <f t="shared" si="10"/>
        <v>347.12031491065005</v>
      </c>
      <c r="J50" s="30">
        <f t="shared" si="11"/>
        <v>279303.41170940083</v>
      </c>
      <c r="K50" s="34"/>
      <c r="L50" s="140"/>
      <c r="M50" s="140"/>
      <c r="N50" s="140"/>
    </row>
    <row r="51" spans="1:14" x14ac:dyDescent="0.35">
      <c r="A51" s="25">
        <v>42424</v>
      </c>
      <c r="B51" s="31" t="s">
        <v>168</v>
      </c>
      <c r="C51" s="30"/>
      <c r="D51" s="30">
        <v>3</v>
      </c>
      <c r="E51" s="32">
        <f t="shared" si="8"/>
        <v>15349.339999999998</v>
      </c>
      <c r="F51" s="33"/>
      <c r="G51" s="27">
        <f t="shared" si="9"/>
        <v>18.192888622151468</v>
      </c>
      <c r="H51" s="33"/>
      <c r="I51" s="27">
        <f t="shared" si="10"/>
        <v>54.578665866454401</v>
      </c>
      <c r="J51" s="30">
        <f t="shared" si="11"/>
        <v>279248.83304353437</v>
      </c>
      <c r="K51" s="34"/>
      <c r="L51" s="140"/>
      <c r="M51" s="140"/>
      <c r="N51" s="140"/>
    </row>
    <row r="52" spans="1:14" x14ac:dyDescent="0.35">
      <c r="A52" s="25">
        <v>42424</v>
      </c>
      <c r="B52" s="31" t="s">
        <v>169</v>
      </c>
      <c r="C52" s="30"/>
      <c r="D52" s="30">
        <f>2*1.5</f>
        <v>3</v>
      </c>
      <c r="E52" s="32">
        <f t="shared" si="8"/>
        <v>15346.339999999998</v>
      </c>
      <c r="F52" s="33"/>
      <c r="G52" s="27">
        <f t="shared" si="9"/>
        <v>18.192888622151468</v>
      </c>
      <c r="H52" s="33"/>
      <c r="I52" s="27">
        <f t="shared" si="10"/>
        <v>54.578665866454401</v>
      </c>
      <c r="J52" s="30">
        <f t="shared" si="11"/>
        <v>279194.25437766791</v>
      </c>
      <c r="K52" s="34"/>
      <c r="L52" s="140"/>
      <c r="M52" s="140"/>
      <c r="N52" s="140"/>
    </row>
    <row r="53" spans="1:14" x14ac:dyDescent="0.35">
      <c r="A53" s="25">
        <v>42425</v>
      </c>
      <c r="B53" s="31" t="s">
        <v>171</v>
      </c>
      <c r="C53" s="30"/>
      <c r="D53" s="30">
        <f>7*5.4</f>
        <v>37.800000000000004</v>
      </c>
      <c r="E53" s="32">
        <f t="shared" si="8"/>
        <v>15308.539999999999</v>
      </c>
      <c r="F53" s="33"/>
      <c r="G53" s="27">
        <f t="shared" si="9"/>
        <v>18.192888622151468</v>
      </c>
      <c r="H53" s="33"/>
      <c r="I53" s="27">
        <f t="shared" si="10"/>
        <v>687.69118991732557</v>
      </c>
      <c r="J53" s="30">
        <f t="shared" si="11"/>
        <v>278506.56318775058</v>
      </c>
      <c r="K53" s="34"/>
      <c r="L53" s="140"/>
      <c r="M53" s="140"/>
      <c r="N53" s="140"/>
    </row>
    <row r="54" spans="1:14" x14ac:dyDescent="0.35">
      <c r="A54" s="25">
        <v>42425</v>
      </c>
      <c r="B54" s="31" t="s">
        <v>172</v>
      </c>
      <c r="C54" s="30"/>
      <c r="D54" s="30">
        <f>7*5.4</f>
        <v>37.800000000000004</v>
      </c>
      <c r="E54" s="32">
        <f t="shared" si="8"/>
        <v>15270.74</v>
      </c>
      <c r="F54" s="33"/>
      <c r="G54" s="27">
        <f t="shared" si="9"/>
        <v>18.192888622151465</v>
      </c>
      <c r="H54" s="33"/>
      <c r="I54" s="27">
        <f t="shared" si="10"/>
        <v>687.69118991732546</v>
      </c>
      <c r="J54" s="30">
        <f t="shared" si="11"/>
        <v>277818.87199783325</v>
      </c>
      <c r="K54" s="34"/>
      <c r="L54" s="140"/>
      <c r="M54" s="140"/>
      <c r="N54" s="140"/>
    </row>
    <row r="55" spans="1:14" x14ac:dyDescent="0.35">
      <c r="A55" s="25">
        <v>42426</v>
      </c>
      <c r="B55" s="31" t="s">
        <v>173</v>
      </c>
      <c r="C55" s="30"/>
      <c r="D55" s="30">
        <f>3*1.4</f>
        <v>4.1999999999999993</v>
      </c>
      <c r="E55" s="32">
        <f t="shared" si="8"/>
        <v>15266.539999999999</v>
      </c>
      <c r="F55" s="33"/>
      <c r="G55" s="27">
        <f t="shared" si="9"/>
        <v>18.192888622151465</v>
      </c>
      <c r="H55" s="33"/>
      <c r="I55" s="27">
        <f t="shared" si="10"/>
        <v>76.410132213036135</v>
      </c>
      <c r="J55" s="30">
        <f t="shared" si="11"/>
        <v>277742.46186562022</v>
      </c>
      <c r="K55" s="34"/>
      <c r="L55" s="140"/>
      <c r="M55" s="140"/>
      <c r="N55" s="140"/>
    </row>
    <row r="56" spans="1:14" x14ac:dyDescent="0.35">
      <c r="A56" s="25">
        <v>42426</v>
      </c>
      <c r="B56" s="31" t="s">
        <v>174</v>
      </c>
      <c r="C56" s="30"/>
      <c r="D56" s="30">
        <f>9*4.6</f>
        <v>41.4</v>
      </c>
      <c r="E56" s="32">
        <f t="shared" si="8"/>
        <v>15225.14</v>
      </c>
      <c r="F56" s="33"/>
      <c r="G56" s="27">
        <f t="shared" si="9"/>
        <v>18.192888622151465</v>
      </c>
      <c r="H56" s="33"/>
      <c r="I56" s="27">
        <f t="shared" si="10"/>
        <v>753.18558895707065</v>
      </c>
      <c r="J56" s="30">
        <f t="shared" si="11"/>
        <v>276989.27627666318</v>
      </c>
      <c r="K56" s="34"/>
      <c r="L56" s="140"/>
      <c r="M56" s="140"/>
      <c r="N56" s="140"/>
    </row>
    <row r="57" spans="1:14" x14ac:dyDescent="0.35">
      <c r="A57" s="25">
        <v>42426</v>
      </c>
      <c r="B57" s="31" t="s">
        <v>175</v>
      </c>
      <c r="C57" s="30"/>
      <c r="D57" s="30">
        <f>1.85</f>
        <v>1.85</v>
      </c>
      <c r="E57" s="32">
        <f t="shared" si="8"/>
        <v>15223.289999999999</v>
      </c>
      <c r="F57" s="33"/>
      <c r="G57" s="27">
        <f t="shared" si="9"/>
        <v>18.192888622151468</v>
      </c>
      <c r="H57" s="33"/>
      <c r="I57" s="27">
        <f t="shared" si="10"/>
        <v>33.656843950980218</v>
      </c>
      <c r="J57" s="30">
        <f t="shared" si="11"/>
        <v>276955.61943271221</v>
      </c>
      <c r="K57" s="34"/>
      <c r="L57" s="140"/>
      <c r="M57" s="140"/>
      <c r="N57" s="140"/>
    </row>
    <row r="58" spans="1:14" x14ac:dyDescent="0.35">
      <c r="A58" s="25">
        <v>42429</v>
      </c>
      <c r="B58" s="31" t="s">
        <v>178</v>
      </c>
      <c r="C58" s="30"/>
      <c r="D58" s="30">
        <f>16*5</f>
        <v>80</v>
      </c>
      <c r="E58" s="32">
        <f t="shared" si="8"/>
        <v>15143.289999999999</v>
      </c>
      <c r="F58" s="33"/>
      <c r="G58" s="27">
        <f t="shared" si="9"/>
        <v>18.192888622151468</v>
      </c>
      <c r="H58" s="33"/>
      <c r="I58" s="27">
        <f t="shared" si="10"/>
        <v>1455.4310897721175</v>
      </c>
      <c r="J58" s="30">
        <f t="shared" si="11"/>
        <v>275500.18834294006</v>
      </c>
      <c r="K58" s="34"/>
      <c r="L58" s="140"/>
      <c r="M58" s="140"/>
      <c r="N58" s="140"/>
    </row>
    <row r="59" spans="1:14" x14ac:dyDescent="0.35">
      <c r="A59" s="25">
        <v>42429</v>
      </c>
      <c r="B59" s="31" t="s">
        <v>179</v>
      </c>
      <c r="C59" s="30"/>
      <c r="D59" s="30">
        <f>8*4.65+8*5.5+7*6.2</f>
        <v>124.6</v>
      </c>
      <c r="E59" s="32">
        <f t="shared" si="8"/>
        <v>15018.689999999999</v>
      </c>
      <c r="F59" s="33"/>
      <c r="G59" s="27">
        <f t="shared" si="9"/>
        <v>18.192888622151468</v>
      </c>
      <c r="H59" s="33"/>
      <c r="I59" s="27">
        <f t="shared" si="10"/>
        <v>2266.8339223200728</v>
      </c>
      <c r="J59" s="30">
        <f t="shared" si="11"/>
        <v>273233.35442062002</v>
      </c>
      <c r="K59" s="34"/>
      <c r="L59" s="140"/>
      <c r="M59" s="140"/>
      <c r="N59" s="140"/>
    </row>
    <row r="60" spans="1:14" x14ac:dyDescent="0.35">
      <c r="A60" s="106">
        <v>42429</v>
      </c>
      <c r="B60" s="107" t="s">
        <v>182</v>
      </c>
      <c r="C60" s="108"/>
      <c r="D60" s="108">
        <f>5*6.3+10*4.8</f>
        <v>79.5</v>
      </c>
      <c r="E60" s="109">
        <f t="shared" si="8"/>
        <v>14939.189999999999</v>
      </c>
      <c r="F60" s="110"/>
      <c r="G60" s="108">
        <f t="shared" si="9"/>
        <v>18.192888622151468</v>
      </c>
      <c r="H60" s="110"/>
      <c r="I60" s="108">
        <f t="shared" si="10"/>
        <v>1446.3346454610416</v>
      </c>
      <c r="J60" s="108">
        <f t="shared" si="11"/>
        <v>271787.01977515896</v>
      </c>
      <c r="K60" s="111"/>
      <c r="L60" s="179">
        <f>SUM(I38:I60)</f>
        <v>20786.648753011596</v>
      </c>
      <c r="M60" s="179">
        <f>SUM(L37:L60)</f>
        <v>65032.663526515084</v>
      </c>
      <c r="N60" s="143">
        <v>42429</v>
      </c>
    </row>
    <row r="61" spans="1:14" x14ac:dyDescent="0.35">
      <c r="A61" s="25">
        <v>42430</v>
      </c>
      <c r="B61" s="31" t="s">
        <v>183</v>
      </c>
      <c r="C61" s="30"/>
      <c r="D61" s="30">
        <f>8*0.76</f>
        <v>6.08</v>
      </c>
      <c r="E61" s="32">
        <f t="shared" si="8"/>
        <v>14933.109999999999</v>
      </c>
      <c r="F61" s="33"/>
      <c r="G61" s="27">
        <f t="shared" si="9"/>
        <v>18.192888622151468</v>
      </c>
      <c r="H61" s="33"/>
      <c r="I61" s="27">
        <f t="shared" si="10"/>
        <v>110.61276282268092</v>
      </c>
      <c r="J61" s="30">
        <f t="shared" si="11"/>
        <v>271676.40701233631</v>
      </c>
      <c r="K61" s="34"/>
      <c r="L61" s="140"/>
      <c r="M61" s="140"/>
      <c r="N61" s="140"/>
    </row>
    <row r="62" spans="1:14" x14ac:dyDescent="0.35">
      <c r="A62" s="25">
        <v>42431</v>
      </c>
      <c r="B62" s="31" t="s">
        <v>185</v>
      </c>
      <c r="C62" s="30"/>
      <c r="D62" s="30">
        <f>8*3.1</f>
        <v>24.8</v>
      </c>
      <c r="E62" s="32">
        <f t="shared" si="8"/>
        <v>14908.31</v>
      </c>
      <c r="F62" s="33"/>
      <c r="G62" s="27">
        <f t="shared" si="9"/>
        <v>18.192888622151468</v>
      </c>
      <c r="H62" s="33"/>
      <c r="I62" s="27">
        <f t="shared" si="10"/>
        <v>451.18363782935643</v>
      </c>
      <c r="J62" s="30">
        <f t="shared" si="11"/>
        <v>271225.22337450692</v>
      </c>
      <c r="K62" s="34"/>
      <c r="L62" s="140"/>
      <c r="M62" s="140"/>
      <c r="N62" s="140"/>
    </row>
    <row r="63" spans="1:14" x14ac:dyDescent="0.35">
      <c r="A63" s="25">
        <v>42431</v>
      </c>
      <c r="B63" s="31" t="s">
        <v>186</v>
      </c>
      <c r="C63" s="30"/>
      <c r="D63" s="30">
        <f>10*4.6</f>
        <v>46</v>
      </c>
      <c r="E63" s="32">
        <f t="shared" si="8"/>
        <v>14862.31</v>
      </c>
      <c r="F63" s="33"/>
      <c r="G63" s="27">
        <f t="shared" si="9"/>
        <v>18.192888622151468</v>
      </c>
      <c r="H63" s="33"/>
      <c r="I63" s="27">
        <f t="shared" si="10"/>
        <v>836.87287661896755</v>
      </c>
      <c r="J63" s="30">
        <f t="shared" si="11"/>
        <v>270388.35049788794</v>
      </c>
      <c r="K63" s="34"/>
      <c r="L63" s="140"/>
      <c r="M63" s="140"/>
      <c r="N63" s="140"/>
    </row>
    <row r="64" spans="1:14" x14ac:dyDescent="0.35">
      <c r="A64" s="25">
        <v>42431</v>
      </c>
      <c r="B64" s="31" t="s">
        <v>187</v>
      </c>
      <c r="C64" s="30"/>
      <c r="D64" s="30">
        <f>4*4</f>
        <v>16</v>
      </c>
      <c r="E64" s="32">
        <f t="shared" si="8"/>
        <v>14846.31</v>
      </c>
      <c r="F64" s="33"/>
      <c r="G64" s="27">
        <f t="shared" si="9"/>
        <v>18.192888622151465</v>
      </c>
      <c r="H64" s="33"/>
      <c r="I64" s="27">
        <f t="shared" si="10"/>
        <v>291.08621795442343</v>
      </c>
      <c r="J64" s="30">
        <f t="shared" si="11"/>
        <v>270097.26427993353</v>
      </c>
      <c r="K64" s="34"/>
      <c r="L64" s="140"/>
      <c r="M64" s="140"/>
      <c r="N64" s="140"/>
    </row>
    <row r="65" spans="1:14" x14ac:dyDescent="0.35">
      <c r="A65" s="25">
        <v>42432</v>
      </c>
      <c r="B65" s="31" t="s">
        <v>188</v>
      </c>
      <c r="C65" s="30"/>
      <c r="D65" s="30">
        <f>11*7.04</f>
        <v>77.44</v>
      </c>
      <c r="E65" s="32">
        <f t="shared" si="8"/>
        <v>14768.869999999999</v>
      </c>
      <c r="F65" s="33"/>
      <c r="G65" s="27">
        <f t="shared" si="9"/>
        <v>18.192888622151468</v>
      </c>
      <c r="H65" s="33"/>
      <c r="I65" s="27">
        <f t="shared" si="10"/>
        <v>1408.8572948994097</v>
      </c>
      <c r="J65" s="30">
        <f t="shared" si="11"/>
        <v>268688.40698503412</v>
      </c>
      <c r="K65" s="34"/>
      <c r="L65" s="140"/>
      <c r="M65" s="140"/>
      <c r="N65" s="140"/>
    </row>
    <row r="66" spans="1:14" x14ac:dyDescent="0.35">
      <c r="A66" s="25">
        <v>42432</v>
      </c>
      <c r="B66" s="31" t="s">
        <v>189</v>
      </c>
      <c r="C66" s="30"/>
      <c r="D66" s="30">
        <f>2*3</f>
        <v>6</v>
      </c>
      <c r="E66" s="32">
        <f t="shared" si="8"/>
        <v>14762.869999999999</v>
      </c>
      <c r="F66" s="33"/>
      <c r="G66" s="27">
        <f t="shared" si="9"/>
        <v>18.192888622151468</v>
      </c>
      <c r="H66" s="33"/>
      <c r="I66" s="27">
        <f t="shared" si="10"/>
        <v>109.1573317329088</v>
      </c>
      <c r="J66" s="30">
        <f t="shared" si="11"/>
        <v>268579.2496533012</v>
      </c>
      <c r="K66" s="34"/>
      <c r="L66" s="140"/>
      <c r="M66" s="140"/>
      <c r="N66" s="140"/>
    </row>
    <row r="67" spans="1:14" x14ac:dyDescent="0.35">
      <c r="A67" s="25">
        <v>42433</v>
      </c>
      <c r="B67" s="31" t="s">
        <v>190</v>
      </c>
      <c r="C67" s="30"/>
      <c r="D67" s="30">
        <f>4*1.8</f>
        <v>7.2</v>
      </c>
      <c r="E67" s="32">
        <f t="shared" si="8"/>
        <v>14755.669999999998</v>
      </c>
      <c r="F67" s="33"/>
      <c r="G67" s="27">
        <f t="shared" si="9"/>
        <v>18.192888622151468</v>
      </c>
      <c r="H67" s="33"/>
      <c r="I67" s="27">
        <f t="shared" si="10"/>
        <v>130.98879807949058</v>
      </c>
      <c r="J67" s="30">
        <f t="shared" si="11"/>
        <v>268448.26085522171</v>
      </c>
      <c r="K67" s="34"/>
      <c r="L67" s="140"/>
      <c r="M67" s="140"/>
      <c r="N67" s="140"/>
    </row>
    <row r="68" spans="1:14" x14ac:dyDescent="0.35">
      <c r="A68" s="25">
        <v>42434</v>
      </c>
      <c r="B68" s="31" t="s">
        <v>191</v>
      </c>
      <c r="C68" s="30"/>
      <c r="D68" s="30">
        <f>2*6.1+3*5.5+2*5.25+4</f>
        <v>43.2</v>
      </c>
      <c r="E68" s="32">
        <f t="shared" si="8"/>
        <v>14712.469999999998</v>
      </c>
      <c r="F68" s="33"/>
      <c r="G68" s="27">
        <f t="shared" si="9"/>
        <v>18.192888622151468</v>
      </c>
      <c r="H68" s="33"/>
      <c r="I68" s="27">
        <f t="shared" si="10"/>
        <v>785.93278847694353</v>
      </c>
      <c r="J68" s="30">
        <f t="shared" si="11"/>
        <v>267662.32806674478</v>
      </c>
      <c r="K68" s="34"/>
      <c r="L68" s="140"/>
      <c r="M68" s="140"/>
      <c r="N68" s="140"/>
    </row>
    <row r="69" spans="1:14" x14ac:dyDescent="0.35">
      <c r="A69" s="25">
        <v>42436</v>
      </c>
      <c r="B69" s="31" t="s">
        <v>192</v>
      </c>
      <c r="C69" s="30"/>
      <c r="D69" s="30">
        <f>10*7.2+6.2+5+3.7+2.4</f>
        <v>89.300000000000011</v>
      </c>
      <c r="E69" s="32">
        <f t="shared" si="8"/>
        <v>14623.169999999998</v>
      </c>
      <c r="F69" s="33"/>
      <c r="G69" s="27">
        <f t="shared" si="9"/>
        <v>18.192888622151468</v>
      </c>
      <c r="H69" s="33"/>
      <c r="I69" s="27">
        <f t="shared" si="10"/>
        <v>1624.6249539581263</v>
      </c>
      <c r="J69" s="30">
        <f t="shared" si="11"/>
        <v>266037.70311278664</v>
      </c>
      <c r="K69" s="34"/>
      <c r="L69" s="140"/>
      <c r="M69" s="140"/>
      <c r="N69" s="140"/>
    </row>
    <row r="70" spans="1:14" x14ac:dyDescent="0.35">
      <c r="A70" s="25">
        <v>42436</v>
      </c>
      <c r="B70" s="31" t="s">
        <v>194</v>
      </c>
      <c r="C70" s="30"/>
      <c r="D70" s="30">
        <f>9*7.52</f>
        <v>67.679999999999993</v>
      </c>
      <c r="E70" s="32">
        <f t="shared" si="8"/>
        <v>14555.489999999998</v>
      </c>
      <c r="F70" s="33"/>
      <c r="G70" s="27">
        <f t="shared" si="9"/>
        <v>18.192888622151468</v>
      </c>
      <c r="H70" s="33"/>
      <c r="I70" s="27">
        <f t="shared" si="10"/>
        <v>1231.2947019472113</v>
      </c>
      <c r="J70" s="30">
        <f t="shared" si="11"/>
        <v>264806.40841083945</v>
      </c>
      <c r="K70" s="34"/>
      <c r="L70" s="140"/>
      <c r="M70" s="140"/>
      <c r="N70" s="140"/>
    </row>
    <row r="71" spans="1:14" x14ac:dyDescent="0.35">
      <c r="A71" s="25">
        <v>42437</v>
      </c>
      <c r="B71" s="31" t="s">
        <v>195</v>
      </c>
      <c r="C71" s="30"/>
      <c r="D71" s="30">
        <f>15*4.51</f>
        <v>67.649999999999991</v>
      </c>
      <c r="E71" s="32">
        <f t="shared" si="8"/>
        <v>14487.839999999998</v>
      </c>
      <c r="F71" s="33"/>
      <c r="G71" s="27">
        <f t="shared" si="9"/>
        <v>18.192888622151468</v>
      </c>
      <c r="H71" s="33"/>
      <c r="I71" s="27">
        <f t="shared" si="10"/>
        <v>1230.7489152885466</v>
      </c>
      <c r="J71" s="30">
        <f t="shared" si="11"/>
        <v>263575.65949555091</v>
      </c>
      <c r="K71" s="34"/>
      <c r="L71" s="140"/>
      <c r="M71" s="140"/>
      <c r="N71" s="140"/>
    </row>
    <row r="72" spans="1:14" x14ac:dyDescent="0.35">
      <c r="A72" s="25">
        <v>42437</v>
      </c>
      <c r="B72" s="31" t="s">
        <v>196</v>
      </c>
      <c r="C72" s="30"/>
      <c r="D72" s="30">
        <f>2*4.52</f>
        <v>9.0399999999999991</v>
      </c>
      <c r="E72" s="32">
        <f t="shared" si="8"/>
        <v>14478.799999999997</v>
      </c>
      <c r="F72" s="33"/>
      <c r="G72" s="27">
        <f t="shared" si="9"/>
        <v>18.192888622151468</v>
      </c>
      <c r="H72" s="33"/>
      <c r="I72" s="27">
        <f t="shared" si="10"/>
        <v>164.46371314424925</v>
      </c>
      <c r="J72" s="30">
        <f t="shared" si="11"/>
        <v>263411.19578240666</v>
      </c>
      <c r="K72" s="34"/>
      <c r="L72" s="140"/>
      <c r="M72" s="140"/>
      <c r="N72" s="140"/>
    </row>
    <row r="73" spans="1:14" x14ac:dyDescent="0.35">
      <c r="A73" s="25">
        <v>42437</v>
      </c>
      <c r="B73" s="31" t="s">
        <v>197</v>
      </c>
      <c r="C73" s="30"/>
      <c r="D73" s="30">
        <f>10*3</f>
        <v>30</v>
      </c>
      <c r="E73" s="32">
        <f t="shared" si="8"/>
        <v>14448.799999999997</v>
      </c>
      <c r="F73" s="33"/>
      <c r="G73" s="27">
        <f t="shared" si="9"/>
        <v>18.192888622151472</v>
      </c>
      <c r="H73" s="33"/>
      <c r="I73" s="27">
        <f t="shared" si="10"/>
        <v>545.78665866454412</v>
      </c>
      <c r="J73" s="30">
        <f t="shared" si="11"/>
        <v>262865.40912374214</v>
      </c>
      <c r="K73" s="34"/>
      <c r="L73" s="140"/>
      <c r="M73" s="140"/>
      <c r="N73" s="140"/>
    </row>
    <row r="74" spans="1:14" x14ac:dyDescent="0.35">
      <c r="A74" s="25">
        <v>42439</v>
      </c>
      <c r="B74" s="31" t="s">
        <v>201</v>
      </c>
      <c r="C74" s="30"/>
      <c r="D74" s="30">
        <f>11*5.03</f>
        <v>55.330000000000005</v>
      </c>
      <c r="E74" s="32">
        <f t="shared" si="8"/>
        <v>14393.469999999998</v>
      </c>
      <c r="F74" s="33"/>
      <c r="G74" s="27">
        <f t="shared" si="9"/>
        <v>18.192888622151472</v>
      </c>
      <c r="H74" s="33"/>
      <c r="I74" s="27">
        <f t="shared" si="10"/>
        <v>1006.6125274636411</v>
      </c>
      <c r="J74" s="30">
        <f t="shared" si="11"/>
        <v>261858.79659627849</v>
      </c>
      <c r="K74" s="34"/>
      <c r="L74" s="140"/>
      <c r="M74" s="140"/>
      <c r="N74" s="140"/>
    </row>
    <row r="75" spans="1:14" x14ac:dyDescent="0.35">
      <c r="A75" s="25">
        <v>42440</v>
      </c>
      <c r="B75" s="31" t="s">
        <v>205</v>
      </c>
      <c r="C75" s="30"/>
      <c r="D75" s="30">
        <f>8*2.2</f>
        <v>17.600000000000001</v>
      </c>
      <c r="E75" s="32">
        <f t="shared" si="8"/>
        <v>14375.869999999997</v>
      </c>
      <c r="F75" s="33"/>
      <c r="G75" s="27">
        <f t="shared" si="9"/>
        <v>18.192888622151472</v>
      </c>
      <c r="H75" s="33"/>
      <c r="I75" s="27">
        <f t="shared" si="10"/>
        <v>320.19483974986593</v>
      </c>
      <c r="J75" s="30">
        <f t="shared" si="11"/>
        <v>261538.60175652863</v>
      </c>
      <c r="K75" s="34"/>
      <c r="L75" s="140"/>
      <c r="M75" s="140"/>
      <c r="N75" s="140"/>
    </row>
    <row r="76" spans="1:14" x14ac:dyDescent="0.35">
      <c r="A76" s="25">
        <v>42440</v>
      </c>
      <c r="B76" s="31" t="s">
        <v>207</v>
      </c>
      <c r="C76" s="30"/>
      <c r="D76" s="30">
        <f>15*5.3</f>
        <v>79.5</v>
      </c>
      <c r="E76" s="32">
        <f t="shared" si="8"/>
        <v>14296.369999999997</v>
      </c>
      <c r="F76" s="33"/>
      <c r="G76" s="27">
        <f t="shared" si="9"/>
        <v>18.192888622151472</v>
      </c>
      <c r="H76" s="33"/>
      <c r="I76" s="27">
        <f t="shared" si="10"/>
        <v>1446.3346454610421</v>
      </c>
      <c r="J76" s="30">
        <f t="shared" si="11"/>
        <v>260092.2671110676</v>
      </c>
      <c r="K76" s="34"/>
      <c r="L76" s="140"/>
      <c r="M76" s="140"/>
      <c r="N76" s="140"/>
    </row>
    <row r="77" spans="1:14" x14ac:dyDescent="0.35">
      <c r="A77" s="25">
        <v>42440</v>
      </c>
      <c r="B77" s="31" t="s">
        <v>208</v>
      </c>
      <c r="C77" s="30"/>
      <c r="D77" s="30">
        <f>5*2.3</f>
        <v>11.5</v>
      </c>
      <c r="E77" s="32">
        <f t="shared" si="8"/>
        <v>14284.869999999997</v>
      </c>
      <c r="F77" s="33"/>
      <c r="G77" s="27">
        <f t="shared" si="9"/>
        <v>18.192888622151472</v>
      </c>
      <c r="H77" s="33"/>
      <c r="I77" s="27">
        <f t="shared" si="10"/>
        <v>209.21821915474192</v>
      </c>
      <c r="J77" s="30">
        <f t="shared" si="11"/>
        <v>259883.04889191285</v>
      </c>
      <c r="K77" s="34"/>
      <c r="L77" s="140"/>
      <c r="M77" s="140"/>
      <c r="N77" s="140"/>
    </row>
    <row r="78" spans="1:14" x14ac:dyDescent="0.35">
      <c r="A78" s="25">
        <v>42440</v>
      </c>
      <c r="B78" s="31" t="s">
        <v>209</v>
      </c>
      <c r="C78" s="30"/>
      <c r="D78" s="30">
        <f>4*2</f>
        <v>8</v>
      </c>
      <c r="E78" s="32">
        <f t="shared" si="8"/>
        <v>14276.869999999997</v>
      </c>
      <c r="F78" s="33"/>
      <c r="G78" s="27">
        <f t="shared" si="9"/>
        <v>18.192888622151472</v>
      </c>
      <c r="H78" s="33"/>
      <c r="I78" s="27">
        <f t="shared" si="10"/>
        <v>145.54310897721177</v>
      </c>
      <c r="J78" s="30">
        <f t="shared" si="11"/>
        <v>259737.50578293565</v>
      </c>
      <c r="K78" s="34"/>
      <c r="L78" s="140"/>
      <c r="M78" s="140"/>
      <c r="N78" s="140"/>
    </row>
    <row r="79" spans="1:14" x14ac:dyDescent="0.35">
      <c r="A79" s="25">
        <v>42440</v>
      </c>
      <c r="B79" s="31" t="s">
        <v>210</v>
      </c>
      <c r="C79" s="30"/>
      <c r="D79" s="30">
        <f>15*4.5+5*4.6</f>
        <v>90.5</v>
      </c>
      <c r="E79" s="32">
        <f t="shared" si="8"/>
        <v>14186.369999999997</v>
      </c>
      <c r="F79" s="33"/>
      <c r="G79" s="27">
        <f t="shared" si="9"/>
        <v>18.192888622151472</v>
      </c>
      <c r="H79" s="33"/>
      <c r="I79" s="27">
        <f t="shared" si="10"/>
        <v>1646.4564203047082</v>
      </c>
      <c r="J79" s="30">
        <f t="shared" si="11"/>
        <v>258091.04936263093</v>
      </c>
      <c r="K79" s="34"/>
      <c r="L79" s="140"/>
      <c r="M79" s="140"/>
      <c r="N79" s="140"/>
    </row>
    <row r="80" spans="1:14" x14ac:dyDescent="0.35">
      <c r="A80" s="106">
        <v>42443</v>
      </c>
      <c r="B80" s="107" t="s">
        <v>211</v>
      </c>
      <c r="C80" s="108"/>
      <c r="D80" s="108">
        <f>16*2.8</f>
        <v>44.8</v>
      </c>
      <c r="E80" s="109">
        <f t="shared" si="8"/>
        <v>14141.569999999998</v>
      </c>
      <c r="F80" s="110"/>
      <c r="G80" s="108">
        <f t="shared" si="9"/>
        <v>18.192888622151472</v>
      </c>
      <c r="H80" s="110"/>
      <c r="I80" s="108">
        <f t="shared" si="10"/>
        <v>815.04141027238586</v>
      </c>
      <c r="J80" s="108">
        <f t="shared" si="11"/>
        <v>257276.00795235854</v>
      </c>
      <c r="K80" s="111"/>
      <c r="L80" s="179">
        <f>SUM(I61:I80)</f>
        <v>14511.011822800454</v>
      </c>
      <c r="M80" s="160"/>
      <c r="N80" s="143">
        <v>42444</v>
      </c>
    </row>
    <row r="81" spans="1:14" x14ac:dyDescent="0.35">
      <c r="A81" s="25">
        <v>42445</v>
      </c>
      <c r="B81" s="31" t="s">
        <v>213</v>
      </c>
      <c r="C81" s="30"/>
      <c r="D81" s="30">
        <f>7*2.5</f>
        <v>17.5</v>
      </c>
      <c r="E81" s="32">
        <f t="shared" si="8"/>
        <v>14124.069999999998</v>
      </c>
      <c r="F81" s="33"/>
      <c r="G81" s="27">
        <f t="shared" si="9"/>
        <v>18.192888622151472</v>
      </c>
      <c r="H81" s="33"/>
      <c r="I81" s="27">
        <f t="shared" si="10"/>
        <v>318.37555088765077</v>
      </c>
      <c r="J81" s="30">
        <f t="shared" si="11"/>
        <v>256957.63240147088</v>
      </c>
      <c r="K81" s="34"/>
      <c r="L81" s="140"/>
      <c r="M81" s="140"/>
      <c r="N81" s="140"/>
    </row>
    <row r="82" spans="1:14" x14ac:dyDescent="0.35">
      <c r="A82" s="25">
        <v>42446</v>
      </c>
      <c r="B82" s="31" t="s">
        <v>217</v>
      </c>
      <c r="C82" s="30"/>
      <c r="D82" s="30">
        <v>3</v>
      </c>
      <c r="E82" s="32">
        <f t="shared" si="8"/>
        <v>14121.069999999998</v>
      </c>
      <c r="F82" s="33"/>
      <c r="G82" s="27">
        <f t="shared" si="9"/>
        <v>18.192888622151472</v>
      </c>
      <c r="H82" s="33"/>
      <c r="I82" s="27">
        <f t="shared" si="10"/>
        <v>54.578665866454415</v>
      </c>
      <c r="J82" s="30">
        <f t="shared" si="11"/>
        <v>256903.05373560442</v>
      </c>
      <c r="K82" s="34"/>
      <c r="L82" s="140"/>
      <c r="M82" s="140"/>
      <c r="N82" s="140"/>
    </row>
    <row r="83" spans="1:14" x14ac:dyDescent="0.35">
      <c r="A83" s="25">
        <v>42447</v>
      </c>
      <c r="B83" s="31" t="s">
        <v>218</v>
      </c>
      <c r="C83" s="30"/>
      <c r="D83" s="30">
        <f>30*9</f>
        <v>270</v>
      </c>
      <c r="E83" s="32">
        <f t="shared" si="8"/>
        <v>13851.069999999998</v>
      </c>
      <c r="F83" s="33"/>
      <c r="G83" s="27">
        <f t="shared" si="9"/>
        <v>18.192888622151472</v>
      </c>
      <c r="H83" s="33"/>
      <c r="I83" s="27">
        <f t="shared" si="10"/>
        <v>4912.0799279808971</v>
      </c>
      <c r="J83" s="30">
        <f t="shared" si="11"/>
        <v>251990.97380762352</v>
      </c>
      <c r="K83" s="34"/>
      <c r="L83" s="140"/>
      <c r="M83" s="140"/>
      <c r="N83" s="140"/>
    </row>
    <row r="84" spans="1:14" x14ac:dyDescent="0.35">
      <c r="A84" s="25">
        <v>42447</v>
      </c>
      <c r="B84" s="31" t="s">
        <v>219</v>
      </c>
      <c r="C84" s="30"/>
      <c r="D84" s="30">
        <v>1.5</v>
      </c>
      <c r="E84" s="32">
        <f t="shared" si="8"/>
        <v>13849.569999999998</v>
      </c>
      <c r="F84" s="33"/>
      <c r="G84" s="27">
        <f t="shared" si="9"/>
        <v>18.192888622151472</v>
      </c>
      <c r="H84" s="33"/>
      <c r="I84" s="27">
        <f t="shared" si="10"/>
        <v>27.289332933227207</v>
      </c>
      <c r="J84" s="30">
        <f t="shared" si="11"/>
        <v>251963.68447469029</v>
      </c>
      <c r="K84" s="34"/>
      <c r="L84" s="140"/>
      <c r="M84" s="140"/>
      <c r="N84" s="140"/>
    </row>
    <row r="85" spans="1:14" x14ac:dyDescent="0.35">
      <c r="A85" s="25">
        <v>42447</v>
      </c>
      <c r="B85" s="31" t="s">
        <v>220</v>
      </c>
      <c r="C85" s="30"/>
      <c r="D85" s="30">
        <f>5*3.8</f>
        <v>19</v>
      </c>
      <c r="E85" s="32">
        <f t="shared" si="8"/>
        <v>13830.569999999998</v>
      </c>
      <c r="F85" s="33"/>
      <c r="G85" s="27">
        <f t="shared" si="9"/>
        <v>18.192888622151468</v>
      </c>
      <c r="H85" s="33"/>
      <c r="I85" s="27">
        <f t="shared" si="10"/>
        <v>345.66488382087789</v>
      </c>
      <c r="J85" s="30">
        <f t="shared" si="11"/>
        <v>251618.01959086943</v>
      </c>
      <c r="K85" s="34"/>
      <c r="L85" s="140"/>
      <c r="M85" s="140"/>
      <c r="N85" s="140"/>
    </row>
    <row r="86" spans="1:14" x14ac:dyDescent="0.35">
      <c r="A86" s="25">
        <v>42447</v>
      </c>
      <c r="B86" s="31" t="s">
        <v>221</v>
      </c>
      <c r="C86" s="30"/>
      <c r="D86" s="30">
        <f>6*5.1+10*3.65</f>
        <v>67.099999999999994</v>
      </c>
      <c r="E86" s="32">
        <f t="shared" si="8"/>
        <v>13763.469999999998</v>
      </c>
      <c r="F86" s="33"/>
      <c r="G86" s="27">
        <f t="shared" si="9"/>
        <v>18.192888622151472</v>
      </c>
      <c r="H86" s="33"/>
      <c r="I86" s="27">
        <f t="shared" si="10"/>
        <v>1220.7428265463636</v>
      </c>
      <c r="J86" s="30">
        <f t="shared" si="11"/>
        <v>250397.27676432306</v>
      </c>
      <c r="K86" s="34"/>
      <c r="L86" s="140"/>
      <c r="M86" s="140"/>
      <c r="N86" s="140"/>
    </row>
    <row r="87" spans="1:14" x14ac:dyDescent="0.35">
      <c r="A87" s="25">
        <v>42448</v>
      </c>
      <c r="B87" s="31" t="s">
        <v>223</v>
      </c>
      <c r="C87" s="30"/>
      <c r="D87" s="30">
        <f>17*2.9+17*5.6</f>
        <v>144.5</v>
      </c>
      <c r="E87" s="32">
        <f t="shared" si="8"/>
        <v>13618.969999999998</v>
      </c>
      <c r="F87" s="33"/>
      <c r="G87" s="27">
        <f t="shared" si="9"/>
        <v>18.192888622151472</v>
      </c>
      <c r="H87" s="33"/>
      <c r="I87" s="27">
        <f t="shared" si="10"/>
        <v>2628.8724059008878</v>
      </c>
      <c r="J87" s="30">
        <f t="shared" si="11"/>
        <v>247768.40435842218</v>
      </c>
      <c r="K87" s="34"/>
      <c r="L87" s="140"/>
      <c r="M87" s="140"/>
      <c r="N87" s="140"/>
    </row>
    <row r="88" spans="1:14" x14ac:dyDescent="0.35">
      <c r="A88" s="25">
        <v>42450</v>
      </c>
      <c r="B88" s="31" t="s">
        <v>224</v>
      </c>
      <c r="C88" s="30"/>
      <c r="D88" s="30">
        <f>10*4.15+10*4.1+20*2.25+20*1.3+5*2.1</f>
        <v>164</v>
      </c>
      <c r="E88" s="32">
        <f t="shared" si="8"/>
        <v>13454.969999999998</v>
      </c>
      <c r="F88" s="33"/>
      <c r="G88" s="27">
        <f t="shared" si="9"/>
        <v>18.192888622151472</v>
      </c>
      <c r="H88" s="33"/>
      <c r="I88" s="27">
        <f t="shared" si="10"/>
        <v>2983.6337340328414</v>
      </c>
      <c r="J88" s="30">
        <f t="shared" si="11"/>
        <v>244784.77062438935</v>
      </c>
      <c r="K88" s="34"/>
      <c r="L88" s="140"/>
      <c r="M88" s="140"/>
      <c r="N88" s="140"/>
    </row>
    <row r="89" spans="1:14" x14ac:dyDescent="0.35">
      <c r="A89" s="25">
        <v>42450</v>
      </c>
      <c r="B89" s="31" t="s">
        <v>225</v>
      </c>
      <c r="C89" s="30"/>
      <c r="D89" s="30">
        <f>11*9.5</f>
        <v>104.5</v>
      </c>
      <c r="E89" s="32">
        <f t="shared" si="8"/>
        <v>13350.469999999998</v>
      </c>
      <c r="F89" s="33"/>
      <c r="G89" s="27">
        <f t="shared" si="9"/>
        <v>18.192888622151472</v>
      </c>
      <c r="H89" s="33"/>
      <c r="I89" s="27">
        <f t="shared" si="10"/>
        <v>1901.1568610148288</v>
      </c>
      <c r="J89" s="30">
        <f t="shared" si="11"/>
        <v>242883.61376337451</v>
      </c>
      <c r="K89" s="34"/>
      <c r="L89" s="140"/>
      <c r="M89" s="140"/>
      <c r="N89" s="140"/>
    </row>
    <row r="90" spans="1:14" x14ac:dyDescent="0.35">
      <c r="A90" s="25">
        <v>42450</v>
      </c>
      <c r="B90" s="31" t="s">
        <v>226</v>
      </c>
      <c r="C90" s="30"/>
      <c r="D90" s="30">
        <f>4*4.3</f>
        <v>17.2</v>
      </c>
      <c r="E90" s="32">
        <f t="shared" si="8"/>
        <v>13333.269999999997</v>
      </c>
      <c r="F90" s="33"/>
      <c r="G90" s="27">
        <f t="shared" si="9"/>
        <v>18.192888622151472</v>
      </c>
      <c r="H90" s="33"/>
      <c r="I90" s="27">
        <f t="shared" si="10"/>
        <v>312.91768430100529</v>
      </c>
      <c r="J90" s="30">
        <f t="shared" si="11"/>
        <v>242570.6960790735</v>
      </c>
      <c r="K90" s="34"/>
      <c r="L90" s="140"/>
      <c r="M90" s="140"/>
      <c r="N90" s="140"/>
    </row>
    <row r="91" spans="1:14" x14ac:dyDescent="0.35">
      <c r="A91" s="25">
        <v>42451</v>
      </c>
      <c r="B91" s="31" t="s">
        <v>227</v>
      </c>
      <c r="C91" s="30"/>
      <c r="D91" s="30">
        <f>14*6.5</f>
        <v>91</v>
      </c>
      <c r="E91" s="32">
        <f t="shared" si="8"/>
        <v>13242.269999999997</v>
      </c>
      <c r="F91" s="33"/>
      <c r="G91" s="27">
        <f t="shared" si="9"/>
        <v>18.192888622151472</v>
      </c>
      <c r="H91" s="33"/>
      <c r="I91" s="27">
        <f t="shared" si="10"/>
        <v>1655.5528646157838</v>
      </c>
      <c r="J91" s="30">
        <f t="shared" si="11"/>
        <v>240915.14321445773</v>
      </c>
      <c r="K91" s="34"/>
      <c r="L91" s="140"/>
      <c r="M91" s="140"/>
      <c r="N91" s="140"/>
    </row>
    <row r="92" spans="1:14" x14ac:dyDescent="0.35">
      <c r="A92" s="25">
        <v>42451</v>
      </c>
      <c r="B92" s="31" t="s">
        <v>229</v>
      </c>
      <c r="C92" s="30"/>
      <c r="D92" s="99">
        <f>4*4.2</f>
        <v>16.8</v>
      </c>
      <c r="E92" s="32">
        <f t="shared" si="8"/>
        <v>13225.469999999998</v>
      </c>
      <c r="F92" s="33"/>
      <c r="G92" s="27">
        <f t="shared" si="9"/>
        <v>18.192888622151472</v>
      </c>
      <c r="H92" s="33"/>
      <c r="I92" s="27">
        <f t="shared" si="10"/>
        <v>305.64052885214471</v>
      </c>
      <c r="J92" s="30">
        <f t="shared" si="11"/>
        <v>240609.50268560558</v>
      </c>
      <c r="K92" s="34"/>
      <c r="L92" s="140"/>
      <c r="M92" s="140"/>
      <c r="N92" s="140"/>
    </row>
    <row r="93" spans="1:14" x14ac:dyDescent="0.35">
      <c r="A93" s="25">
        <v>42451</v>
      </c>
      <c r="B93" s="31" t="s">
        <v>230</v>
      </c>
      <c r="C93" s="30"/>
      <c r="D93" s="30">
        <f>4*4.2</f>
        <v>16.8</v>
      </c>
      <c r="E93" s="32">
        <f t="shared" si="8"/>
        <v>13208.669999999998</v>
      </c>
      <c r="F93" s="33"/>
      <c r="G93" s="27">
        <f t="shared" si="9"/>
        <v>18.192888622151472</v>
      </c>
      <c r="H93" s="33"/>
      <c r="I93" s="27">
        <f t="shared" si="10"/>
        <v>305.64052885214471</v>
      </c>
      <c r="J93" s="30">
        <f t="shared" si="11"/>
        <v>240303.86215675343</v>
      </c>
      <c r="K93" s="34"/>
      <c r="L93" s="140"/>
      <c r="M93" s="140"/>
      <c r="N93" s="140"/>
    </row>
    <row r="94" spans="1:14" x14ac:dyDescent="0.35">
      <c r="A94" s="25">
        <v>42451</v>
      </c>
      <c r="B94" s="31" t="s">
        <v>231</v>
      </c>
      <c r="C94" s="30"/>
      <c r="D94" s="30">
        <f>12*3.5+2*2+6*2.4</f>
        <v>60.4</v>
      </c>
      <c r="E94" s="32">
        <f t="shared" si="8"/>
        <v>13148.269999999999</v>
      </c>
      <c r="F94" s="33"/>
      <c r="G94" s="27">
        <f t="shared" si="9"/>
        <v>18.192888622151472</v>
      </c>
      <c r="H94" s="33"/>
      <c r="I94" s="27">
        <f t="shared" si="10"/>
        <v>1098.8504727779489</v>
      </c>
      <c r="J94" s="30">
        <f t="shared" si="11"/>
        <v>239205.01168397549</v>
      </c>
      <c r="K94" s="34"/>
      <c r="L94" s="140"/>
      <c r="M94" s="140"/>
      <c r="N94" s="140"/>
    </row>
    <row r="95" spans="1:14" x14ac:dyDescent="0.35">
      <c r="A95" s="25">
        <v>42453</v>
      </c>
      <c r="B95" s="31" t="s">
        <v>233</v>
      </c>
      <c r="C95" s="30"/>
      <c r="D95" s="30">
        <f>5*6.3</f>
        <v>31.5</v>
      </c>
      <c r="E95" s="32">
        <f t="shared" si="8"/>
        <v>13116.769999999999</v>
      </c>
      <c r="F95" s="33"/>
      <c r="G95" s="27">
        <f t="shared" si="9"/>
        <v>18.192888622151472</v>
      </c>
      <c r="H95" s="33"/>
      <c r="I95" s="27">
        <f t="shared" si="10"/>
        <v>573.07599159777135</v>
      </c>
      <c r="J95" s="30">
        <f t="shared" si="11"/>
        <v>238631.93569237771</v>
      </c>
      <c r="K95" s="34"/>
      <c r="L95" s="140"/>
      <c r="M95" s="140"/>
      <c r="N95" s="140"/>
    </row>
    <row r="96" spans="1:14" x14ac:dyDescent="0.35">
      <c r="A96" s="25">
        <v>42453</v>
      </c>
      <c r="B96" s="31" t="s">
        <v>234</v>
      </c>
      <c r="C96" s="30"/>
      <c r="D96" s="30">
        <f>2</f>
        <v>2</v>
      </c>
      <c r="E96" s="32">
        <f t="shared" si="8"/>
        <v>13114.769999999999</v>
      </c>
      <c r="F96" s="33"/>
      <c r="G96" s="27">
        <f t="shared" si="9"/>
        <v>18.192888622151468</v>
      </c>
      <c r="H96" s="33"/>
      <c r="I96" s="27">
        <f t="shared" si="10"/>
        <v>36.385777244302936</v>
      </c>
      <c r="J96" s="30">
        <f t="shared" si="11"/>
        <v>238595.54991513339</v>
      </c>
      <c r="K96" s="34"/>
      <c r="L96" s="140"/>
      <c r="M96" s="140"/>
      <c r="N96" s="140"/>
    </row>
    <row r="97" spans="1:14" x14ac:dyDescent="0.35">
      <c r="A97" s="25">
        <v>42453</v>
      </c>
      <c r="B97" s="31" t="s">
        <v>236</v>
      </c>
      <c r="C97" s="30"/>
      <c r="D97" s="30">
        <f>22*4.72</f>
        <v>103.83999999999999</v>
      </c>
      <c r="E97" s="32">
        <f t="shared" si="8"/>
        <v>13010.929999999998</v>
      </c>
      <c r="F97" s="33"/>
      <c r="G97" s="27">
        <f t="shared" si="9"/>
        <v>18.192888622151468</v>
      </c>
      <c r="H97" s="33"/>
      <c r="I97" s="27">
        <f t="shared" si="10"/>
        <v>1889.1495545242083</v>
      </c>
      <c r="J97" s="30">
        <f t="shared" si="11"/>
        <v>236706.40036060917</v>
      </c>
      <c r="K97" s="34"/>
      <c r="L97" s="140"/>
      <c r="M97" s="140"/>
      <c r="N97" s="140"/>
    </row>
    <row r="98" spans="1:14" x14ac:dyDescent="0.35">
      <c r="A98" s="25">
        <v>42455</v>
      </c>
      <c r="B98" s="31" t="s">
        <v>237</v>
      </c>
      <c r="C98" s="30"/>
      <c r="D98" s="30">
        <f>6*4.8+12*2.35+2.5</f>
        <v>59.5</v>
      </c>
      <c r="E98" s="32">
        <f t="shared" si="8"/>
        <v>12951.429999999998</v>
      </c>
      <c r="F98" s="33"/>
      <c r="G98" s="27">
        <f t="shared" si="9"/>
        <v>18.192888622151468</v>
      </c>
      <c r="H98" s="33"/>
      <c r="I98" s="27">
        <f t="shared" si="10"/>
        <v>1082.4768730180124</v>
      </c>
      <c r="J98" s="30">
        <f t="shared" si="11"/>
        <v>235623.92348759115</v>
      </c>
      <c r="K98" s="34"/>
      <c r="L98" s="140"/>
      <c r="M98" s="140"/>
      <c r="N98" s="140"/>
    </row>
    <row r="99" spans="1:14" x14ac:dyDescent="0.35">
      <c r="A99" s="25">
        <v>42457</v>
      </c>
      <c r="B99" s="31" t="s">
        <v>239</v>
      </c>
      <c r="C99" s="30"/>
      <c r="D99" s="30">
        <f>20*0.5+8*3.42</f>
        <v>37.36</v>
      </c>
      <c r="E99" s="32">
        <f t="shared" si="8"/>
        <v>12914.069999999998</v>
      </c>
      <c r="F99" s="33"/>
      <c r="G99" s="27">
        <f t="shared" si="9"/>
        <v>18.192888622151468</v>
      </c>
      <c r="H99" s="33"/>
      <c r="I99" s="27">
        <f t="shared" si="10"/>
        <v>679.68631892357882</v>
      </c>
      <c r="J99" s="30">
        <f t="shared" si="11"/>
        <v>234944.23716866758</v>
      </c>
      <c r="K99" s="34"/>
      <c r="L99" s="140"/>
      <c r="M99" s="140"/>
      <c r="N99" s="140"/>
    </row>
    <row r="100" spans="1:14" x14ac:dyDescent="0.35">
      <c r="A100" s="25">
        <v>42457</v>
      </c>
      <c r="B100" s="31" t="s">
        <v>240</v>
      </c>
      <c r="C100" s="30"/>
      <c r="D100" s="30">
        <f>19*6.7</f>
        <v>127.3</v>
      </c>
      <c r="E100" s="32">
        <f t="shared" ref="E100:E105" si="12">+E99-D100</f>
        <v>12786.769999999999</v>
      </c>
      <c r="F100" s="33"/>
      <c r="G100" s="27">
        <f t="shared" ref="G100:G105" si="13">+J99/E99</f>
        <v>18.192888622151468</v>
      </c>
      <c r="H100" s="33"/>
      <c r="I100" s="27">
        <f t="shared" ref="I100:I107" si="14">+D100*G100</f>
        <v>2315.9547215998819</v>
      </c>
      <c r="J100" s="30">
        <f t="shared" ref="J100:J105" si="15">+J99-I100</f>
        <v>232628.2824470677</v>
      </c>
      <c r="K100" s="34"/>
      <c r="L100" s="140"/>
      <c r="M100" s="140"/>
      <c r="N100" s="140"/>
    </row>
    <row r="101" spans="1:14" x14ac:dyDescent="0.35">
      <c r="A101" s="25">
        <v>42458</v>
      </c>
      <c r="B101" s="31" t="s">
        <v>241</v>
      </c>
      <c r="C101" s="30"/>
      <c r="D101" s="30">
        <f>8*6.7+8*4.9+4*4.7+3*2+4*5.9</f>
        <v>141.20000000000002</v>
      </c>
      <c r="E101" s="32">
        <f t="shared" si="12"/>
        <v>12645.569999999998</v>
      </c>
      <c r="F101" s="33"/>
      <c r="G101" s="27">
        <f t="shared" si="13"/>
        <v>18.192888622151468</v>
      </c>
      <c r="H101" s="33"/>
      <c r="I101" s="27">
        <f t="shared" si="14"/>
        <v>2568.8358734477874</v>
      </c>
      <c r="J101" s="30">
        <f t="shared" si="15"/>
        <v>230059.44657361991</v>
      </c>
      <c r="K101" s="34"/>
      <c r="L101" s="140"/>
      <c r="M101" s="140"/>
      <c r="N101" s="140"/>
    </row>
    <row r="102" spans="1:14" x14ac:dyDescent="0.35">
      <c r="A102" s="25">
        <v>42459</v>
      </c>
      <c r="B102" s="31" t="s">
        <v>242</v>
      </c>
      <c r="C102" s="30"/>
      <c r="D102" s="30">
        <f>3</f>
        <v>3</v>
      </c>
      <c r="E102" s="32">
        <f t="shared" si="12"/>
        <v>12642.569999999998</v>
      </c>
      <c r="F102" s="33"/>
      <c r="G102" s="27">
        <f t="shared" si="13"/>
        <v>18.192888622151468</v>
      </c>
      <c r="H102" s="33"/>
      <c r="I102" s="27">
        <f t="shared" si="14"/>
        <v>54.578665866454401</v>
      </c>
      <c r="J102" s="30">
        <f t="shared" si="15"/>
        <v>230004.86790775345</v>
      </c>
      <c r="K102" s="34"/>
      <c r="L102" s="140"/>
      <c r="M102" s="140"/>
      <c r="N102" s="140"/>
    </row>
    <row r="103" spans="1:14" x14ac:dyDescent="0.35">
      <c r="A103" s="25">
        <v>42460</v>
      </c>
      <c r="B103" s="31" t="s">
        <v>243</v>
      </c>
      <c r="C103" s="30"/>
      <c r="D103" s="30">
        <f>2*3+2.2</f>
        <v>8.1999999999999993</v>
      </c>
      <c r="E103" s="32">
        <f t="shared" si="12"/>
        <v>12634.369999999997</v>
      </c>
      <c r="F103" s="33"/>
      <c r="G103" s="27">
        <f t="shared" si="13"/>
        <v>18.192888622151468</v>
      </c>
      <c r="H103" s="33"/>
      <c r="I103" s="27">
        <f t="shared" si="14"/>
        <v>149.18168670164204</v>
      </c>
      <c r="J103" s="30">
        <f t="shared" si="15"/>
        <v>229855.68622105182</v>
      </c>
      <c r="K103" s="34"/>
      <c r="L103" s="140"/>
      <c r="M103" s="140"/>
      <c r="N103" s="140"/>
    </row>
    <row r="104" spans="1:14" x14ac:dyDescent="0.35">
      <c r="A104" s="106">
        <v>42460</v>
      </c>
      <c r="B104" s="107" t="s">
        <v>245</v>
      </c>
      <c r="C104" s="108"/>
      <c r="D104" s="108">
        <f>9*3.4</f>
        <v>30.599999999999998</v>
      </c>
      <c r="E104" s="109">
        <f t="shared" si="12"/>
        <v>12603.769999999997</v>
      </c>
      <c r="F104" s="110"/>
      <c r="G104" s="108">
        <f t="shared" si="13"/>
        <v>18.192888622151472</v>
      </c>
      <c r="H104" s="110"/>
      <c r="I104" s="108">
        <f t="shared" si="14"/>
        <v>556.70239183783497</v>
      </c>
      <c r="J104" s="108">
        <f t="shared" si="15"/>
        <v>229298.98382921398</v>
      </c>
      <c r="K104" s="111"/>
      <c r="L104" s="179">
        <f>SUM(I81:I104)</f>
        <v>27977.024123144529</v>
      </c>
      <c r="M104" s="179">
        <f>SUM(L80:L104)</f>
        <v>42488.035945944983</v>
      </c>
      <c r="N104" s="143">
        <v>42460</v>
      </c>
    </row>
    <row r="105" spans="1:14" x14ac:dyDescent="0.35">
      <c r="A105" s="25">
        <v>42461</v>
      </c>
      <c r="B105" s="31" t="s">
        <v>247</v>
      </c>
      <c r="C105" s="30"/>
      <c r="D105" s="30">
        <f>5*5</f>
        <v>25</v>
      </c>
      <c r="E105" s="32">
        <f t="shared" si="12"/>
        <v>12578.769999999997</v>
      </c>
      <c r="F105" s="33"/>
      <c r="G105" s="27">
        <f t="shared" si="13"/>
        <v>18.192888622151472</v>
      </c>
      <c r="H105" s="33"/>
      <c r="I105" s="27">
        <f t="shared" si="14"/>
        <v>454.8222155537868</v>
      </c>
      <c r="J105" s="30">
        <f t="shared" si="15"/>
        <v>228844.1616136602</v>
      </c>
      <c r="K105" s="34"/>
      <c r="L105" s="140"/>
      <c r="M105" s="140"/>
      <c r="N105" s="140"/>
    </row>
    <row r="106" spans="1:14" x14ac:dyDescent="0.35">
      <c r="A106" s="25">
        <v>42462</v>
      </c>
      <c r="B106" s="31" t="s">
        <v>415</v>
      </c>
      <c r="C106" s="30">
        <v>16091.7</v>
      </c>
      <c r="D106" s="30"/>
      <c r="E106" s="32">
        <f>+E105+C106</f>
        <v>28670.469999999998</v>
      </c>
      <c r="F106" s="33">
        <f>+H106/C106</f>
        <v>18.684982320078053</v>
      </c>
      <c r="G106" s="27"/>
      <c r="H106" s="33">
        <v>300673.13</v>
      </c>
      <c r="I106" s="27"/>
      <c r="J106" s="30">
        <f>+J105+H106</f>
        <v>529517.29161366017</v>
      </c>
      <c r="K106" s="34"/>
      <c r="L106" s="140"/>
      <c r="M106" s="140"/>
      <c r="N106" s="140"/>
    </row>
    <row r="107" spans="1:14" x14ac:dyDescent="0.35">
      <c r="A107" s="25">
        <v>42462</v>
      </c>
      <c r="B107" s="31" t="s">
        <v>248</v>
      </c>
      <c r="C107" s="30"/>
      <c r="D107" s="30">
        <f>11*5.28</f>
        <v>58.080000000000005</v>
      </c>
      <c r="E107" s="32">
        <f>+E106-D107</f>
        <v>28612.389999999996</v>
      </c>
      <c r="F107" s="33"/>
      <c r="G107" s="27">
        <f>+J106/E106</f>
        <v>18.469083053527207</v>
      </c>
      <c r="H107" s="33"/>
      <c r="I107" s="27">
        <f t="shared" si="14"/>
        <v>1072.6843437488603</v>
      </c>
      <c r="J107" s="30">
        <f>+J106-I107</f>
        <v>528444.60726991133</v>
      </c>
      <c r="K107" s="34"/>
      <c r="L107" s="140"/>
      <c r="M107" s="140"/>
      <c r="N107" s="140"/>
    </row>
    <row r="108" spans="1:14" x14ac:dyDescent="0.35">
      <c r="A108" s="25">
        <v>42462</v>
      </c>
      <c r="B108" s="31" t="s">
        <v>249</v>
      </c>
      <c r="C108" s="30"/>
      <c r="D108" s="30">
        <f>19*8.5+6*4</f>
        <v>185.5</v>
      </c>
      <c r="E108" s="32">
        <f t="shared" ref="E108:E162" si="16">+E107-D108</f>
        <v>28426.889999999996</v>
      </c>
      <c r="F108" s="33"/>
      <c r="G108" s="27">
        <f t="shared" ref="G108:G162" si="17">+J107/E107</f>
        <v>18.469083053527211</v>
      </c>
      <c r="H108" s="33"/>
      <c r="I108" s="27">
        <f t="shared" ref="I108:I162" si="18">+D108*G108</f>
        <v>3426.0149064292978</v>
      </c>
      <c r="J108" s="30">
        <f t="shared" ref="J108:J162" si="19">+J107-I108</f>
        <v>525018.59236348199</v>
      </c>
      <c r="K108" s="34"/>
      <c r="L108" s="140"/>
      <c r="M108" s="140"/>
      <c r="N108" s="140"/>
    </row>
    <row r="109" spans="1:14" x14ac:dyDescent="0.35">
      <c r="A109" s="25">
        <v>42464</v>
      </c>
      <c r="B109" s="31" t="s">
        <v>251</v>
      </c>
      <c r="C109" s="30"/>
      <c r="D109" s="30">
        <f>2*2+7*5.8+4*2.75</f>
        <v>55.6</v>
      </c>
      <c r="E109" s="32">
        <f t="shared" si="16"/>
        <v>28371.289999999997</v>
      </c>
      <c r="F109" s="33"/>
      <c r="G109" s="27">
        <f t="shared" si="17"/>
        <v>18.469083053527207</v>
      </c>
      <c r="H109" s="33"/>
      <c r="I109" s="27">
        <f t="shared" si="18"/>
        <v>1026.8810177761127</v>
      </c>
      <c r="J109" s="30">
        <f t="shared" si="19"/>
        <v>523991.7113457059</v>
      </c>
      <c r="K109" s="34"/>
      <c r="L109" s="140"/>
      <c r="M109" s="140"/>
      <c r="N109" s="140"/>
    </row>
    <row r="110" spans="1:14" x14ac:dyDescent="0.35">
      <c r="A110" s="25">
        <v>42465</v>
      </c>
      <c r="B110" s="31" t="s">
        <v>252</v>
      </c>
      <c r="C110" s="30"/>
      <c r="D110" s="30">
        <f>46*7.7+16*5.6+16*5.4</f>
        <v>530.19999999999993</v>
      </c>
      <c r="E110" s="32">
        <f t="shared" si="16"/>
        <v>27841.089999999997</v>
      </c>
      <c r="F110" s="33"/>
      <c r="G110" s="27">
        <f t="shared" si="17"/>
        <v>18.469083053527207</v>
      </c>
      <c r="H110" s="33"/>
      <c r="I110" s="27">
        <f t="shared" si="18"/>
        <v>9792.3078349801235</v>
      </c>
      <c r="J110" s="30">
        <f t="shared" si="19"/>
        <v>514199.40351072577</v>
      </c>
      <c r="K110" s="34"/>
      <c r="L110" s="140"/>
      <c r="M110" s="140"/>
      <c r="N110" s="140"/>
    </row>
    <row r="111" spans="1:14" x14ac:dyDescent="0.35">
      <c r="A111" s="25">
        <v>42465</v>
      </c>
      <c r="B111" s="31" t="s">
        <v>253</v>
      </c>
      <c r="C111" s="30"/>
      <c r="D111" s="30">
        <f>18*0.8</f>
        <v>14.4</v>
      </c>
      <c r="E111" s="32">
        <f t="shared" si="16"/>
        <v>27826.689999999995</v>
      </c>
      <c r="F111" s="33"/>
      <c r="G111" s="27">
        <f t="shared" si="17"/>
        <v>18.469083053527207</v>
      </c>
      <c r="H111" s="33"/>
      <c r="I111" s="27">
        <f t="shared" si="18"/>
        <v>265.95479597079179</v>
      </c>
      <c r="J111" s="30">
        <f t="shared" si="19"/>
        <v>513933.44871475495</v>
      </c>
      <c r="K111" s="34"/>
      <c r="L111" s="140"/>
      <c r="M111" s="140"/>
      <c r="N111" s="140"/>
    </row>
    <row r="112" spans="1:14" x14ac:dyDescent="0.35">
      <c r="A112" s="25">
        <v>42466</v>
      </c>
      <c r="B112" s="31" t="s">
        <v>259</v>
      </c>
      <c r="C112" s="30"/>
      <c r="D112" s="30">
        <f>20*7.16+20*3.47</f>
        <v>212.6</v>
      </c>
      <c r="E112" s="32">
        <f t="shared" si="16"/>
        <v>27614.089999999997</v>
      </c>
      <c r="F112" s="33"/>
      <c r="G112" s="27">
        <f t="shared" si="17"/>
        <v>18.469083053527207</v>
      </c>
      <c r="H112" s="33"/>
      <c r="I112" s="27">
        <f t="shared" si="18"/>
        <v>3926.5270571798842</v>
      </c>
      <c r="J112" s="30">
        <f t="shared" si="19"/>
        <v>510006.92165757506</v>
      </c>
      <c r="K112" s="34"/>
      <c r="L112" s="140"/>
      <c r="M112" s="140"/>
      <c r="N112" s="140"/>
    </row>
    <row r="113" spans="1:14" x14ac:dyDescent="0.35">
      <c r="A113" s="25">
        <v>42466</v>
      </c>
      <c r="B113" s="31" t="s">
        <v>261</v>
      </c>
      <c r="C113" s="30"/>
      <c r="D113" s="30">
        <f>6*3.8+12*2.7+2*6.5</f>
        <v>68.2</v>
      </c>
      <c r="E113" s="32">
        <f t="shared" si="16"/>
        <v>27545.889999999996</v>
      </c>
      <c r="F113" s="33"/>
      <c r="G113" s="27">
        <f t="shared" si="17"/>
        <v>18.469083053527207</v>
      </c>
      <c r="H113" s="33"/>
      <c r="I113" s="27">
        <f t="shared" si="18"/>
        <v>1259.5914642505556</v>
      </c>
      <c r="J113" s="30">
        <f t="shared" si="19"/>
        <v>508747.33019332448</v>
      </c>
      <c r="K113" s="34"/>
      <c r="L113" s="140"/>
      <c r="M113" s="140"/>
      <c r="N113" s="140"/>
    </row>
    <row r="114" spans="1:14" x14ac:dyDescent="0.35">
      <c r="A114" s="25">
        <v>42467</v>
      </c>
      <c r="B114" s="31" t="s">
        <v>263</v>
      </c>
      <c r="C114" s="30"/>
      <c r="D114" s="30">
        <f>40*2.28+26*2.6+8</f>
        <v>166.8</v>
      </c>
      <c r="E114" s="32">
        <f t="shared" si="16"/>
        <v>27379.089999999997</v>
      </c>
      <c r="F114" s="33"/>
      <c r="G114" s="27">
        <f t="shared" si="17"/>
        <v>18.469083053527207</v>
      </c>
      <c r="H114" s="33"/>
      <c r="I114" s="27">
        <f t="shared" si="18"/>
        <v>3080.6430533283383</v>
      </c>
      <c r="J114" s="30">
        <f t="shared" si="19"/>
        <v>505666.68713999615</v>
      </c>
      <c r="K114" s="34"/>
      <c r="L114" s="140"/>
      <c r="M114" s="140"/>
      <c r="N114" s="140"/>
    </row>
    <row r="115" spans="1:14" x14ac:dyDescent="0.35">
      <c r="A115" s="25">
        <v>42467</v>
      </c>
      <c r="B115" s="31" t="s">
        <v>264</v>
      </c>
      <c r="C115" s="30"/>
      <c r="D115" s="30">
        <f>10*3.8</f>
        <v>38</v>
      </c>
      <c r="E115" s="32">
        <f t="shared" si="16"/>
        <v>27341.089999999997</v>
      </c>
      <c r="F115" s="33"/>
      <c r="G115" s="27">
        <f t="shared" si="17"/>
        <v>18.469083053527207</v>
      </c>
      <c r="H115" s="33"/>
      <c r="I115" s="27">
        <f t="shared" si="18"/>
        <v>701.82515603403385</v>
      </c>
      <c r="J115" s="30">
        <f t="shared" si="19"/>
        <v>504964.86198396212</v>
      </c>
      <c r="K115" s="34"/>
      <c r="L115" s="140"/>
      <c r="M115" s="140"/>
      <c r="N115" s="140"/>
    </row>
    <row r="116" spans="1:14" x14ac:dyDescent="0.35">
      <c r="A116" s="25">
        <v>42467</v>
      </c>
      <c r="B116" s="31" t="s">
        <v>265</v>
      </c>
      <c r="C116" s="30"/>
      <c r="D116" s="30">
        <f>4.85</f>
        <v>4.8499999999999996</v>
      </c>
      <c r="E116" s="32">
        <f t="shared" si="16"/>
        <v>27336.239999999998</v>
      </c>
      <c r="F116" s="33"/>
      <c r="G116" s="27">
        <f t="shared" si="17"/>
        <v>18.469083053527207</v>
      </c>
      <c r="H116" s="33"/>
      <c r="I116" s="27">
        <f t="shared" si="18"/>
        <v>89.575052809606944</v>
      </c>
      <c r="J116" s="30">
        <f t="shared" si="19"/>
        <v>504875.28693115251</v>
      </c>
      <c r="K116" s="34"/>
      <c r="L116" s="140"/>
      <c r="M116" s="140"/>
      <c r="N116" s="140"/>
    </row>
    <row r="117" spans="1:14" x14ac:dyDescent="0.35">
      <c r="A117" s="25">
        <v>42468</v>
      </c>
      <c r="B117" s="31" t="s">
        <v>267</v>
      </c>
      <c r="C117" s="30"/>
      <c r="D117" s="30">
        <f>2.4</f>
        <v>2.4</v>
      </c>
      <c r="E117" s="32">
        <f t="shared" si="16"/>
        <v>27333.839999999997</v>
      </c>
      <c r="F117" s="33"/>
      <c r="G117" s="27">
        <f t="shared" si="17"/>
        <v>18.469083053527207</v>
      </c>
      <c r="H117" s="33"/>
      <c r="I117" s="27">
        <f t="shared" si="18"/>
        <v>44.325799328465294</v>
      </c>
      <c r="J117" s="30">
        <f t="shared" si="19"/>
        <v>504830.96113182406</v>
      </c>
      <c r="K117" s="34"/>
      <c r="L117" s="140"/>
      <c r="M117" s="140"/>
      <c r="N117" s="140"/>
    </row>
    <row r="118" spans="1:14" x14ac:dyDescent="0.35">
      <c r="A118" s="25">
        <v>42471</v>
      </c>
      <c r="B118" s="31" t="s">
        <v>270</v>
      </c>
      <c r="C118" s="30"/>
      <c r="D118" s="30">
        <f>8+2*4.25</f>
        <v>16.5</v>
      </c>
      <c r="E118" s="32">
        <f t="shared" si="16"/>
        <v>27317.339999999997</v>
      </c>
      <c r="F118" s="33"/>
      <c r="G118" s="27">
        <f t="shared" si="17"/>
        <v>18.469083053527207</v>
      </c>
      <c r="H118" s="33"/>
      <c r="I118" s="27">
        <f t="shared" si="18"/>
        <v>304.73987038319893</v>
      </c>
      <c r="J118" s="30">
        <f t="shared" si="19"/>
        <v>504526.22126144089</v>
      </c>
      <c r="K118" s="34"/>
      <c r="L118" s="140"/>
      <c r="M118" s="140"/>
      <c r="N118" s="140"/>
    </row>
    <row r="119" spans="1:14" x14ac:dyDescent="0.35">
      <c r="A119" s="25">
        <v>42474</v>
      </c>
      <c r="B119" s="31" t="s">
        <v>273</v>
      </c>
      <c r="C119" s="30"/>
      <c r="D119" s="30">
        <f>13*2.3</f>
        <v>29.9</v>
      </c>
      <c r="E119" s="32">
        <f t="shared" si="16"/>
        <v>27287.439999999995</v>
      </c>
      <c r="F119" s="33"/>
      <c r="G119" s="27">
        <f t="shared" si="17"/>
        <v>18.469083053527207</v>
      </c>
      <c r="H119" s="33"/>
      <c r="I119" s="27">
        <f t="shared" si="18"/>
        <v>552.22558330046343</v>
      </c>
      <c r="J119" s="30">
        <f t="shared" si="19"/>
        <v>503973.99567814043</v>
      </c>
      <c r="K119" s="34"/>
      <c r="L119" s="140"/>
      <c r="M119" s="140"/>
      <c r="N119" s="140"/>
    </row>
    <row r="120" spans="1:14" x14ac:dyDescent="0.35">
      <c r="A120" s="25">
        <v>42475</v>
      </c>
      <c r="B120" s="31" t="s">
        <v>274</v>
      </c>
      <c r="C120" s="30"/>
      <c r="D120" s="30">
        <f>7*4.5</f>
        <v>31.5</v>
      </c>
      <c r="E120" s="32">
        <f t="shared" si="16"/>
        <v>27255.939999999995</v>
      </c>
      <c r="F120" s="33"/>
      <c r="G120" s="27">
        <f t="shared" si="17"/>
        <v>18.469083053527211</v>
      </c>
      <c r="H120" s="33"/>
      <c r="I120" s="27">
        <f t="shared" si="18"/>
        <v>581.77611618610717</v>
      </c>
      <c r="J120" s="30">
        <f t="shared" si="19"/>
        <v>503392.21956195432</v>
      </c>
      <c r="K120" s="34"/>
      <c r="L120" s="140"/>
      <c r="M120" s="140"/>
      <c r="N120" s="140"/>
    </row>
    <row r="121" spans="1:14" x14ac:dyDescent="0.35">
      <c r="A121" s="106">
        <v>42475</v>
      </c>
      <c r="B121" s="107" t="s">
        <v>275</v>
      </c>
      <c r="C121" s="108"/>
      <c r="D121" s="108">
        <f>11*4.5</f>
        <v>49.5</v>
      </c>
      <c r="E121" s="109">
        <f t="shared" si="16"/>
        <v>27206.439999999995</v>
      </c>
      <c r="F121" s="110"/>
      <c r="G121" s="108">
        <f t="shared" si="17"/>
        <v>18.469083053527211</v>
      </c>
      <c r="H121" s="110"/>
      <c r="I121" s="108">
        <f t="shared" si="18"/>
        <v>914.21961114959697</v>
      </c>
      <c r="J121" s="108">
        <f t="shared" si="19"/>
        <v>502477.99995080475</v>
      </c>
      <c r="K121" s="111"/>
      <c r="L121" s="179">
        <f>SUM(I105:I121)</f>
        <v>27494.113878409222</v>
      </c>
      <c r="M121" s="160"/>
      <c r="N121" s="143">
        <v>42475</v>
      </c>
    </row>
    <row r="122" spans="1:14" x14ac:dyDescent="0.35">
      <c r="A122" s="25">
        <v>42476</v>
      </c>
      <c r="B122" s="31" t="s">
        <v>276</v>
      </c>
      <c r="C122" s="30"/>
      <c r="D122" s="30">
        <f>6*4.25</f>
        <v>25.5</v>
      </c>
      <c r="E122" s="32">
        <f t="shared" si="16"/>
        <v>27180.939999999995</v>
      </c>
      <c r="F122" s="33"/>
      <c r="G122" s="27">
        <f t="shared" si="17"/>
        <v>18.469083053527211</v>
      </c>
      <c r="H122" s="33"/>
      <c r="I122" s="27">
        <f t="shared" si="18"/>
        <v>470.96161786494389</v>
      </c>
      <c r="J122" s="30">
        <f t="shared" si="19"/>
        <v>502007.03833293979</v>
      </c>
      <c r="K122" s="34"/>
      <c r="L122" s="140"/>
      <c r="M122" s="140"/>
      <c r="N122" s="140"/>
    </row>
    <row r="123" spans="1:14" x14ac:dyDescent="0.35">
      <c r="A123" s="25">
        <v>42478</v>
      </c>
      <c r="B123" s="31" t="s">
        <v>278</v>
      </c>
      <c r="C123" s="30"/>
      <c r="D123" s="30">
        <f>7*1.8</f>
        <v>12.6</v>
      </c>
      <c r="E123" s="32">
        <f t="shared" si="16"/>
        <v>27168.339999999997</v>
      </c>
      <c r="F123" s="33"/>
      <c r="G123" s="27">
        <f t="shared" si="17"/>
        <v>18.469083053527211</v>
      </c>
      <c r="H123" s="33"/>
      <c r="I123" s="27">
        <f t="shared" si="18"/>
        <v>232.71044647444285</v>
      </c>
      <c r="J123" s="30">
        <f t="shared" si="19"/>
        <v>501774.32788646535</v>
      </c>
      <c r="K123" s="34"/>
      <c r="L123" s="140"/>
      <c r="M123" s="140"/>
      <c r="N123" s="140"/>
    </row>
    <row r="124" spans="1:14" x14ac:dyDescent="0.35">
      <c r="A124" s="25">
        <v>42481</v>
      </c>
      <c r="B124" s="31" t="s">
        <v>281</v>
      </c>
      <c r="C124" s="30"/>
      <c r="D124" s="30">
        <f>6</f>
        <v>6</v>
      </c>
      <c r="E124" s="32">
        <f t="shared" si="16"/>
        <v>27162.339999999997</v>
      </c>
      <c r="F124" s="33"/>
      <c r="G124" s="27">
        <f t="shared" si="17"/>
        <v>18.469083053527211</v>
      </c>
      <c r="H124" s="33"/>
      <c r="I124" s="27">
        <f t="shared" si="18"/>
        <v>110.81449832116326</v>
      </c>
      <c r="J124" s="30">
        <f t="shared" si="19"/>
        <v>501663.5133881442</v>
      </c>
      <c r="K124" s="34"/>
      <c r="L124" s="140"/>
      <c r="M124" s="140"/>
      <c r="N124" s="140"/>
    </row>
    <row r="125" spans="1:14" x14ac:dyDescent="0.35">
      <c r="A125" s="25">
        <v>42481</v>
      </c>
      <c r="B125" s="31" t="s">
        <v>282</v>
      </c>
      <c r="C125" s="30"/>
      <c r="D125" s="30">
        <f>3*5.88+3*5.68+9*5.48</f>
        <v>84</v>
      </c>
      <c r="E125" s="32">
        <f t="shared" si="16"/>
        <v>27078.339999999997</v>
      </c>
      <c r="F125" s="33"/>
      <c r="G125" s="27">
        <f t="shared" si="17"/>
        <v>18.469083053527211</v>
      </c>
      <c r="H125" s="33"/>
      <c r="I125" s="27">
        <f t="shared" si="18"/>
        <v>1551.4029764962856</v>
      </c>
      <c r="J125" s="30">
        <f t="shared" si="19"/>
        <v>500112.11041164794</v>
      </c>
      <c r="K125" s="34"/>
      <c r="L125" s="140"/>
      <c r="M125" s="140"/>
      <c r="N125" s="140"/>
    </row>
    <row r="126" spans="1:14" x14ac:dyDescent="0.35">
      <c r="A126" s="25">
        <v>42482</v>
      </c>
      <c r="B126" s="31" t="s">
        <v>284</v>
      </c>
      <c r="C126" s="30"/>
      <c r="D126" s="30">
        <f>34*4.3+2*4</f>
        <v>154.19999999999999</v>
      </c>
      <c r="E126" s="32">
        <f t="shared" si="16"/>
        <v>26924.139999999996</v>
      </c>
      <c r="F126" s="33"/>
      <c r="G126" s="27">
        <f t="shared" si="17"/>
        <v>18.469083053527211</v>
      </c>
      <c r="H126" s="33"/>
      <c r="I126" s="27">
        <f t="shared" si="18"/>
        <v>2847.9326068538958</v>
      </c>
      <c r="J126" s="30">
        <f t="shared" si="19"/>
        <v>497264.17780479405</v>
      </c>
      <c r="K126" s="34"/>
      <c r="L126" s="140"/>
      <c r="M126" s="140"/>
      <c r="N126" s="140"/>
    </row>
    <row r="127" spans="1:14" x14ac:dyDescent="0.35">
      <c r="A127" s="25">
        <v>42482</v>
      </c>
      <c r="B127" s="31" t="s">
        <v>285</v>
      </c>
      <c r="C127" s="30"/>
      <c r="D127" s="30">
        <f>13*5.55</f>
        <v>72.149999999999991</v>
      </c>
      <c r="E127" s="32">
        <f t="shared" si="16"/>
        <v>26851.989999999994</v>
      </c>
      <c r="F127" s="33"/>
      <c r="G127" s="27">
        <f t="shared" si="17"/>
        <v>18.469083053527211</v>
      </c>
      <c r="H127" s="33"/>
      <c r="I127" s="27">
        <f t="shared" si="18"/>
        <v>1332.544342311988</v>
      </c>
      <c r="J127" s="30">
        <f t="shared" si="19"/>
        <v>495931.63346248207</v>
      </c>
      <c r="K127" s="34"/>
      <c r="L127" s="140"/>
      <c r="M127" s="140"/>
      <c r="N127" s="140"/>
    </row>
    <row r="128" spans="1:14" x14ac:dyDescent="0.35">
      <c r="A128" s="25">
        <v>42482</v>
      </c>
      <c r="B128" s="31" t="s">
        <v>287</v>
      </c>
      <c r="C128" s="30"/>
      <c r="D128" s="30">
        <v>3.88</v>
      </c>
      <c r="E128" s="32">
        <f t="shared" si="16"/>
        <v>26848.109999999993</v>
      </c>
      <c r="F128" s="33"/>
      <c r="G128" s="27">
        <f t="shared" si="17"/>
        <v>18.469083053527214</v>
      </c>
      <c r="H128" s="33"/>
      <c r="I128" s="27">
        <f t="shared" si="18"/>
        <v>71.660042247685595</v>
      </c>
      <c r="J128" s="30">
        <f t="shared" si="19"/>
        <v>495859.9734202344</v>
      </c>
      <c r="K128" s="34"/>
      <c r="L128" s="140"/>
      <c r="M128" s="140"/>
      <c r="N128" s="140"/>
    </row>
    <row r="129" spans="1:14" x14ac:dyDescent="0.35">
      <c r="A129" s="25">
        <v>42482</v>
      </c>
      <c r="B129" s="31" t="s">
        <v>288</v>
      </c>
      <c r="C129" s="30"/>
      <c r="D129" s="30">
        <f>10*5+10*2.5</f>
        <v>75</v>
      </c>
      <c r="E129" s="32">
        <f t="shared" si="16"/>
        <v>26773.109999999993</v>
      </c>
      <c r="F129" s="33"/>
      <c r="G129" s="27">
        <f t="shared" si="17"/>
        <v>18.469083053527214</v>
      </c>
      <c r="H129" s="33"/>
      <c r="I129" s="27">
        <f t="shared" si="18"/>
        <v>1385.181229014541</v>
      </c>
      <c r="J129" s="30">
        <f t="shared" si="19"/>
        <v>494474.79219121987</v>
      </c>
      <c r="K129" s="34"/>
      <c r="L129" s="140"/>
      <c r="M129" s="140"/>
      <c r="N129" s="140"/>
    </row>
    <row r="130" spans="1:14" x14ac:dyDescent="0.35">
      <c r="A130" s="25">
        <v>42483</v>
      </c>
      <c r="B130" s="31" t="s">
        <v>387</v>
      </c>
      <c r="C130" s="30"/>
      <c r="D130" s="30">
        <v>0</v>
      </c>
      <c r="E130" s="32">
        <f t="shared" si="16"/>
        <v>26773.109999999993</v>
      </c>
      <c r="F130" s="33"/>
      <c r="G130" s="27">
        <f t="shared" si="17"/>
        <v>18.469083053527214</v>
      </c>
      <c r="H130" s="33"/>
      <c r="I130" s="27">
        <f t="shared" si="18"/>
        <v>0</v>
      </c>
      <c r="J130" s="30">
        <f t="shared" si="19"/>
        <v>494474.79219121987</v>
      </c>
      <c r="K130" s="34"/>
      <c r="L130" s="140"/>
      <c r="M130" s="140"/>
      <c r="N130" s="140"/>
    </row>
    <row r="131" spans="1:14" x14ac:dyDescent="0.35">
      <c r="A131" s="25">
        <v>42483</v>
      </c>
      <c r="B131" s="31" t="s">
        <v>291</v>
      </c>
      <c r="C131" s="30"/>
      <c r="D131" s="30">
        <f>3.46</f>
        <v>3.46</v>
      </c>
      <c r="E131" s="32">
        <f t="shared" si="16"/>
        <v>26769.649999999994</v>
      </c>
      <c r="F131" s="33"/>
      <c r="G131" s="27">
        <f t="shared" si="17"/>
        <v>18.469083053527214</v>
      </c>
      <c r="H131" s="33"/>
      <c r="I131" s="27">
        <f t="shared" si="18"/>
        <v>63.90302736520416</v>
      </c>
      <c r="J131" s="30">
        <f t="shared" si="19"/>
        <v>494410.88916385465</v>
      </c>
      <c r="K131" s="34"/>
      <c r="L131" s="140"/>
      <c r="M131" s="140"/>
      <c r="N131" s="140"/>
    </row>
    <row r="132" spans="1:14" x14ac:dyDescent="0.35">
      <c r="A132" s="25">
        <v>42483</v>
      </c>
      <c r="B132" s="31" t="s">
        <v>292</v>
      </c>
      <c r="C132" s="30"/>
      <c r="D132" s="30">
        <f>12*2.4</f>
        <v>28.799999999999997</v>
      </c>
      <c r="E132" s="32">
        <f t="shared" si="16"/>
        <v>26740.849999999995</v>
      </c>
      <c r="F132" s="33"/>
      <c r="G132" s="27">
        <f t="shared" si="17"/>
        <v>18.469083053527214</v>
      </c>
      <c r="H132" s="33"/>
      <c r="I132" s="27">
        <f t="shared" si="18"/>
        <v>531.9095919415837</v>
      </c>
      <c r="J132" s="30">
        <f t="shared" si="19"/>
        <v>493878.97957191308</v>
      </c>
      <c r="K132" s="34"/>
      <c r="L132" s="140"/>
      <c r="M132" s="140"/>
      <c r="N132" s="140"/>
    </row>
    <row r="133" spans="1:14" x14ac:dyDescent="0.35">
      <c r="A133" s="25">
        <v>42487</v>
      </c>
      <c r="B133" s="31" t="s">
        <v>297</v>
      </c>
      <c r="C133" s="30"/>
      <c r="D133" s="30">
        <f>3*0.8</f>
        <v>2.4000000000000004</v>
      </c>
      <c r="E133" s="32">
        <f t="shared" si="16"/>
        <v>26738.449999999993</v>
      </c>
      <c r="F133" s="33"/>
      <c r="G133" s="27">
        <f t="shared" si="17"/>
        <v>18.469083053527214</v>
      </c>
      <c r="H133" s="33"/>
      <c r="I133" s="27">
        <f t="shared" si="18"/>
        <v>44.325799328465322</v>
      </c>
      <c r="J133" s="30">
        <f t="shared" si="19"/>
        <v>493834.65377258463</v>
      </c>
      <c r="K133" s="34"/>
      <c r="L133" s="140"/>
      <c r="M133" s="140"/>
      <c r="N133" s="140"/>
    </row>
    <row r="134" spans="1:14" x14ac:dyDescent="0.35">
      <c r="A134" s="25">
        <v>42489</v>
      </c>
      <c r="B134" s="31" t="s">
        <v>299</v>
      </c>
      <c r="C134" s="30"/>
      <c r="D134" s="30">
        <f>13.85</f>
        <v>13.85</v>
      </c>
      <c r="E134" s="32">
        <f t="shared" si="16"/>
        <v>26724.599999999995</v>
      </c>
      <c r="F134" s="33"/>
      <c r="G134" s="27">
        <f t="shared" si="17"/>
        <v>18.469083053527214</v>
      </c>
      <c r="H134" s="33"/>
      <c r="I134" s="27">
        <f t="shared" si="18"/>
        <v>255.7968002913519</v>
      </c>
      <c r="J134" s="30">
        <f t="shared" si="19"/>
        <v>493578.85697229329</v>
      </c>
      <c r="K134" s="34"/>
      <c r="L134" s="140"/>
      <c r="M134" s="140"/>
      <c r="N134" s="140"/>
    </row>
    <row r="135" spans="1:14" x14ac:dyDescent="0.35">
      <c r="A135" s="106">
        <v>42489</v>
      </c>
      <c r="B135" s="107" t="s">
        <v>300</v>
      </c>
      <c r="C135" s="108"/>
      <c r="D135" s="108">
        <f>5*5.2</f>
        <v>26</v>
      </c>
      <c r="E135" s="109">
        <f t="shared" si="16"/>
        <v>26698.599999999995</v>
      </c>
      <c r="F135" s="110"/>
      <c r="G135" s="108">
        <f t="shared" si="17"/>
        <v>18.469083053527214</v>
      </c>
      <c r="H135" s="110"/>
      <c r="I135" s="108">
        <f t="shared" si="18"/>
        <v>480.19615939170757</v>
      </c>
      <c r="J135" s="108">
        <f t="shared" si="19"/>
        <v>493098.66081290157</v>
      </c>
      <c r="K135" s="111"/>
      <c r="L135" s="179">
        <f>SUM(I122:I135)</f>
        <v>9379.3391379032582</v>
      </c>
      <c r="M135" s="179">
        <f>SUM(L121:L135)</f>
        <v>36873.45301631248</v>
      </c>
      <c r="N135" s="143">
        <v>42490</v>
      </c>
    </row>
    <row r="136" spans="1:14" x14ac:dyDescent="0.35">
      <c r="A136" s="25">
        <v>42493</v>
      </c>
      <c r="B136" s="31" t="s">
        <v>301</v>
      </c>
      <c r="C136" s="30"/>
      <c r="D136" s="30">
        <f>7*6+7*5.2</f>
        <v>78.400000000000006</v>
      </c>
      <c r="E136" s="32">
        <f t="shared" si="16"/>
        <v>26620.199999999993</v>
      </c>
      <c r="F136" s="33"/>
      <c r="G136" s="27">
        <f t="shared" si="17"/>
        <v>18.469083053527214</v>
      </c>
      <c r="H136" s="33"/>
      <c r="I136" s="27">
        <f t="shared" si="18"/>
        <v>1447.9761113965337</v>
      </c>
      <c r="J136" s="30">
        <f t="shared" si="19"/>
        <v>491650.68470150506</v>
      </c>
      <c r="K136" s="34"/>
      <c r="L136" s="140"/>
      <c r="M136" s="140"/>
      <c r="N136" s="140"/>
    </row>
    <row r="137" spans="1:14" x14ac:dyDescent="0.35">
      <c r="A137" s="25">
        <v>42493</v>
      </c>
      <c r="B137" s="31" t="s">
        <v>302</v>
      </c>
      <c r="C137" s="30"/>
      <c r="D137" s="30">
        <f>14*5.15</f>
        <v>72.100000000000009</v>
      </c>
      <c r="E137" s="32">
        <f t="shared" si="16"/>
        <v>26548.099999999995</v>
      </c>
      <c r="F137" s="33"/>
      <c r="G137" s="27">
        <f t="shared" si="17"/>
        <v>18.469083053527214</v>
      </c>
      <c r="H137" s="33"/>
      <c r="I137" s="27">
        <f t="shared" si="18"/>
        <v>1331.6208881593122</v>
      </c>
      <c r="J137" s="30">
        <f t="shared" si="19"/>
        <v>490319.06381334574</v>
      </c>
      <c r="K137" s="34"/>
      <c r="L137" s="140"/>
      <c r="M137" s="140"/>
      <c r="N137" s="140"/>
    </row>
    <row r="138" spans="1:14" x14ac:dyDescent="0.35">
      <c r="A138" s="25">
        <v>42494</v>
      </c>
      <c r="B138" s="31" t="s">
        <v>304</v>
      </c>
      <c r="C138" s="30"/>
      <c r="D138" s="30">
        <f>6*2+30*4+3*4</f>
        <v>144</v>
      </c>
      <c r="E138" s="32">
        <f t="shared" si="16"/>
        <v>26404.099999999995</v>
      </c>
      <c r="F138" s="33"/>
      <c r="G138" s="27">
        <f t="shared" si="17"/>
        <v>18.469083053527214</v>
      </c>
      <c r="H138" s="33"/>
      <c r="I138" s="27">
        <f t="shared" si="18"/>
        <v>2659.5479597079188</v>
      </c>
      <c r="J138" s="30">
        <f t="shared" si="19"/>
        <v>487659.51585363783</v>
      </c>
      <c r="K138" s="34"/>
      <c r="L138" s="140"/>
      <c r="M138" s="140"/>
      <c r="N138" s="140"/>
    </row>
    <row r="139" spans="1:14" x14ac:dyDescent="0.35">
      <c r="A139" s="25">
        <v>42495</v>
      </c>
      <c r="B139" s="31" t="s">
        <v>307</v>
      </c>
      <c r="C139" s="30"/>
      <c r="D139" s="30">
        <f>6*2.5</f>
        <v>15</v>
      </c>
      <c r="E139" s="32">
        <f t="shared" si="16"/>
        <v>26389.099999999995</v>
      </c>
      <c r="F139" s="33"/>
      <c r="G139" s="27">
        <f t="shared" si="17"/>
        <v>18.469083053527214</v>
      </c>
      <c r="H139" s="33"/>
      <c r="I139" s="27">
        <f t="shared" si="18"/>
        <v>277.03624580290818</v>
      </c>
      <c r="J139" s="30">
        <f t="shared" si="19"/>
        <v>487382.47960783495</v>
      </c>
      <c r="K139" s="34"/>
      <c r="L139" s="140"/>
      <c r="M139" s="140"/>
      <c r="N139" s="140"/>
    </row>
    <row r="140" spans="1:14" x14ac:dyDescent="0.35">
      <c r="A140" s="25">
        <v>42496</v>
      </c>
      <c r="B140" s="31" t="s">
        <v>312</v>
      </c>
      <c r="C140" s="30"/>
      <c r="D140" s="30">
        <f>25*4.1+5*4.6</f>
        <v>125.49999999999999</v>
      </c>
      <c r="E140" s="32">
        <f t="shared" si="16"/>
        <v>26263.599999999995</v>
      </c>
      <c r="F140" s="33"/>
      <c r="G140" s="27">
        <f t="shared" si="17"/>
        <v>18.469083053527214</v>
      </c>
      <c r="H140" s="33"/>
      <c r="I140" s="27">
        <f t="shared" si="18"/>
        <v>2317.869923217665</v>
      </c>
      <c r="J140" s="30">
        <f t="shared" si="19"/>
        <v>485064.60968461726</v>
      </c>
      <c r="K140" s="34"/>
      <c r="L140" s="140"/>
      <c r="M140" s="140"/>
      <c r="N140" s="140"/>
    </row>
    <row r="141" spans="1:14" x14ac:dyDescent="0.35">
      <c r="A141" s="25">
        <v>42497</v>
      </c>
      <c r="B141" s="31" t="s">
        <v>313</v>
      </c>
      <c r="C141" s="30"/>
      <c r="D141" s="30">
        <f>5*4.7</f>
        <v>23.5</v>
      </c>
      <c r="E141" s="32">
        <f t="shared" si="16"/>
        <v>26240.099999999995</v>
      </c>
      <c r="F141" s="33"/>
      <c r="G141" s="27">
        <f t="shared" si="17"/>
        <v>18.469083053527214</v>
      </c>
      <c r="H141" s="33"/>
      <c r="I141" s="27">
        <f t="shared" si="18"/>
        <v>434.02345175788952</v>
      </c>
      <c r="J141" s="30">
        <f t="shared" si="19"/>
        <v>484630.58623285935</v>
      </c>
      <c r="K141" s="34"/>
      <c r="L141" s="140"/>
      <c r="M141" s="140"/>
      <c r="N141" s="140"/>
    </row>
    <row r="142" spans="1:14" x14ac:dyDescent="0.35">
      <c r="A142" s="25">
        <v>42500</v>
      </c>
      <c r="B142" s="31" t="s">
        <v>315</v>
      </c>
      <c r="C142" s="30"/>
      <c r="D142" s="30">
        <f>3*2.5</f>
        <v>7.5</v>
      </c>
      <c r="E142" s="32">
        <f t="shared" si="16"/>
        <v>26232.599999999995</v>
      </c>
      <c r="F142" s="33"/>
      <c r="G142" s="27">
        <f t="shared" si="17"/>
        <v>18.469083053527214</v>
      </c>
      <c r="H142" s="33"/>
      <c r="I142" s="27">
        <f t="shared" si="18"/>
        <v>138.51812290145409</v>
      </c>
      <c r="J142" s="30">
        <f t="shared" si="19"/>
        <v>484492.06810995791</v>
      </c>
      <c r="K142" s="34"/>
      <c r="L142" s="140"/>
      <c r="M142" s="140"/>
      <c r="N142" s="140"/>
    </row>
    <row r="143" spans="1:14" x14ac:dyDescent="0.35">
      <c r="A143" s="25">
        <v>42501</v>
      </c>
      <c r="B143" s="31" t="s">
        <v>318</v>
      </c>
      <c r="C143" s="30"/>
      <c r="D143" s="30">
        <f>11*4.5</f>
        <v>49.5</v>
      </c>
      <c r="E143" s="32">
        <f t="shared" si="16"/>
        <v>26183.099999999995</v>
      </c>
      <c r="F143" s="33"/>
      <c r="G143" s="27">
        <f t="shared" si="17"/>
        <v>18.469083053527214</v>
      </c>
      <c r="H143" s="33"/>
      <c r="I143" s="27">
        <f t="shared" si="18"/>
        <v>914.21961114959709</v>
      </c>
      <c r="J143" s="30">
        <f t="shared" si="19"/>
        <v>483577.84849880834</v>
      </c>
      <c r="K143" s="34"/>
      <c r="L143" s="140"/>
      <c r="M143" s="140"/>
      <c r="N143" s="140"/>
    </row>
    <row r="144" spans="1:14" x14ac:dyDescent="0.35">
      <c r="A144" s="25">
        <v>42502</v>
      </c>
      <c r="B144" s="31" t="s">
        <v>319</v>
      </c>
      <c r="C144" s="30"/>
      <c r="D144" s="30">
        <v>1.85</v>
      </c>
      <c r="E144" s="32">
        <f t="shared" si="16"/>
        <v>26181.249999999996</v>
      </c>
      <c r="F144" s="33"/>
      <c r="G144" s="27">
        <f t="shared" si="17"/>
        <v>18.469083053527214</v>
      </c>
      <c r="H144" s="33"/>
      <c r="I144" s="27">
        <f t="shared" si="18"/>
        <v>34.167803649025345</v>
      </c>
      <c r="J144" s="30">
        <f t="shared" si="19"/>
        <v>483543.6806951593</v>
      </c>
      <c r="K144" s="34"/>
      <c r="L144" s="140"/>
      <c r="M144" s="140"/>
      <c r="N144" s="140"/>
    </row>
    <row r="145" spans="1:14" x14ac:dyDescent="0.35">
      <c r="A145" s="25">
        <v>42502</v>
      </c>
      <c r="B145" s="31" t="s">
        <v>320</v>
      </c>
      <c r="C145" s="30"/>
      <c r="D145" s="30">
        <f>9*4.6+16*2.3</f>
        <v>78.199999999999989</v>
      </c>
      <c r="E145" s="32">
        <f t="shared" si="16"/>
        <v>26103.049999999996</v>
      </c>
      <c r="F145" s="33"/>
      <c r="G145" s="27">
        <f t="shared" si="17"/>
        <v>18.469083053527214</v>
      </c>
      <c r="H145" s="33"/>
      <c r="I145" s="27">
        <f t="shared" si="18"/>
        <v>1444.2822947858278</v>
      </c>
      <c r="J145" s="30">
        <f t="shared" si="19"/>
        <v>482099.39840037347</v>
      </c>
      <c r="K145" s="34"/>
      <c r="L145" s="140"/>
      <c r="M145" s="140"/>
      <c r="N145" s="140"/>
    </row>
    <row r="146" spans="1:14" x14ac:dyDescent="0.35">
      <c r="A146" s="25">
        <v>42502</v>
      </c>
      <c r="B146" s="31" t="s">
        <v>321</v>
      </c>
      <c r="C146" s="30"/>
      <c r="D146" s="30">
        <v>1.56</v>
      </c>
      <c r="E146" s="32">
        <f t="shared" si="16"/>
        <v>26101.489999999994</v>
      </c>
      <c r="F146" s="33"/>
      <c r="G146" s="27">
        <f t="shared" si="17"/>
        <v>18.469083053527214</v>
      </c>
      <c r="H146" s="33"/>
      <c r="I146" s="27">
        <f t="shared" si="18"/>
        <v>28.811769563502455</v>
      </c>
      <c r="J146" s="30">
        <f t="shared" si="19"/>
        <v>482070.58663080994</v>
      </c>
      <c r="K146" s="34"/>
      <c r="L146" s="140"/>
      <c r="M146" s="140"/>
      <c r="N146" s="140"/>
    </row>
    <row r="147" spans="1:14" x14ac:dyDescent="0.35">
      <c r="A147" s="25">
        <v>42503</v>
      </c>
      <c r="B147" s="31" t="s">
        <v>322</v>
      </c>
      <c r="C147" s="30"/>
      <c r="D147" s="30">
        <f>11*5.2+2</f>
        <v>59.2</v>
      </c>
      <c r="E147" s="32">
        <f t="shared" si="16"/>
        <v>26042.289999999994</v>
      </c>
      <c r="F147" s="33"/>
      <c r="G147" s="27">
        <f t="shared" si="17"/>
        <v>18.469083053527214</v>
      </c>
      <c r="H147" s="33"/>
      <c r="I147" s="27">
        <f t="shared" si="18"/>
        <v>1093.369716768811</v>
      </c>
      <c r="J147" s="30">
        <f t="shared" si="19"/>
        <v>480977.21691404114</v>
      </c>
      <c r="K147" s="34"/>
      <c r="L147" s="140"/>
      <c r="M147" s="140"/>
      <c r="N147" s="140"/>
    </row>
    <row r="148" spans="1:14" x14ac:dyDescent="0.35">
      <c r="A148" s="25">
        <v>42504</v>
      </c>
      <c r="B148" s="31" t="s">
        <v>324</v>
      </c>
      <c r="C148" s="30"/>
      <c r="D148" s="30">
        <f>30*5.3+15*0.5</f>
        <v>166.5</v>
      </c>
      <c r="E148" s="32">
        <f t="shared" si="16"/>
        <v>25875.789999999994</v>
      </c>
      <c r="F148" s="33"/>
      <c r="G148" s="27">
        <f t="shared" si="17"/>
        <v>18.469083053527214</v>
      </c>
      <c r="H148" s="33"/>
      <c r="I148" s="27">
        <f t="shared" si="18"/>
        <v>3075.1023284122812</v>
      </c>
      <c r="J148" s="30">
        <f t="shared" si="19"/>
        <v>477902.11458562885</v>
      </c>
      <c r="K148" s="34"/>
      <c r="L148" s="140"/>
      <c r="M148" s="140"/>
      <c r="N148" s="140"/>
    </row>
    <row r="149" spans="1:14" x14ac:dyDescent="0.35">
      <c r="A149" s="25">
        <v>42504</v>
      </c>
      <c r="B149" s="31" t="s">
        <v>325</v>
      </c>
      <c r="C149" s="30"/>
      <c r="D149" s="30">
        <f>9*2.6</f>
        <v>23.400000000000002</v>
      </c>
      <c r="E149" s="32">
        <f t="shared" si="16"/>
        <v>25852.389999999992</v>
      </c>
      <c r="F149" s="33"/>
      <c r="G149" s="27">
        <f t="shared" si="17"/>
        <v>18.469083053527214</v>
      </c>
      <c r="H149" s="33"/>
      <c r="I149" s="27">
        <f t="shared" si="18"/>
        <v>432.17654345253686</v>
      </c>
      <c r="J149" s="30">
        <f t="shared" si="19"/>
        <v>477469.93804217631</v>
      </c>
      <c r="K149" s="34"/>
      <c r="L149" s="140"/>
      <c r="M149" s="140"/>
      <c r="N149" s="140"/>
    </row>
    <row r="150" spans="1:14" x14ac:dyDescent="0.35">
      <c r="A150" s="106">
        <v>42504</v>
      </c>
      <c r="B150" s="107" t="s">
        <v>326</v>
      </c>
      <c r="C150" s="108"/>
      <c r="D150" s="108">
        <f>5*5+4</f>
        <v>29</v>
      </c>
      <c r="E150" s="109">
        <f t="shared" si="16"/>
        <v>25823.389999999992</v>
      </c>
      <c r="F150" s="110"/>
      <c r="G150" s="108">
        <f t="shared" si="17"/>
        <v>18.469083053527214</v>
      </c>
      <c r="H150" s="110"/>
      <c r="I150" s="108">
        <f t="shared" si="18"/>
        <v>535.60340855228924</v>
      </c>
      <c r="J150" s="108">
        <f t="shared" si="19"/>
        <v>476934.33463362401</v>
      </c>
      <c r="K150" s="111"/>
      <c r="L150" s="179">
        <f>SUM(I136:I150)</f>
        <v>16164.326179277554</v>
      </c>
      <c r="M150" s="160"/>
      <c r="N150" s="143">
        <v>42505</v>
      </c>
    </row>
    <row r="151" spans="1:14" x14ac:dyDescent="0.35">
      <c r="A151" s="25">
        <v>42506</v>
      </c>
      <c r="B151" s="31" t="s">
        <v>329</v>
      </c>
      <c r="C151" s="30"/>
      <c r="D151" s="30">
        <f>8*5</f>
        <v>40</v>
      </c>
      <c r="E151" s="32">
        <f t="shared" si="16"/>
        <v>25783.389999999992</v>
      </c>
      <c r="F151" s="33"/>
      <c r="G151" s="27">
        <f t="shared" si="17"/>
        <v>18.469083053527214</v>
      </c>
      <c r="H151" s="33"/>
      <c r="I151" s="27">
        <f t="shared" si="18"/>
        <v>738.76332214108857</v>
      </c>
      <c r="J151" s="30">
        <f t="shared" si="19"/>
        <v>476195.57131148293</v>
      </c>
      <c r="K151" s="34"/>
      <c r="L151" s="140"/>
      <c r="M151" s="140"/>
      <c r="N151" s="140"/>
    </row>
    <row r="152" spans="1:14" x14ac:dyDescent="0.35">
      <c r="A152" s="25">
        <v>42506</v>
      </c>
      <c r="B152" s="31" t="s">
        <v>330</v>
      </c>
      <c r="C152" s="30"/>
      <c r="D152" s="30">
        <f>21*4.6</f>
        <v>96.6</v>
      </c>
      <c r="E152" s="32">
        <f t="shared" si="16"/>
        <v>25686.789999999994</v>
      </c>
      <c r="F152" s="33"/>
      <c r="G152" s="27">
        <f t="shared" si="17"/>
        <v>18.469083053527214</v>
      </c>
      <c r="H152" s="33"/>
      <c r="I152" s="27">
        <f t="shared" si="18"/>
        <v>1784.1134229707288</v>
      </c>
      <c r="J152" s="30">
        <f t="shared" si="19"/>
        <v>474411.45788851217</v>
      </c>
      <c r="K152" s="34"/>
      <c r="L152" s="140"/>
      <c r="M152" s="140"/>
      <c r="N152" s="140"/>
    </row>
    <row r="153" spans="1:14" x14ac:dyDescent="0.35">
      <c r="A153" s="25">
        <v>42506</v>
      </c>
      <c r="B153" s="31" t="s">
        <v>331</v>
      </c>
      <c r="C153" s="30"/>
      <c r="D153" s="30">
        <f>3*2+3*2.2</f>
        <v>12.600000000000001</v>
      </c>
      <c r="E153" s="32">
        <f t="shared" si="16"/>
        <v>25674.189999999995</v>
      </c>
      <c r="F153" s="33"/>
      <c r="G153" s="27">
        <f t="shared" si="17"/>
        <v>18.469083053527214</v>
      </c>
      <c r="H153" s="33"/>
      <c r="I153" s="27">
        <f t="shared" si="18"/>
        <v>232.71044647444293</v>
      </c>
      <c r="J153" s="30">
        <f t="shared" si="19"/>
        <v>474178.74744203774</v>
      </c>
      <c r="K153" s="34"/>
      <c r="L153" s="140"/>
      <c r="M153" s="140"/>
      <c r="N153" s="140"/>
    </row>
    <row r="154" spans="1:14" x14ac:dyDescent="0.35">
      <c r="A154" s="25">
        <v>42506</v>
      </c>
      <c r="B154" s="31" t="s">
        <v>332</v>
      </c>
      <c r="C154" s="30"/>
      <c r="D154" s="30">
        <v>2</v>
      </c>
      <c r="E154" s="32">
        <f t="shared" si="16"/>
        <v>25672.189999999995</v>
      </c>
      <c r="F154" s="33"/>
      <c r="G154" s="27">
        <f t="shared" si="17"/>
        <v>18.469083053527214</v>
      </c>
      <c r="H154" s="33"/>
      <c r="I154" s="27">
        <f t="shared" si="18"/>
        <v>36.938166107054428</v>
      </c>
      <c r="J154" s="30">
        <f t="shared" si="19"/>
        <v>474141.80927593069</v>
      </c>
      <c r="K154" s="34"/>
      <c r="L154" s="140"/>
      <c r="M154" s="140"/>
      <c r="N154" s="140"/>
    </row>
    <row r="155" spans="1:14" x14ac:dyDescent="0.35">
      <c r="A155" s="25">
        <v>42506</v>
      </c>
      <c r="B155" s="31" t="s">
        <v>333</v>
      </c>
      <c r="C155" s="30"/>
      <c r="D155" s="30">
        <f>3*2.6</f>
        <v>7.8000000000000007</v>
      </c>
      <c r="E155" s="32">
        <f t="shared" si="16"/>
        <v>25664.389999999996</v>
      </c>
      <c r="F155" s="33"/>
      <c r="G155" s="27">
        <f t="shared" si="17"/>
        <v>18.469083053527214</v>
      </c>
      <c r="H155" s="33"/>
      <c r="I155" s="27">
        <f t="shared" si="18"/>
        <v>144.05884781751229</v>
      </c>
      <c r="J155" s="30">
        <f t="shared" si="19"/>
        <v>473997.75042811316</v>
      </c>
      <c r="K155" s="34"/>
      <c r="L155" s="140"/>
      <c r="M155" s="140"/>
      <c r="N155" s="140"/>
    </row>
    <row r="156" spans="1:14" x14ac:dyDescent="0.35">
      <c r="A156" s="25">
        <v>42506</v>
      </c>
      <c r="B156" s="31" t="s">
        <v>335</v>
      </c>
      <c r="C156" s="30"/>
      <c r="D156" s="30">
        <f>12*7+4*4.5</f>
        <v>102</v>
      </c>
      <c r="E156" s="32">
        <f t="shared" si="16"/>
        <v>25562.389999999996</v>
      </c>
      <c r="F156" s="33"/>
      <c r="G156" s="27">
        <f t="shared" si="17"/>
        <v>18.469083053527211</v>
      </c>
      <c r="H156" s="33"/>
      <c r="I156" s="27">
        <f t="shared" si="18"/>
        <v>1883.8464714597756</v>
      </c>
      <c r="J156" s="30">
        <f t="shared" si="19"/>
        <v>472113.90395665338</v>
      </c>
      <c r="K156" s="34"/>
      <c r="L156" s="140"/>
      <c r="M156" s="140"/>
      <c r="N156" s="140"/>
    </row>
    <row r="157" spans="1:14" x14ac:dyDescent="0.35">
      <c r="A157" s="25">
        <v>42507</v>
      </c>
      <c r="B157" s="31" t="s">
        <v>336</v>
      </c>
      <c r="C157" s="30"/>
      <c r="D157" s="30">
        <f>2*1.9</f>
        <v>3.8</v>
      </c>
      <c r="E157" s="32">
        <f t="shared" si="16"/>
        <v>25558.589999999997</v>
      </c>
      <c r="F157" s="33"/>
      <c r="G157" s="27">
        <f t="shared" si="17"/>
        <v>18.469083053527211</v>
      </c>
      <c r="H157" s="33"/>
      <c r="I157" s="27">
        <f t="shared" si="18"/>
        <v>70.182515603403402</v>
      </c>
      <c r="J157" s="30">
        <f t="shared" si="19"/>
        <v>472043.72144104994</v>
      </c>
      <c r="K157" s="34"/>
      <c r="L157" s="140"/>
      <c r="M157" s="140"/>
      <c r="N157" s="140"/>
    </row>
    <row r="158" spans="1:14" x14ac:dyDescent="0.35">
      <c r="A158" s="25">
        <v>42507</v>
      </c>
      <c r="B158" s="31" t="s">
        <v>337</v>
      </c>
      <c r="C158" s="30"/>
      <c r="D158" s="30">
        <f>3*6+3*3</f>
        <v>27</v>
      </c>
      <c r="E158" s="32">
        <f t="shared" si="16"/>
        <v>25531.589999999997</v>
      </c>
      <c r="F158" s="33"/>
      <c r="G158" s="27">
        <f t="shared" si="17"/>
        <v>18.469083053527211</v>
      </c>
      <c r="H158" s="33"/>
      <c r="I158" s="27">
        <f t="shared" si="18"/>
        <v>498.6652424452347</v>
      </c>
      <c r="J158" s="30">
        <f t="shared" si="19"/>
        <v>471545.0561986047</v>
      </c>
      <c r="K158" s="34"/>
      <c r="L158" s="140"/>
      <c r="M158" s="140"/>
      <c r="N158" s="140"/>
    </row>
    <row r="159" spans="1:14" x14ac:dyDescent="0.35">
      <c r="A159" s="25">
        <v>42507</v>
      </c>
      <c r="B159" s="31" t="s">
        <v>339</v>
      </c>
      <c r="C159" s="30"/>
      <c r="D159" s="30">
        <f>11*4.8</f>
        <v>52.8</v>
      </c>
      <c r="E159" s="32">
        <f t="shared" si="16"/>
        <v>25478.789999999997</v>
      </c>
      <c r="F159" s="33"/>
      <c r="G159" s="27">
        <f t="shared" si="17"/>
        <v>18.469083053527211</v>
      </c>
      <c r="H159" s="33"/>
      <c r="I159" s="27">
        <f t="shared" si="18"/>
        <v>975.16758522623661</v>
      </c>
      <c r="J159" s="30">
        <f t="shared" si="19"/>
        <v>470569.88861337845</v>
      </c>
      <c r="K159" s="34"/>
      <c r="L159" s="140"/>
      <c r="M159" s="140"/>
      <c r="N159" s="140"/>
    </row>
    <row r="160" spans="1:14" x14ac:dyDescent="0.35">
      <c r="A160" s="25">
        <v>42508</v>
      </c>
      <c r="B160" s="31" t="s">
        <v>340</v>
      </c>
      <c r="C160" s="30"/>
      <c r="D160" s="30">
        <f>2*2.4+2.3</f>
        <v>7.1</v>
      </c>
      <c r="E160" s="32">
        <f t="shared" si="16"/>
        <v>25471.69</v>
      </c>
      <c r="F160" s="33"/>
      <c r="G160" s="27">
        <f t="shared" si="17"/>
        <v>18.469083053527207</v>
      </c>
      <c r="H160" s="33"/>
      <c r="I160" s="27">
        <f t="shared" si="18"/>
        <v>131.13048968004315</v>
      </c>
      <c r="J160" s="30">
        <f t="shared" si="19"/>
        <v>470438.75812369841</v>
      </c>
      <c r="K160" s="34"/>
      <c r="L160" s="140"/>
      <c r="M160" s="140"/>
      <c r="N160" s="140"/>
    </row>
    <row r="161" spans="1:14" x14ac:dyDescent="0.35">
      <c r="A161" s="25">
        <v>42509</v>
      </c>
      <c r="B161" s="31" t="s">
        <v>342</v>
      </c>
      <c r="C161" s="30"/>
      <c r="D161" s="30">
        <f>4*5.9+9*5.3</f>
        <v>71.3</v>
      </c>
      <c r="E161" s="32">
        <f t="shared" si="16"/>
        <v>25400.39</v>
      </c>
      <c r="F161" s="33"/>
      <c r="G161" s="27">
        <f t="shared" si="17"/>
        <v>18.469083053527207</v>
      </c>
      <c r="H161" s="33"/>
      <c r="I161" s="27">
        <f t="shared" si="18"/>
        <v>1316.8456217164899</v>
      </c>
      <c r="J161" s="30">
        <f t="shared" si="19"/>
        <v>469121.91250198195</v>
      </c>
      <c r="K161" s="34"/>
      <c r="L161" s="140"/>
      <c r="M161" s="140"/>
      <c r="N161" s="140"/>
    </row>
    <row r="162" spans="1:14" x14ac:dyDescent="0.35">
      <c r="A162" s="25">
        <v>42510</v>
      </c>
      <c r="B162" s="31" t="s">
        <v>346</v>
      </c>
      <c r="C162" s="30"/>
      <c r="D162" s="30">
        <f>13*3.85+13*3.4</f>
        <v>94.25</v>
      </c>
      <c r="E162" s="32">
        <f t="shared" si="16"/>
        <v>25306.14</v>
      </c>
      <c r="F162" s="33"/>
      <c r="G162" s="27">
        <f t="shared" si="17"/>
        <v>18.469083053527207</v>
      </c>
      <c r="H162" s="33"/>
      <c r="I162" s="27">
        <f t="shared" si="18"/>
        <v>1740.7110777949392</v>
      </c>
      <c r="J162" s="30">
        <f t="shared" si="19"/>
        <v>467381.20142418699</v>
      </c>
      <c r="K162" s="34"/>
      <c r="L162" s="140"/>
      <c r="M162" s="140"/>
      <c r="N162" s="140"/>
    </row>
    <row r="163" spans="1:14" x14ac:dyDescent="0.35">
      <c r="A163" s="25">
        <v>42512</v>
      </c>
      <c r="B163" s="31" t="s">
        <v>414</v>
      </c>
      <c r="C163" s="30">
        <v>7588.5</v>
      </c>
      <c r="D163" s="30"/>
      <c r="E163" s="32">
        <f>+E162+C163</f>
        <v>32894.639999999999</v>
      </c>
      <c r="F163" s="33">
        <f>+H163/C163</f>
        <v>16.506194900177899</v>
      </c>
      <c r="G163" s="27"/>
      <c r="H163" s="33">
        <v>125257.26</v>
      </c>
      <c r="I163" s="27"/>
      <c r="J163" s="30">
        <f>+J162+H163</f>
        <v>592638.46142418694</v>
      </c>
      <c r="K163" s="34"/>
      <c r="L163" s="140"/>
      <c r="M163" s="140"/>
      <c r="N163" s="140"/>
    </row>
    <row r="164" spans="1:14" x14ac:dyDescent="0.35">
      <c r="A164" s="25">
        <v>42513</v>
      </c>
      <c r="B164" s="31" t="s">
        <v>349</v>
      </c>
      <c r="C164" s="30"/>
      <c r="D164" s="30">
        <f>2*4.8</f>
        <v>9.6</v>
      </c>
      <c r="E164" s="32">
        <f>+E163-D164</f>
        <v>32885.040000000001</v>
      </c>
      <c r="F164" s="33"/>
      <c r="G164" s="27">
        <f>+J163/E163</f>
        <v>18.016262267171399</v>
      </c>
      <c r="H164" s="33"/>
      <c r="I164" s="27">
        <f t="shared" ref="I164" si="20">+D164*G164</f>
        <v>172.95611776484543</v>
      </c>
      <c r="J164" s="30">
        <f>+J163-I164</f>
        <v>592465.50530642213</v>
      </c>
      <c r="K164" s="34"/>
      <c r="L164" s="140"/>
      <c r="M164" s="140"/>
      <c r="N164" s="140"/>
    </row>
    <row r="165" spans="1:14" x14ac:dyDescent="0.35">
      <c r="A165" s="25">
        <v>42513</v>
      </c>
      <c r="B165" s="31" t="s">
        <v>350</v>
      </c>
      <c r="C165" s="30"/>
      <c r="D165" s="30">
        <f>7*5.1+5*6.57</f>
        <v>68.55</v>
      </c>
      <c r="E165" s="32">
        <f t="shared" ref="E165:E228" si="21">+E164-D165</f>
        <v>32816.49</v>
      </c>
      <c r="F165" s="33"/>
      <c r="G165" s="27">
        <f t="shared" ref="G165:G228" si="22">+J164/E164</f>
        <v>18.016262267171399</v>
      </c>
      <c r="H165" s="33"/>
      <c r="I165" s="27">
        <f t="shared" ref="I165:I228" si="23">+D165*G165</f>
        <v>1235.0147784145993</v>
      </c>
      <c r="J165" s="30">
        <f t="shared" ref="J165:J228" si="24">+J164-I165</f>
        <v>591230.4905280075</v>
      </c>
      <c r="K165" s="34"/>
      <c r="L165" s="140"/>
      <c r="M165" s="140"/>
      <c r="N165" s="140"/>
    </row>
    <row r="166" spans="1:14" x14ac:dyDescent="0.35">
      <c r="A166" s="25">
        <v>42513</v>
      </c>
      <c r="B166" s="31" t="s">
        <v>351</v>
      </c>
      <c r="C166" s="30"/>
      <c r="D166" s="30">
        <f>7*4.71</f>
        <v>32.97</v>
      </c>
      <c r="E166" s="32">
        <f t="shared" si="21"/>
        <v>32783.519999999997</v>
      </c>
      <c r="F166" s="33"/>
      <c r="G166" s="27">
        <f t="shared" si="22"/>
        <v>18.016262267171399</v>
      </c>
      <c r="H166" s="33"/>
      <c r="I166" s="27">
        <f t="shared" si="23"/>
        <v>593.99616694864096</v>
      </c>
      <c r="J166" s="30">
        <f t="shared" si="24"/>
        <v>590636.49436105881</v>
      </c>
      <c r="K166" s="34"/>
      <c r="L166" s="140"/>
      <c r="M166" s="140"/>
      <c r="N166" s="140"/>
    </row>
    <row r="167" spans="1:14" x14ac:dyDescent="0.35">
      <c r="A167" s="25">
        <v>42514</v>
      </c>
      <c r="B167" s="31" t="s">
        <v>354</v>
      </c>
      <c r="C167" s="30"/>
      <c r="D167" s="30">
        <f>12*4.7</f>
        <v>56.400000000000006</v>
      </c>
      <c r="E167" s="32">
        <f t="shared" si="21"/>
        <v>32727.119999999995</v>
      </c>
      <c r="F167" s="33"/>
      <c r="G167" s="27">
        <f t="shared" si="22"/>
        <v>18.016262267171399</v>
      </c>
      <c r="H167" s="33"/>
      <c r="I167" s="27">
        <f t="shared" si="23"/>
        <v>1016.117191868467</v>
      </c>
      <c r="J167" s="30">
        <f t="shared" si="24"/>
        <v>589620.37716919032</v>
      </c>
      <c r="K167" s="34"/>
      <c r="L167" s="140"/>
      <c r="M167" s="140"/>
      <c r="N167" s="140"/>
    </row>
    <row r="168" spans="1:14" x14ac:dyDescent="0.35">
      <c r="A168" s="25">
        <v>42514</v>
      </c>
      <c r="B168" s="31" t="s">
        <v>355</v>
      </c>
      <c r="C168" s="30"/>
      <c r="D168" s="30">
        <v>1.5</v>
      </c>
      <c r="E168" s="32">
        <f t="shared" si="21"/>
        <v>32725.619999999995</v>
      </c>
      <c r="F168" s="33"/>
      <c r="G168" s="27">
        <f t="shared" si="22"/>
        <v>18.016262267171399</v>
      </c>
      <c r="H168" s="33"/>
      <c r="I168" s="27">
        <f t="shared" si="23"/>
        <v>27.024393400757099</v>
      </c>
      <c r="J168" s="30">
        <f t="shared" si="24"/>
        <v>589593.35277578956</v>
      </c>
      <c r="K168" s="34"/>
      <c r="L168" s="140"/>
      <c r="M168" s="140"/>
      <c r="N168" s="140"/>
    </row>
    <row r="169" spans="1:14" x14ac:dyDescent="0.35">
      <c r="A169" s="25">
        <v>42514</v>
      </c>
      <c r="B169" s="31" t="s">
        <v>356</v>
      </c>
      <c r="C169" s="30"/>
      <c r="D169" s="30">
        <f>3*5.3+5*3.15+5*2.25</f>
        <v>42.9</v>
      </c>
      <c r="E169" s="32">
        <f t="shared" si="21"/>
        <v>32682.719999999994</v>
      </c>
      <c r="F169" s="33"/>
      <c r="G169" s="27">
        <f t="shared" si="22"/>
        <v>18.016262267171399</v>
      </c>
      <c r="H169" s="33"/>
      <c r="I169" s="27">
        <f t="shared" si="23"/>
        <v>772.89765126165298</v>
      </c>
      <c r="J169" s="30">
        <f t="shared" si="24"/>
        <v>588820.45512452791</v>
      </c>
      <c r="K169" s="34"/>
      <c r="L169" s="140"/>
      <c r="M169" s="140"/>
      <c r="N169" s="140"/>
    </row>
    <row r="170" spans="1:14" x14ac:dyDescent="0.35">
      <c r="A170" s="25">
        <v>42515</v>
      </c>
      <c r="B170" s="31" t="s">
        <v>357</v>
      </c>
      <c r="C170" s="30"/>
      <c r="D170" s="30">
        <f>6*3.85+9*5.15</f>
        <v>69.45</v>
      </c>
      <c r="E170" s="32">
        <f t="shared" si="21"/>
        <v>32613.269999999993</v>
      </c>
      <c r="F170" s="33"/>
      <c r="G170" s="27">
        <f t="shared" si="22"/>
        <v>18.016262267171399</v>
      </c>
      <c r="H170" s="33"/>
      <c r="I170" s="27">
        <f t="shared" si="23"/>
        <v>1251.2294144550538</v>
      </c>
      <c r="J170" s="30">
        <f t="shared" si="24"/>
        <v>587569.2257100729</v>
      </c>
      <c r="K170" s="34"/>
      <c r="L170" s="140"/>
      <c r="M170" s="140"/>
      <c r="N170" s="140"/>
    </row>
    <row r="171" spans="1:14" x14ac:dyDescent="0.35">
      <c r="A171" s="25">
        <v>42515</v>
      </c>
      <c r="B171" s="31" t="s">
        <v>359</v>
      </c>
      <c r="C171" s="30"/>
      <c r="D171" s="30">
        <f>3*2.5</f>
        <v>7.5</v>
      </c>
      <c r="E171" s="32">
        <f t="shared" si="21"/>
        <v>32605.769999999993</v>
      </c>
      <c r="F171" s="33"/>
      <c r="G171" s="27">
        <f t="shared" si="22"/>
        <v>18.016262267171399</v>
      </c>
      <c r="H171" s="33"/>
      <c r="I171" s="27">
        <f t="shared" si="23"/>
        <v>135.1219670037855</v>
      </c>
      <c r="J171" s="30">
        <f t="shared" si="24"/>
        <v>587434.10374306911</v>
      </c>
      <c r="K171" s="34"/>
      <c r="L171" s="140"/>
      <c r="M171" s="140"/>
      <c r="N171" s="140"/>
    </row>
    <row r="172" spans="1:14" x14ac:dyDescent="0.35">
      <c r="A172" s="25">
        <v>42517</v>
      </c>
      <c r="B172" s="31" t="s">
        <v>361</v>
      </c>
      <c r="C172" s="30"/>
      <c r="D172" s="30">
        <f>8*3.5</f>
        <v>28</v>
      </c>
      <c r="E172" s="32">
        <f t="shared" si="21"/>
        <v>32577.769999999993</v>
      </c>
      <c r="F172" s="33"/>
      <c r="G172" s="27">
        <f t="shared" si="22"/>
        <v>18.016262267171399</v>
      </c>
      <c r="H172" s="33"/>
      <c r="I172" s="27">
        <f t="shared" si="23"/>
        <v>504.45534348079917</v>
      </c>
      <c r="J172" s="30">
        <f t="shared" si="24"/>
        <v>586929.6483995883</v>
      </c>
      <c r="K172" s="34"/>
      <c r="L172" s="140"/>
      <c r="M172" s="140"/>
      <c r="N172" s="140"/>
    </row>
    <row r="173" spans="1:14" x14ac:dyDescent="0.35">
      <c r="A173" s="25">
        <v>42517</v>
      </c>
      <c r="B173" s="31" t="s">
        <v>362</v>
      </c>
      <c r="C173" s="30"/>
      <c r="D173" s="30">
        <f>23*5.2</f>
        <v>119.60000000000001</v>
      </c>
      <c r="E173" s="32">
        <f t="shared" si="21"/>
        <v>32458.169999999995</v>
      </c>
      <c r="F173" s="33"/>
      <c r="G173" s="27">
        <f t="shared" si="22"/>
        <v>18.016262267171399</v>
      </c>
      <c r="H173" s="33"/>
      <c r="I173" s="27">
        <f t="shared" si="23"/>
        <v>2154.7449671536997</v>
      </c>
      <c r="J173" s="30">
        <f t="shared" si="24"/>
        <v>584774.90343243466</v>
      </c>
      <c r="K173" s="34"/>
      <c r="L173" s="140"/>
      <c r="M173" s="140"/>
      <c r="N173" s="140"/>
    </row>
    <row r="174" spans="1:14" x14ac:dyDescent="0.35">
      <c r="A174" s="25">
        <v>42518</v>
      </c>
      <c r="B174" s="31" t="s">
        <v>363</v>
      </c>
      <c r="C174" s="30"/>
      <c r="D174" s="30">
        <f>9*5.3</f>
        <v>47.699999999999996</v>
      </c>
      <c r="E174" s="32">
        <f t="shared" si="21"/>
        <v>32410.469999999994</v>
      </c>
      <c r="F174" s="33"/>
      <c r="G174" s="27">
        <f t="shared" si="22"/>
        <v>18.016262267171403</v>
      </c>
      <c r="H174" s="33"/>
      <c r="I174" s="27">
        <f t="shared" si="23"/>
        <v>859.37571014407581</v>
      </c>
      <c r="J174" s="30">
        <f t="shared" si="24"/>
        <v>583915.5277222906</v>
      </c>
      <c r="K174" s="34"/>
      <c r="L174" s="140"/>
      <c r="M174" s="140"/>
      <c r="N174" s="140"/>
    </row>
    <row r="175" spans="1:14" x14ac:dyDescent="0.35">
      <c r="A175" s="25">
        <v>42518</v>
      </c>
      <c r="B175" s="31" t="s">
        <v>364</v>
      </c>
      <c r="C175" s="30"/>
      <c r="D175" s="30">
        <f>2*5.9</f>
        <v>11.8</v>
      </c>
      <c r="E175" s="32">
        <f t="shared" si="21"/>
        <v>32398.669999999995</v>
      </c>
      <c r="F175" s="33"/>
      <c r="G175" s="27">
        <f t="shared" si="22"/>
        <v>18.016262267171403</v>
      </c>
      <c r="H175" s="33"/>
      <c r="I175" s="27">
        <f t="shared" si="23"/>
        <v>212.59189475262255</v>
      </c>
      <c r="J175" s="30">
        <f t="shared" si="24"/>
        <v>583702.93582753802</v>
      </c>
      <c r="K175" s="34"/>
      <c r="L175" s="140"/>
      <c r="M175" s="140"/>
      <c r="N175" s="140"/>
    </row>
    <row r="176" spans="1:14" x14ac:dyDescent="0.35">
      <c r="A176" s="25">
        <v>42520</v>
      </c>
      <c r="B176" s="31" t="s">
        <v>365</v>
      </c>
      <c r="C176" s="30"/>
      <c r="D176" s="30">
        <f>30*2.5</f>
        <v>75</v>
      </c>
      <c r="E176" s="32">
        <f t="shared" si="21"/>
        <v>32323.669999999995</v>
      </c>
      <c r="F176" s="33"/>
      <c r="G176" s="27">
        <f t="shared" si="22"/>
        <v>18.016262267171403</v>
      </c>
      <c r="H176" s="33"/>
      <c r="I176" s="27">
        <f t="shared" si="23"/>
        <v>1351.2196700378552</v>
      </c>
      <c r="J176" s="30">
        <f t="shared" si="24"/>
        <v>582351.71615750017</v>
      </c>
      <c r="K176" s="34"/>
      <c r="L176" s="140"/>
      <c r="M176" s="140"/>
      <c r="N176" s="140"/>
    </row>
    <row r="177" spans="1:14" x14ac:dyDescent="0.35">
      <c r="A177" s="25">
        <v>42520</v>
      </c>
      <c r="B177" s="31" t="s">
        <v>366</v>
      </c>
      <c r="C177" s="30"/>
      <c r="D177" s="30">
        <f>30*2.4</f>
        <v>72</v>
      </c>
      <c r="E177" s="32">
        <f t="shared" si="21"/>
        <v>32251.669999999995</v>
      </c>
      <c r="F177" s="33"/>
      <c r="G177" s="27">
        <f t="shared" si="22"/>
        <v>18.016262267171403</v>
      </c>
      <c r="H177" s="33"/>
      <c r="I177" s="27">
        <f t="shared" si="23"/>
        <v>1297.1708832363411</v>
      </c>
      <c r="J177" s="30">
        <f t="shared" si="24"/>
        <v>581054.54527426383</v>
      </c>
      <c r="K177" s="34"/>
      <c r="L177" s="140"/>
      <c r="M177" s="140"/>
      <c r="N177" s="140"/>
    </row>
    <row r="178" spans="1:14" x14ac:dyDescent="0.35">
      <c r="A178" s="106">
        <v>42520</v>
      </c>
      <c r="B178" s="107" t="s">
        <v>367</v>
      </c>
      <c r="C178" s="108"/>
      <c r="D178" s="108">
        <f>6*4.1+2.9</f>
        <v>27.499999999999996</v>
      </c>
      <c r="E178" s="109">
        <f t="shared" si="21"/>
        <v>32224.169999999995</v>
      </c>
      <c r="F178" s="110"/>
      <c r="G178" s="108">
        <f t="shared" si="22"/>
        <v>18.016262267171403</v>
      </c>
      <c r="H178" s="110"/>
      <c r="I178" s="108">
        <f t="shared" si="23"/>
        <v>495.44721234721351</v>
      </c>
      <c r="J178" s="108">
        <f t="shared" si="24"/>
        <v>580559.09806191665</v>
      </c>
      <c r="K178" s="111"/>
      <c r="L178" s="179">
        <f>SUM(I151:I178)</f>
        <v>21632.496571707357</v>
      </c>
      <c r="M178" s="179">
        <f>SUM(L150:L178)</f>
        <v>37796.822750984909</v>
      </c>
      <c r="N178" s="143">
        <v>42520</v>
      </c>
    </row>
    <row r="179" spans="1:14" x14ac:dyDescent="0.35">
      <c r="A179" s="25">
        <v>42522</v>
      </c>
      <c r="B179" s="31" t="s">
        <v>370</v>
      </c>
      <c r="C179" s="30"/>
      <c r="D179" s="30">
        <f>18*2.5+8*2+4</f>
        <v>65</v>
      </c>
      <c r="E179" s="32">
        <f t="shared" si="21"/>
        <v>32159.169999999995</v>
      </c>
      <c r="F179" s="33"/>
      <c r="G179" s="27">
        <f t="shared" si="22"/>
        <v>18.016262267171403</v>
      </c>
      <c r="H179" s="33"/>
      <c r="I179" s="27">
        <f t="shared" si="23"/>
        <v>1171.0570473661412</v>
      </c>
      <c r="J179" s="30">
        <f t="shared" si="24"/>
        <v>579388.04101455049</v>
      </c>
      <c r="K179" s="34"/>
      <c r="L179" s="140"/>
      <c r="M179" s="140"/>
      <c r="N179" s="140"/>
    </row>
    <row r="180" spans="1:14" x14ac:dyDescent="0.35">
      <c r="A180" s="25">
        <v>42523</v>
      </c>
      <c r="B180" s="31" t="s">
        <v>372</v>
      </c>
      <c r="C180" s="30"/>
      <c r="D180" s="30">
        <f>2*3+2.8+2.3+2.1+1.9+1.7+5*1.4</f>
        <v>23.8</v>
      </c>
      <c r="E180" s="32">
        <f t="shared" si="21"/>
        <v>32135.369999999995</v>
      </c>
      <c r="F180" s="33"/>
      <c r="G180" s="27">
        <f t="shared" si="22"/>
        <v>18.016262267171403</v>
      </c>
      <c r="H180" s="33"/>
      <c r="I180" s="27">
        <f t="shared" si="23"/>
        <v>428.78704195867937</v>
      </c>
      <c r="J180" s="30">
        <f t="shared" si="24"/>
        <v>578959.25397259183</v>
      </c>
      <c r="K180" s="34"/>
      <c r="L180" s="140"/>
      <c r="M180" s="140"/>
      <c r="N180" s="140"/>
    </row>
    <row r="181" spans="1:14" x14ac:dyDescent="0.35">
      <c r="A181" s="25">
        <v>42524</v>
      </c>
      <c r="B181" s="31" t="s">
        <v>373</v>
      </c>
      <c r="C181" s="30"/>
      <c r="D181" s="30">
        <f>4*8.2</f>
        <v>32.799999999999997</v>
      </c>
      <c r="E181" s="32">
        <f t="shared" si="21"/>
        <v>32102.569999999996</v>
      </c>
      <c r="F181" s="33"/>
      <c r="G181" s="27">
        <f t="shared" si="22"/>
        <v>18.016262267171403</v>
      </c>
      <c r="H181" s="33"/>
      <c r="I181" s="27">
        <f t="shared" si="23"/>
        <v>590.93340236322194</v>
      </c>
      <c r="J181" s="30">
        <f t="shared" si="24"/>
        <v>578368.32057022862</v>
      </c>
      <c r="K181" s="34"/>
      <c r="L181" s="140"/>
      <c r="M181" s="140"/>
      <c r="N181" s="140"/>
    </row>
    <row r="182" spans="1:14" x14ac:dyDescent="0.35">
      <c r="A182" s="25">
        <v>42524</v>
      </c>
      <c r="B182" s="31" t="s">
        <v>374</v>
      </c>
      <c r="C182" s="30"/>
      <c r="D182" s="30">
        <f>5*4.26</f>
        <v>21.299999999999997</v>
      </c>
      <c r="E182" s="32">
        <f t="shared" si="21"/>
        <v>32081.269999999997</v>
      </c>
      <c r="F182" s="33"/>
      <c r="G182" s="27">
        <f t="shared" si="22"/>
        <v>18.016262267171403</v>
      </c>
      <c r="H182" s="33"/>
      <c r="I182" s="27">
        <f t="shared" si="23"/>
        <v>383.74638629075082</v>
      </c>
      <c r="J182" s="30">
        <f t="shared" si="24"/>
        <v>577984.57418393786</v>
      </c>
      <c r="K182" s="34"/>
      <c r="L182" s="140"/>
      <c r="M182" s="140"/>
      <c r="N182" s="140"/>
    </row>
    <row r="183" spans="1:14" x14ac:dyDescent="0.35">
      <c r="A183" s="25">
        <v>42524</v>
      </c>
      <c r="B183" s="31" t="s">
        <v>377</v>
      </c>
      <c r="C183" s="30"/>
      <c r="D183" s="30">
        <f>5*5</f>
        <v>25</v>
      </c>
      <c r="E183" s="32">
        <f t="shared" si="21"/>
        <v>32056.269999999997</v>
      </c>
      <c r="F183" s="33"/>
      <c r="G183" s="27">
        <f t="shared" si="22"/>
        <v>18.016262267171403</v>
      </c>
      <c r="H183" s="33"/>
      <c r="I183" s="27">
        <f t="shared" si="23"/>
        <v>450.40655667928507</v>
      </c>
      <c r="J183" s="30">
        <f t="shared" si="24"/>
        <v>577534.16762725858</v>
      </c>
      <c r="K183" s="34"/>
      <c r="L183" s="140"/>
      <c r="M183" s="140"/>
      <c r="N183" s="140"/>
    </row>
    <row r="184" spans="1:14" x14ac:dyDescent="0.35">
      <c r="A184" s="25">
        <v>42525</v>
      </c>
      <c r="B184" s="31" t="s">
        <v>380</v>
      </c>
      <c r="C184" s="30"/>
      <c r="D184" s="30">
        <f>10*2.4+2*2.7+2*2.85+2*3+2*3.15+2*3.3+2*3.5</f>
        <v>61</v>
      </c>
      <c r="E184" s="32">
        <f t="shared" si="21"/>
        <v>31995.269999999997</v>
      </c>
      <c r="F184" s="33"/>
      <c r="G184" s="27">
        <f t="shared" si="22"/>
        <v>18.016262267171403</v>
      </c>
      <c r="H184" s="33"/>
      <c r="I184" s="27">
        <f t="shared" si="23"/>
        <v>1098.9919982974557</v>
      </c>
      <c r="J184" s="30">
        <f t="shared" si="24"/>
        <v>576435.17562896106</v>
      </c>
      <c r="K184" s="34"/>
      <c r="L184" s="140"/>
      <c r="M184" s="140"/>
      <c r="N184" s="140"/>
    </row>
    <row r="185" spans="1:14" x14ac:dyDescent="0.35">
      <c r="A185" s="25">
        <v>42525</v>
      </c>
      <c r="B185" s="31" t="s">
        <v>381</v>
      </c>
      <c r="C185" s="30"/>
      <c r="D185" s="30">
        <f>9*5</f>
        <v>45</v>
      </c>
      <c r="E185" s="32">
        <f t="shared" si="21"/>
        <v>31950.269999999997</v>
      </c>
      <c r="F185" s="33"/>
      <c r="G185" s="27">
        <f t="shared" si="22"/>
        <v>18.016262267171403</v>
      </c>
      <c r="H185" s="33"/>
      <c r="I185" s="27">
        <f t="shared" si="23"/>
        <v>810.73180202271317</v>
      </c>
      <c r="J185" s="30">
        <f t="shared" si="24"/>
        <v>575624.4438269384</v>
      </c>
      <c r="K185" s="34"/>
      <c r="L185" s="140"/>
      <c r="M185" s="140"/>
      <c r="N185" s="140"/>
    </row>
    <row r="186" spans="1:14" x14ac:dyDescent="0.35">
      <c r="A186" s="25">
        <v>42528</v>
      </c>
      <c r="B186" s="31" t="s">
        <v>390</v>
      </c>
      <c r="C186" s="30"/>
      <c r="D186" s="30">
        <f>6*5.2</f>
        <v>31.200000000000003</v>
      </c>
      <c r="E186" s="32">
        <f t="shared" si="21"/>
        <v>31919.069999999996</v>
      </c>
      <c r="F186" s="33"/>
      <c r="G186" s="27">
        <f t="shared" si="22"/>
        <v>18.016262267171403</v>
      </c>
      <c r="H186" s="33"/>
      <c r="I186" s="27">
        <f t="shared" si="23"/>
        <v>562.10738273574782</v>
      </c>
      <c r="J186" s="30">
        <f t="shared" si="24"/>
        <v>575062.33644420269</v>
      </c>
      <c r="K186" s="34"/>
      <c r="L186" s="140"/>
      <c r="M186" s="140"/>
      <c r="N186" s="140"/>
    </row>
    <row r="187" spans="1:14" x14ac:dyDescent="0.35">
      <c r="A187" s="25">
        <v>42528</v>
      </c>
      <c r="B187" s="31" t="s">
        <v>392</v>
      </c>
      <c r="C187" s="30"/>
      <c r="D187" s="30">
        <f>39*7.34</f>
        <v>286.26</v>
      </c>
      <c r="E187" s="32">
        <f t="shared" si="21"/>
        <v>31632.809999999998</v>
      </c>
      <c r="F187" s="33"/>
      <c r="G187" s="27">
        <f t="shared" si="22"/>
        <v>18.016262267171406</v>
      </c>
      <c r="H187" s="33"/>
      <c r="I187" s="27">
        <f t="shared" si="23"/>
        <v>5157.3352366004865</v>
      </c>
      <c r="J187" s="30">
        <f t="shared" si="24"/>
        <v>569905.00120760221</v>
      </c>
      <c r="K187" s="34"/>
      <c r="L187" s="140"/>
      <c r="M187" s="140"/>
      <c r="N187" s="140"/>
    </row>
    <row r="188" spans="1:14" x14ac:dyDescent="0.35">
      <c r="A188" s="25">
        <v>42528</v>
      </c>
      <c r="B188" s="31" t="s">
        <v>393</v>
      </c>
      <c r="C188" s="30"/>
      <c r="D188" s="30">
        <v>2</v>
      </c>
      <c r="E188" s="32">
        <f t="shared" si="21"/>
        <v>31630.809999999998</v>
      </c>
      <c r="F188" s="33"/>
      <c r="G188" s="27">
        <f t="shared" si="22"/>
        <v>18.016262267171403</v>
      </c>
      <c r="H188" s="33"/>
      <c r="I188" s="27">
        <f t="shared" si="23"/>
        <v>36.032524534342805</v>
      </c>
      <c r="J188" s="30">
        <f t="shared" si="24"/>
        <v>569868.96868306783</v>
      </c>
      <c r="K188" s="34"/>
      <c r="L188" s="140"/>
      <c r="M188" s="140"/>
      <c r="N188" s="140"/>
    </row>
    <row r="189" spans="1:14" x14ac:dyDescent="0.35">
      <c r="A189" s="25">
        <v>42529</v>
      </c>
      <c r="B189" s="31" t="s">
        <v>394</v>
      </c>
      <c r="C189" s="30"/>
      <c r="D189" s="30">
        <f>10*3.5</f>
        <v>35</v>
      </c>
      <c r="E189" s="32">
        <f t="shared" si="21"/>
        <v>31595.809999999998</v>
      </c>
      <c r="F189" s="33"/>
      <c r="G189" s="27">
        <f t="shared" si="22"/>
        <v>18.016262267171403</v>
      </c>
      <c r="H189" s="33"/>
      <c r="I189" s="27">
        <f t="shared" si="23"/>
        <v>630.56917935099909</v>
      </c>
      <c r="J189" s="30">
        <f t="shared" si="24"/>
        <v>569238.39950371685</v>
      </c>
      <c r="K189" s="34"/>
      <c r="L189" s="140"/>
      <c r="M189" s="140"/>
      <c r="N189" s="140"/>
    </row>
    <row r="190" spans="1:14" x14ac:dyDescent="0.35">
      <c r="A190" s="25">
        <v>42529</v>
      </c>
      <c r="B190" s="31" t="s">
        <v>396</v>
      </c>
      <c r="C190" s="30"/>
      <c r="D190" s="30">
        <f>14*5.12</f>
        <v>71.680000000000007</v>
      </c>
      <c r="E190" s="32">
        <f t="shared" si="21"/>
        <v>31524.129999999997</v>
      </c>
      <c r="F190" s="33"/>
      <c r="G190" s="27">
        <f t="shared" si="22"/>
        <v>18.016262267171403</v>
      </c>
      <c r="H190" s="33"/>
      <c r="I190" s="27">
        <f t="shared" si="23"/>
        <v>1291.4056793108462</v>
      </c>
      <c r="J190" s="30">
        <f t="shared" si="24"/>
        <v>567946.99382440606</v>
      </c>
      <c r="K190" s="34"/>
      <c r="L190" s="140"/>
      <c r="M190" s="140"/>
      <c r="N190" s="140"/>
    </row>
    <row r="191" spans="1:14" x14ac:dyDescent="0.35">
      <c r="A191" s="25">
        <v>42530</v>
      </c>
      <c r="B191" s="31" t="s">
        <v>397</v>
      </c>
      <c r="C191" s="30"/>
      <c r="D191" s="30">
        <f>52*3.18</f>
        <v>165.36</v>
      </c>
      <c r="E191" s="32">
        <f t="shared" si="21"/>
        <v>31358.769999999997</v>
      </c>
      <c r="F191" s="33"/>
      <c r="G191" s="27">
        <f t="shared" si="22"/>
        <v>18.016262267171406</v>
      </c>
      <c r="H191" s="33"/>
      <c r="I191" s="27">
        <f t="shared" si="23"/>
        <v>2979.169128499464</v>
      </c>
      <c r="J191" s="30">
        <f t="shared" si="24"/>
        <v>564967.8246959066</v>
      </c>
      <c r="K191" s="34"/>
      <c r="L191" s="140"/>
      <c r="M191" s="140"/>
      <c r="N191" s="140"/>
    </row>
    <row r="192" spans="1:14" x14ac:dyDescent="0.35">
      <c r="A192" s="25">
        <v>42530</v>
      </c>
      <c r="B192" s="31" t="s">
        <v>399</v>
      </c>
      <c r="C192" s="30"/>
      <c r="D192" s="30">
        <f>70*4.75+35*0.5</f>
        <v>350</v>
      </c>
      <c r="E192" s="32">
        <f t="shared" si="21"/>
        <v>31008.769999999997</v>
      </c>
      <c r="F192" s="33"/>
      <c r="G192" s="27">
        <f t="shared" si="22"/>
        <v>18.016262267171406</v>
      </c>
      <c r="H192" s="33"/>
      <c r="I192" s="27">
        <f t="shared" si="23"/>
        <v>6305.6917935099918</v>
      </c>
      <c r="J192" s="30">
        <f t="shared" si="24"/>
        <v>558662.13290239661</v>
      </c>
      <c r="K192" s="34"/>
      <c r="L192" s="140"/>
      <c r="M192" s="140"/>
      <c r="N192" s="140"/>
    </row>
    <row r="193" spans="1:14" x14ac:dyDescent="0.35">
      <c r="A193" s="25">
        <v>42531</v>
      </c>
      <c r="B193" s="31" t="s">
        <v>400</v>
      </c>
      <c r="C193" s="30"/>
      <c r="D193" s="30">
        <f>2*2.3</f>
        <v>4.5999999999999996</v>
      </c>
      <c r="E193" s="32">
        <f t="shared" si="21"/>
        <v>31004.17</v>
      </c>
      <c r="F193" s="33"/>
      <c r="G193" s="27">
        <f t="shared" si="22"/>
        <v>18.016262267171406</v>
      </c>
      <c r="H193" s="33"/>
      <c r="I193" s="27">
        <f t="shared" si="23"/>
        <v>82.874806428988464</v>
      </c>
      <c r="J193" s="30">
        <f t="shared" si="24"/>
        <v>558579.25809596758</v>
      </c>
      <c r="K193" s="34"/>
      <c r="L193" s="140"/>
      <c r="M193" s="140"/>
      <c r="N193" s="140"/>
    </row>
    <row r="194" spans="1:14" x14ac:dyDescent="0.35">
      <c r="A194" s="25">
        <v>42531</v>
      </c>
      <c r="B194" s="31" t="s">
        <v>401</v>
      </c>
      <c r="C194" s="30"/>
      <c r="D194" s="30">
        <f>3+2*2.7+2*2.55+5*2.2</f>
        <v>24.5</v>
      </c>
      <c r="E194" s="32">
        <f t="shared" si="21"/>
        <v>30979.67</v>
      </c>
      <c r="F194" s="33"/>
      <c r="G194" s="27">
        <f t="shared" si="22"/>
        <v>18.016262267171403</v>
      </c>
      <c r="H194" s="33"/>
      <c r="I194" s="27">
        <f t="shared" si="23"/>
        <v>441.39842554569935</v>
      </c>
      <c r="J194" s="30">
        <f t="shared" si="24"/>
        <v>558137.85967042192</v>
      </c>
      <c r="K194" s="34"/>
      <c r="L194" s="140"/>
      <c r="M194" s="140"/>
      <c r="N194" s="140"/>
    </row>
    <row r="195" spans="1:14" x14ac:dyDescent="0.35">
      <c r="A195" s="25">
        <v>42532</v>
      </c>
      <c r="B195" s="31" t="s">
        <v>403</v>
      </c>
      <c r="C195" s="30"/>
      <c r="D195" s="30">
        <f>26*7.41</f>
        <v>192.66</v>
      </c>
      <c r="E195" s="32">
        <f t="shared" si="21"/>
        <v>30787.01</v>
      </c>
      <c r="F195" s="33"/>
      <c r="G195" s="27">
        <f t="shared" si="22"/>
        <v>18.016262267171406</v>
      </c>
      <c r="H195" s="33"/>
      <c r="I195" s="27">
        <f t="shared" si="23"/>
        <v>3471.0130883932429</v>
      </c>
      <c r="J195" s="30">
        <f t="shared" si="24"/>
        <v>554666.84658202867</v>
      </c>
      <c r="K195" s="34"/>
      <c r="L195" s="140"/>
      <c r="M195" s="140"/>
      <c r="N195" s="140"/>
    </row>
    <row r="196" spans="1:14" x14ac:dyDescent="0.35">
      <c r="A196" s="25">
        <v>42532</v>
      </c>
      <c r="B196" s="31" t="s">
        <v>405</v>
      </c>
      <c r="C196" s="30"/>
      <c r="D196" s="30">
        <f>5*5.52</f>
        <v>27.599999999999998</v>
      </c>
      <c r="E196" s="32">
        <f t="shared" si="21"/>
        <v>30759.41</v>
      </c>
      <c r="F196" s="33"/>
      <c r="G196" s="27">
        <f t="shared" si="22"/>
        <v>18.016262267171403</v>
      </c>
      <c r="H196" s="33"/>
      <c r="I196" s="27">
        <f t="shared" si="23"/>
        <v>497.2488385739307</v>
      </c>
      <c r="J196" s="30">
        <f t="shared" si="24"/>
        <v>554169.59774345474</v>
      </c>
      <c r="K196" s="34"/>
      <c r="L196" s="140"/>
      <c r="M196" s="140"/>
      <c r="N196" s="140"/>
    </row>
    <row r="197" spans="1:14" x14ac:dyDescent="0.35">
      <c r="A197" s="25">
        <v>42534</v>
      </c>
      <c r="B197" s="31" t="s">
        <v>407</v>
      </c>
      <c r="C197" s="30"/>
      <c r="D197" s="30">
        <f>3*2</f>
        <v>6</v>
      </c>
      <c r="E197" s="32">
        <f t="shared" si="21"/>
        <v>30753.41</v>
      </c>
      <c r="F197" s="33"/>
      <c r="G197" s="27">
        <f t="shared" si="22"/>
        <v>18.016262267171403</v>
      </c>
      <c r="H197" s="33"/>
      <c r="I197" s="27">
        <f t="shared" si="23"/>
        <v>108.09757360302842</v>
      </c>
      <c r="J197" s="30">
        <f t="shared" si="24"/>
        <v>554061.5001698517</v>
      </c>
      <c r="K197" s="34"/>
      <c r="L197" s="140"/>
      <c r="M197" s="140"/>
      <c r="N197" s="140"/>
    </row>
    <row r="198" spans="1:14" x14ac:dyDescent="0.35">
      <c r="A198" s="25">
        <v>42535</v>
      </c>
      <c r="B198" s="31" t="s">
        <v>409</v>
      </c>
      <c r="C198" s="30"/>
      <c r="D198" s="30">
        <f>4*6.2+4*6+3*5.35</f>
        <v>64.849999999999994</v>
      </c>
      <c r="E198" s="32">
        <f t="shared" si="21"/>
        <v>30688.560000000001</v>
      </c>
      <c r="F198" s="33"/>
      <c r="G198" s="27">
        <f t="shared" si="22"/>
        <v>18.016262267171403</v>
      </c>
      <c r="H198" s="33"/>
      <c r="I198" s="27">
        <f t="shared" si="23"/>
        <v>1168.3546080260653</v>
      </c>
      <c r="J198" s="30">
        <f t="shared" si="24"/>
        <v>552893.1455618256</v>
      </c>
      <c r="K198" s="34"/>
      <c r="L198" s="140"/>
      <c r="M198" s="140"/>
      <c r="N198" s="140"/>
    </row>
    <row r="199" spans="1:14" x14ac:dyDescent="0.35">
      <c r="A199" s="25">
        <v>42170</v>
      </c>
      <c r="B199" s="31" t="s">
        <v>410</v>
      </c>
      <c r="C199" s="30"/>
      <c r="D199" s="30">
        <f>8*10.1</f>
        <v>80.8</v>
      </c>
      <c r="E199" s="32">
        <f t="shared" si="21"/>
        <v>30607.760000000002</v>
      </c>
      <c r="F199" s="33"/>
      <c r="G199" s="27">
        <f t="shared" si="22"/>
        <v>18.016262267171403</v>
      </c>
      <c r="H199" s="33"/>
      <c r="I199" s="27">
        <f t="shared" si="23"/>
        <v>1455.7139911874492</v>
      </c>
      <c r="J199" s="30">
        <f t="shared" si="24"/>
        <v>551437.4315706382</v>
      </c>
      <c r="K199" s="34"/>
      <c r="L199" s="140"/>
      <c r="M199" s="140"/>
      <c r="N199" s="140"/>
    </row>
    <row r="200" spans="1:14" x14ac:dyDescent="0.35">
      <c r="A200" s="106">
        <v>42536</v>
      </c>
      <c r="B200" s="107" t="s">
        <v>412</v>
      </c>
      <c r="C200" s="108"/>
      <c r="D200" s="108">
        <f>4*3</f>
        <v>12</v>
      </c>
      <c r="E200" s="109">
        <f t="shared" si="21"/>
        <v>30595.760000000002</v>
      </c>
      <c r="F200" s="110"/>
      <c r="G200" s="108">
        <f t="shared" si="22"/>
        <v>18.016262267171403</v>
      </c>
      <c r="H200" s="110"/>
      <c r="I200" s="108">
        <f t="shared" si="23"/>
        <v>216.19514720605684</v>
      </c>
      <c r="J200" s="108">
        <f t="shared" si="24"/>
        <v>551221.23642343213</v>
      </c>
      <c r="K200" s="111"/>
      <c r="L200" s="179">
        <f>SUM(I179:I200)</f>
        <v>29337.861638484585</v>
      </c>
      <c r="M200" s="179"/>
      <c r="N200" s="143">
        <v>42536</v>
      </c>
    </row>
    <row r="201" spans="1:14" x14ac:dyDescent="0.35">
      <c r="A201" s="25">
        <v>42538</v>
      </c>
      <c r="B201" s="31" t="s">
        <v>420</v>
      </c>
      <c r="C201" s="30"/>
      <c r="D201" s="30">
        <f>3*3.2</f>
        <v>9.6000000000000014</v>
      </c>
      <c r="E201" s="32">
        <f t="shared" si="21"/>
        <v>30586.160000000003</v>
      </c>
      <c r="F201" s="33"/>
      <c r="G201" s="27">
        <f t="shared" si="22"/>
        <v>18.016262267171403</v>
      </c>
      <c r="H201" s="33"/>
      <c r="I201" s="27">
        <f t="shared" si="23"/>
        <v>172.95611776484549</v>
      </c>
      <c r="J201" s="30">
        <f t="shared" si="24"/>
        <v>551048.28030566731</v>
      </c>
      <c r="K201" s="34"/>
      <c r="L201" s="140"/>
      <c r="M201" s="28"/>
      <c r="N201" s="140"/>
    </row>
    <row r="202" spans="1:14" x14ac:dyDescent="0.35">
      <c r="A202" s="25">
        <v>42544</v>
      </c>
      <c r="B202" s="31" t="s">
        <v>422</v>
      </c>
      <c r="C202" s="30"/>
      <c r="D202" s="30">
        <f>63*3.18</f>
        <v>200.34</v>
      </c>
      <c r="E202" s="32">
        <f t="shared" si="21"/>
        <v>30385.820000000003</v>
      </c>
      <c r="F202" s="33"/>
      <c r="G202" s="27">
        <f t="shared" si="22"/>
        <v>18.016262267171403</v>
      </c>
      <c r="H202" s="33"/>
      <c r="I202" s="27">
        <f t="shared" si="23"/>
        <v>3609.3779826051186</v>
      </c>
      <c r="J202" s="30">
        <f t="shared" si="24"/>
        <v>547438.90232306218</v>
      </c>
      <c r="K202" s="34"/>
      <c r="L202" s="28"/>
      <c r="M202" s="140"/>
      <c r="N202" s="140"/>
    </row>
    <row r="203" spans="1:14" x14ac:dyDescent="0.35">
      <c r="A203" s="25">
        <v>42549</v>
      </c>
      <c r="B203" s="31" t="s">
        <v>425</v>
      </c>
      <c r="C203" s="30"/>
      <c r="D203" s="30">
        <f>7*4.76+2*2.69+2*2.6+2*2.5+2.4</f>
        <v>51.300000000000004</v>
      </c>
      <c r="E203" s="32">
        <f t="shared" si="21"/>
        <v>30334.520000000004</v>
      </c>
      <c r="F203" s="33"/>
      <c r="G203" s="27">
        <f t="shared" si="22"/>
        <v>18.016262267171403</v>
      </c>
      <c r="H203" s="33"/>
      <c r="I203" s="27">
        <f t="shared" si="23"/>
        <v>924.23425430589305</v>
      </c>
      <c r="J203" s="30">
        <f t="shared" si="24"/>
        <v>546514.66806875623</v>
      </c>
      <c r="K203" s="34"/>
      <c r="L203" s="140"/>
      <c r="M203" s="140"/>
      <c r="N203" s="140"/>
    </row>
    <row r="204" spans="1:14" x14ac:dyDescent="0.35">
      <c r="A204" s="25">
        <v>42549</v>
      </c>
      <c r="B204" s="31" t="s">
        <v>426</v>
      </c>
      <c r="C204" s="30"/>
      <c r="D204" s="30">
        <f>4*4.85+11*4.23</f>
        <v>65.930000000000007</v>
      </c>
      <c r="E204" s="32">
        <f t="shared" si="21"/>
        <v>30268.590000000004</v>
      </c>
      <c r="F204" s="33"/>
      <c r="G204" s="27">
        <f t="shared" si="22"/>
        <v>18.016262267171399</v>
      </c>
      <c r="H204" s="33"/>
      <c r="I204" s="27">
        <f t="shared" si="23"/>
        <v>1187.8121712746104</v>
      </c>
      <c r="J204" s="30">
        <f t="shared" si="24"/>
        <v>545326.85589748167</v>
      </c>
      <c r="K204" s="34"/>
      <c r="L204" s="140"/>
      <c r="M204" s="140"/>
      <c r="N204" s="140"/>
    </row>
    <row r="205" spans="1:14" s="112" customFormat="1" x14ac:dyDescent="0.35">
      <c r="A205" s="106">
        <v>42551</v>
      </c>
      <c r="B205" s="107" t="s">
        <v>428</v>
      </c>
      <c r="C205" s="108"/>
      <c r="D205" s="108">
        <f>7*5</f>
        <v>35</v>
      </c>
      <c r="E205" s="109">
        <f t="shared" si="21"/>
        <v>30233.590000000004</v>
      </c>
      <c r="F205" s="110"/>
      <c r="G205" s="108">
        <f t="shared" si="22"/>
        <v>18.016262267171403</v>
      </c>
      <c r="H205" s="110"/>
      <c r="I205" s="108">
        <f t="shared" si="23"/>
        <v>630.56917935099909</v>
      </c>
      <c r="J205" s="108">
        <f t="shared" si="24"/>
        <v>544696.28671813069</v>
      </c>
      <c r="K205" s="111"/>
      <c r="L205" s="179">
        <f>SUM(I201:I205)</f>
        <v>6524.9497053014675</v>
      </c>
      <c r="M205" s="179">
        <f>SUM(L200:L205)</f>
        <v>35862.811343786052</v>
      </c>
      <c r="N205" s="143">
        <v>42551</v>
      </c>
    </row>
    <row r="206" spans="1:14" x14ac:dyDescent="0.35">
      <c r="A206" s="25">
        <v>42552</v>
      </c>
      <c r="B206" s="31" t="s">
        <v>430</v>
      </c>
      <c r="C206" s="30"/>
      <c r="D206" s="30">
        <f>12*5.5+12*1</f>
        <v>78</v>
      </c>
      <c r="E206" s="32">
        <f t="shared" si="21"/>
        <v>30155.590000000004</v>
      </c>
      <c r="F206" s="33"/>
      <c r="G206" s="27">
        <f t="shared" si="22"/>
        <v>18.016262267171403</v>
      </c>
      <c r="H206" s="33"/>
      <c r="I206" s="27">
        <f t="shared" si="23"/>
        <v>1405.2684568393695</v>
      </c>
      <c r="J206" s="30">
        <f t="shared" si="24"/>
        <v>543291.01826129132</v>
      </c>
      <c r="K206" s="34"/>
      <c r="L206" s="140"/>
      <c r="M206" s="140"/>
      <c r="N206" s="140"/>
    </row>
    <row r="207" spans="1:14" x14ac:dyDescent="0.35">
      <c r="A207" s="25">
        <v>42553</v>
      </c>
      <c r="B207" s="31" t="s">
        <v>434</v>
      </c>
      <c r="C207" s="30"/>
      <c r="D207" s="30">
        <f>13*3.18</f>
        <v>41.34</v>
      </c>
      <c r="E207" s="32">
        <f t="shared" si="21"/>
        <v>30114.250000000004</v>
      </c>
      <c r="F207" s="33"/>
      <c r="G207" s="27">
        <f t="shared" si="22"/>
        <v>18.016262267171403</v>
      </c>
      <c r="H207" s="33"/>
      <c r="I207" s="27">
        <f t="shared" si="23"/>
        <v>744.79228212486589</v>
      </c>
      <c r="J207" s="30">
        <f t="shared" si="24"/>
        <v>542546.22597916645</v>
      </c>
      <c r="K207" s="34"/>
      <c r="L207" s="140"/>
      <c r="M207" s="140"/>
      <c r="N207" s="140"/>
    </row>
    <row r="208" spans="1:14" x14ac:dyDescent="0.35">
      <c r="A208" s="25">
        <v>42553</v>
      </c>
      <c r="B208" s="31" t="s">
        <v>435</v>
      </c>
      <c r="C208" s="30"/>
      <c r="D208" s="30">
        <f>10*5+7*3.8</f>
        <v>76.599999999999994</v>
      </c>
      <c r="E208" s="32">
        <f t="shared" si="21"/>
        <v>30037.650000000005</v>
      </c>
      <c r="F208" s="33"/>
      <c r="G208" s="27">
        <f t="shared" si="22"/>
        <v>18.016262267171403</v>
      </c>
      <c r="H208" s="33"/>
      <c r="I208" s="27">
        <f t="shared" si="23"/>
        <v>1380.0456896653293</v>
      </c>
      <c r="J208" s="30">
        <f t="shared" si="24"/>
        <v>541166.18028950109</v>
      </c>
      <c r="K208" s="34"/>
      <c r="L208" s="140"/>
      <c r="M208" s="140"/>
      <c r="N208" s="140"/>
    </row>
    <row r="209" spans="1:14" x14ac:dyDescent="0.35">
      <c r="A209" s="25">
        <v>42553</v>
      </c>
      <c r="B209" s="31" t="s">
        <v>436</v>
      </c>
      <c r="C209" s="30"/>
      <c r="D209" s="30">
        <f>15*5.5+15*5.3+2*5</f>
        <v>172</v>
      </c>
      <c r="E209" s="32">
        <f t="shared" si="21"/>
        <v>29865.650000000005</v>
      </c>
      <c r="F209" s="33"/>
      <c r="G209" s="27">
        <f t="shared" si="22"/>
        <v>18.016262267171399</v>
      </c>
      <c r="H209" s="33"/>
      <c r="I209" s="27">
        <f t="shared" si="23"/>
        <v>3098.7971099534807</v>
      </c>
      <c r="J209" s="30">
        <f t="shared" si="24"/>
        <v>538067.38317954761</v>
      </c>
      <c r="K209" s="34"/>
      <c r="L209" s="140"/>
      <c r="M209" s="140"/>
      <c r="N209" s="140"/>
    </row>
    <row r="210" spans="1:14" x14ac:dyDescent="0.35">
      <c r="A210" s="25">
        <v>42553</v>
      </c>
      <c r="B210" s="31" t="s">
        <v>437</v>
      </c>
      <c r="C210" s="30"/>
      <c r="D210" s="30">
        <f>5*8.7</f>
        <v>43.5</v>
      </c>
      <c r="E210" s="32">
        <f t="shared" si="21"/>
        <v>29822.150000000005</v>
      </c>
      <c r="F210" s="33"/>
      <c r="G210" s="27">
        <f t="shared" si="22"/>
        <v>18.016262267171399</v>
      </c>
      <c r="H210" s="33"/>
      <c r="I210" s="27">
        <f t="shared" si="23"/>
        <v>783.70740862195589</v>
      </c>
      <c r="J210" s="30">
        <f t="shared" si="24"/>
        <v>537283.67577092571</v>
      </c>
      <c r="K210" s="34"/>
      <c r="L210" s="140"/>
      <c r="M210" s="140"/>
      <c r="N210" s="140"/>
    </row>
    <row r="211" spans="1:14" x14ac:dyDescent="0.35">
      <c r="A211" s="25">
        <v>42555</v>
      </c>
      <c r="B211" s="31" t="s">
        <v>438</v>
      </c>
      <c r="C211" s="30"/>
      <c r="D211" s="30">
        <f>8*3.5</f>
        <v>28</v>
      </c>
      <c r="E211" s="32">
        <f t="shared" si="21"/>
        <v>29794.150000000005</v>
      </c>
      <c r="F211" s="33"/>
      <c r="G211" s="27">
        <f t="shared" si="22"/>
        <v>18.016262267171403</v>
      </c>
      <c r="H211" s="33"/>
      <c r="I211" s="27">
        <f t="shared" si="23"/>
        <v>504.45534348079929</v>
      </c>
      <c r="J211" s="30">
        <f t="shared" si="24"/>
        <v>536779.2204274449</v>
      </c>
      <c r="K211" s="34"/>
      <c r="L211" s="140"/>
      <c r="M211" s="140"/>
      <c r="N211" s="140"/>
    </row>
    <row r="212" spans="1:14" x14ac:dyDescent="0.35">
      <c r="A212" s="25">
        <v>42557</v>
      </c>
      <c r="B212" s="31" t="s">
        <v>439</v>
      </c>
      <c r="C212" s="30"/>
      <c r="D212" s="30">
        <f>8*5.25</f>
        <v>42</v>
      </c>
      <c r="E212" s="32">
        <f t="shared" si="21"/>
        <v>29752.150000000005</v>
      </c>
      <c r="F212" s="33"/>
      <c r="G212" s="27">
        <f t="shared" si="22"/>
        <v>18.016262267171403</v>
      </c>
      <c r="H212" s="33"/>
      <c r="I212" s="27">
        <f t="shared" si="23"/>
        <v>756.68301522119896</v>
      </c>
      <c r="J212" s="30">
        <f t="shared" si="24"/>
        <v>536022.53741222376</v>
      </c>
      <c r="K212" s="34"/>
      <c r="L212" s="140"/>
      <c r="M212" s="140"/>
      <c r="N212" s="140"/>
    </row>
    <row r="213" spans="1:14" x14ac:dyDescent="0.35">
      <c r="A213" s="25">
        <v>42560</v>
      </c>
      <c r="B213" s="31" t="s">
        <v>443</v>
      </c>
      <c r="C213" s="30"/>
      <c r="D213" s="30">
        <f>4*3.71</f>
        <v>14.84</v>
      </c>
      <c r="E213" s="32">
        <f t="shared" si="21"/>
        <v>29737.310000000005</v>
      </c>
      <c r="F213" s="33"/>
      <c r="G213" s="27">
        <f t="shared" si="22"/>
        <v>18.016262267171403</v>
      </c>
      <c r="H213" s="33"/>
      <c r="I213" s="27">
        <f t="shared" si="23"/>
        <v>267.3613320448236</v>
      </c>
      <c r="J213" s="30">
        <f t="shared" si="24"/>
        <v>535755.17608017894</v>
      </c>
      <c r="K213" s="34"/>
      <c r="L213" s="140"/>
      <c r="M213" s="140"/>
      <c r="N213" s="140"/>
    </row>
    <row r="214" spans="1:14" x14ac:dyDescent="0.35">
      <c r="A214" s="25">
        <v>42564</v>
      </c>
      <c r="B214" s="31" t="s">
        <v>446</v>
      </c>
      <c r="C214" s="30"/>
      <c r="D214" s="30">
        <f>5*3</f>
        <v>15</v>
      </c>
      <c r="E214" s="32">
        <f t="shared" si="21"/>
        <v>29722.310000000005</v>
      </c>
      <c r="F214" s="33"/>
      <c r="G214" s="27">
        <f t="shared" si="22"/>
        <v>18.016262267171403</v>
      </c>
      <c r="H214" s="33"/>
      <c r="I214" s="27">
        <f t="shared" si="23"/>
        <v>270.24393400757106</v>
      </c>
      <c r="J214" s="30">
        <f t="shared" si="24"/>
        <v>535484.93214617134</v>
      </c>
      <c r="K214" s="34"/>
      <c r="L214" s="140"/>
      <c r="M214" s="140"/>
      <c r="N214" s="140"/>
    </row>
    <row r="215" spans="1:14" x14ac:dyDescent="0.35">
      <c r="A215" s="25">
        <v>42565</v>
      </c>
      <c r="B215" s="31" t="s">
        <v>447</v>
      </c>
      <c r="C215" s="30"/>
      <c r="D215" s="30">
        <f>15*7.41</f>
        <v>111.15</v>
      </c>
      <c r="E215" s="32">
        <f t="shared" si="21"/>
        <v>29611.160000000003</v>
      </c>
      <c r="F215" s="33"/>
      <c r="G215" s="27">
        <f t="shared" si="22"/>
        <v>18.016262267171403</v>
      </c>
      <c r="H215" s="33"/>
      <c r="I215" s="27">
        <f t="shared" si="23"/>
        <v>2002.5075509961016</v>
      </c>
      <c r="J215" s="30">
        <f t="shared" si="24"/>
        <v>533482.42459517519</v>
      </c>
      <c r="K215" s="34"/>
      <c r="L215" s="140"/>
      <c r="M215" s="140"/>
      <c r="N215" s="140"/>
    </row>
    <row r="216" spans="1:14" s="112" customFormat="1" x14ac:dyDescent="0.35">
      <c r="A216" s="106">
        <v>42565</v>
      </c>
      <c r="B216" s="107" t="s">
        <v>448</v>
      </c>
      <c r="C216" s="108"/>
      <c r="D216" s="108">
        <v>13.85</v>
      </c>
      <c r="E216" s="109">
        <f t="shared" si="21"/>
        <v>29597.310000000005</v>
      </c>
      <c r="F216" s="110"/>
      <c r="G216" s="108">
        <f t="shared" si="22"/>
        <v>18.016262267171403</v>
      </c>
      <c r="H216" s="110"/>
      <c r="I216" s="108">
        <f t="shared" si="23"/>
        <v>249.52523240032392</v>
      </c>
      <c r="J216" s="108">
        <f t="shared" si="24"/>
        <v>533232.89936277492</v>
      </c>
      <c r="K216" s="111"/>
      <c r="L216" s="179">
        <f>SUM(I206:I216)</f>
        <v>11463.387355355819</v>
      </c>
      <c r="M216" s="179"/>
      <c r="N216" s="143">
        <v>42566</v>
      </c>
    </row>
    <row r="217" spans="1:14" x14ac:dyDescent="0.35">
      <c r="A217" s="25">
        <v>42570</v>
      </c>
      <c r="B217" s="31" t="s">
        <v>451</v>
      </c>
      <c r="C217" s="30"/>
      <c r="D217" s="30">
        <f>7*3.85</f>
        <v>26.95</v>
      </c>
      <c r="E217" s="32">
        <f t="shared" si="21"/>
        <v>29570.360000000004</v>
      </c>
      <c r="F217" s="33"/>
      <c r="G217" s="27">
        <f t="shared" si="22"/>
        <v>18.016262267171403</v>
      </c>
      <c r="H217" s="33"/>
      <c r="I217" s="27">
        <f t="shared" si="23"/>
        <v>485.53826810026931</v>
      </c>
      <c r="J217" s="30">
        <f t="shared" si="24"/>
        <v>532747.36109467468</v>
      </c>
      <c r="K217" s="34"/>
      <c r="L217" s="140"/>
      <c r="M217" s="140"/>
      <c r="N217" s="140"/>
    </row>
    <row r="218" spans="1:14" x14ac:dyDescent="0.35">
      <c r="A218" s="25">
        <v>42578</v>
      </c>
      <c r="B218" s="31" t="s">
        <v>452</v>
      </c>
      <c r="C218" s="30"/>
      <c r="D218" s="30">
        <f>6*5.15</f>
        <v>30.900000000000002</v>
      </c>
      <c r="E218" s="32">
        <f t="shared" si="21"/>
        <v>29539.460000000003</v>
      </c>
      <c r="F218" s="33"/>
      <c r="G218" s="27">
        <f t="shared" si="22"/>
        <v>18.016262267171403</v>
      </c>
      <c r="H218" s="33"/>
      <c r="I218" s="27">
        <f t="shared" si="23"/>
        <v>556.70250405559636</v>
      </c>
      <c r="J218" s="30">
        <f t="shared" si="24"/>
        <v>532190.6585906191</v>
      </c>
      <c r="K218" s="34"/>
      <c r="L218" s="140"/>
      <c r="M218" s="140"/>
      <c r="N218" s="140"/>
    </row>
    <row r="219" spans="1:14" x14ac:dyDescent="0.35">
      <c r="A219" s="25">
        <v>42579</v>
      </c>
      <c r="B219" s="31" t="s">
        <v>454</v>
      </c>
      <c r="C219" s="30"/>
      <c r="D219" s="30">
        <f>10*1.83</f>
        <v>18.3</v>
      </c>
      <c r="E219" s="32">
        <f t="shared" si="21"/>
        <v>29521.160000000003</v>
      </c>
      <c r="F219" s="33"/>
      <c r="G219" s="27">
        <f t="shared" si="22"/>
        <v>18.016262267171406</v>
      </c>
      <c r="H219" s="33"/>
      <c r="I219" s="27">
        <f t="shared" si="23"/>
        <v>329.69759948923672</v>
      </c>
      <c r="J219" s="30">
        <f t="shared" si="24"/>
        <v>531860.96099112986</v>
      </c>
      <c r="K219" s="34"/>
      <c r="L219" s="140"/>
      <c r="M219" s="140"/>
      <c r="N219" s="140"/>
    </row>
    <row r="220" spans="1:14" x14ac:dyDescent="0.35">
      <c r="A220" s="25">
        <v>42579</v>
      </c>
      <c r="B220" s="31" t="s">
        <v>455</v>
      </c>
      <c r="C220" s="30"/>
      <c r="D220" s="30">
        <f>10</f>
        <v>10</v>
      </c>
      <c r="E220" s="32">
        <f t="shared" si="21"/>
        <v>29511.160000000003</v>
      </c>
      <c r="F220" s="33"/>
      <c r="G220" s="27">
        <f t="shared" si="22"/>
        <v>18.016262267171406</v>
      </c>
      <c r="H220" s="33"/>
      <c r="I220" s="27">
        <f t="shared" si="23"/>
        <v>180.16262267171408</v>
      </c>
      <c r="J220" s="30">
        <f t="shared" si="24"/>
        <v>531680.79836845817</v>
      </c>
      <c r="K220" s="34"/>
      <c r="L220" s="140"/>
      <c r="M220" s="140"/>
      <c r="N220" s="140"/>
    </row>
    <row r="221" spans="1:14" s="112" customFormat="1" x14ac:dyDescent="0.35">
      <c r="A221" s="106">
        <v>42580</v>
      </c>
      <c r="B221" s="107" t="s">
        <v>456</v>
      </c>
      <c r="C221" s="108"/>
      <c r="D221" s="108">
        <f>10*5.1</f>
        <v>51</v>
      </c>
      <c r="E221" s="109">
        <f t="shared" si="21"/>
        <v>29460.160000000003</v>
      </c>
      <c r="F221" s="110"/>
      <c r="G221" s="108">
        <f t="shared" si="22"/>
        <v>18.016262267171406</v>
      </c>
      <c r="H221" s="110"/>
      <c r="I221" s="108">
        <f t="shared" si="23"/>
        <v>918.8293756257417</v>
      </c>
      <c r="J221" s="108">
        <f t="shared" si="24"/>
        <v>530761.96899283247</v>
      </c>
      <c r="K221" s="111"/>
      <c r="L221" s="179">
        <f>SUM(I217:I221)</f>
        <v>2470.9303699425582</v>
      </c>
      <c r="M221" s="179">
        <f>SUM(L216:L221)</f>
        <v>13934.317725298377</v>
      </c>
      <c r="N221" s="143">
        <v>42582</v>
      </c>
    </row>
    <row r="222" spans="1:14" x14ac:dyDescent="0.35">
      <c r="A222" s="25">
        <v>42583</v>
      </c>
      <c r="B222" s="31" t="s">
        <v>457</v>
      </c>
      <c r="C222" s="30"/>
      <c r="D222" s="30">
        <f>4*3.2+8*4.5</f>
        <v>48.8</v>
      </c>
      <c r="E222" s="32">
        <f t="shared" si="21"/>
        <v>29411.360000000004</v>
      </c>
      <c r="F222" s="33"/>
      <c r="G222" s="27">
        <f t="shared" si="22"/>
        <v>18.016262267171406</v>
      </c>
      <c r="H222" s="33"/>
      <c r="I222" s="27">
        <f t="shared" si="23"/>
        <v>879.19359863796456</v>
      </c>
      <c r="J222" s="30">
        <f t="shared" si="24"/>
        <v>529882.77539419453</v>
      </c>
      <c r="K222" s="34"/>
      <c r="L222" s="140"/>
      <c r="M222" s="140"/>
      <c r="N222" s="140"/>
    </row>
    <row r="223" spans="1:14" x14ac:dyDescent="0.35">
      <c r="A223" s="25">
        <v>42587</v>
      </c>
      <c r="B223" s="31" t="s">
        <v>460</v>
      </c>
      <c r="C223" s="30"/>
      <c r="D223" s="30">
        <f>6*4.4+2+2.12</f>
        <v>30.520000000000003</v>
      </c>
      <c r="E223" s="32">
        <f t="shared" si="21"/>
        <v>29380.840000000004</v>
      </c>
      <c r="F223" s="33"/>
      <c r="G223" s="27">
        <f t="shared" si="22"/>
        <v>18.016262267171406</v>
      </c>
      <c r="H223" s="33"/>
      <c r="I223" s="27">
        <f t="shared" si="23"/>
        <v>549.85632439407141</v>
      </c>
      <c r="J223" s="30">
        <f t="shared" si="24"/>
        <v>529332.91906980041</v>
      </c>
      <c r="K223" s="34"/>
      <c r="L223" s="140"/>
      <c r="M223" s="140"/>
      <c r="N223" s="140"/>
    </row>
    <row r="224" spans="1:14" x14ac:dyDescent="0.35">
      <c r="A224" s="25">
        <v>42592</v>
      </c>
      <c r="B224" s="31" t="s">
        <v>462</v>
      </c>
      <c r="C224" s="30"/>
      <c r="D224" s="30">
        <f>16*7.2</f>
        <v>115.2</v>
      </c>
      <c r="E224" s="32">
        <f t="shared" si="21"/>
        <v>29265.640000000003</v>
      </c>
      <c r="F224" s="33"/>
      <c r="G224" s="27">
        <f t="shared" si="22"/>
        <v>18.016262267171406</v>
      </c>
      <c r="H224" s="33"/>
      <c r="I224" s="27">
        <f t="shared" si="23"/>
        <v>2075.4734131781461</v>
      </c>
      <c r="J224" s="30">
        <f t="shared" si="24"/>
        <v>527257.44565662229</v>
      </c>
      <c r="K224" s="34"/>
      <c r="L224" s="140"/>
      <c r="M224" s="140"/>
      <c r="N224" s="140"/>
    </row>
    <row r="225" spans="1:14" x14ac:dyDescent="0.35">
      <c r="A225" s="25">
        <v>42592</v>
      </c>
      <c r="B225" s="31" t="s">
        <v>463</v>
      </c>
      <c r="C225" s="30"/>
      <c r="D225" s="30">
        <f>20*10.29</f>
        <v>205.79999999999998</v>
      </c>
      <c r="E225" s="32">
        <f t="shared" si="21"/>
        <v>29059.840000000004</v>
      </c>
      <c r="F225" s="33"/>
      <c r="G225" s="27">
        <f t="shared" si="22"/>
        <v>18.016262267171406</v>
      </c>
      <c r="H225" s="33"/>
      <c r="I225" s="27">
        <f t="shared" si="23"/>
        <v>3707.7467745838749</v>
      </c>
      <c r="J225" s="30">
        <f t="shared" si="24"/>
        <v>523549.69888203841</v>
      </c>
      <c r="K225" s="34"/>
      <c r="L225" s="140"/>
      <c r="M225" s="140"/>
      <c r="N225" s="140"/>
    </row>
    <row r="226" spans="1:14" x14ac:dyDescent="0.35">
      <c r="A226" s="25">
        <v>42595</v>
      </c>
      <c r="B226" s="31" t="s">
        <v>464</v>
      </c>
      <c r="C226" s="30"/>
      <c r="D226" s="30">
        <f>4*1.5</f>
        <v>6</v>
      </c>
      <c r="E226" s="32">
        <f t="shared" si="21"/>
        <v>29053.840000000004</v>
      </c>
      <c r="F226" s="33"/>
      <c r="G226" s="27">
        <f t="shared" si="22"/>
        <v>18.016262267171406</v>
      </c>
      <c r="H226" s="33"/>
      <c r="I226" s="27">
        <f t="shared" si="23"/>
        <v>108.09757360302844</v>
      </c>
      <c r="J226" s="30">
        <f t="shared" si="24"/>
        <v>523441.60130843538</v>
      </c>
      <c r="K226" s="34"/>
      <c r="L226" s="140"/>
      <c r="M226" s="140"/>
      <c r="N226" s="140"/>
    </row>
    <row r="227" spans="1:14" x14ac:dyDescent="0.35">
      <c r="A227" s="25">
        <v>42595</v>
      </c>
      <c r="B227" s="31" t="s">
        <v>465</v>
      </c>
      <c r="C227" s="30"/>
      <c r="D227" s="30">
        <f>10*4</f>
        <v>40</v>
      </c>
      <c r="E227" s="32">
        <f t="shared" si="21"/>
        <v>29013.840000000004</v>
      </c>
      <c r="F227" s="33"/>
      <c r="G227" s="27">
        <f t="shared" si="22"/>
        <v>18.016262267171406</v>
      </c>
      <c r="H227" s="33"/>
      <c r="I227" s="27">
        <f t="shared" si="23"/>
        <v>720.6504906868563</v>
      </c>
      <c r="J227" s="30">
        <f t="shared" si="24"/>
        <v>522720.9508177485</v>
      </c>
      <c r="K227" s="34"/>
      <c r="L227" s="140"/>
      <c r="M227" s="140"/>
      <c r="N227" s="140"/>
    </row>
    <row r="228" spans="1:14" x14ac:dyDescent="0.35">
      <c r="A228" s="25">
        <v>42595</v>
      </c>
      <c r="B228" s="31" t="s">
        <v>466</v>
      </c>
      <c r="C228" s="30"/>
      <c r="D228" s="30">
        <f>7*5</f>
        <v>35</v>
      </c>
      <c r="E228" s="32">
        <f t="shared" si="21"/>
        <v>28978.840000000004</v>
      </c>
      <c r="F228" s="33"/>
      <c r="G228" s="27">
        <f t="shared" si="22"/>
        <v>18.016262267171406</v>
      </c>
      <c r="H228" s="33"/>
      <c r="I228" s="27">
        <f t="shared" si="23"/>
        <v>630.56917935099921</v>
      </c>
      <c r="J228" s="30">
        <f t="shared" si="24"/>
        <v>522090.38163839752</v>
      </c>
      <c r="K228" s="34"/>
      <c r="L228" s="140"/>
      <c r="M228" s="140"/>
      <c r="N228" s="140"/>
    </row>
    <row r="229" spans="1:14" x14ac:dyDescent="0.35">
      <c r="A229" s="25">
        <v>42597</v>
      </c>
      <c r="B229" s="31" t="s">
        <v>470</v>
      </c>
      <c r="C229" s="30"/>
      <c r="D229" s="30">
        <f>1*4+1*2</f>
        <v>6</v>
      </c>
      <c r="E229" s="32">
        <f t="shared" ref="E229:E249" si="25">+E228-D229</f>
        <v>28972.840000000004</v>
      </c>
      <c r="F229" s="33"/>
      <c r="G229" s="27">
        <f t="shared" ref="G229:G249" si="26">+J228/E228</f>
        <v>18.016262267171406</v>
      </c>
      <c r="H229" s="33"/>
      <c r="I229" s="27">
        <f t="shared" ref="I229:I249" si="27">+D229*G229</f>
        <v>108.09757360302844</v>
      </c>
      <c r="J229" s="30">
        <f t="shared" ref="J229:J249" si="28">+J228-I229</f>
        <v>521982.28406479448</v>
      </c>
      <c r="K229" s="34"/>
      <c r="L229" s="140"/>
      <c r="M229" s="140"/>
      <c r="N229" s="140"/>
    </row>
    <row r="230" spans="1:14" s="112" customFormat="1" x14ac:dyDescent="0.35">
      <c r="A230" s="106">
        <v>42597</v>
      </c>
      <c r="B230" s="107" t="s">
        <v>471</v>
      </c>
      <c r="C230" s="108"/>
      <c r="D230" s="108">
        <f>3*4.65</f>
        <v>13.950000000000001</v>
      </c>
      <c r="E230" s="109">
        <f t="shared" si="25"/>
        <v>28958.890000000003</v>
      </c>
      <c r="F230" s="110"/>
      <c r="G230" s="108">
        <f t="shared" si="26"/>
        <v>18.016262267171406</v>
      </c>
      <c r="H230" s="110"/>
      <c r="I230" s="108">
        <f t="shared" si="27"/>
        <v>251.32685862704113</v>
      </c>
      <c r="J230" s="108">
        <f t="shared" si="28"/>
        <v>521730.95720616746</v>
      </c>
      <c r="K230" s="111"/>
      <c r="L230" s="179">
        <f>SUM(I222:I230)</f>
        <v>9031.0117866650107</v>
      </c>
      <c r="M230" s="160"/>
      <c r="N230" s="143">
        <v>42597</v>
      </c>
    </row>
    <row r="231" spans="1:14" x14ac:dyDescent="0.35">
      <c r="A231" s="25">
        <v>42601</v>
      </c>
      <c r="B231" s="31" t="s">
        <v>475</v>
      </c>
      <c r="C231" s="30"/>
      <c r="D231" s="86">
        <f>140*4.47+35*1.34+0.38</f>
        <v>673.07999999999993</v>
      </c>
      <c r="E231" s="32">
        <f t="shared" si="25"/>
        <v>28285.810000000005</v>
      </c>
      <c r="F231" s="33"/>
      <c r="G231" s="27">
        <f t="shared" si="26"/>
        <v>18.016262267171406</v>
      </c>
      <c r="H231" s="33"/>
      <c r="I231" s="27">
        <f t="shared" si="27"/>
        <v>12126.385806787728</v>
      </c>
      <c r="J231" s="30">
        <f t="shared" si="28"/>
        <v>509604.57139937975</v>
      </c>
      <c r="K231" s="34"/>
      <c r="L231" s="140"/>
      <c r="M231" s="140"/>
      <c r="N231" s="140"/>
    </row>
    <row r="232" spans="1:14" x14ac:dyDescent="0.35">
      <c r="A232" s="25">
        <v>42602</v>
      </c>
      <c r="B232" s="31" t="s">
        <v>476</v>
      </c>
      <c r="C232" s="30"/>
      <c r="D232" s="86">
        <f>16*4.8</f>
        <v>76.8</v>
      </c>
      <c r="E232" s="32">
        <f t="shared" si="25"/>
        <v>28209.010000000006</v>
      </c>
      <c r="F232" s="33"/>
      <c r="G232" s="27">
        <f t="shared" si="26"/>
        <v>18.016262267171406</v>
      </c>
      <c r="H232" s="33"/>
      <c r="I232" s="27">
        <f t="shared" si="27"/>
        <v>1383.6489421187639</v>
      </c>
      <c r="J232" s="30">
        <f t="shared" si="28"/>
        <v>508220.92245726101</v>
      </c>
      <c r="K232" s="34"/>
      <c r="L232" s="140"/>
      <c r="M232" s="140"/>
      <c r="N232" s="140"/>
    </row>
    <row r="233" spans="1:14" x14ac:dyDescent="0.35">
      <c r="A233" s="25">
        <v>42602</v>
      </c>
      <c r="B233" s="31" t="s">
        <v>477</v>
      </c>
      <c r="C233" s="30"/>
      <c r="D233" s="86">
        <f>4*2.6+5*3.8</f>
        <v>29.4</v>
      </c>
      <c r="E233" s="32">
        <f t="shared" si="25"/>
        <v>28179.610000000004</v>
      </c>
      <c r="F233" s="33"/>
      <c r="G233" s="27">
        <f t="shared" si="26"/>
        <v>18.016262267171406</v>
      </c>
      <c r="H233" s="33"/>
      <c r="I233" s="27">
        <f t="shared" si="27"/>
        <v>529.67811065483932</v>
      </c>
      <c r="J233" s="30">
        <f t="shared" si="28"/>
        <v>507691.2443466062</v>
      </c>
      <c r="K233" s="34"/>
      <c r="L233" s="140"/>
      <c r="M233" s="140"/>
      <c r="N233" s="140"/>
    </row>
    <row r="234" spans="1:14" x14ac:dyDescent="0.35">
      <c r="A234" s="25">
        <v>42602</v>
      </c>
      <c r="B234" s="31" t="s">
        <v>478</v>
      </c>
      <c r="C234" s="30"/>
      <c r="D234" s="86">
        <f>5*3.6</f>
        <v>18</v>
      </c>
      <c r="E234" s="32">
        <f t="shared" si="25"/>
        <v>28161.610000000004</v>
      </c>
      <c r="F234" s="33"/>
      <c r="G234" s="27">
        <f t="shared" si="26"/>
        <v>18.01626226717141</v>
      </c>
      <c r="H234" s="33"/>
      <c r="I234" s="27">
        <f t="shared" si="27"/>
        <v>324.29272080908538</v>
      </c>
      <c r="J234" s="30">
        <f t="shared" si="28"/>
        <v>507366.95162579708</v>
      </c>
      <c r="K234" s="34"/>
      <c r="L234" s="140"/>
      <c r="M234" s="140"/>
      <c r="N234" s="140"/>
    </row>
    <row r="235" spans="1:14" x14ac:dyDescent="0.35">
      <c r="A235" s="25">
        <v>42604</v>
      </c>
      <c r="B235" s="31" t="s">
        <v>479</v>
      </c>
      <c r="C235" s="30"/>
      <c r="D235" s="30">
        <f>2*4.61</f>
        <v>9.2200000000000006</v>
      </c>
      <c r="E235" s="32">
        <f t="shared" si="25"/>
        <v>28152.390000000003</v>
      </c>
      <c r="F235" s="33"/>
      <c r="G235" s="27">
        <f t="shared" si="26"/>
        <v>18.01626226717141</v>
      </c>
      <c r="H235" s="33"/>
      <c r="I235" s="27">
        <f t="shared" si="27"/>
        <v>166.10993810332042</v>
      </c>
      <c r="J235" s="30">
        <f t="shared" si="28"/>
        <v>507200.84168769378</v>
      </c>
      <c r="K235" s="34"/>
      <c r="L235" s="140"/>
      <c r="M235" s="140"/>
      <c r="N235" s="140"/>
    </row>
    <row r="236" spans="1:14" x14ac:dyDescent="0.35">
      <c r="A236" s="25">
        <v>42604</v>
      </c>
      <c r="B236" s="31" t="s">
        <v>480</v>
      </c>
      <c r="C236" s="30"/>
      <c r="D236" s="30">
        <f>4*4</f>
        <v>16</v>
      </c>
      <c r="E236" s="32">
        <f t="shared" si="25"/>
        <v>28136.390000000003</v>
      </c>
      <c r="F236" s="33"/>
      <c r="G236" s="27">
        <f t="shared" si="26"/>
        <v>18.01626226717141</v>
      </c>
      <c r="H236" s="33"/>
      <c r="I236" s="27">
        <f t="shared" si="27"/>
        <v>288.26019627474255</v>
      </c>
      <c r="J236" s="30">
        <f t="shared" si="28"/>
        <v>506912.58149141906</v>
      </c>
      <c r="K236" s="34"/>
      <c r="L236" s="140"/>
      <c r="M236" s="140"/>
      <c r="N236" s="140"/>
    </row>
    <row r="237" spans="1:14" x14ac:dyDescent="0.35">
      <c r="A237" s="49">
        <v>42604</v>
      </c>
      <c r="B237" s="31" t="s">
        <v>481</v>
      </c>
      <c r="C237" s="79"/>
      <c r="D237" s="79">
        <v>7.8</v>
      </c>
      <c r="E237" s="32">
        <f t="shared" si="25"/>
        <v>28128.590000000004</v>
      </c>
      <c r="F237" s="33"/>
      <c r="G237" s="27">
        <f t="shared" si="26"/>
        <v>18.01626226717141</v>
      </c>
      <c r="H237" s="33"/>
      <c r="I237" s="27">
        <f t="shared" si="27"/>
        <v>140.52684568393698</v>
      </c>
      <c r="J237" s="30">
        <f t="shared" si="28"/>
        <v>506772.05464573513</v>
      </c>
      <c r="K237" s="180"/>
      <c r="L237" s="140"/>
      <c r="M237" s="140"/>
      <c r="N237" s="140"/>
    </row>
    <row r="238" spans="1:14" x14ac:dyDescent="0.35">
      <c r="A238" s="78">
        <v>42604</v>
      </c>
      <c r="B238" s="31" t="s">
        <v>482</v>
      </c>
      <c r="C238" s="79"/>
      <c r="D238" s="79">
        <f>5*5</f>
        <v>25</v>
      </c>
      <c r="E238" s="32">
        <f t="shared" si="25"/>
        <v>28103.590000000004</v>
      </c>
      <c r="F238" s="33"/>
      <c r="G238" s="27">
        <f t="shared" si="26"/>
        <v>18.01626226717141</v>
      </c>
      <c r="H238" s="33"/>
      <c r="I238" s="27">
        <f t="shared" si="27"/>
        <v>450.40655667928525</v>
      </c>
      <c r="J238" s="30">
        <f t="shared" si="28"/>
        <v>506321.64808905585</v>
      </c>
      <c r="K238" s="180"/>
      <c r="L238" s="140"/>
      <c r="M238" s="140"/>
      <c r="N238" s="140"/>
    </row>
    <row r="239" spans="1:14" x14ac:dyDescent="0.35">
      <c r="A239" s="78">
        <v>42605</v>
      </c>
      <c r="B239" s="31" t="s">
        <v>483</v>
      </c>
      <c r="C239" s="79"/>
      <c r="D239" s="79">
        <f>8*2.2</f>
        <v>17.600000000000001</v>
      </c>
      <c r="E239" s="32">
        <f t="shared" si="25"/>
        <v>28085.990000000005</v>
      </c>
      <c r="F239" s="33"/>
      <c r="G239" s="27">
        <f t="shared" si="26"/>
        <v>18.01626226717141</v>
      </c>
      <c r="H239" s="33"/>
      <c r="I239" s="27">
        <f t="shared" si="27"/>
        <v>317.08621590221685</v>
      </c>
      <c r="J239" s="30">
        <f t="shared" si="28"/>
        <v>506004.56187315361</v>
      </c>
      <c r="K239" s="180"/>
      <c r="L239" s="140"/>
      <c r="M239" s="140"/>
      <c r="N239" s="140"/>
    </row>
    <row r="240" spans="1:14" x14ac:dyDescent="0.35">
      <c r="A240" s="78">
        <v>42605</v>
      </c>
      <c r="B240" s="31" t="s">
        <v>484</v>
      </c>
      <c r="C240" s="79"/>
      <c r="D240" s="79">
        <v>4</v>
      </c>
      <c r="E240" s="32">
        <f t="shared" si="25"/>
        <v>28081.990000000005</v>
      </c>
      <c r="F240" s="33"/>
      <c r="G240" s="27">
        <f t="shared" si="26"/>
        <v>18.01626226717141</v>
      </c>
      <c r="H240" s="33"/>
      <c r="I240" s="27">
        <f t="shared" si="27"/>
        <v>72.065049068685639</v>
      </c>
      <c r="J240" s="30">
        <f t="shared" si="28"/>
        <v>505932.4968240849</v>
      </c>
      <c r="K240" s="180"/>
      <c r="L240" s="140"/>
      <c r="M240" s="140"/>
      <c r="N240" s="140"/>
    </row>
    <row r="241" spans="1:14" x14ac:dyDescent="0.35">
      <c r="A241" s="78">
        <v>42606</v>
      </c>
      <c r="B241" s="31" t="s">
        <v>485</v>
      </c>
      <c r="C241" s="79"/>
      <c r="D241" s="79">
        <f>5*4.5</f>
        <v>22.5</v>
      </c>
      <c r="E241" s="32">
        <f t="shared" si="25"/>
        <v>28059.490000000005</v>
      </c>
      <c r="F241" s="33"/>
      <c r="G241" s="27">
        <f t="shared" si="26"/>
        <v>18.016262267171406</v>
      </c>
      <c r="H241" s="33"/>
      <c r="I241" s="27">
        <f t="shared" si="27"/>
        <v>405.36590101135664</v>
      </c>
      <c r="J241" s="30">
        <f t="shared" si="28"/>
        <v>505527.13092307356</v>
      </c>
      <c r="K241" s="180"/>
      <c r="L241" s="140"/>
      <c r="M241" s="140"/>
      <c r="N241" s="140"/>
    </row>
    <row r="242" spans="1:14" s="112" customFormat="1" x14ac:dyDescent="0.35">
      <c r="A242" s="124">
        <v>42606</v>
      </c>
      <c r="B242" s="107" t="s">
        <v>487</v>
      </c>
      <c r="C242" s="125"/>
      <c r="D242" s="125">
        <f>6*3.65+5*3.5</f>
        <v>39.4</v>
      </c>
      <c r="E242" s="109">
        <f t="shared" si="25"/>
        <v>28020.090000000004</v>
      </c>
      <c r="F242" s="110"/>
      <c r="G242" s="108">
        <f t="shared" si="26"/>
        <v>18.01626226717141</v>
      </c>
      <c r="H242" s="110"/>
      <c r="I242" s="108">
        <f t="shared" si="27"/>
        <v>709.8407333265535</v>
      </c>
      <c r="J242" s="108">
        <f t="shared" si="28"/>
        <v>504817.290189747</v>
      </c>
      <c r="K242" s="181"/>
      <c r="L242" s="179">
        <f>SUM(I231:I242)</f>
        <v>16913.667016420513</v>
      </c>
      <c r="M242" s="179">
        <f>SUM(L230:L242)</f>
        <v>25944.678803085524</v>
      </c>
      <c r="N242" s="143">
        <v>42613</v>
      </c>
    </row>
    <row r="243" spans="1:14" x14ac:dyDescent="0.35">
      <c r="A243" s="78">
        <v>42619</v>
      </c>
      <c r="B243" s="31" t="s">
        <v>490</v>
      </c>
      <c r="C243" s="79"/>
      <c r="D243" s="79">
        <f>3*2.15</f>
        <v>6.4499999999999993</v>
      </c>
      <c r="E243" s="32">
        <f t="shared" si="25"/>
        <v>28013.640000000003</v>
      </c>
      <c r="F243" s="33"/>
      <c r="G243" s="27">
        <f t="shared" si="26"/>
        <v>18.01626226717141</v>
      </c>
      <c r="H243" s="33"/>
      <c r="I243" s="27">
        <f t="shared" si="27"/>
        <v>116.20489162325558</v>
      </c>
      <c r="J243" s="30">
        <f t="shared" si="28"/>
        <v>504701.08529812377</v>
      </c>
      <c r="K243" s="180"/>
      <c r="L243" s="140"/>
      <c r="M243" s="140"/>
      <c r="N243" s="140"/>
    </row>
    <row r="244" spans="1:14" s="112" customFormat="1" x14ac:dyDescent="0.35">
      <c r="A244" s="124">
        <v>42619</v>
      </c>
      <c r="B244" s="107" t="s">
        <v>492</v>
      </c>
      <c r="C244" s="125"/>
      <c r="D244" s="125">
        <f>50*4.85</f>
        <v>242.49999999999997</v>
      </c>
      <c r="E244" s="109">
        <f t="shared" si="25"/>
        <v>27771.140000000003</v>
      </c>
      <c r="F244" s="110"/>
      <c r="G244" s="108">
        <f t="shared" si="26"/>
        <v>18.01626226717141</v>
      </c>
      <c r="H244" s="110"/>
      <c r="I244" s="108">
        <f t="shared" si="27"/>
        <v>4368.943599789066</v>
      </c>
      <c r="J244" s="108">
        <f t="shared" si="28"/>
        <v>500332.14169833472</v>
      </c>
      <c r="K244" s="181"/>
      <c r="L244" s="179">
        <f>SUM(I243:I244)</f>
        <v>4485.1484914123212</v>
      </c>
      <c r="M244" s="160"/>
      <c r="N244" s="143">
        <v>42628</v>
      </c>
    </row>
    <row r="245" spans="1:14" x14ac:dyDescent="0.35">
      <c r="A245" s="78">
        <v>42632</v>
      </c>
      <c r="B245" s="31" t="s">
        <v>494</v>
      </c>
      <c r="C245" s="79"/>
      <c r="D245" s="79">
        <v>3</v>
      </c>
      <c r="E245" s="32">
        <f t="shared" si="25"/>
        <v>27768.140000000003</v>
      </c>
      <c r="F245" s="33"/>
      <c r="G245" s="27">
        <f t="shared" si="26"/>
        <v>18.01626226717141</v>
      </c>
      <c r="H245" s="33"/>
      <c r="I245" s="27">
        <f t="shared" si="27"/>
        <v>54.048786801514225</v>
      </c>
      <c r="J245" s="30">
        <f t="shared" si="28"/>
        <v>500278.0929115332</v>
      </c>
      <c r="K245" s="180"/>
      <c r="L245" s="140"/>
      <c r="M245" s="28"/>
      <c r="N245" s="140"/>
    </row>
    <row r="246" spans="1:14" x14ac:dyDescent="0.35">
      <c r="A246" s="78">
        <v>42633</v>
      </c>
      <c r="B246" s="31" t="s">
        <v>500</v>
      </c>
      <c r="C246" s="79"/>
      <c r="D246" s="79">
        <f>15*6.3</f>
        <v>94.5</v>
      </c>
      <c r="E246" s="32">
        <f t="shared" si="25"/>
        <v>27673.640000000003</v>
      </c>
      <c r="F246" s="33"/>
      <c r="G246" s="27">
        <f t="shared" si="26"/>
        <v>18.01626226717141</v>
      </c>
      <c r="H246" s="33"/>
      <c r="I246" s="27">
        <f t="shared" si="27"/>
        <v>1702.5367842476983</v>
      </c>
      <c r="J246" s="30">
        <f t="shared" si="28"/>
        <v>498575.55612728553</v>
      </c>
      <c r="K246" s="180"/>
      <c r="L246" s="140"/>
      <c r="M246" s="140"/>
      <c r="N246" s="140"/>
    </row>
    <row r="247" spans="1:14" s="112" customFormat="1" x14ac:dyDescent="0.35">
      <c r="A247" s="124">
        <v>42636</v>
      </c>
      <c r="B247" s="107" t="s">
        <v>505</v>
      </c>
      <c r="C247" s="125"/>
      <c r="D247" s="125">
        <f>8*3.2+4*2.5</f>
        <v>35.6</v>
      </c>
      <c r="E247" s="109">
        <f t="shared" si="25"/>
        <v>27638.040000000005</v>
      </c>
      <c r="F247" s="110"/>
      <c r="G247" s="108">
        <f t="shared" si="26"/>
        <v>18.016262267171413</v>
      </c>
      <c r="H247" s="110"/>
      <c r="I247" s="108">
        <f t="shared" si="27"/>
        <v>641.37893671130234</v>
      </c>
      <c r="J247" s="108">
        <f t="shared" si="28"/>
        <v>497934.17719057424</v>
      </c>
      <c r="K247" s="181"/>
      <c r="L247" s="179">
        <f>SUM(I245:I247)</f>
        <v>2397.9645077605151</v>
      </c>
      <c r="M247" s="179">
        <f>SUM(L244:L247)</f>
        <v>6883.1129991728358</v>
      </c>
      <c r="N247" s="143">
        <v>42643</v>
      </c>
    </row>
    <row r="248" spans="1:14" x14ac:dyDescent="0.35">
      <c r="A248" s="78">
        <v>42644</v>
      </c>
      <c r="B248" s="31" t="s">
        <v>510</v>
      </c>
      <c r="C248" s="79"/>
      <c r="D248" s="79">
        <f>2*1.6</f>
        <v>3.2</v>
      </c>
      <c r="E248" s="32">
        <f t="shared" si="25"/>
        <v>27634.840000000004</v>
      </c>
      <c r="F248" s="33"/>
      <c r="G248" s="27">
        <f t="shared" si="26"/>
        <v>18.01626226717141</v>
      </c>
      <c r="H248" s="33"/>
      <c r="I248" s="27">
        <f t="shared" si="27"/>
        <v>57.652039254948512</v>
      </c>
      <c r="J248" s="30">
        <f t="shared" si="28"/>
        <v>497876.52515131928</v>
      </c>
      <c r="K248" s="180"/>
      <c r="L248" s="28"/>
      <c r="M248" s="28"/>
      <c r="N248" s="140"/>
    </row>
    <row r="249" spans="1:14" x14ac:dyDescent="0.35">
      <c r="A249" s="78">
        <v>42648</v>
      </c>
      <c r="B249" s="31" t="s">
        <v>511</v>
      </c>
      <c r="C249" s="79"/>
      <c r="D249" s="79">
        <f>5+2*4.5+2.5</f>
        <v>16.5</v>
      </c>
      <c r="E249" s="32">
        <f t="shared" si="25"/>
        <v>27618.340000000004</v>
      </c>
      <c r="F249" s="33"/>
      <c r="G249" s="27">
        <f t="shared" si="26"/>
        <v>18.016262267171413</v>
      </c>
      <c r="H249" s="33"/>
      <c r="I249" s="27">
        <f t="shared" si="27"/>
        <v>297.26832740832833</v>
      </c>
      <c r="J249" s="30">
        <f t="shared" si="28"/>
        <v>497579.25682391092</v>
      </c>
      <c r="K249" s="180"/>
      <c r="L249" s="140"/>
      <c r="M249" s="140"/>
      <c r="N249" s="140"/>
    </row>
    <row r="250" spans="1:14" x14ac:dyDescent="0.35">
      <c r="A250" s="78">
        <v>42648</v>
      </c>
      <c r="B250" s="31" t="s">
        <v>512</v>
      </c>
      <c r="C250" s="79"/>
      <c r="D250" s="79">
        <f>5+2*4.5+2*2.5</f>
        <v>19</v>
      </c>
      <c r="E250" s="32">
        <f t="shared" ref="E250:E266" si="29">+E249-D250</f>
        <v>27599.340000000004</v>
      </c>
      <c r="F250" s="33"/>
      <c r="G250" s="27">
        <f t="shared" ref="G250:G266" si="30">+J249/E249</f>
        <v>18.01626226717141</v>
      </c>
      <c r="H250" s="33"/>
      <c r="I250" s="27">
        <f t="shared" ref="I250:I266" si="31">+D250*G250</f>
        <v>342.30898307625677</v>
      </c>
      <c r="J250" s="30">
        <f t="shared" ref="J250:J266" si="32">+J249-I250</f>
        <v>497236.94784083468</v>
      </c>
      <c r="K250" s="180"/>
      <c r="L250" s="140"/>
      <c r="M250" s="140"/>
      <c r="N250" s="140"/>
    </row>
    <row r="251" spans="1:14" x14ac:dyDescent="0.35">
      <c r="A251" s="78">
        <v>42648</v>
      </c>
      <c r="B251" s="31" t="s">
        <v>513</v>
      </c>
      <c r="C251" s="79"/>
      <c r="D251" s="79">
        <f>6*5+13*4.5</f>
        <v>88.5</v>
      </c>
      <c r="E251" s="32">
        <f t="shared" si="29"/>
        <v>27510.840000000004</v>
      </c>
      <c r="F251" s="33"/>
      <c r="G251" s="27">
        <f t="shared" si="30"/>
        <v>18.01626226717141</v>
      </c>
      <c r="H251" s="33"/>
      <c r="I251" s="27">
        <f t="shared" si="31"/>
        <v>1594.4392106446699</v>
      </c>
      <c r="J251" s="30">
        <f t="shared" si="32"/>
        <v>495642.50863018999</v>
      </c>
      <c r="K251" s="180"/>
      <c r="L251" s="140"/>
      <c r="M251" s="140"/>
      <c r="N251" s="140"/>
    </row>
    <row r="252" spans="1:14" x14ac:dyDescent="0.35">
      <c r="A252" s="78">
        <v>42651</v>
      </c>
      <c r="B252" s="31" t="s">
        <v>514</v>
      </c>
      <c r="C252" s="79"/>
      <c r="D252" s="79">
        <f>5*3.45</f>
        <v>17.25</v>
      </c>
      <c r="E252" s="32">
        <f t="shared" si="29"/>
        <v>27493.590000000004</v>
      </c>
      <c r="F252" s="33"/>
      <c r="G252" s="27">
        <f t="shared" si="30"/>
        <v>18.01626226717141</v>
      </c>
      <c r="H252" s="33"/>
      <c r="I252" s="27">
        <f t="shared" si="31"/>
        <v>310.7805241087068</v>
      </c>
      <c r="J252" s="30">
        <f t="shared" si="32"/>
        <v>495331.72810608125</v>
      </c>
      <c r="K252" s="180"/>
      <c r="L252" s="140"/>
      <c r="M252" s="140"/>
      <c r="N252" s="140"/>
    </row>
    <row r="253" spans="1:14" x14ac:dyDescent="0.35">
      <c r="A253" s="78">
        <v>42653</v>
      </c>
      <c r="B253" s="31" t="s">
        <v>515</v>
      </c>
      <c r="C253" s="79"/>
      <c r="D253" s="79">
        <f>2*1.8</f>
        <v>3.6</v>
      </c>
      <c r="E253" s="32">
        <f t="shared" si="29"/>
        <v>27489.990000000005</v>
      </c>
      <c r="F253" s="33"/>
      <c r="G253" s="27">
        <f t="shared" si="30"/>
        <v>18.01626226717141</v>
      </c>
      <c r="H253" s="33"/>
      <c r="I253" s="27">
        <f t="shared" si="31"/>
        <v>64.858544161817079</v>
      </c>
      <c r="J253" s="30">
        <f t="shared" si="32"/>
        <v>495266.86956191942</v>
      </c>
      <c r="K253" s="180"/>
      <c r="L253" s="140"/>
      <c r="M253" s="140"/>
      <c r="N253" s="140"/>
    </row>
    <row r="254" spans="1:14" x14ac:dyDescent="0.35">
      <c r="A254" s="78">
        <v>42653</v>
      </c>
      <c r="B254" s="31" t="s">
        <v>516</v>
      </c>
      <c r="C254" s="79"/>
      <c r="D254" s="79">
        <f>22*6.56</f>
        <v>144.32</v>
      </c>
      <c r="E254" s="32">
        <f t="shared" si="29"/>
        <v>27345.670000000006</v>
      </c>
      <c r="F254" s="33"/>
      <c r="G254" s="27">
        <f t="shared" si="30"/>
        <v>18.016262267171406</v>
      </c>
      <c r="H254" s="33"/>
      <c r="I254" s="27">
        <f t="shared" si="31"/>
        <v>2600.1069703981771</v>
      </c>
      <c r="J254" s="30">
        <f t="shared" si="32"/>
        <v>492666.76259152126</v>
      </c>
      <c r="K254" s="180"/>
      <c r="L254" s="140"/>
      <c r="M254" s="140"/>
      <c r="N254" s="140"/>
    </row>
    <row r="255" spans="1:14" x14ac:dyDescent="0.35">
      <c r="A255" s="78">
        <v>42657</v>
      </c>
      <c r="B255" s="31" t="s">
        <v>520</v>
      </c>
      <c r="C255" s="79"/>
      <c r="D255" s="79">
        <v>0</v>
      </c>
      <c r="E255" s="32">
        <f t="shared" si="29"/>
        <v>27345.670000000006</v>
      </c>
      <c r="F255" s="33"/>
      <c r="G255" s="27">
        <f t="shared" si="30"/>
        <v>18.01626226717141</v>
      </c>
      <c r="H255" s="33"/>
      <c r="I255" s="27">
        <f t="shared" si="31"/>
        <v>0</v>
      </c>
      <c r="J255" s="30">
        <f t="shared" si="32"/>
        <v>492666.76259152126</v>
      </c>
      <c r="K255" s="180"/>
      <c r="L255" s="140"/>
      <c r="M255" s="140"/>
      <c r="N255" s="140"/>
    </row>
    <row r="256" spans="1:14" x14ac:dyDescent="0.35">
      <c r="A256" s="78">
        <v>42657</v>
      </c>
      <c r="B256" s="31" t="s">
        <v>521</v>
      </c>
      <c r="C256" s="79"/>
      <c r="D256" s="79">
        <f>50*7.52</f>
        <v>376</v>
      </c>
      <c r="E256" s="32">
        <f t="shared" si="29"/>
        <v>26969.670000000006</v>
      </c>
      <c r="F256" s="33"/>
      <c r="G256" s="27">
        <f t="shared" si="30"/>
        <v>18.01626226717141</v>
      </c>
      <c r="H256" s="33"/>
      <c r="I256" s="27">
        <f t="shared" si="31"/>
        <v>6774.1146124564502</v>
      </c>
      <c r="J256" s="30">
        <f t="shared" si="32"/>
        <v>485892.64797906479</v>
      </c>
      <c r="K256" s="180"/>
      <c r="L256" s="140"/>
      <c r="M256" s="140"/>
      <c r="N256" s="140"/>
    </row>
    <row r="257" spans="1:14" x14ac:dyDescent="0.35">
      <c r="A257" s="78">
        <v>42658</v>
      </c>
      <c r="B257" s="31" t="s">
        <v>523</v>
      </c>
      <c r="C257" s="79"/>
      <c r="D257" s="79">
        <f>12*5</f>
        <v>60</v>
      </c>
      <c r="E257" s="32">
        <f t="shared" si="29"/>
        <v>26909.670000000006</v>
      </c>
      <c r="F257" s="33"/>
      <c r="G257" s="27">
        <f t="shared" si="30"/>
        <v>18.016262267171406</v>
      </c>
      <c r="H257" s="33"/>
      <c r="I257" s="27">
        <f t="shared" si="31"/>
        <v>1080.9757360302845</v>
      </c>
      <c r="J257" s="30">
        <f t="shared" si="32"/>
        <v>484811.67224303453</v>
      </c>
      <c r="K257" s="180"/>
      <c r="L257" s="140"/>
      <c r="M257" s="140"/>
      <c r="N257" s="140"/>
    </row>
    <row r="258" spans="1:14" s="112" customFormat="1" x14ac:dyDescent="0.35">
      <c r="A258" s="124">
        <v>42658</v>
      </c>
      <c r="B258" s="107" t="s">
        <v>525</v>
      </c>
      <c r="C258" s="125"/>
      <c r="D258" s="125">
        <f>4*3</f>
        <v>12</v>
      </c>
      <c r="E258" s="109">
        <f t="shared" si="29"/>
        <v>26897.670000000006</v>
      </c>
      <c r="F258" s="110"/>
      <c r="G258" s="108">
        <f t="shared" si="30"/>
        <v>18.01626226717141</v>
      </c>
      <c r="H258" s="110"/>
      <c r="I258" s="108">
        <f t="shared" si="31"/>
        <v>216.1951472060569</v>
      </c>
      <c r="J258" s="108">
        <f t="shared" si="32"/>
        <v>484595.47709582845</v>
      </c>
      <c r="K258" s="181"/>
      <c r="L258" s="179">
        <f>SUM(I248:I258)</f>
        <v>13338.700094745696</v>
      </c>
      <c r="M258" s="160"/>
      <c r="N258" s="143">
        <v>42658</v>
      </c>
    </row>
    <row r="259" spans="1:14" x14ac:dyDescent="0.35">
      <c r="A259" s="78">
        <v>42660</v>
      </c>
      <c r="B259" s="31" t="s">
        <v>526</v>
      </c>
      <c r="C259" s="79"/>
      <c r="D259" s="79">
        <f>10*4.3</f>
        <v>43</v>
      </c>
      <c r="E259" s="32">
        <f t="shared" si="29"/>
        <v>26854.670000000006</v>
      </c>
      <c r="F259" s="33"/>
      <c r="G259" s="27">
        <f t="shared" si="30"/>
        <v>18.016262267171406</v>
      </c>
      <c r="H259" s="33"/>
      <c r="I259" s="27">
        <f t="shared" si="31"/>
        <v>774.69927748837051</v>
      </c>
      <c r="J259" s="30">
        <f t="shared" si="32"/>
        <v>483820.77781834005</v>
      </c>
      <c r="K259" s="180"/>
      <c r="L259" s="140"/>
      <c r="M259" s="140"/>
      <c r="N259" s="140"/>
    </row>
    <row r="260" spans="1:14" x14ac:dyDescent="0.35">
      <c r="A260" s="78">
        <v>42662</v>
      </c>
      <c r="B260" s="31" t="s">
        <v>529</v>
      </c>
      <c r="C260" s="79"/>
      <c r="D260" s="79">
        <f>5*3.05</f>
        <v>15.25</v>
      </c>
      <c r="E260" s="32">
        <f t="shared" si="29"/>
        <v>26839.420000000006</v>
      </c>
      <c r="F260" s="33"/>
      <c r="G260" s="27">
        <f t="shared" si="30"/>
        <v>18.016262267171406</v>
      </c>
      <c r="H260" s="33"/>
      <c r="I260" s="27">
        <f t="shared" si="31"/>
        <v>274.74799957436392</v>
      </c>
      <c r="J260" s="30">
        <f t="shared" si="32"/>
        <v>483546.0298187657</v>
      </c>
      <c r="K260" s="180"/>
      <c r="L260" s="140"/>
      <c r="M260" s="140"/>
      <c r="N260" s="140"/>
    </row>
    <row r="261" spans="1:14" x14ac:dyDescent="0.35">
      <c r="A261" s="78">
        <v>42663</v>
      </c>
      <c r="B261" s="31" t="s">
        <v>530</v>
      </c>
      <c r="C261" s="79"/>
      <c r="D261" s="79">
        <f>10*5.3</f>
        <v>53</v>
      </c>
      <c r="E261" s="32">
        <f t="shared" si="29"/>
        <v>26786.420000000006</v>
      </c>
      <c r="F261" s="33"/>
      <c r="G261" s="27">
        <f t="shared" si="30"/>
        <v>18.016262267171406</v>
      </c>
      <c r="H261" s="33"/>
      <c r="I261" s="27">
        <f t="shared" si="31"/>
        <v>954.86190016008447</v>
      </c>
      <c r="J261" s="30">
        <f t="shared" si="32"/>
        <v>482591.16791860561</v>
      </c>
      <c r="K261" s="180"/>
      <c r="L261" s="140"/>
      <c r="M261" s="140"/>
      <c r="N261" s="140"/>
    </row>
    <row r="262" spans="1:14" x14ac:dyDescent="0.35">
      <c r="A262" s="78">
        <v>42665</v>
      </c>
      <c r="B262" s="31" t="s">
        <v>536</v>
      </c>
      <c r="C262" s="79"/>
      <c r="D262" s="79">
        <f>12*3</f>
        <v>36</v>
      </c>
      <c r="E262" s="32">
        <f t="shared" si="29"/>
        <v>26750.420000000006</v>
      </c>
      <c r="F262" s="33"/>
      <c r="G262" s="27">
        <f t="shared" si="30"/>
        <v>18.016262267171406</v>
      </c>
      <c r="H262" s="33"/>
      <c r="I262" s="27">
        <f t="shared" si="31"/>
        <v>648.58544161817065</v>
      </c>
      <c r="J262" s="30">
        <f t="shared" si="32"/>
        <v>481942.58247698745</v>
      </c>
      <c r="K262" s="180"/>
      <c r="L262" s="140"/>
      <c r="M262" s="140"/>
      <c r="N262" s="140"/>
    </row>
    <row r="263" spans="1:14" x14ac:dyDescent="0.35">
      <c r="A263" s="78">
        <v>42667</v>
      </c>
      <c r="B263" s="31" t="s">
        <v>537</v>
      </c>
      <c r="C263" s="79"/>
      <c r="D263" s="79">
        <f>3*4</f>
        <v>12</v>
      </c>
      <c r="E263" s="32">
        <f t="shared" si="29"/>
        <v>26738.420000000006</v>
      </c>
      <c r="F263" s="33"/>
      <c r="G263" s="27">
        <f t="shared" si="30"/>
        <v>18.016262267171406</v>
      </c>
      <c r="H263" s="33"/>
      <c r="I263" s="27">
        <f t="shared" si="31"/>
        <v>216.19514720605687</v>
      </c>
      <c r="J263" s="30">
        <f t="shared" si="32"/>
        <v>481726.38732978137</v>
      </c>
      <c r="K263" s="180"/>
      <c r="L263" s="140"/>
      <c r="M263" s="140"/>
      <c r="N263" s="140"/>
    </row>
    <row r="264" spans="1:14" x14ac:dyDescent="0.35">
      <c r="A264" s="78">
        <v>42667</v>
      </c>
      <c r="B264" s="31" t="s">
        <v>538</v>
      </c>
      <c r="C264" s="79"/>
      <c r="D264" s="79">
        <f>15*3.75+4*3.9+7*3+4*2.3+3*3.35+8*1.5</f>
        <v>124.1</v>
      </c>
      <c r="E264" s="32">
        <f t="shared" si="29"/>
        <v>26614.320000000007</v>
      </c>
      <c r="F264" s="33"/>
      <c r="G264" s="27">
        <f t="shared" si="30"/>
        <v>18.016262267171406</v>
      </c>
      <c r="H264" s="33"/>
      <c r="I264" s="27">
        <f t="shared" si="31"/>
        <v>2235.8181473559712</v>
      </c>
      <c r="J264" s="30">
        <f t="shared" si="32"/>
        <v>479490.56918242539</v>
      </c>
      <c r="K264" s="180"/>
      <c r="L264" s="140"/>
      <c r="M264" s="140"/>
      <c r="N264" s="140"/>
    </row>
    <row r="265" spans="1:14" s="112" customFormat="1" x14ac:dyDescent="0.35">
      <c r="A265" s="124">
        <v>42672</v>
      </c>
      <c r="B265" s="107" t="s">
        <v>541</v>
      </c>
      <c r="C265" s="125"/>
      <c r="D265" s="125">
        <f>10*5.6+10*5.61</f>
        <v>112.1</v>
      </c>
      <c r="E265" s="109">
        <f t="shared" si="29"/>
        <v>26502.220000000008</v>
      </c>
      <c r="F265" s="110"/>
      <c r="G265" s="108">
        <f t="shared" si="30"/>
        <v>18.016262267171406</v>
      </c>
      <c r="H265" s="110"/>
      <c r="I265" s="108">
        <f t="shared" si="31"/>
        <v>2019.6230001499146</v>
      </c>
      <c r="J265" s="108">
        <f t="shared" si="32"/>
        <v>477470.94618227548</v>
      </c>
      <c r="K265" s="181"/>
      <c r="L265" s="179">
        <f>SUM(I259:I265)</f>
        <v>7124.5309135529324</v>
      </c>
      <c r="M265" s="179">
        <f>SUM(L258:L265)</f>
        <v>20463.23100829863</v>
      </c>
      <c r="N265" s="143">
        <v>42674</v>
      </c>
    </row>
    <row r="266" spans="1:14" x14ac:dyDescent="0.35">
      <c r="A266" s="78">
        <v>42675</v>
      </c>
      <c r="B266" s="31" t="s">
        <v>542</v>
      </c>
      <c r="C266" s="79"/>
      <c r="D266" s="79">
        <f>8*4+5*3</f>
        <v>47</v>
      </c>
      <c r="E266" s="32">
        <f t="shared" si="29"/>
        <v>26455.220000000008</v>
      </c>
      <c r="F266" s="33"/>
      <c r="G266" s="27">
        <f t="shared" si="30"/>
        <v>18.016262267171403</v>
      </c>
      <c r="H266" s="33"/>
      <c r="I266" s="27">
        <f t="shared" si="31"/>
        <v>846.76432655705594</v>
      </c>
      <c r="J266" s="30">
        <f t="shared" si="32"/>
        <v>476624.18185571843</v>
      </c>
      <c r="K266" s="180"/>
      <c r="L266" s="140"/>
      <c r="M266" s="140"/>
      <c r="N266" s="140"/>
    </row>
    <row r="267" spans="1:14" x14ac:dyDescent="0.35">
      <c r="A267" s="78">
        <v>42675</v>
      </c>
      <c r="B267" s="31" t="s">
        <v>543</v>
      </c>
      <c r="C267" s="79"/>
      <c r="D267" s="79">
        <f>5*5.2</f>
        <v>26</v>
      </c>
      <c r="E267" s="32">
        <f t="shared" ref="E267:E284" si="33">+E266-D267</f>
        <v>26429.220000000008</v>
      </c>
      <c r="F267" s="33"/>
      <c r="G267" s="27">
        <f t="shared" ref="G267:G284" si="34">+J266/E266</f>
        <v>18.016262267171403</v>
      </c>
      <c r="H267" s="33"/>
      <c r="I267" s="27">
        <f t="shared" ref="I267:I284" si="35">+D267*G267</f>
        <v>468.42281894645646</v>
      </c>
      <c r="J267" s="30">
        <f t="shared" ref="J267:J284" si="36">+J266-I267</f>
        <v>476155.75903677195</v>
      </c>
      <c r="K267" s="180"/>
      <c r="L267" s="140"/>
      <c r="M267" s="140"/>
      <c r="N267" s="140"/>
    </row>
    <row r="268" spans="1:14" x14ac:dyDescent="0.35">
      <c r="A268" s="78">
        <v>42678</v>
      </c>
      <c r="B268" s="31" t="s">
        <v>546</v>
      </c>
      <c r="C268" s="79"/>
      <c r="D268" s="79">
        <f>10*2+10*1</f>
        <v>30</v>
      </c>
      <c r="E268" s="32">
        <f t="shared" si="33"/>
        <v>26399.220000000008</v>
      </c>
      <c r="F268" s="33"/>
      <c r="G268" s="27">
        <f t="shared" si="34"/>
        <v>18.016262267171403</v>
      </c>
      <c r="H268" s="33"/>
      <c r="I268" s="27">
        <f t="shared" si="35"/>
        <v>540.48786801514211</v>
      </c>
      <c r="J268" s="30">
        <f t="shared" si="36"/>
        <v>475615.27116875682</v>
      </c>
      <c r="K268" s="180"/>
      <c r="L268" s="140"/>
      <c r="M268" s="140"/>
      <c r="N268" s="140"/>
    </row>
    <row r="269" spans="1:14" x14ac:dyDescent="0.35">
      <c r="A269" s="78">
        <v>42681</v>
      </c>
      <c r="B269" s="31" t="s">
        <v>547</v>
      </c>
      <c r="C269" s="79"/>
      <c r="D269" s="79">
        <f>24*3</f>
        <v>72</v>
      </c>
      <c r="E269" s="32">
        <f t="shared" si="33"/>
        <v>26327.220000000008</v>
      </c>
      <c r="F269" s="33"/>
      <c r="G269" s="27">
        <f t="shared" si="34"/>
        <v>18.016262267171403</v>
      </c>
      <c r="H269" s="33"/>
      <c r="I269" s="27">
        <f t="shared" si="35"/>
        <v>1297.1708832363411</v>
      </c>
      <c r="J269" s="30">
        <f t="shared" si="36"/>
        <v>474318.10028552049</v>
      </c>
      <c r="K269" s="180"/>
      <c r="L269" s="140"/>
      <c r="M269" s="140"/>
      <c r="N269" s="140"/>
    </row>
    <row r="270" spans="1:14" x14ac:dyDescent="0.35">
      <c r="A270" s="78">
        <v>42682</v>
      </c>
      <c r="B270" s="31" t="s">
        <v>548</v>
      </c>
      <c r="C270" s="79"/>
      <c r="D270" s="79">
        <f>3*5</f>
        <v>15</v>
      </c>
      <c r="E270" s="32">
        <f t="shared" si="33"/>
        <v>26312.220000000008</v>
      </c>
      <c r="F270" s="33"/>
      <c r="G270" s="27">
        <f t="shared" si="34"/>
        <v>18.016262267171403</v>
      </c>
      <c r="H270" s="33"/>
      <c r="I270" s="27">
        <f t="shared" si="35"/>
        <v>270.24393400757106</v>
      </c>
      <c r="J270" s="30">
        <f t="shared" si="36"/>
        <v>474047.85635151289</v>
      </c>
      <c r="K270" s="180"/>
      <c r="L270" s="140"/>
      <c r="M270" s="140"/>
      <c r="N270" s="140"/>
    </row>
    <row r="271" spans="1:14" x14ac:dyDescent="0.35">
      <c r="A271" s="78">
        <v>42682</v>
      </c>
      <c r="B271" s="31" t="s">
        <v>550</v>
      </c>
      <c r="C271" s="79"/>
      <c r="D271" s="79">
        <f>11*5.4</f>
        <v>59.400000000000006</v>
      </c>
      <c r="E271" s="32">
        <f t="shared" si="33"/>
        <v>26252.820000000007</v>
      </c>
      <c r="F271" s="33"/>
      <c r="G271" s="27">
        <f t="shared" si="34"/>
        <v>18.016262267171403</v>
      </c>
      <c r="H271" s="33"/>
      <c r="I271" s="27">
        <f t="shared" si="35"/>
        <v>1070.1659786699813</v>
      </c>
      <c r="J271" s="30">
        <f t="shared" si="36"/>
        <v>472977.69037284289</v>
      </c>
      <c r="K271" s="180"/>
      <c r="L271" s="140"/>
      <c r="M271" s="140"/>
      <c r="N271" s="140"/>
    </row>
    <row r="272" spans="1:14" x14ac:dyDescent="0.35">
      <c r="A272" s="78">
        <v>42684</v>
      </c>
      <c r="B272" s="31" t="s">
        <v>552</v>
      </c>
      <c r="C272" s="79"/>
      <c r="D272" s="79">
        <f>3*2.2</f>
        <v>6.6000000000000005</v>
      </c>
      <c r="E272" s="32">
        <f t="shared" si="33"/>
        <v>26246.220000000008</v>
      </c>
      <c r="F272" s="33"/>
      <c r="G272" s="27">
        <f t="shared" si="34"/>
        <v>18.016262267171403</v>
      </c>
      <c r="H272" s="33"/>
      <c r="I272" s="27">
        <f t="shared" si="35"/>
        <v>118.90733096333126</v>
      </c>
      <c r="J272" s="30">
        <f t="shared" si="36"/>
        <v>472858.78304187953</v>
      </c>
      <c r="K272" s="180"/>
      <c r="L272" s="140"/>
      <c r="M272" s="140"/>
      <c r="N272" s="140"/>
    </row>
    <row r="273" spans="1:14" x14ac:dyDescent="0.35">
      <c r="A273" s="78">
        <v>42685</v>
      </c>
      <c r="B273" s="31" t="s">
        <v>553</v>
      </c>
      <c r="C273" s="79"/>
      <c r="D273" s="79">
        <v>2.2999999999999998</v>
      </c>
      <c r="E273" s="32">
        <f t="shared" si="33"/>
        <v>26243.920000000009</v>
      </c>
      <c r="F273" s="33"/>
      <c r="G273" s="27">
        <f t="shared" si="34"/>
        <v>18.016262267171403</v>
      </c>
      <c r="H273" s="33"/>
      <c r="I273" s="27">
        <f t="shared" si="35"/>
        <v>41.437403214494225</v>
      </c>
      <c r="J273" s="30">
        <f t="shared" si="36"/>
        <v>472817.34563866502</v>
      </c>
      <c r="K273" s="180"/>
      <c r="L273" s="140"/>
      <c r="M273" s="140"/>
      <c r="N273" s="140"/>
    </row>
    <row r="274" spans="1:14" x14ac:dyDescent="0.35">
      <c r="A274" s="78">
        <v>42686</v>
      </c>
      <c r="B274" s="31" t="s">
        <v>554</v>
      </c>
      <c r="C274" s="79"/>
      <c r="D274" s="79">
        <f>6*4.8</f>
        <v>28.799999999999997</v>
      </c>
      <c r="E274" s="32">
        <f t="shared" si="33"/>
        <v>26215.12000000001</v>
      </c>
      <c r="F274" s="33"/>
      <c r="G274" s="27">
        <f t="shared" si="34"/>
        <v>18.016262267171399</v>
      </c>
      <c r="H274" s="33"/>
      <c r="I274" s="27">
        <f t="shared" si="35"/>
        <v>518.86835329453629</v>
      </c>
      <c r="J274" s="30">
        <f t="shared" si="36"/>
        <v>472298.47728537046</v>
      </c>
      <c r="K274" s="180"/>
      <c r="L274" s="140"/>
      <c r="M274" s="140"/>
      <c r="N274" s="140"/>
    </row>
    <row r="275" spans="1:14" x14ac:dyDescent="0.35">
      <c r="A275" s="78">
        <v>42688</v>
      </c>
      <c r="B275" s="31" t="s">
        <v>556</v>
      </c>
      <c r="C275" s="79"/>
      <c r="D275" s="79">
        <f>21*5.05+10*5.73+6*5.44</f>
        <v>195.99</v>
      </c>
      <c r="E275" s="32">
        <f t="shared" si="33"/>
        <v>26019.130000000008</v>
      </c>
      <c r="F275" s="33"/>
      <c r="G275" s="27">
        <f t="shared" si="34"/>
        <v>18.016262267171399</v>
      </c>
      <c r="H275" s="33"/>
      <c r="I275" s="27">
        <f t="shared" si="35"/>
        <v>3531.0072417429228</v>
      </c>
      <c r="J275" s="30">
        <f t="shared" si="36"/>
        <v>468767.47004362755</v>
      </c>
      <c r="K275" s="180"/>
      <c r="L275" s="140"/>
      <c r="M275" s="140"/>
      <c r="N275" s="140"/>
    </row>
    <row r="276" spans="1:14" x14ac:dyDescent="0.35">
      <c r="A276" s="78">
        <v>42688</v>
      </c>
      <c r="B276" s="31" t="s">
        <v>558</v>
      </c>
      <c r="C276" s="79"/>
      <c r="D276" s="79">
        <f>19*4.1+3*3.3</f>
        <v>87.799999999999983</v>
      </c>
      <c r="E276" s="32">
        <f t="shared" si="33"/>
        <v>25931.330000000009</v>
      </c>
      <c r="F276" s="33"/>
      <c r="G276" s="27">
        <f t="shared" si="34"/>
        <v>18.016262267171399</v>
      </c>
      <c r="H276" s="33"/>
      <c r="I276" s="27">
        <f t="shared" si="35"/>
        <v>1581.8278270576486</v>
      </c>
      <c r="J276" s="30">
        <f t="shared" si="36"/>
        <v>467185.64221656992</v>
      </c>
      <c r="K276" s="180"/>
      <c r="L276" s="140"/>
      <c r="M276" s="140"/>
      <c r="N276" s="140"/>
    </row>
    <row r="277" spans="1:14" s="112" customFormat="1" x14ac:dyDescent="0.35">
      <c r="A277" s="124">
        <v>42689</v>
      </c>
      <c r="B277" s="107" t="s">
        <v>559</v>
      </c>
      <c r="C277" s="125"/>
      <c r="D277" s="125">
        <f>46*4.15</f>
        <v>190.9</v>
      </c>
      <c r="E277" s="109">
        <f t="shared" si="33"/>
        <v>25740.430000000008</v>
      </c>
      <c r="F277" s="110"/>
      <c r="G277" s="108">
        <f t="shared" si="34"/>
        <v>18.016262267171399</v>
      </c>
      <c r="H277" s="110"/>
      <c r="I277" s="108">
        <f t="shared" si="35"/>
        <v>3439.3044668030202</v>
      </c>
      <c r="J277" s="108">
        <f t="shared" si="36"/>
        <v>463746.33774976688</v>
      </c>
      <c r="K277" s="181"/>
      <c r="L277" s="179">
        <f>SUM(I266:I277)</f>
        <v>13724.608432508501</v>
      </c>
      <c r="M277" s="160"/>
      <c r="N277" s="143">
        <v>42689</v>
      </c>
    </row>
    <row r="278" spans="1:14" x14ac:dyDescent="0.35">
      <c r="A278" s="78">
        <v>42690</v>
      </c>
      <c r="B278" s="31" t="s">
        <v>560</v>
      </c>
      <c r="C278" s="79"/>
      <c r="D278" s="79">
        <f>2.4+3</f>
        <v>5.4</v>
      </c>
      <c r="E278" s="32">
        <f t="shared" si="33"/>
        <v>25735.030000000006</v>
      </c>
      <c r="F278" s="33"/>
      <c r="G278" s="27">
        <f t="shared" si="34"/>
        <v>18.016262267171403</v>
      </c>
      <c r="H278" s="33"/>
      <c r="I278" s="27">
        <f t="shared" si="35"/>
        <v>97.287816242725583</v>
      </c>
      <c r="J278" s="30">
        <f t="shared" si="36"/>
        <v>463649.04993352416</v>
      </c>
      <c r="K278" s="180"/>
      <c r="L278" s="140"/>
      <c r="M278" s="140"/>
      <c r="N278" s="140"/>
    </row>
    <row r="279" spans="1:14" x14ac:dyDescent="0.35">
      <c r="A279" s="78">
        <v>42690</v>
      </c>
      <c r="B279" s="31" t="s">
        <v>561</v>
      </c>
      <c r="C279" s="79"/>
      <c r="D279" s="79">
        <f>17*2+17*3.5</f>
        <v>93.5</v>
      </c>
      <c r="E279" s="32">
        <f t="shared" si="33"/>
        <v>25641.530000000006</v>
      </c>
      <c r="F279" s="33"/>
      <c r="G279" s="27">
        <f t="shared" si="34"/>
        <v>18.016262267171403</v>
      </c>
      <c r="H279" s="33"/>
      <c r="I279" s="27">
        <f t="shared" si="35"/>
        <v>1684.5205219805262</v>
      </c>
      <c r="J279" s="30">
        <f t="shared" si="36"/>
        <v>461964.52941154363</v>
      </c>
      <c r="K279" s="180"/>
      <c r="L279" s="140"/>
      <c r="M279" s="140"/>
      <c r="N279" s="140"/>
    </row>
    <row r="280" spans="1:14" x14ac:dyDescent="0.35">
      <c r="A280" s="78">
        <v>42691</v>
      </c>
      <c r="B280" s="31" t="s">
        <v>562</v>
      </c>
      <c r="C280" s="79"/>
      <c r="D280" s="79">
        <f>9*2.2</f>
        <v>19.8</v>
      </c>
      <c r="E280" s="32">
        <f t="shared" si="33"/>
        <v>25621.730000000007</v>
      </c>
      <c r="F280" s="33"/>
      <c r="G280" s="27">
        <f t="shared" si="34"/>
        <v>18.016262267171403</v>
      </c>
      <c r="H280" s="33"/>
      <c r="I280" s="27">
        <f t="shared" si="35"/>
        <v>356.72199288999377</v>
      </c>
      <c r="J280" s="30">
        <f t="shared" si="36"/>
        <v>461607.80741865363</v>
      </c>
      <c r="K280" s="180"/>
      <c r="L280" s="140"/>
      <c r="M280" s="140"/>
      <c r="N280" s="140"/>
    </row>
    <row r="281" spans="1:14" x14ac:dyDescent="0.35">
      <c r="A281" s="78">
        <v>42692</v>
      </c>
      <c r="B281" s="31" t="s">
        <v>563</v>
      </c>
      <c r="C281" s="79"/>
      <c r="D281" s="79">
        <f>2*3.5+2*3</f>
        <v>13</v>
      </c>
      <c r="E281" s="32">
        <f t="shared" si="33"/>
        <v>25608.730000000007</v>
      </c>
      <c r="F281" s="33"/>
      <c r="G281" s="27">
        <f t="shared" si="34"/>
        <v>18.016262267171403</v>
      </c>
      <c r="H281" s="33"/>
      <c r="I281" s="27">
        <f t="shared" si="35"/>
        <v>234.21140947322823</v>
      </c>
      <c r="J281" s="30">
        <f t="shared" si="36"/>
        <v>461373.59600918042</v>
      </c>
      <c r="K281" s="180"/>
      <c r="L281" s="140"/>
      <c r="M281" s="140"/>
      <c r="N281" s="140"/>
    </row>
    <row r="282" spans="1:14" x14ac:dyDescent="0.35">
      <c r="A282" s="78">
        <v>42696</v>
      </c>
      <c r="B282" s="31" t="s">
        <v>567</v>
      </c>
      <c r="C282" s="79"/>
      <c r="D282" s="79">
        <f>4*1.8</f>
        <v>7.2</v>
      </c>
      <c r="E282" s="32">
        <f t="shared" si="33"/>
        <v>25601.530000000006</v>
      </c>
      <c r="F282" s="33"/>
      <c r="G282" s="27">
        <f t="shared" si="34"/>
        <v>18.016262267171403</v>
      </c>
      <c r="H282" s="33"/>
      <c r="I282" s="27">
        <f t="shared" si="35"/>
        <v>129.7170883236341</v>
      </c>
      <c r="J282" s="30">
        <f t="shared" si="36"/>
        <v>461243.87892085681</v>
      </c>
      <c r="K282" s="180"/>
      <c r="L282" s="140"/>
      <c r="M282" s="140"/>
      <c r="N282" s="140"/>
    </row>
    <row r="283" spans="1:14" x14ac:dyDescent="0.35">
      <c r="A283" s="78">
        <v>42698</v>
      </c>
      <c r="B283" s="31" t="s">
        <v>569</v>
      </c>
      <c r="C283" s="79"/>
      <c r="D283" s="79">
        <f>3*4.5+9*4</f>
        <v>49.5</v>
      </c>
      <c r="E283" s="32">
        <f t="shared" si="33"/>
        <v>25552.030000000006</v>
      </c>
      <c r="F283" s="33"/>
      <c r="G283" s="27">
        <f t="shared" si="34"/>
        <v>18.016262267171403</v>
      </c>
      <c r="H283" s="33"/>
      <c r="I283" s="27">
        <f t="shared" si="35"/>
        <v>891.80498222498443</v>
      </c>
      <c r="J283" s="30">
        <f t="shared" si="36"/>
        <v>460352.0739386318</v>
      </c>
      <c r="K283" s="180"/>
      <c r="L283" s="140"/>
      <c r="M283" s="140"/>
      <c r="N283" s="140"/>
    </row>
    <row r="284" spans="1:14" x14ac:dyDescent="0.35">
      <c r="A284" s="78">
        <v>42698</v>
      </c>
      <c r="B284" s="31" t="s">
        <v>570</v>
      </c>
      <c r="C284" s="79"/>
      <c r="D284" s="79">
        <f>15*5.8</f>
        <v>87</v>
      </c>
      <c r="E284" s="32">
        <f t="shared" si="33"/>
        <v>25465.030000000006</v>
      </c>
      <c r="F284" s="33"/>
      <c r="G284" s="27">
        <f t="shared" si="34"/>
        <v>18.016262267171403</v>
      </c>
      <c r="H284" s="33"/>
      <c r="I284" s="27">
        <f t="shared" si="35"/>
        <v>1567.414817243912</v>
      </c>
      <c r="J284" s="30">
        <f t="shared" si="36"/>
        <v>458784.65912138787</v>
      </c>
      <c r="K284" s="180"/>
      <c r="L284" s="140"/>
      <c r="M284" s="140"/>
      <c r="N284" s="140"/>
    </row>
    <row r="285" spans="1:14" x14ac:dyDescent="0.35">
      <c r="A285" s="78">
        <v>42699</v>
      </c>
      <c r="B285" s="31" t="s">
        <v>571</v>
      </c>
      <c r="C285" s="79"/>
      <c r="D285" s="79">
        <f>2.94+7*5.58</f>
        <v>42</v>
      </c>
      <c r="E285" s="32">
        <f t="shared" ref="E285:E301" si="37">+E284-D285</f>
        <v>25423.030000000006</v>
      </c>
      <c r="F285" s="33"/>
      <c r="G285" s="27">
        <f t="shared" ref="G285:G329" si="38">+J284/E284</f>
        <v>18.016262267171403</v>
      </c>
      <c r="H285" s="33"/>
      <c r="I285" s="27">
        <f t="shared" ref="I285:I316" si="39">+D285*G285</f>
        <v>756.68301522119896</v>
      </c>
      <c r="J285" s="30">
        <f t="shared" ref="J285:J301" si="40">+J284-I285</f>
        <v>458027.97610616666</v>
      </c>
      <c r="K285" s="180"/>
      <c r="L285" s="140"/>
      <c r="M285" s="140"/>
      <c r="N285" s="140"/>
    </row>
    <row r="286" spans="1:14" x14ac:dyDescent="0.35">
      <c r="A286" s="78">
        <v>42699</v>
      </c>
      <c r="B286" s="31" t="s">
        <v>572</v>
      </c>
      <c r="C286" s="79"/>
      <c r="D286" s="79">
        <f>2.4+2.5+2.6+2.7+2.8+2.9+2*3</f>
        <v>21.9</v>
      </c>
      <c r="E286" s="32">
        <f t="shared" si="37"/>
        <v>25401.130000000005</v>
      </c>
      <c r="F286" s="33"/>
      <c r="G286" s="27">
        <f t="shared" si="38"/>
        <v>18.016262267171403</v>
      </c>
      <c r="H286" s="33"/>
      <c r="I286" s="27">
        <f t="shared" si="39"/>
        <v>394.55614365105367</v>
      </c>
      <c r="J286" s="30">
        <f t="shared" si="40"/>
        <v>457633.41996251559</v>
      </c>
      <c r="K286" s="180"/>
      <c r="L286" s="140"/>
      <c r="M286" s="140"/>
      <c r="N286" s="140"/>
    </row>
    <row r="287" spans="1:14" x14ac:dyDescent="0.35">
      <c r="A287" s="78">
        <v>42702</v>
      </c>
      <c r="B287" s="31" t="s">
        <v>574</v>
      </c>
      <c r="C287" s="79"/>
      <c r="D287" s="79">
        <f>7*3+7*2.5</f>
        <v>38.5</v>
      </c>
      <c r="E287" s="32">
        <f t="shared" si="37"/>
        <v>25362.630000000005</v>
      </c>
      <c r="F287" s="33"/>
      <c r="G287" s="27">
        <f t="shared" si="38"/>
        <v>18.016262267171403</v>
      </c>
      <c r="H287" s="33"/>
      <c r="I287" s="27">
        <f t="shared" si="39"/>
        <v>693.62609728609903</v>
      </c>
      <c r="J287" s="30">
        <f t="shared" si="40"/>
        <v>456939.79386522947</v>
      </c>
      <c r="K287" s="180"/>
      <c r="L287" s="140"/>
      <c r="M287" s="140"/>
      <c r="N287" s="140"/>
    </row>
    <row r="288" spans="1:14" x14ac:dyDescent="0.35">
      <c r="A288" s="78">
        <v>42702</v>
      </c>
      <c r="B288" s="31" t="s">
        <v>576</v>
      </c>
      <c r="C288" s="79"/>
      <c r="D288" s="79">
        <f>5*2.7+5*3.8</f>
        <v>32.5</v>
      </c>
      <c r="E288" s="32">
        <f t="shared" si="37"/>
        <v>25330.130000000005</v>
      </c>
      <c r="F288" s="33"/>
      <c r="G288" s="27">
        <f t="shared" si="38"/>
        <v>18.016262267171403</v>
      </c>
      <c r="H288" s="33"/>
      <c r="I288" s="27">
        <f t="shared" si="39"/>
        <v>585.5285236830706</v>
      </c>
      <c r="J288" s="30">
        <f t="shared" si="40"/>
        <v>456354.26534154639</v>
      </c>
      <c r="K288" s="180"/>
      <c r="L288" s="140"/>
      <c r="M288" s="140"/>
      <c r="N288" s="140"/>
    </row>
    <row r="289" spans="1:14" x14ac:dyDescent="0.35">
      <c r="A289" s="78">
        <v>42703</v>
      </c>
      <c r="B289" s="31" t="s">
        <v>577</v>
      </c>
      <c r="C289" s="79"/>
      <c r="D289" s="79">
        <v>0</v>
      </c>
      <c r="E289" s="32">
        <f t="shared" si="37"/>
        <v>25330.130000000005</v>
      </c>
      <c r="F289" s="33"/>
      <c r="G289" s="27">
        <f t="shared" si="38"/>
        <v>18.016262267171399</v>
      </c>
      <c r="H289" s="33"/>
      <c r="I289" s="27">
        <f t="shared" si="39"/>
        <v>0</v>
      </c>
      <c r="J289" s="30">
        <f t="shared" si="40"/>
        <v>456354.26534154639</v>
      </c>
      <c r="K289" s="180"/>
      <c r="L289" s="140"/>
      <c r="M289" s="140"/>
      <c r="N289" s="140"/>
    </row>
    <row r="290" spans="1:14" x14ac:dyDescent="0.35">
      <c r="A290" s="78">
        <v>42703</v>
      </c>
      <c r="B290" s="31" t="s">
        <v>578</v>
      </c>
      <c r="C290" s="79"/>
      <c r="D290" s="79">
        <f>31*9</f>
        <v>279</v>
      </c>
      <c r="E290" s="32">
        <f t="shared" si="37"/>
        <v>25051.130000000005</v>
      </c>
      <c r="F290" s="33"/>
      <c r="G290" s="27">
        <f t="shared" si="38"/>
        <v>18.016262267171399</v>
      </c>
      <c r="H290" s="33"/>
      <c r="I290" s="27">
        <f t="shared" si="39"/>
        <v>5026.5371725408204</v>
      </c>
      <c r="J290" s="30">
        <f t="shared" si="40"/>
        <v>451327.72816900554</v>
      </c>
      <c r="K290" s="180"/>
      <c r="L290" s="140"/>
      <c r="M290" s="140"/>
      <c r="N290" s="140"/>
    </row>
    <row r="291" spans="1:14" s="112" customFormat="1" x14ac:dyDescent="0.35">
      <c r="A291" s="124">
        <v>42704</v>
      </c>
      <c r="B291" s="107" t="s">
        <v>581</v>
      </c>
      <c r="C291" s="125"/>
      <c r="D291" s="125">
        <f>8*3</f>
        <v>24</v>
      </c>
      <c r="E291" s="109">
        <f t="shared" si="37"/>
        <v>25027.130000000005</v>
      </c>
      <c r="F291" s="110"/>
      <c r="G291" s="108">
        <f t="shared" si="38"/>
        <v>18.016262267171399</v>
      </c>
      <c r="H291" s="110"/>
      <c r="I291" s="108">
        <f t="shared" si="39"/>
        <v>432.39029441211358</v>
      </c>
      <c r="J291" s="108">
        <f t="shared" si="40"/>
        <v>450895.33787459345</v>
      </c>
      <c r="K291" s="181"/>
      <c r="L291" s="179">
        <f>SUM(I278:I291)</f>
        <v>12850.99987517336</v>
      </c>
      <c r="M291" s="179">
        <f>SUM(L277:L291)</f>
        <v>26575.608307681861</v>
      </c>
      <c r="N291" s="143">
        <v>42704</v>
      </c>
    </row>
    <row r="292" spans="1:14" x14ac:dyDescent="0.35">
      <c r="A292" s="78">
        <v>42705</v>
      </c>
      <c r="B292" s="31" t="s">
        <v>585</v>
      </c>
      <c r="C292" s="79"/>
      <c r="D292" s="79">
        <f>7*4.2</f>
        <v>29.400000000000002</v>
      </c>
      <c r="E292" s="32">
        <f t="shared" si="37"/>
        <v>24997.730000000003</v>
      </c>
      <c r="F292" s="33"/>
      <c r="G292" s="27">
        <f t="shared" si="38"/>
        <v>18.016262267171399</v>
      </c>
      <c r="H292" s="33"/>
      <c r="I292" s="27">
        <f t="shared" si="39"/>
        <v>529.6781106548392</v>
      </c>
      <c r="J292" s="30">
        <f t="shared" si="40"/>
        <v>450365.65976393863</v>
      </c>
      <c r="K292" s="180"/>
      <c r="L292" s="140"/>
      <c r="M292" s="140"/>
      <c r="N292" s="140"/>
    </row>
    <row r="293" spans="1:14" x14ac:dyDescent="0.35">
      <c r="A293" s="78">
        <v>42705</v>
      </c>
      <c r="B293" s="31" t="s">
        <v>586</v>
      </c>
      <c r="C293" s="79"/>
      <c r="D293" s="79">
        <f>4*2.5</f>
        <v>10</v>
      </c>
      <c r="E293" s="32">
        <f t="shared" si="37"/>
        <v>24987.730000000003</v>
      </c>
      <c r="F293" s="33"/>
      <c r="G293" s="27">
        <f t="shared" si="38"/>
        <v>18.016262267171403</v>
      </c>
      <c r="H293" s="33"/>
      <c r="I293" s="27">
        <f t="shared" si="39"/>
        <v>180.16262267171402</v>
      </c>
      <c r="J293" s="30">
        <f t="shared" si="40"/>
        <v>450185.49714126694</v>
      </c>
      <c r="K293" s="180"/>
      <c r="L293" s="140"/>
      <c r="M293" s="140"/>
      <c r="N293" s="140"/>
    </row>
    <row r="294" spans="1:14" x14ac:dyDescent="0.35">
      <c r="A294" s="78">
        <v>42706</v>
      </c>
      <c r="B294" s="31" t="s">
        <v>587</v>
      </c>
      <c r="C294" s="79"/>
      <c r="D294" s="79">
        <f>8*6</f>
        <v>48</v>
      </c>
      <c r="E294" s="32">
        <f t="shared" si="37"/>
        <v>24939.730000000003</v>
      </c>
      <c r="F294" s="33"/>
      <c r="G294" s="27">
        <f t="shared" si="38"/>
        <v>18.016262267171403</v>
      </c>
      <c r="H294" s="33"/>
      <c r="I294" s="27">
        <f t="shared" si="39"/>
        <v>864.78058882422738</v>
      </c>
      <c r="J294" s="30">
        <f t="shared" si="40"/>
        <v>449320.7165524427</v>
      </c>
      <c r="K294" s="180"/>
      <c r="L294" s="140"/>
      <c r="M294" s="140"/>
      <c r="N294" s="140"/>
    </row>
    <row r="295" spans="1:14" x14ac:dyDescent="0.35">
      <c r="A295" s="78">
        <v>42707</v>
      </c>
      <c r="B295" s="31" t="s">
        <v>589</v>
      </c>
      <c r="C295" s="79"/>
      <c r="D295" s="79">
        <f>3*1.5</f>
        <v>4.5</v>
      </c>
      <c r="E295" s="32">
        <f t="shared" si="37"/>
        <v>24935.230000000003</v>
      </c>
      <c r="F295" s="33"/>
      <c r="G295" s="27">
        <f t="shared" si="38"/>
        <v>18.016262267171403</v>
      </c>
      <c r="H295" s="33"/>
      <c r="I295" s="27">
        <f t="shared" si="39"/>
        <v>81.073180202271317</v>
      </c>
      <c r="J295" s="30">
        <f t="shared" si="40"/>
        <v>449239.64337224042</v>
      </c>
      <c r="K295" s="180"/>
      <c r="L295" s="140"/>
      <c r="M295" s="140"/>
      <c r="N295" s="140"/>
    </row>
    <row r="296" spans="1:14" x14ac:dyDescent="0.35">
      <c r="A296" s="78">
        <v>42707</v>
      </c>
      <c r="B296" s="31" t="s">
        <v>590</v>
      </c>
      <c r="C296" s="79"/>
      <c r="D296" s="79">
        <f>14*7.75</f>
        <v>108.5</v>
      </c>
      <c r="E296" s="32">
        <f t="shared" si="37"/>
        <v>24826.730000000003</v>
      </c>
      <c r="F296" s="33"/>
      <c r="G296" s="27">
        <f t="shared" si="38"/>
        <v>18.016262267171403</v>
      </c>
      <c r="H296" s="33"/>
      <c r="I296" s="27">
        <f t="shared" si="39"/>
        <v>1954.7644559880971</v>
      </c>
      <c r="J296" s="30">
        <f t="shared" si="40"/>
        <v>447284.87891625235</v>
      </c>
      <c r="K296" s="180"/>
      <c r="L296" s="140"/>
      <c r="M296" s="140"/>
      <c r="N296" s="140"/>
    </row>
    <row r="297" spans="1:14" x14ac:dyDescent="0.35">
      <c r="A297" s="78">
        <v>42707</v>
      </c>
      <c r="B297" s="31" t="s">
        <v>592</v>
      </c>
      <c r="C297" s="79"/>
      <c r="D297" s="79">
        <f>3*2.5+0.5</f>
        <v>8</v>
      </c>
      <c r="E297" s="32">
        <f t="shared" si="37"/>
        <v>24818.730000000003</v>
      </c>
      <c r="F297" s="33"/>
      <c r="G297" s="27">
        <f t="shared" si="38"/>
        <v>18.016262267171403</v>
      </c>
      <c r="H297" s="33"/>
      <c r="I297" s="27">
        <f t="shared" si="39"/>
        <v>144.13009813737122</v>
      </c>
      <c r="J297" s="30">
        <f t="shared" si="40"/>
        <v>447140.74881811498</v>
      </c>
      <c r="K297" s="180"/>
      <c r="L297" s="140"/>
      <c r="M297" s="140"/>
      <c r="N297" s="140"/>
    </row>
    <row r="298" spans="1:14" x14ac:dyDescent="0.35">
      <c r="A298" s="78">
        <v>42710</v>
      </c>
      <c r="B298" s="31" t="s">
        <v>593</v>
      </c>
      <c r="C298" s="79"/>
      <c r="D298" s="79">
        <f>4*2</f>
        <v>8</v>
      </c>
      <c r="E298" s="32">
        <f t="shared" si="37"/>
        <v>24810.730000000003</v>
      </c>
      <c r="F298" s="33"/>
      <c r="G298" s="27">
        <f t="shared" si="38"/>
        <v>18.016262267171403</v>
      </c>
      <c r="H298" s="33"/>
      <c r="I298" s="27">
        <f t="shared" si="39"/>
        <v>144.13009813737122</v>
      </c>
      <c r="J298" s="30">
        <f t="shared" si="40"/>
        <v>446996.61871997762</v>
      </c>
      <c r="K298" s="180"/>
      <c r="L298" s="140"/>
      <c r="M298" s="140"/>
      <c r="N298" s="140"/>
    </row>
    <row r="299" spans="1:14" x14ac:dyDescent="0.35">
      <c r="A299" s="78">
        <v>42710</v>
      </c>
      <c r="B299" s="31" t="s">
        <v>594</v>
      </c>
      <c r="C299" s="79"/>
      <c r="D299" s="79">
        <f>4*4.5</f>
        <v>18</v>
      </c>
      <c r="E299" s="32">
        <f t="shared" si="37"/>
        <v>24792.730000000003</v>
      </c>
      <c r="F299" s="33"/>
      <c r="G299" s="27">
        <f t="shared" si="38"/>
        <v>18.016262267171403</v>
      </c>
      <c r="H299" s="33"/>
      <c r="I299" s="27">
        <f t="shared" si="39"/>
        <v>324.29272080908527</v>
      </c>
      <c r="J299" s="30">
        <f t="shared" si="40"/>
        <v>446672.3259991685</v>
      </c>
      <c r="K299" s="180"/>
      <c r="L299" s="140"/>
      <c r="M299" s="140"/>
      <c r="N299" s="140"/>
    </row>
    <row r="300" spans="1:14" x14ac:dyDescent="0.35">
      <c r="A300" s="78">
        <v>42710</v>
      </c>
      <c r="B300" s="31" t="s">
        <v>596</v>
      </c>
      <c r="C300" s="79"/>
      <c r="D300" s="79">
        <f>9*0.8</f>
        <v>7.2</v>
      </c>
      <c r="E300" s="32">
        <f t="shared" si="37"/>
        <v>24785.530000000002</v>
      </c>
      <c r="F300" s="33"/>
      <c r="G300" s="27">
        <f t="shared" si="38"/>
        <v>18.016262267171403</v>
      </c>
      <c r="H300" s="33"/>
      <c r="I300" s="27">
        <f t="shared" si="39"/>
        <v>129.7170883236341</v>
      </c>
      <c r="J300" s="30">
        <f t="shared" si="40"/>
        <v>446542.60891084489</v>
      </c>
      <c r="K300" s="180"/>
      <c r="L300" s="140"/>
      <c r="M300" s="140"/>
      <c r="N300" s="140"/>
    </row>
    <row r="301" spans="1:14" x14ac:dyDescent="0.35">
      <c r="A301" s="78">
        <v>42711</v>
      </c>
      <c r="B301" s="31" t="s">
        <v>598</v>
      </c>
      <c r="C301" s="79"/>
      <c r="D301" s="79">
        <f>5*1.4</f>
        <v>7</v>
      </c>
      <c r="E301" s="32">
        <f t="shared" si="37"/>
        <v>24778.530000000002</v>
      </c>
      <c r="F301" s="33"/>
      <c r="G301" s="27">
        <f t="shared" si="38"/>
        <v>18.016262267171403</v>
      </c>
      <c r="H301" s="33"/>
      <c r="I301" s="27">
        <f t="shared" si="39"/>
        <v>126.11383587019982</v>
      </c>
      <c r="J301" s="30">
        <f t="shared" si="40"/>
        <v>446416.49507497472</v>
      </c>
      <c r="K301" s="180"/>
      <c r="L301" s="140"/>
      <c r="M301" s="140"/>
      <c r="N301" s="140"/>
    </row>
    <row r="302" spans="1:14" x14ac:dyDescent="0.35">
      <c r="A302" s="78">
        <v>42713</v>
      </c>
      <c r="B302" s="31" t="s">
        <v>643</v>
      </c>
      <c r="C302" s="79"/>
      <c r="D302" s="79">
        <f>9*5.2</f>
        <v>46.800000000000004</v>
      </c>
      <c r="E302" s="32">
        <f>+E301-D302</f>
        <v>24731.730000000003</v>
      </c>
      <c r="F302" s="33"/>
      <c r="G302" s="27">
        <f t="shared" si="38"/>
        <v>18.016262267171406</v>
      </c>
      <c r="H302" s="33"/>
      <c r="I302" s="27">
        <f t="shared" si="39"/>
        <v>843.1610741036219</v>
      </c>
      <c r="J302" s="30">
        <f>+J301-I302</f>
        <v>445573.33400087111</v>
      </c>
      <c r="K302" s="180"/>
      <c r="L302" s="140"/>
      <c r="M302" s="140"/>
      <c r="N302" s="140"/>
    </row>
    <row r="303" spans="1:14" x14ac:dyDescent="0.35">
      <c r="A303" s="78">
        <v>42713</v>
      </c>
      <c r="B303" s="31" t="s">
        <v>644</v>
      </c>
      <c r="C303" s="79"/>
      <c r="D303" s="79">
        <f>3*1.8</f>
        <v>5.4</v>
      </c>
      <c r="E303" s="32">
        <f>+E302-D303</f>
        <v>24726.33</v>
      </c>
      <c r="F303" s="33"/>
      <c r="G303" s="27">
        <f t="shared" si="38"/>
        <v>18.016262267171406</v>
      </c>
      <c r="H303" s="33"/>
      <c r="I303" s="27">
        <f t="shared" si="39"/>
        <v>97.287816242725597</v>
      </c>
      <c r="J303" s="30">
        <f>+J302-I303</f>
        <v>445476.04618462839</v>
      </c>
      <c r="K303" s="180"/>
      <c r="L303" s="140"/>
      <c r="M303" s="140"/>
      <c r="N303" s="140"/>
    </row>
    <row r="304" spans="1:14" x14ac:dyDescent="0.35">
      <c r="A304" s="78">
        <v>42714</v>
      </c>
      <c r="B304" s="31" t="s">
        <v>603</v>
      </c>
      <c r="C304" s="79"/>
      <c r="D304" s="79">
        <v>0</v>
      </c>
      <c r="E304" s="32">
        <f t="shared" ref="E304:E329" si="41">+E303-D304</f>
        <v>24726.33</v>
      </c>
      <c r="F304" s="33"/>
      <c r="G304" s="27">
        <f t="shared" si="38"/>
        <v>18.016262267171406</v>
      </c>
      <c r="H304" s="33"/>
      <c r="I304" s="27">
        <f t="shared" si="39"/>
        <v>0</v>
      </c>
      <c r="J304" s="30">
        <f t="shared" ref="J304:J329" si="42">+J303-I304</f>
        <v>445476.04618462839</v>
      </c>
      <c r="K304" s="180"/>
      <c r="L304" s="140"/>
      <c r="M304" s="140"/>
      <c r="N304" s="140"/>
    </row>
    <row r="305" spans="1:14" x14ac:dyDescent="0.35">
      <c r="A305" s="78">
        <v>42714</v>
      </c>
      <c r="B305" s="31" t="s">
        <v>604</v>
      </c>
      <c r="C305" s="79"/>
      <c r="D305" s="79">
        <f>23*1.25</f>
        <v>28.75</v>
      </c>
      <c r="E305" s="32">
        <f t="shared" si="41"/>
        <v>24697.58</v>
      </c>
      <c r="F305" s="33"/>
      <c r="G305" s="27">
        <f t="shared" si="38"/>
        <v>18.016262267171406</v>
      </c>
      <c r="H305" s="33"/>
      <c r="I305" s="27">
        <f t="shared" si="39"/>
        <v>517.96754018117792</v>
      </c>
      <c r="J305" s="30">
        <f t="shared" si="42"/>
        <v>444958.0786444472</v>
      </c>
      <c r="K305" s="180"/>
      <c r="L305" s="140"/>
      <c r="M305" s="140"/>
      <c r="N305" s="140"/>
    </row>
    <row r="306" spans="1:14" x14ac:dyDescent="0.35">
      <c r="A306" s="78">
        <v>42717</v>
      </c>
      <c r="B306" s="31" t="s">
        <v>606</v>
      </c>
      <c r="C306" s="79"/>
      <c r="D306" s="79">
        <v>3</v>
      </c>
      <c r="E306" s="32">
        <f t="shared" si="41"/>
        <v>24694.58</v>
      </c>
      <c r="F306" s="33"/>
      <c r="G306" s="27">
        <f t="shared" si="38"/>
        <v>18.016262267171406</v>
      </c>
      <c r="H306" s="33"/>
      <c r="I306" s="27">
        <f t="shared" si="39"/>
        <v>54.048786801514218</v>
      </c>
      <c r="J306" s="30">
        <f t="shared" si="42"/>
        <v>444904.02985764568</v>
      </c>
      <c r="K306" s="180"/>
      <c r="L306" s="140"/>
      <c r="M306" s="140"/>
      <c r="N306" s="140"/>
    </row>
    <row r="307" spans="1:14" x14ac:dyDescent="0.35">
      <c r="A307" s="78">
        <v>42718</v>
      </c>
      <c r="B307" s="31" t="s">
        <v>608</v>
      </c>
      <c r="C307" s="79"/>
      <c r="D307" s="79">
        <f>24*3+2</f>
        <v>74</v>
      </c>
      <c r="E307" s="32">
        <f t="shared" si="41"/>
        <v>24620.58</v>
      </c>
      <c r="F307" s="33"/>
      <c r="G307" s="27">
        <f t="shared" si="38"/>
        <v>18.016262267171406</v>
      </c>
      <c r="H307" s="33"/>
      <c r="I307" s="27">
        <f t="shared" si="39"/>
        <v>1333.203407770684</v>
      </c>
      <c r="J307" s="30">
        <f t="shared" si="42"/>
        <v>443570.82644987502</v>
      </c>
      <c r="K307" s="180"/>
      <c r="L307" s="140"/>
      <c r="M307" s="140"/>
      <c r="N307" s="140"/>
    </row>
    <row r="308" spans="1:14" s="112" customFormat="1" x14ac:dyDescent="0.35">
      <c r="A308" s="124">
        <v>42719</v>
      </c>
      <c r="B308" s="107" t="s">
        <v>611</v>
      </c>
      <c r="C308" s="125"/>
      <c r="D308" s="125">
        <f>3*3.5</f>
        <v>10.5</v>
      </c>
      <c r="E308" s="32">
        <f t="shared" si="41"/>
        <v>24610.080000000002</v>
      </c>
      <c r="F308" s="110"/>
      <c r="G308" s="27">
        <f t="shared" si="38"/>
        <v>18.016262267171406</v>
      </c>
      <c r="H308" s="110"/>
      <c r="I308" s="108">
        <f t="shared" si="39"/>
        <v>189.17075380529977</v>
      </c>
      <c r="J308" s="30">
        <f t="shared" si="42"/>
        <v>443381.65569606971</v>
      </c>
      <c r="K308" s="181"/>
      <c r="L308" s="179">
        <f>SUM(I292:I308)</f>
        <v>7513.6821785238344</v>
      </c>
      <c r="M308" s="160"/>
      <c r="N308" s="143">
        <v>42719</v>
      </c>
    </row>
    <row r="309" spans="1:14" x14ac:dyDescent="0.35">
      <c r="A309" s="78">
        <v>42720</v>
      </c>
      <c r="B309" s="31" t="s">
        <v>612</v>
      </c>
      <c r="C309" s="79"/>
      <c r="D309" s="79">
        <f>8*2.45</f>
        <v>19.600000000000001</v>
      </c>
      <c r="E309" s="32">
        <f t="shared" si="41"/>
        <v>24590.480000000003</v>
      </c>
      <c r="F309" s="33"/>
      <c r="G309" s="27">
        <f t="shared" si="38"/>
        <v>18.016262267171406</v>
      </c>
      <c r="H309" s="33"/>
      <c r="I309" s="27">
        <f t="shared" si="39"/>
        <v>353.11874043655956</v>
      </c>
      <c r="J309" s="30">
        <f t="shared" si="42"/>
        <v>443028.53695563314</v>
      </c>
      <c r="K309" s="180"/>
      <c r="L309" s="140"/>
      <c r="M309" s="140"/>
      <c r="N309" s="140"/>
    </row>
    <row r="310" spans="1:14" x14ac:dyDescent="0.35">
      <c r="A310" s="78">
        <v>42720</v>
      </c>
      <c r="B310" s="31" t="s">
        <v>613</v>
      </c>
      <c r="C310" s="79"/>
      <c r="D310" s="79">
        <f>4*4.75</f>
        <v>19</v>
      </c>
      <c r="E310" s="32">
        <f t="shared" si="41"/>
        <v>24571.480000000003</v>
      </c>
      <c r="F310" s="33"/>
      <c r="G310" s="27">
        <f t="shared" si="38"/>
        <v>18.016262267171406</v>
      </c>
      <c r="H310" s="33"/>
      <c r="I310" s="27">
        <f t="shared" si="39"/>
        <v>342.30898307625671</v>
      </c>
      <c r="J310" s="30">
        <f t="shared" si="42"/>
        <v>442686.2279725569</v>
      </c>
      <c r="K310" s="180"/>
      <c r="L310" s="140"/>
      <c r="M310" s="140"/>
      <c r="N310" s="140"/>
    </row>
    <row r="311" spans="1:14" x14ac:dyDescent="0.35">
      <c r="A311" s="78">
        <v>42721</v>
      </c>
      <c r="B311" s="31" t="s">
        <v>614</v>
      </c>
      <c r="C311" s="79"/>
      <c r="D311" s="79">
        <v>6</v>
      </c>
      <c r="E311" s="32">
        <f t="shared" si="41"/>
        <v>24565.480000000003</v>
      </c>
      <c r="F311" s="33"/>
      <c r="G311" s="27">
        <f t="shared" si="38"/>
        <v>18.016262267171406</v>
      </c>
      <c r="H311" s="33"/>
      <c r="I311" s="27">
        <f t="shared" si="39"/>
        <v>108.09757360302844</v>
      </c>
      <c r="J311" s="30">
        <f t="shared" si="42"/>
        <v>442578.13039895386</v>
      </c>
      <c r="K311" s="180"/>
      <c r="L311" s="140"/>
      <c r="M311" s="140"/>
      <c r="N311" s="140"/>
    </row>
    <row r="312" spans="1:14" x14ac:dyDescent="0.35">
      <c r="A312" s="78">
        <v>42721</v>
      </c>
      <c r="B312" s="31" t="s">
        <v>615</v>
      </c>
      <c r="C312" s="79"/>
      <c r="D312" s="79">
        <f>7*2.3</f>
        <v>16.099999999999998</v>
      </c>
      <c r="E312" s="32">
        <f t="shared" si="41"/>
        <v>24549.380000000005</v>
      </c>
      <c r="F312" s="33"/>
      <c r="G312" s="27">
        <f t="shared" si="38"/>
        <v>18.016262267171406</v>
      </c>
      <c r="H312" s="33"/>
      <c r="I312" s="27">
        <f t="shared" si="39"/>
        <v>290.06182250145957</v>
      </c>
      <c r="J312" s="30">
        <f t="shared" si="42"/>
        <v>442288.06857645238</v>
      </c>
      <c r="K312" s="180"/>
      <c r="L312" s="140"/>
      <c r="M312" s="140"/>
      <c r="N312" s="140"/>
    </row>
    <row r="313" spans="1:14" x14ac:dyDescent="0.35">
      <c r="A313" s="78">
        <v>42723</v>
      </c>
      <c r="B313" s="31" t="s">
        <v>616</v>
      </c>
      <c r="C313" s="79"/>
      <c r="D313" s="79">
        <f>2*4.5+2</f>
        <v>11</v>
      </c>
      <c r="E313" s="32">
        <f t="shared" si="41"/>
        <v>24538.380000000005</v>
      </c>
      <c r="F313" s="33"/>
      <c r="G313" s="27">
        <f t="shared" si="38"/>
        <v>18.016262267171403</v>
      </c>
      <c r="H313" s="33"/>
      <c r="I313" s="27">
        <f t="shared" si="39"/>
        <v>198.17888493888543</v>
      </c>
      <c r="J313" s="30">
        <f t="shared" si="42"/>
        <v>442089.8896915135</v>
      </c>
      <c r="K313" s="180"/>
      <c r="L313" s="140"/>
      <c r="M313" s="140"/>
      <c r="N313" s="140"/>
    </row>
    <row r="314" spans="1:14" x14ac:dyDescent="0.35">
      <c r="A314" s="78">
        <v>42724</v>
      </c>
      <c r="B314" s="31" t="s">
        <v>617</v>
      </c>
      <c r="C314" s="79"/>
      <c r="D314" s="79">
        <v>6</v>
      </c>
      <c r="E314" s="32">
        <f t="shared" si="41"/>
        <v>24532.380000000005</v>
      </c>
      <c r="F314" s="33"/>
      <c r="G314" s="27">
        <f t="shared" si="38"/>
        <v>18.016262267171403</v>
      </c>
      <c r="H314" s="33"/>
      <c r="I314" s="27">
        <f t="shared" si="39"/>
        <v>108.09757360302842</v>
      </c>
      <c r="J314" s="30">
        <f t="shared" si="42"/>
        <v>441981.79211791046</v>
      </c>
      <c r="K314" s="180"/>
      <c r="L314" s="140"/>
      <c r="M314" s="140"/>
      <c r="N314" s="140"/>
    </row>
    <row r="315" spans="1:14" x14ac:dyDescent="0.35">
      <c r="A315" s="78">
        <v>42725</v>
      </c>
      <c r="B315" s="31" t="s">
        <v>618</v>
      </c>
      <c r="C315" s="79"/>
      <c r="D315" s="79">
        <v>3</v>
      </c>
      <c r="E315" s="32">
        <f t="shared" si="41"/>
        <v>24529.380000000005</v>
      </c>
      <c r="F315" s="33"/>
      <c r="G315" s="27">
        <f t="shared" si="38"/>
        <v>18.016262267171403</v>
      </c>
      <c r="H315" s="33"/>
      <c r="I315" s="27">
        <f t="shared" si="39"/>
        <v>54.048786801514211</v>
      </c>
      <c r="J315" s="30">
        <f t="shared" si="42"/>
        <v>441927.74333110894</v>
      </c>
      <c r="K315" s="180"/>
      <c r="L315" s="140"/>
      <c r="M315" s="140"/>
      <c r="N315" s="140"/>
    </row>
    <row r="316" spans="1:14" x14ac:dyDescent="0.35">
      <c r="A316" s="78">
        <v>42725</v>
      </c>
      <c r="B316" s="31" t="s">
        <v>619</v>
      </c>
      <c r="C316" s="79"/>
      <c r="D316" s="79">
        <f>13*7.5</f>
        <v>97.5</v>
      </c>
      <c r="E316" s="32">
        <f t="shared" si="41"/>
        <v>24431.880000000005</v>
      </c>
      <c r="F316" s="33"/>
      <c r="G316" s="27">
        <f t="shared" si="38"/>
        <v>18.016262267171403</v>
      </c>
      <c r="H316" s="33"/>
      <c r="I316" s="27">
        <f t="shared" si="39"/>
        <v>1756.5855710492117</v>
      </c>
      <c r="J316" s="30">
        <f t="shared" si="42"/>
        <v>440171.15776005975</v>
      </c>
      <c r="K316" s="180"/>
      <c r="L316" s="140"/>
      <c r="M316" s="140"/>
      <c r="N316" s="140"/>
    </row>
    <row r="317" spans="1:14" x14ac:dyDescent="0.35">
      <c r="A317" s="78">
        <v>42725</v>
      </c>
      <c r="B317" s="31" t="s">
        <v>621</v>
      </c>
      <c r="C317" s="79"/>
      <c r="D317" s="79">
        <f>2*3.7+2*3.6+2*3.5</f>
        <v>21.6</v>
      </c>
      <c r="E317" s="32">
        <f t="shared" si="41"/>
        <v>24410.280000000006</v>
      </c>
      <c r="F317" s="33"/>
      <c r="G317" s="27">
        <f t="shared" si="38"/>
        <v>18.016262267171403</v>
      </c>
      <c r="H317" s="33"/>
      <c r="I317" s="27">
        <f>+D317*G317</f>
        <v>389.15126497090233</v>
      </c>
      <c r="J317" s="30">
        <f t="shared" si="42"/>
        <v>439782.00649508886</v>
      </c>
      <c r="K317" s="180"/>
      <c r="L317" s="140"/>
      <c r="M317" s="140"/>
      <c r="N317" s="140"/>
    </row>
    <row r="318" spans="1:14" x14ac:dyDescent="0.35">
      <c r="A318" s="78">
        <v>42726</v>
      </c>
      <c r="B318" s="31" t="s">
        <v>622</v>
      </c>
      <c r="C318" s="79"/>
      <c r="D318" s="79">
        <f>13*2.2</f>
        <v>28.6</v>
      </c>
      <c r="E318" s="32">
        <f t="shared" si="41"/>
        <v>24381.680000000008</v>
      </c>
      <c r="F318" s="33"/>
      <c r="G318" s="27">
        <f t="shared" si="38"/>
        <v>18.016262267171403</v>
      </c>
      <c r="H318" s="33"/>
      <c r="I318" s="27">
        <f>+D318*G318</f>
        <v>515.26510084110214</v>
      </c>
      <c r="J318" s="30">
        <f t="shared" si="42"/>
        <v>439266.74139424774</v>
      </c>
      <c r="K318" s="180"/>
      <c r="L318" s="140"/>
      <c r="M318" s="140"/>
      <c r="N318" s="140"/>
    </row>
    <row r="319" spans="1:14" x14ac:dyDescent="0.35">
      <c r="A319" s="138">
        <v>42727</v>
      </c>
      <c r="B319" s="31" t="s">
        <v>623</v>
      </c>
      <c r="C319" s="79"/>
      <c r="D319" s="79">
        <f>7*3.9</f>
        <v>27.3</v>
      </c>
      <c r="E319" s="32">
        <f t="shared" si="41"/>
        <v>24354.380000000008</v>
      </c>
      <c r="F319" s="33"/>
      <c r="G319" s="27">
        <f t="shared" si="38"/>
        <v>18.016262267171403</v>
      </c>
      <c r="H319" s="33"/>
      <c r="I319" s="27">
        <f t="shared" ref="I319:I329" si="43">+D319*G319</f>
        <v>491.8439598937793</v>
      </c>
      <c r="J319" s="30">
        <f t="shared" si="42"/>
        <v>438774.89743435394</v>
      </c>
      <c r="K319" s="180"/>
      <c r="L319" s="140"/>
      <c r="M319" s="140"/>
      <c r="N319" s="140"/>
    </row>
    <row r="320" spans="1:14" x14ac:dyDescent="0.35">
      <c r="A320" s="138">
        <v>42727</v>
      </c>
      <c r="B320" s="31" t="s">
        <v>625</v>
      </c>
      <c r="C320" s="79"/>
      <c r="D320" s="79">
        <f>5*6</f>
        <v>30</v>
      </c>
      <c r="E320" s="32">
        <f t="shared" si="41"/>
        <v>24324.380000000008</v>
      </c>
      <c r="F320" s="33"/>
      <c r="G320" s="27">
        <f t="shared" si="38"/>
        <v>18.016262267171399</v>
      </c>
      <c r="H320" s="33"/>
      <c r="I320" s="27">
        <f t="shared" si="43"/>
        <v>540.487868015142</v>
      </c>
      <c r="J320" s="30">
        <f t="shared" si="42"/>
        <v>438234.40956633881</v>
      </c>
      <c r="K320" s="180"/>
      <c r="L320" s="140"/>
      <c r="M320" s="140"/>
      <c r="N320" s="140"/>
    </row>
    <row r="321" spans="1:14" x14ac:dyDescent="0.35">
      <c r="A321" s="138">
        <v>42727</v>
      </c>
      <c r="B321" s="31" t="s">
        <v>626</v>
      </c>
      <c r="C321" s="79"/>
      <c r="D321" s="79">
        <f>14*3</f>
        <v>42</v>
      </c>
      <c r="E321" s="32">
        <f t="shared" si="41"/>
        <v>24282.380000000008</v>
      </c>
      <c r="F321" s="33"/>
      <c r="G321" s="27">
        <f t="shared" si="38"/>
        <v>18.016262267171399</v>
      </c>
      <c r="H321" s="33"/>
      <c r="I321" s="27">
        <f t="shared" si="43"/>
        <v>756.68301522119873</v>
      </c>
      <c r="J321" s="30">
        <f t="shared" si="42"/>
        <v>437477.72655111761</v>
      </c>
      <c r="K321" s="180"/>
      <c r="L321" s="140"/>
      <c r="M321" s="140"/>
      <c r="N321" s="140"/>
    </row>
    <row r="322" spans="1:14" x14ac:dyDescent="0.35">
      <c r="A322" s="138">
        <v>42728</v>
      </c>
      <c r="B322" s="31" t="s">
        <v>627</v>
      </c>
      <c r="C322" s="79"/>
      <c r="D322" s="79">
        <f>5*4.5</f>
        <v>22.5</v>
      </c>
      <c r="E322" s="32">
        <f t="shared" si="41"/>
        <v>24259.880000000008</v>
      </c>
      <c r="F322" s="33"/>
      <c r="G322" s="27">
        <f t="shared" si="38"/>
        <v>18.016262267171399</v>
      </c>
      <c r="H322" s="33"/>
      <c r="I322" s="27">
        <f t="shared" si="43"/>
        <v>405.36590101135647</v>
      </c>
      <c r="J322" s="30">
        <f t="shared" si="42"/>
        <v>437072.36065010627</v>
      </c>
      <c r="K322" s="180"/>
      <c r="L322" s="140"/>
      <c r="M322" s="140"/>
      <c r="N322" s="140"/>
    </row>
    <row r="323" spans="1:14" x14ac:dyDescent="0.35">
      <c r="A323" s="138">
        <v>42728</v>
      </c>
      <c r="B323" s="31" t="s">
        <v>628</v>
      </c>
      <c r="C323" s="79"/>
      <c r="D323" s="79">
        <f>5*4.8</f>
        <v>24</v>
      </c>
      <c r="E323" s="32">
        <f t="shared" si="41"/>
        <v>24235.880000000008</v>
      </c>
      <c r="F323" s="33"/>
      <c r="G323" s="27">
        <f t="shared" si="38"/>
        <v>18.016262267171403</v>
      </c>
      <c r="H323" s="33"/>
      <c r="I323" s="27">
        <f t="shared" si="43"/>
        <v>432.39029441211369</v>
      </c>
      <c r="J323" s="30">
        <f t="shared" si="42"/>
        <v>436639.97035569418</v>
      </c>
      <c r="K323" s="180"/>
      <c r="L323" s="140"/>
      <c r="M323" s="140"/>
      <c r="N323" s="140"/>
    </row>
    <row r="324" spans="1:14" x14ac:dyDescent="0.35">
      <c r="A324" s="138">
        <v>42731</v>
      </c>
      <c r="B324" s="31" t="s">
        <v>629</v>
      </c>
      <c r="C324" s="79"/>
      <c r="D324" s="79">
        <v>3</v>
      </c>
      <c r="E324" s="32">
        <f t="shared" si="41"/>
        <v>24232.880000000008</v>
      </c>
      <c r="F324" s="33"/>
      <c r="G324" s="27">
        <f t="shared" si="38"/>
        <v>18.016262267171403</v>
      </c>
      <c r="H324" s="33"/>
      <c r="I324" s="27">
        <f t="shared" si="43"/>
        <v>54.048786801514211</v>
      </c>
      <c r="J324" s="30">
        <f t="shared" si="42"/>
        <v>436585.92156889266</v>
      </c>
      <c r="K324" s="180"/>
      <c r="L324" s="140"/>
      <c r="M324" s="140"/>
      <c r="N324" s="140"/>
    </row>
    <row r="325" spans="1:14" x14ac:dyDescent="0.35">
      <c r="A325" s="138">
        <v>42731</v>
      </c>
      <c r="B325" s="31" t="s">
        <v>630</v>
      </c>
      <c r="C325" s="79"/>
      <c r="D325" s="79">
        <f>4*2.6</f>
        <v>10.4</v>
      </c>
      <c r="E325" s="32">
        <f t="shared" si="41"/>
        <v>24222.480000000007</v>
      </c>
      <c r="F325" s="33"/>
      <c r="G325" s="27">
        <f t="shared" si="38"/>
        <v>18.016262267171403</v>
      </c>
      <c r="H325" s="33"/>
      <c r="I325" s="27">
        <f t="shared" si="43"/>
        <v>187.36912757858261</v>
      </c>
      <c r="J325" s="30">
        <f t="shared" si="42"/>
        <v>436398.5524413141</v>
      </c>
      <c r="K325" s="180"/>
      <c r="L325" s="140"/>
      <c r="M325" s="140"/>
      <c r="N325" s="140"/>
    </row>
    <row r="326" spans="1:14" x14ac:dyDescent="0.35">
      <c r="A326" s="138">
        <v>42732</v>
      </c>
      <c r="B326" s="31" t="s">
        <v>632</v>
      </c>
      <c r="C326" s="79"/>
      <c r="D326" s="79">
        <f>6*2.94</f>
        <v>17.64</v>
      </c>
      <c r="E326" s="32">
        <f t="shared" si="41"/>
        <v>24204.840000000007</v>
      </c>
      <c r="F326" s="33"/>
      <c r="G326" s="27">
        <f t="shared" si="38"/>
        <v>18.016262267171403</v>
      </c>
      <c r="H326" s="33"/>
      <c r="I326" s="27">
        <f t="shared" si="43"/>
        <v>317.80686639290354</v>
      </c>
      <c r="J326" s="30">
        <f t="shared" si="42"/>
        <v>436080.74557492119</v>
      </c>
      <c r="K326" s="180"/>
      <c r="L326" s="140"/>
      <c r="M326" s="140"/>
      <c r="N326" s="140"/>
    </row>
    <row r="327" spans="1:14" x14ac:dyDescent="0.35">
      <c r="A327" s="138">
        <v>42734</v>
      </c>
      <c r="B327" s="31" t="s">
        <v>633</v>
      </c>
      <c r="C327" s="79"/>
      <c r="D327" s="79">
        <f>10*4.7+4.4</f>
        <v>51.4</v>
      </c>
      <c r="E327" s="32">
        <f t="shared" si="41"/>
        <v>24153.440000000006</v>
      </c>
      <c r="F327" s="33"/>
      <c r="G327" s="27">
        <f t="shared" si="38"/>
        <v>18.016262267171403</v>
      </c>
      <c r="H327" s="33"/>
      <c r="I327" s="27">
        <f t="shared" si="43"/>
        <v>926.03588053261012</v>
      </c>
      <c r="J327" s="30">
        <f t="shared" si="42"/>
        <v>435154.70969438861</v>
      </c>
      <c r="K327" s="180"/>
      <c r="L327" s="140"/>
      <c r="M327" s="140"/>
      <c r="N327" s="140"/>
    </row>
    <row r="328" spans="1:14" x14ac:dyDescent="0.35">
      <c r="A328" s="138">
        <v>42735</v>
      </c>
      <c r="B328" s="31" t="s">
        <v>635</v>
      </c>
      <c r="C328" s="79"/>
      <c r="D328" s="79">
        <f>12*3.7</f>
        <v>44.400000000000006</v>
      </c>
      <c r="E328" s="32">
        <f t="shared" si="41"/>
        <v>24109.040000000005</v>
      </c>
      <c r="F328" s="33"/>
      <c r="G328" s="27">
        <f t="shared" si="38"/>
        <v>18.016262267171406</v>
      </c>
      <c r="H328" s="33"/>
      <c r="I328" s="27">
        <f t="shared" si="43"/>
        <v>799.92204466241049</v>
      </c>
      <c r="J328" s="30">
        <f t="shared" si="42"/>
        <v>434354.7876497262</v>
      </c>
      <c r="K328" s="180"/>
      <c r="L328" s="140"/>
      <c r="M328" s="140"/>
      <c r="N328" s="140"/>
    </row>
    <row r="329" spans="1:14" s="112" customFormat="1" x14ac:dyDescent="0.35">
      <c r="A329" s="139">
        <v>42735</v>
      </c>
      <c r="B329" s="107" t="s">
        <v>637</v>
      </c>
      <c r="C329" s="125"/>
      <c r="D329" s="125">
        <f>4*1.8</f>
        <v>7.2</v>
      </c>
      <c r="E329" s="109">
        <f t="shared" si="41"/>
        <v>24101.840000000004</v>
      </c>
      <c r="F329" s="110"/>
      <c r="G329" s="108">
        <f t="shared" si="38"/>
        <v>18.016262267171406</v>
      </c>
      <c r="H329" s="110"/>
      <c r="I329" s="108">
        <f t="shared" si="43"/>
        <v>129.71708832363413</v>
      </c>
      <c r="J329" s="30">
        <f t="shared" si="42"/>
        <v>434225.07056140259</v>
      </c>
      <c r="K329" s="181"/>
      <c r="L329" s="179">
        <f>SUM(I309:I329)</f>
        <v>9156.5851346671952</v>
      </c>
      <c r="M329" s="179">
        <f>SUM(L308:L329)</f>
        <v>16670.267313191031</v>
      </c>
      <c r="N329" s="143">
        <v>42735</v>
      </c>
    </row>
    <row r="330" spans="1:14" ht="15" thickBot="1" x14ac:dyDescent="0.4">
      <c r="A330" s="79"/>
      <c r="B330" s="169" t="s">
        <v>638</v>
      </c>
      <c r="C330" s="182">
        <f>SUM(C9:C329)</f>
        <v>43341.649999999994</v>
      </c>
      <c r="D330" s="182">
        <f>SUM(D9:D329)</f>
        <v>19239.809999999998</v>
      </c>
      <c r="E330" s="170"/>
      <c r="F330" s="171"/>
      <c r="G330" s="172"/>
      <c r="H330" s="182">
        <f t="shared" ref="H330:I330" si="44">SUM(H9:H329)</f>
        <v>783628.96</v>
      </c>
      <c r="I330" s="182">
        <f t="shared" si="44"/>
        <v>349403.88943859772</v>
      </c>
      <c r="J330" s="173"/>
      <c r="K330" s="183"/>
      <c r="L330" s="140"/>
      <c r="M330" s="28">
        <f>SUM(M28:M329)</f>
        <v>349403.88943859766</v>
      </c>
      <c r="N330" s="140"/>
    </row>
    <row r="331" spans="1:14" s="8" customFormat="1" x14ac:dyDescent="0.35">
      <c r="A331" s="38"/>
      <c r="B331" s="39"/>
      <c r="C331" s="38"/>
      <c r="D331" s="38"/>
      <c r="E331" s="162"/>
      <c r="F331" s="163"/>
      <c r="G331" s="164"/>
      <c r="H331" s="163"/>
      <c r="I331" s="164"/>
      <c r="J331" s="165"/>
      <c r="K331" s="38"/>
      <c r="L331" s="38"/>
      <c r="M331" s="38"/>
      <c r="N331" s="38"/>
    </row>
    <row r="332" spans="1:14" s="8" customFormat="1" x14ac:dyDescent="0.35">
      <c r="A332" s="38"/>
      <c r="B332" s="39"/>
      <c r="C332" s="38"/>
      <c r="D332" s="38"/>
      <c r="E332" s="162"/>
      <c r="F332" s="163"/>
      <c r="G332" s="164"/>
      <c r="H332" s="163"/>
      <c r="I332" s="164"/>
      <c r="J332" s="165"/>
      <c r="K332" s="38"/>
      <c r="L332" s="38"/>
      <c r="M332" s="38"/>
      <c r="N332" s="38"/>
    </row>
    <row r="333" spans="1:14" s="8" customFormat="1" x14ac:dyDescent="0.35">
      <c r="A333" s="174" t="s">
        <v>639</v>
      </c>
      <c r="B333" s="39"/>
      <c r="C333" s="38"/>
      <c r="D333" s="38"/>
      <c r="E333" s="38"/>
      <c r="F333" s="38"/>
      <c r="G333" s="140"/>
      <c r="H333" s="140"/>
      <c r="I333" s="140"/>
      <c r="J333" s="140"/>
    </row>
    <row r="334" spans="1:14" s="8" customFormat="1" x14ac:dyDescent="0.35">
      <c r="A334" s="174" t="s">
        <v>642</v>
      </c>
      <c r="B334" s="39"/>
      <c r="C334" s="38"/>
      <c r="D334" s="38"/>
      <c r="E334" s="38"/>
      <c r="F334" s="38"/>
      <c r="G334" s="140"/>
      <c r="H334" s="140"/>
      <c r="I334" s="140"/>
      <c r="J334" s="28">
        <f>+E329*F163</f>
        <v>397829.66849290376</v>
      </c>
    </row>
    <row r="335" spans="1:14" s="8" customFormat="1" x14ac:dyDescent="0.35">
      <c r="A335" s="174" t="s">
        <v>640</v>
      </c>
      <c r="B335" s="39"/>
      <c r="C335" s="38"/>
      <c r="D335" s="38"/>
      <c r="E335" s="38"/>
      <c r="F335" s="38"/>
      <c r="G335" s="140"/>
      <c r="H335" s="140"/>
      <c r="I335" s="140"/>
      <c r="J335" s="175">
        <f>+J329</f>
        <v>434225.07056140259</v>
      </c>
    </row>
    <row r="336" spans="1:14" s="8" customFormat="1" x14ac:dyDescent="0.35">
      <c r="A336" s="174"/>
      <c r="B336" s="39" t="s">
        <v>641</v>
      </c>
      <c r="C336" s="38"/>
      <c r="D336" s="38"/>
      <c r="E336" s="38"/>
      <c r="F336" s="38"/>
      <c r="G336" s="140"/>
      <c r="H336" s="140"/>
      <c r="I336" s="140"/>
      <c r="J336" s="28">
        <f>+J334-J335</f>
        <v>-36395.402068498835</v>
      </c>
    </row>
    <row r="337" spans="1:10" s="8" customFormat="1" x14ac:dyDescent="0.35">
      <c r="A337" s="38"/>
      <c r="B337" s="39"/>
      <c r="E337" s="162"/>
      <c r="F337" s="163"/>
      <c r="G337" s="164"/>
      <c r="H337" s="163"/>
      <c r="I337" s="164"/>
      <c r="J337" s="165"/>
    </row>
    <row r="338" spans="1:10" s="8" customFormat="1" x14ac:dyDescent="0.35">
      <c r="A338" s="38"/>
      <c r="B338" s="39"/>
      <c r="E338" s="162"/>
      <c r="F338" s="163"/>
      <c r="G338" s="164"/>
      <c r="H338" s="163"/>
      <c r="I338" s="164"/>
      <c r="J338" s="165"/>
    </row>
    <row r="339" spans="1:10" s="8" customFormat="1" x14ac:dyDescent="0.35">
      <c r="A339" s="38"/>
      <c r="B339" s="39"/>
      <c r="E339" s="162"/>
      <c r="F339" s="163"/>
      <c r="G339" s="164"/>
      <c r="H339" s="163"/>
      <c r="I339" s="164"/>
      <c r="J339" s="165"/>
    </row>
    <row r="340" spans="1:10" s="8" customFormat="1" x14ac:dyDescent="0.35">
      <c r="A340" s="38"/>
      <c r="B340" s="39"/>
      <c r="E340" s="162"/>
      <c r="F340" s="163"/>
      <c r="G340" s="164"/>
      <c r="H340" s="163"/>
      <c r="I340" s="164"/>
      <c r="J340" s="165"/>
    </row>
    <row r="341" spans="1:10" s="8" customFormat="1" x14ac:dyDescent="0.35">
      <c r="A341" s="38"/>
      <c r="B341" s="39"/>
      <c r="E341" s="162"/>
      <c r="F341" s="163"/>
      <c r="G341" s="164"/>
      <c r="H341" s="163"/>
      <c r="I341" s="164"/>
      <c r="J341" s="165"/>
    </row>
    <row r="342" spans="1:10" s="8" customFormat="1" x14ac:dyDescent="0.35">
      <c r="A342" s="38"/>
      <c r="B342" s="39"/>
      <c r="E342" s="162"/>
      <c r="F342" s="163"/>
      <c r="G342" s="164"/>
      <c r="H342" s="163"/>
      <c r="I342" s="164"/>
      <c r="J342" s="165"/>
    </row>
    <row r="343" spans="1:10" s="8" customFormat="1" x14ac:dyDescent="0.35">
      <c r="A343" s="38"/>
      <c r="B343" s="39"/>
      <c r="E343" s="162"/>
      <c r="F343" s="163"/>
      <c r="G343" s="164"/>
      <c r="H343" s="163"/>
      <c r="I343" s="164"/>
      <c r="J343" s="165"/>
    </row>
    <row r="344" spans="1:10" s="8" customFormat="1" x14ac:dyDescent="0.35">
      <c r="A344" s="38"/>
      <c r="B344" s="39"/>
      <c r="E344" s="162"/>
      <c r="F344" s="163"/>
      <c r="G344" s="164"/>
      <c r="H344" s="163"/>
      <c r="I344" s="164"/>
      <c r="J344" s="165"/>
    </row>
    <row r="345" spans="1:10" s="8" customFormat="1" x14ac:dyDescent="0.35">
      <c r="E345" s="162"/>
      <c r="F345" s="163"/>
      <c r="G345" s="164"/>
      <c r="H345" s="163"/>
      <c r="I345" s="164"/>
      <c r="J345" s="165"/>
    </row>
    <row r="346" spans="1:10" s="8" customFormat="1" x14ac:dyDescent="0.35">
      <c r="E346" s="162"/>
      <c r="F346" s="163"/>
      <c r="G346" s="164"/>
      <c r="H346" s="163"/>
      <c r="I346" s="164"/>
      <c r="J346" s="165"/>
    </row>
  </sheetData>
  <mergeCells count="4">
    <mergeCell ref="D4:H4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4294967293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07"/>
  <sheetViews>
    <sheetView workbookViewId="0">
      <selection sqref="A1:M138"/>
    </sheetView>
  </sheetViews>
  <sheetFormatPr baseColWidth="10" defaultColWidth="11.54296875" defaultRowHeight="10.5" x14ac:dyDescent="0.25"/>
  <cols>
    <col min="1" max="1" width="11.54296875" style="140"/>
    <col min="2" max="2" width="37" style="140" customWidth="1"/>
    <col min="3" max="13" width="10.6328125" style="140" customWidth="1"/>
    <col min="14" max="16384" width="11.54296875" style="140"/>
  </cols>
  <sheetData>
    <row r="1" spans="1:10" x14ac:dyDescent="0.25">
      <c r="A1" s="1" t="s">
        <v>0</v>
      </c>
      <c r="B1" s="2"/>
      <c r="C1" s="35"/>
      <c r="D1" s="35"/>
      <c r="E1" s="35"/>
      <c r="F1" s="35"/>
      <c r="G1" s="35"/>
      <c r="H1" s="36" t="s">
        <v>1</v>
      </c>
      <c r="I1" s="35"/>
      <c r="J1" s="145"/>
    </row>
    <row r="2" spans="1:10" x14ac:dyDescent="0.25">
      <c r="A2" s="6" t="s">
        <v>2</v>
      </c>
      <c r="B2" s="7"/>
      <c r="C2" s="38"/>
      <c r="D2" s="38"/>
      <c r="E2" s="38"/>
      <c r="F2" s="38"/>
      <c r="G2" s="38"/>
      <c r="H2" s="39" t="s">
        <v>31</v>
      </c>
      <c r="I2" s="38"/>
      <c r="J2" s="146"/>
    </row>
    <row r="3" spans="1:10" x14ac:dyDescent="0.25">
      <c r="A3" s="11" t="s">
        <v>4</v>
      </c>
      <c r="B3" s="12"/>
      <c r="C3" s="38"/>
      <c r="D3" s="38"/>
      <c r="E3" s="38"/>
      <c r="F3" s="38"/>
      <c r="G3" s="38"/>
      <c r="H3" s="39" t="s">
        <v>32</v>
      </c>
      <c r="I3" s="38"/>
      <c r="J3" s="146"/>
    </row>
    <row r="4" spans="1:10" x14ac:dyDescent="0.25">
      <c r="A4" s="15"/>
      <c r="B4" s="38"/>
      <c r="C4" s="38"/>
      <c r="D4" s="275" t="s">
        <v>6</v>
      </c>
      <c r="E4" s="275"/>
      <c r="F4" s="275"/>
      <c r="G4" s="275"/>
      <c r="H4" s="275"/>
      <c r="I4" s="39"/>
      <c r="J4" s="146"/>
    </row>
    <row r="5" spans="1:10" x14ac:dyDescent="0.25">
      <c r="A5" s="15"/>
      <c r="B5" s="41"/>
      <c r="C5" s="38"/>
      <c r="D5" s="281" t="s">
        <v>63</v>
      </c>
      <c r="E5" s="281"/>
      <c r="F5" s="281"/>
      <c r="G5" s="281"/>
      <c r="H5" s="38"/>
      <c r="I5" s="39"/>
      <c r="J5" s="146"/>
    </row>
    <row r="6" spans="1:10" x14ac:dyDescent="0.25">
      <c r="A6" s="15"/>
      <c r="B6" s="41"/>
      <c r="C6" s="38"/>
      <c r="D6" s="38" t="s">
        <v>7</v>
      </c>
      <c r="E6" s="41"/>
      <c r="F6" s="41"/>
      <c r="G6" s="38"/>
      <c r="H6" s="38"/>
      <c r="I6" s="39"/>
      <c r="J6" s="146"/>
    </row>
    <row r="7" spans="1:10" x14ac:dyDescent="0.25">
      <c r="A7" s="15"/>
      <c r="B7" s="38"/>
      <c r="C7" s="38"/>
      <c r="D7" s="38"/>
      <c r="E7" s="38"/>
      <c r="F7" s="38"/>
      <c r="G7" s="38"/>
      <c r="H7" s="38"/>
      <c r="I7" s="38"/>
      <c r="J7" s="146"/>
    </row>
    <row r="8" spans="1:10" ht="11" thickBot="1" x14ac:dyDescent="0.3">
      <c r="A8" s="147"/>
      <c r="B8" s="148"/>
      <c r="C8" s="148"/>
      <c r="D8" s="148"/>
      <c r="E8" s="148"/>
      <c r="F8" s="148"/>
      <c r="G8" s="148"/>
      <c r="H8" s="148"/>
      <c r="I8" s="148"/>
      <c r="J8" s="149"/>
    </row>
    <row r="9" spans="1:10" x14ac:dyDescent="0.25">
      <c r="A9" s="15" t="s">
        <v>8</v>
      </c>
      <c r="B9" s="150" t="s">
        <v>9</v>
      </c>
      <c r="C9" s="294" t="s">
        <v>10</v>
      </c>
      <c r="D9" s="291"/>
      <c r="E9" s="295"/>
      <c r="F9" s="294" t="s">
        <v>11</v>
      </c>
      <c r="G9" s="295"/>
      <c r="H9" s="294" t="s">
        <v>12</v>
      </c>
      <c r="I9" s="291"/>
      <c r="J9" s="292"/>
    </row>
    <row r="10" spans="1:10" x14ac:dyDescent="0.25">
      <c r="A10" s="151"/>
      <c r="B10" s="152"/>
      <c r="C10" s="256" t="s">
        <v>26</v>
      </c>
      <c r="D10" s="256" t="s">
        <v>15</v>
      </c>
      <c r="E10" s="256" t="s">
        <v>21</v>
      </c>
      <c r="F10" s="256" t="s">
        <v>17</v>
      </c>
      <c r="G10" s="256" t="s">
        <v>18</v>
      </c>
      <c r="H10" s="256" t="s">
        <v>19</v>
      </c>
      <c r="I10" s="256" t="s">
        <v>20</v>
      </c>
      <c r="J10" s="256" t="s">
        <v>21</v>
      </c>
    </row>
    <row r="11" spans="1:10" x14ac:dyDescent="0.25">
      <c r="A11" s="78">
        <v>42371</v>
      </c>
      <c r="B11" s="79" t="s">
        <v>33</v>
      </c>
      <c r="C11" s="153">
        <f>+'[1]tiraf63-76'!$E$127</f>
        <v>1120531</v>
      </c>
      <c r="D11" s="153"/>
      <c r="E11" s="153">
        <f>+C11</f>
        <v>1120531</v>
      </c>
      <c r="F11" s="153">
        <f>+H11/C11</f>
        <v>0.19772340970486313</v>
      </c>
      <c r="G11" s="154"/>
      <c r="H11" s="155">
        <v>221555.21</v>
      </c>
      <c r="I11" s="153"/>
      <c r="J11" s="156">
        <f>+H11</f>
        <v>221555.21</v>
      </c>
    </row>
    <row r="12" spans="1:10" x14ac:dyDescent="0.25">
      <c r="A12" s="78">
        <v>42371</v>
      </c>
      <c r="B12" s="79" t="s">
        <v>39</v>
      </c>
      <c r="C12" s="153"/>
      <c r="D12" s="153">
        <v>350</v>
      </c>
      <c r="E12" s="153">
        <f>+E11-D12</f>
        <v>1120181</v>
      </c>
      <c r="F12" s="153"/>
      <c r="G12" s="153">
        <f>+J11/E11</f>
        <v>0.19772340970486313</v>
      </c>
      <c r="H12" s="153"/>
      <c r="I12" s="153">
        <f>+D12*G12</f>
        <v>69.20319339670209</v>
      </c>
      <c r="J12" s="156">
        <f>+J11-I12</f>
        <v>221486.00680660328</v>
      </c>
    </row>
    <row r="13" spans="1:10" x14ac:dyDescent="0.25">
      <c r="A13" s="78">
        <v>42374</v>
      </c>
      <c r="B13" s="79" t="s">
        <v>42</v>
      </c>
      <c r="C13" s="153"/>
      <c r="D13" s="153">
        <v>350</v>
      </c>
      <c r="E13" s="153">
        <f t="shared" ref="E13:E45" si="0">+E12-D13</f>
        <v>1119831</v>
      </c>
      <c r="F13" s="153"/>
      <c r="G13" s="153">
        <f t="shared" ref="G13:G45" si="1">+J12/E12</f>
        <v>0.19772340970486313</v>
      </c>
      <c r="H13" s="153"/>
      <c r="I13" s="153">
        <f t="shared" ref="I13:I45" si="2">+D13*G13</f>
        <v>69.20319339670209</v>
      </c>
      <c r="J13" s="156">
        <f t="shared" ref="J13:J45" si="3">+J12-I13</f>
        <v>221416.80361320658</v>
      </c>
    </row>
    <row r="14" spans="1:10" x14ac:dyDescent="0.25">
      <c r="A14" s="78">
        <v>42376</v>
      </c>
      <c r="B14" s="79" t="s">
        <v>49</v>
      </c>
      <c r="C14" s="153"/>
      <c r="D14" s="153">
        <v>350</v>
      </c>
      <c r="E14" s="153">
        <f t="shared" si="0"/>
        <v>1119481</v>
      </c>
      <c r="F14" s="153"/>
      <c r="G14" s="153">
        <f t="shared" si="1"/>
        <v>0.19772340970486313</v>
      </c>
      <c r="H14" s="153"/>
      <c r="I14" s="153">
        <f t="shared" si="2"/>
        <v>69.20319339670209</v>
      </c>
      <c r="J14" s="156">
        <f t="shared" si="3"/>
        <v>221347.60041980987</v>
      </c>
    </row>
    <row r="15" spans="1:10" x14ac:dyDescent="0.25">
      <c r="A15" s="78">
        <v>42377</v>
      </c>
      <c r="B15" s="79" t="s">
        <v>50</v>
      </c>
      <c r="C15" s="153"/>
      <c r="D15" s="153">
        <v>300</v>
      </c>
      <c r="E15" s="153">
        <f t="shared" si="0"/>
        <v>1119181</v>
      </c>
      <c r="F15" s="153"/>
      <c r="G15" s="153">
        <f t="shared" si="1"/>
        <v>0.19772340970486313</v>
      </c>
      <c r="H15" s="153"/>
      <c r="I15" s="153">
        <f t="shared" si="2"/>
        <v>59.317022911458942</v>
      </c>
      <c r="J15" s="156">
        <f t="shared" si="3"/>
        <v>221288.28339689842</v>
      </c>
    </row>
    <row r="16" spans="1:10" x14ac:dyDescent="0.25">
      <c r="A16" s="78">
        <v>42377</v>
      </c>
      <c r="B16" s="79" t="s">
        <v>51</v>
      </c>
      <c r="C16" s="153"/>
      <c r="D16" s="153">
        <v>250</v>
      </c>
      <c r="E16" s="153">
        <f t="shared" si="0"/>
        <v>1118931</v>
      </c>
      <c r="F16" s="153"/>
      <c r="G16" s="153">
        <f t="shared" si="1"/>
        <v>0.19772340970486313</v>
      </c>
      <c r="H16" s="153"/>
      <c r="I16" s="153">
        <f t="shared" si="2"/>
        <v>49.430852426215779</v>
      </c>
      <c r="J16" s="156">
        <f t="shared" si="3"/>
        <v>221238.8525444722</v>
      </c>
    </row>
    <row r="17" spans="1:13" x14ac:dyDescent="0.25">
      <c r="A17" s="78">
        <v>42378</v>
      </c>
      <c r="B17" s="79" t="s">
        <v>59</v>
      </c>
      <c r="C17" s="153"/>
      <c r="D17" s="153">
        <v>100</v>
      </c>
      <c r="E17" s="153">
        <f t="shared" si="0"/>
        <v>1118831</v>
      </c>
      <c r="F17" s="153"/>
      <c r="G17" s="153">
        <f t="shared" si="1"/>
        <v>0.19772340970486313</v>
      </c>
      <c r="H17" s="153"/>
      <c r="I17" s="153">
        <f t="shared" si="2"/>
        <v>19.772340970486312</v>
      </c>
      <c r="J17" s="156">
        <f t="shared" si="3"/>
        <v>221219.08020350171</v>
      </c>
    </row>
    <row r="18" spans="1:13" x14ac:dyDescent="0.25">
      <c r="A18" s="78">
        <v>42380</v>
      </c>
      <c r="B18" s="79" t="s">
        <v>62</v>
      </c>
      <c r="C18" s="153"/>
      <c r="D18" s="153">
        <v>400</v>
      </c>
      <c r="E18" s="153">
        <f t="shared" si="0"/>
        <v>1118431</v>
      </c>
      <c r="F18" s="153"/>
      <c r="G18" s="153">
        <f t="shared" si="1"/>
        <v>0.19772340970486313</v>
      </c>
      <c r="H18" s="153"/>
      <c r="I18" s="153">
        <f t="shared" si="2"/>
        <v>79.089363881945246</v>
      </c>
      <c r="J18" s="156">
        <f t="shared" si="3"/>
        <v>221139.99083961977</v>
      </c>
    </row>
    <row r="19" spans="1:13" x14ac:dyDescent="0.25">
      <c r="A19" s="78">
        <v>42381</v>
      </c>
      <c r="B19" s="79" t="s">
        <v>68</v>
      </c>
      <c r="C19" s="153"/>
      <c r="D19" s="153">
        <v>200</v>
      </c>
      <c r="E19" s="153">
        <f t="shared" si="0"/>
        <v>1118231</v>
      </c>
      <c r="F19" s="153"/>
      <c r="G19" s="153">
        <f t="shared" si="1"/>
        <v>0.19772340970486313</v>
      </c>
      <c r="H19" s="153"/>
      <c r="I19" s="153">
        <f t="shared" si="2"/>
        <v>39.544681940972623</v>
      </c>
      <c r="J19" s="156">
        <f t="shared" si="3"/>
        <v>221100.44615767879</v>
      </c>
    </row>
    <row r="20" spans="1:13" x14ac:dyDescent="0.25">
      <c r="A20" s="78">
        <v>42382</v>
      </c>
      <c r="B20" s="79" t="s">
        <v>70</v>
      </c>
      <c r="C20" s="153"/>
      <c r="D20" s="153">
        <v>15</v>
      </c>
      <c r="E20" s="153">
        <f t="shared" si="0"/>
        <v>1118216</v>
      </c>
      <c r="F20" s="153"/>
      <c r="G20" s="153">
        <f t="shared" si="1"/>
        <v>0.19772340970486313</v>
      </c>
      <c r="H20" s="153"/>
      <c r="I20" s="153">
        <f t="shared" si="2"/>
        <v>2.9658511455729468</v>
      </c>
      <c r="J20" s="156">
        <f t="shared" si="3"/>
        <v>221097.48030653322</v>
      </c>
    </row>
    <row r="21" spans="1:13" x14ac:dyDescent="0.25">
      <c r="A21" s="78">
        <v>42382</v>
      </c>
      <c r="B21" s="79" t="s">
        <v>71</v>
      </c>
      <c r="C21" s="153"/>
      <c r="D21" s="153">
        <v>350</v>
      </c>
      <c r="E21" s="153">
        <f t="shared" si="0"/>
        <v>1117866</v>
      </c>
      <c r="F21" s="153"/>
      <c r="G21" s="153">
        <f t="shared" si="1"/>
        <v>0.19772340970486313</v>
      </c>
      <c r="H21" s="153"/>
      <c r="I21" s="153">
        <f t="shared" si="2"/>
        <v>69.20319339670209</v>
      </c>
      <c r="J21" s="156">
        <f t="shared" si="3"/>
        <v>221028.27711313652</v>
      </c>
    </row>
    <row r="22" spans="1:13" x14ac:dyDescent="0.25">
      <c r="A22" s="78">
        <v>42383</v>
      </c>
      <c r="B22" s="79" t="s">
        <v>75</v>
      </c>
      <c r="C22" s="153"/>
      <c r="D22" s="153">
        <v>600</v>
      </c>
      <c r="E22" s="153">
        <f t="shared" si="0"/>
        <v>1117266</v>
      </c>
      <c r="F22" s="153"/>
      <c r="G22" s="153">
        <f t="shared" si="1"/>
        <v>0.19772340970486313</v>
      </c>
      <c r="H22" s="153"/>
      <c r="I22" s="153">
        <f t="shared" si="2"/>
        <v>118.63404582291788</v>
      </c>
      <c r="J22" s="156">
        <f t="shared" si="3"/>
        <v>220909.64306731359</v>
      </c>
    </row>
    <row r="23" spans="1:13" x14ac:dyDescent="0.25">
      <c r="A23" s="78">
        <v>42384</v>
      </c>
      <c r="B23" s="79" t="s">
        <v>77</v>
      </c>
      <c r="C23" s="153"/>
      <c r="D23" s="153">
        <v>0</v>
      </c>
      <c r="E23" s="153">
        <f t="shared" si="0"/>
        <v>1117266</v>
      </c>
      <c r="F23" s="153"/>
      <c r="G23" s="153">
        <f t="shared" si="1"/>
        <v>0.1977234097048631</v>
      </c>
      <c r="H23" s="153"/>
      <c r="I23" s="153">
        <f t="shared" si="2"/>
        <v>0</v>
      </c>
      <c r="J23" s="156">
        <f t="shared" si="3"/>
        <v>220909.64306731359</v>
      </c>
    </row>
    <row r="24" spans="1:13" x14ac:dyDescent="0.25">
      <c r="A24" s="78">
        <v>42384</v>
      </c>
      <c r="B24" s="79" t="s">
        <v>78</v>
      </c>
      <c r="C24" s="153"/>
      <c r="D24" s="153">
        <v>150</v>
      </c>
      <c r="E24" s="153">
        <f t="shared" si="0"/>
        <v>1117116</v>
      </c>
      <c r="F24" s="153"/>
      <c r="G24" s="153">
        <f t="shared" si="1"/>
        <v>0.1977234097048631</v>
      </c>
      <c r="H24" s="153"/>
      <c r="I24" s="153">
        <f t="shared" si="2"/>
        <v>29.658511455729464</v>
      </c>
      <c r="J24" s="156">
        <f t="shared" si="3"/>
        <v>220879.98455585787</v>
      </c>
    </row>
    <row r="25" spans="1:13" x14ac:dyDescent="0.25">
      <c r="A25" s="124">
        <v>42384</v>
      </c>
      <c r="B25" s="125" t="s">
        <v>81</v>
      </c>
      <c r="C25" s="157"/>
      <c r="D25" s="157">
        <v>800</v>
      </c>
      <c r="E25" s="157">
        <f t="shared" si="0"/>
        <v>1116316</v>
      </c>
      <c r="F25" s="157"/>
      <c r="G25" s="157">
        <f t="shared" si="1"/>
        <v>0.19772340970486313</v>
      </c>
      <c r="H25" s="157"/>
      <c r="I25" s="157">
        <f t="shared" si="2"/>
        <v>158.17872776389049</v>
      </c>
      <c r="J25" s="158">
        <f t="shared" si="3"/>
        <v>220721.80582809399</v>
      </c>
      <c r="K25" s="159">
        <f>SUM(I12:I25)</f>
        <v>833.40417190599806</v>
      </c>
      <c r="L25" s="160"/>
      <c r="M25" s="143">
        <v>42384</v>
      </c>
    </row>
    <row r="26" spans="1:13" x14ac:dyDescent="0.25">
      <c r="A26" s="78">
        <v>42388</v>
      </c>
      <c r="B26" s="79" t="s">
        <v>88</v>
      </c>
      <c r="C26" s="153"/>
      <c r="D26" s="153">
        <v>100</v>
      </c>
      <c r="E26" s="153">
        <f t="shared" si="0"/>
        <v>1116216</v>
      </c>
      <c r="F26" s="153"/>
      <c r="G26" s="153">
        <f t="shared" si="1"/>
        <v>0.19772340970486313</v>
      </c>
      <c r="H26" s="153"/>
      <c r="I26" s="153">
        <f t="shared" si="2"/>
        <v>19.772340970486312</v>
      </c>
      <c r="J26" s="156">
        <f t="shared" si="3"/>
        <v>220702.0334871235</v>
      </c>
    </row>
    <row r="27" spans="1:13" x14ac:dyDescent="0.25">
      <c r="A27" s="78">
        <v>42388</v>
      </c>
      <c r="B27" s="79" t="s">
        <v>89</v>
      </c>
      <c r="C27" s="153"/>
      <c r="D27" s="153">
        <v>30</v>
      </c>
      <c r="E27" s="153">
        <f t="shared" si="0"/>
        <v>1116186</v>
      </c>
      <c r="F27" s="153"/>
      <c r="G27" s="153">
        <f t="shared" si="1"/>
        <v>0.19772340970486313</v>
      </c>
      <c r="H27" s="153"/>
      <c r="I27" s="153">
        <f t="shared" si="2"/>
        <v>5.9317022911458936</v>
      </c>
      <c r="J27" s="156">
        <f t="shared" si="3"/>
        <v>220696.10178483234</v>
      </c>
    </row>
    <row r="28" spans="1:13" x14ac:dyDescent="0.25">
      <c r="A28" s="78">
        <v>42390</v>
      </c>
      <c r="B28" s="79" t="s">
        <v>93</v>
      </c>
      <c r="C28" s="153"/>
      <c r="D28" s="153">
        <v>50</v>
      </c>
      <c r="E28" s="153">
        <f t="shared" si="0"/>
        <v>1116136</v>
      </c>
      <c r="F28" s="153"/>
      <c r="G28" s="153">
        <f t="shared" si="1"/>
        <v>0.1977234097048631</v>
      </c>
      <c r="H28" s="153"/>
      <c r="I28" s="153">
        <f t="shared" si="2"/>
        <v>9.8861704852431558</v>
      </c>
      <c r="J28" s="156">
        <f t="shared" si="3"/>
        <v>220686.21561434711</v>
      </c>
    </row>
    <row r="29" spans="1:13" x14ac:dyDescent="0.25">
      <c r="A29" s="78">
        <v>42390</v>
      </c>
      <c r="B29" s="79" t="s">
        <v>98</v>
      </c>
      <c r="C29" s="153"/>
      <c r="D29" s="153">
        <v>300</v>
      </c>
      <c r="E29" s="153">
        <f t="shared" si="0"/>
        <v>1115836</v>
      </c>
      <c r="F29" s="153"/>
      <c r="G29" s="153">
        <f t="shared" si="1"/>
        <v>0.19772340970486313</v>
      </c>
      <c r="H29" s="153"/>
      <c r="I29" s="153">
        <f t="shared" si="2"/>
        <v>59.317022911458942</v>
      </c>
      <c r="J29" s="156">
        <f t="shared" si="3"/>
        <v>220626.89859143566</v>
      </c>
    </row>
    <row r="30" spans="1:13" x14ac:dyDescent="0.25">
      <c r="A30" s="78">
        <v>42394</v>
      </c>
      <c r="B30" s="79" t="s">
        <v>101</v>
      </c>
      <c r="C30" s="153"/>
      <c r="D30" s="153">
        <v>200</v>
      </c>
      <c r="E30" s="153">
        <f t="shared" si="0"/>
        <v>1115636</v>
      </c>
      <c r="F30" s="153"/>
      <c r="G30" s="153">
        <f t="shared" si="1"/>
        <v>0.19772340970486313</v>
      </c>
      <c r="H30" s="153"/>
      <c r="I30" s="153">
        <f t="shared" si="2"/>
        <v>39.544681940972623</v>
      </c>
      <c r="J30" s="156">
        <f t="shared" si="3"/>
        <v>220587.35390949468</v>
      </c>
    </row>
    <row r="31" spans="1:13" x14ac:dyDescent="0.25">
      <c r="A31" s="78">
        <v>42395</v>
      </c>
      <c r="B31" s="79" t="s">
        <v>102</v>
      </c>
      <c r="C31" s="153"/>
      <c r="D31" s="153">
        <v>50</v>
      </c>
      <c r="E31" s="153">
        <f t="shared" si="0"/>
        <v>1115586</v>
      </c>
      <c r="F31" s="153"/>
      <c r="G31" s="153">
        <f t="shared" si="1"/>
        <v>0.19772340970486313</v>
      </c>
      <c r="H31" s="153"/>
      <c r="I31" s="153">
        <f t="shared" si="2"/>
        <v>9.8861704852431558</v>
      </c>
      <c r="J31" s="156">
        <f t="shared" si="3"/>
        <v>220577.46773900944</v>
      </c>
    </row>
    <row r="32" spans="1:13" x14ac:dyDescent="0.25">
      <c r="A32" s="78">
        <v>42397</v>
      </c>
      <c r="B32" s="79" t="s">
        <v>110</v>
      </c>
      <c r="C32" s="153"/>
      <c r="D32" s="153">
        <v>300</v>
      </c>
      <c r="E32" s="153">
        <f t="shared" si="0"/>
        <v>1115286</v>
      </c>
      <c r="F32" s="153"/>
      <c r="G32" s="153">
        <f t="shared" si="1"/>
        <v>0.19772340970486313</v>
      </c>
      <c r="H32" s="153"/>
      <c r="I32" s="153">
        <f t="shared" si="2"/>
        <v>59.317022911458942</v>
      </c>
      <c r="J32" s="156">
        <f t="shared" si="3"/>
        <v>220518.150716098</v>
      </c>
    </row>
    <row r="33" spans="1:13" x14ac:dyDescent="0.25">
      <c r="A33" s="124">
        <v>42399</v>
      </c>
      <c r="B33" s="125" t="s">
        <v>117</v>
      </c>
      <c r="C33" s="157"/>
      <c r="D33" s="157">
        <v>250</v>
      </c>
      <c r="E33" s="157">
        <f t="shared" si="0"/>
        <v>1115036</v>
      </c>
      <c r="F33" s="157"/>
      <c r="G33" s="157">
        <f t="shared" si="1"/>
        <v>0.19772340970486316</v>
      </c>
      <c r="H33" s="157"/>
      <c r="I33" s="157">
        <f t="shared" si="2"/>
        <v>49.430852426215786</v>
      </c>
      <c r="J33" s="158">
        <f t="shared" si="3"/>
        <v>220468.71986367178</v>
      </c>
      <c r="K33" s="159">
        <f>SUM(I26:I33)</f>
        <v>253.08596442222481</v>
      </c>
      <c r="L33" s="160">
        <f>SUM(K24:K33)</f>
        <v>1086.4901363282229</v>
      </c>
      <c r="M33" s="143">
        <v>42400</v>
      </c>
    </row>
    <row r="34" spans="1:13" x14ac:dyDescent="0.25">
      <c r="A34" s="78">
        <v>42402</v>
      </c>
      <c r="B34" s="79" t="s">
        <v>123</v>
      </c>
      <c r="C34" s="153"/>
      <c r="D34" s="153">
        <v>100</v>
      </c>
      <c r="E34" s="153">
        <f t="shared" si="0"/>
        <v>1114936</v>
      </c>
      <c r="F34" s="153"/>
      <c r="G34" s="153">
        <f t="shared" si="1"/>
        <v>0.19772340970486316</v>
      </c>
      <c r="H34" s="153"/>
      <c r="I34" s="153">
        <f t="shared" si="2"/>
        <v>19.772340970486315</v>
      </c>
      <c r="J34" s="156">
        <f t="shared" si="3"/>
        <v>220448.94752270129</v>
      </c>
    </row>
    <row r="35" spans="1:13" x14ac:dyDescent="0.25">
      <c r="A35" s="78">
        <v>42410</v>
      </c>
      <c r="B35" s="79" t="s">
        <v>130</v>
      </c>
      <c r="C35" s="153"/>
      <c r="D35" s="153">
        <v>1000</v>
      </c>
      <c r="E35" s="153">
        <f t="shared" si="0"/>
        <v>1113936</v>
      </c>
      <c r="F35" s="153"/>
      <c r="G35" s="153">
        <f t="shared" si="1"/>
        <v>0.19772340970486313</v>
      </c>
      <c r="H35" s="153"/>
      <c r="I35" s="153">
        <f t="shared" si="2"/>
        <v>197.72340970486312</v>
      </c>
      <c r="J35" s="156">
        <f t="shared" si="3"/>
        <v>220251.22411299642</v>
      </c>
    </row>
    <row r="36" spans="1:13" x14ac:dyDescent="0.25">
      <c r="A36" s="78">
        <v>42411</v>
      </c>
      <c r="B36" s="79" t="s">
        <v>139</v>
      </c>
      <c r="C36" s="153"/>
      <c r="D36" s="153">
        <v>800</v>
      </c>
      <c r="E36" s="153">
        <f t="shared" si="0"/>
        <v>1113136</v>
      </c>
      <c r="F36" s="153"/>
      <c r="G36" s="153">
        <f t="shared" si="1"/>
        <v>0.19772340970486313</v>
      </c>
      <c r="H36" s="153"/>
      <c r="I36" s="153">
        <f t="shared" si="2"/>
        <v>158.17872776389049</v>
      </c>
      <c r="J36" s="156">
        <f t="shared" si="3"/>
        <v>220093.04538523254</v>
      </c>
    </row>
    <row r="37" spans="1:13" x14ac:dyDescent="0.25">
      <c r="A37" s="124">
        <v>42413</v>
      </c>
      <c r="B37" s="125" t="s">
        <v>144</v>
      </c>
      <c r="C37" s="157"/>
      <c r="D37" s="157">
        <v>300</v>
      </c>
      <c r="E37" s="157">
        <f t="shared" si="0"/>
        <v>1112836</v>
      </c>
      <c r="F37" s="157"/>
      <c r="G37" s="157">
        <f t="shared" si="1"/>
        <v>0.19772340970486316</v>
      </c>
      <c r="H37" s="157"/>
      <c r="I37" s="157">
        <f t="shared" si="2"/>
        <v>59.317022911458949</v>
      </c>
      <c r="J37" s="158">
        <f t="shared" si="3"/>
        <v>220033.7283623211</v>
      </c>
      <c r="K37" s="159">
        <f>SUM(I34:I37)</f>
        <v>434.99150135069885</v>
      </c>
      <c r="L37" s="160"/>
      <c r="M37" s="143">
        <v>42415</v>
      </c>
    </row>
    <row r="38" spans="1:13" x14ac:dyDescent="0.25">
      <c r="A38" s="78">
        <v>42416</v>
      </c>
      <c r="B38" s="79" t="s">
        <v>149</v>
      </c>
      <c r="C38" s="153"/>
      <c r="D38" s="153">
        <v>600</v>
      </c>
      <c r="E38" s="153">
        <f t="shared" si="0"/>
        <v>1112236</v>
      </c>
      <c r="F38" s="153"/>
      <c r="G38" s="153">
        <f t="shared" si="1"/>
        <v>0.19772340970486316</v>
      </c>
      <c r="H38" s="153"/>
      <c r="I38" s="153">
        <f t="shared" si="2"/>
        <v>118.6340458229179</v>
      </c>
      <c r="J38" s="156">
        <f t="shared" si="3"/>
        <v>219915.09431649817</v>
      </c>
    </row>
    <row r="39" spans="1:13" x14ac:dyDescent="0.25">
      <c r="A39" s="78">
        <v>42418</v>
      </c>
      <c r="B39" s="79" t="s">
        <v>152</v>
      </c>
      <c r="C39" s="153"/>
      <c r="D39" s="153">
        <v>600</v>
      </c>
      <c r="E39" s="153">
        <f t="shared" si="0"/>
        <v>1111636</v>
      </c>
      <c r="F39" s="153"/>
      <c r="G39" s="153">
        <f t="shared" si="1"/>
        <v>0.19772340970486316</v>
      </c>
      <c r="H39" s="153"/>
      <c r="I39" s="153">
        <f t="shared" si="2"/>
        <v>118.6340458229179</v>
      </c>
      <c r="J39" s="156">
        <f t="shared" si="3"/>
        <v>219796.46027067525</v>
      </c>
    </row>
    <row r="40" spans="1:13" x14ac:dyDescent="0.25">
      <c r="A40" s="78">
        <v>42419</v>
      </c>
      <c r="B40" s="79" t="s">
        <v>154</v>
      </c>
      <c r="C40" s="153"/>
      <c r="D40" s="153">
        <v>50</v>
      </c>
      <c r="E40" s="153">
        <f t="shared" si="0"/>
        <v>1111586</v>
      </c>
      <c r="F40" s="153"/>
      <c r="G40" s="153">
        <f t="shared" si="1"/>
        <v>0.19772340970486316</v>
      </c>
      <c r="H40" s="153"/>
      <c r="I40" s="153">
        <f t="shared" si="2"/>
        <v>9.8861704852431576</v>
      </c>
      <c r="J40" s="156">
        <f t="shared" si="3"/>
        <v>219786.57410019002</v>
      </c>
    </row>
    <row r="41" spans="1:13" x14ac:dyDescent="0.25">
      <c r="A41" s="78">
        <v>42424</v>
      </c>
      <c r="B41" s="79" t="s">
        <v>170</v>
      </c>
      <c r="C41" s="153"/>
      <c r="D41" s="153">
        <v>1200</v>
      </c>
      <c r="E41" s="153">
        <f t="shared" si="0"/>
        <v>1110386</v>
      </c>
      <c r="F41" s="153"/>
      <c r="G41" s="153">
        <f t="shared" si="1"/>
        <v>0.19772340970486316</v>
      </c>
      <c r="H41" s="153"/>
      <c r="I41" s="153">
        <f t="shared" si="2"/>
        <v>237.2680916458358</v>
      </c>
      <c r="J41" s="156">
        <f t="shared" si="3"/>
        <v>219549.30600854417</v>
      </c>
    </row>
    <row r="42" spans="1:13" x14ac:dyDescent="0.25">
      <c r="A42" s="124">
        <v>42429</v>
      </c>
      <c r="B42" s="125" t="s">
        <v>177</v>
      </c>
      <c r="C42" s="157"/>
      <c r="D42" s="157">
        <v>500</v>
      </c>
      <c r="E42" s="157">
        <f t="shared" si="0"/>
        <v>1109886</v>
      </c>
      <c r="F42" s="157"/>
      <c r="G42" s="157">
        <f t="shared" si="1"/>
        <v>0.19772340970486316</v>
      </c>
      <c r="H42" s="157"/>
      <c r="I42" s="157">
        <f t="shared" si="2"/>
        <v>98.861704852431572</v>
      </c>
      <c r="J42" s="158">
        <f t="shared" si="3"/>
        <v>219450.44430369174</v>
      </c>
      <c r="K42" s="159">
        <f>SUM(I38:I42)</f>
        <v>583.2840586293463</v>
      </c>
      <c r="L42" s="159">
        <f>SUM(K37:K42)</f>
        <v>1018.2755599800452</v>
      </c>
      <c r="M42" s="143">
        <v>42429</v>
      </c>
    </row>
    <row r="43" spans="1:13" x14ac:dyDescent="0.25">
      <c r="A43" s="78">
        <v>42430</v>
      </c>
      <c r="B43" s="79" t="s">
        <v>184</v>
      </c>
      <c r="C43" s="153"/>
      <c r="D43" s="153">
        <v>100</v>
      </c>
      <c r="E43" s="153">
        <f t="shared" si="0"/>
        <v>1109786</v>
      </c>
      <c r="F43" s="153"/>
      <c r="G43" s="153">
        <f t="shared" si="1"/>
        <v>0.19772340970486316</v>
      </c>
      <c r="H43" s="153"/>
      <c r="I43" s="153">
        <f t="shared" si="2"/>
        <v>19.772340970486315</v>
      </c>
      <c r="J43" s="156">
        <f t="shared" si="3"/>
        <v>219430.67196272124</v>
      </c>
    </row>
    <row r="44" spans="1:13" x14ac:dyDescent="0.25">
      <c r="A44" s="78">
        <v>42436</v>
      </c>
      <c r="B44" s="79" t="s">
        <v>193</v>
      </c>
      <c r="C44" s="153"/>
      <c r="D44" s="153">
        <v>600</v>
      </c>
      <c r="E44" s="153">
        <f t="shared" si="0"/>
        <v>1109186</v>
      </c>
      <c r="F44" s="153"/>
      <c r="G44" s="153">
        <f t="shared" si="1"/>
        <v>0.19772340970486313</v>
      </c>
      <c r="H44" s="153"/>
      <c r="I44" s="153">
        <f t="shared" si="2"/>
        <v>118.63404582291788</v>
      </c>
      <c r="J44" s="156">
        <f t="shared" si="3"/>
        <v>219312.03791689832</v>
      </c>
    </row>
    <row r="45" spans="1:13" x14ac:dyDescent="0.25">
      <c r="A45" s="78">
        <v>42438</v>
      </c>
      <c r="B45" s="79" t="s">
        <v>198</v>
      </c>
      <c r="C45" s="153"/>
      <c r="D45" s="153">
        <v>600</v>
      </c>
      <c r="E45" s="153">
        <f t="shared" si="0"/>
        <v>1108586</v>
      </c>
      <c r="F45" s="153"/>
      <c r="G45" s="153">
        <f t="shared" si="1"/>
        <v>0.19772340970486313</v>
      </c>
      <c r="H45" s="153"/>
      <c r="I45" s="153">
        <f t="shared" si="2"/>
        <v>118.63404582291788</v>
      </c>
      <c r="J45" s="156">
        <f t="shared" si="3"/>
        <v>219193.4038710754</v>
      </c>
    </row>
    <row r="46" spans="1:13" x14ac:dyDescent="0.25">
      <c r="A46" s="78">
        <v>42438</v>
      </c>
      <c r="B46" s="79" t="s">
        <v>200</v>
      </c>
      <c r="C46" s="153"/>
      <c r="D46" s="153">
        <v>700</v>
      </c>
      <c r="E46" s="153">
        <f t="shared" ref="E46:E49" si="4">+E45-D46</f>
        <v>1107886</v>
      </c>
      <c r="F46" s="153"/>
      <c r="G46" s="153">
        <f t="shared" ref="G46:G50" si="5">+J45/E45</f>
        <v>0.19772340970486313</v>
      </c>
      <c r="H46" s="153"/>
      <c r="I46" s="153">
        <f t="shared" ref="I46:I50" si="6">+D46*G46</f>
        <v>138.40638679340418</v>
      </c>
      <c r="J46" s="156">
        <f t="shared" ref="J46:J49" si="7">+J45-I46</f>
        <v>219054.99748428198</v>
      </c>
    </row>
    <row r="47" spans="1:13" x14ac:dyDescent="0.25">
      <c r="A47" s="78">
        <v>42439</v>
      </c>
      <c r="B47" s="79" t="s">
        <v>203</v>
      </c>
      <c r="C47" s="153"/>
      <c r="D47" s="153">
        <v>600</v>
      </c>
      <c r="E47" s="153">
        <f t="shared" si="4"/>
        <v>1107286</v>
      </c>
      <c r="F47" s="153"/>
      <c r="G47" s="153">
        <f t="shared" si="5"/>
        <v>0.19772340970486313</v>
      </c>
      <c r="H47" s="153"/>
      <c r="I47" s="153">
        <f t="shared" si="6"/>
        <v>118.63404582291788</v>
      </c>
      <c r="J47" s="156">
        <f t="shared" si="7"/>
        <v>218936.36343845906</v>
      </c>
    </row>
    <row r="48" spans="1:13" x14ac:dyDescent="0.25">
      <c r="A48" s="78">
        <v>42439</v>
      </c>
      <c r="B48" s="79" t="s">
        <v>202</v>
      </c>
      <c r="C48" s="153"/>
      <c r="D48" s="153">
        <v>100</v>
      </c>
      <c r="E48" s="153">
        <f t="shared" si="4"/>
        <v>1107186</v>
      </c>
      <c r="F48" s="153"/>
      <c r="G48" s="153">
        <f t="shared" si="5"/>
        <v>0.1977234097048631</v>
      </c>
      <c r="H48" s="153"/>
      <c r="I48" s="153">
        <f t="shared" si="6"/>
        <v>19.772340970486312</v>
      </c>
      <c r="J48" s="156">
        <f t="shared" si="7"/>
        <v>218916.59109748856</v>
      </c>
    </row>
    <row r="49" spans="1:13" x14ac:dyDescent="0.25">
      <c r="A49" s="78">
        <v>42440</v>
      </c>
      <c r="B49" s="79" t="s">
        <v>206</v>
      </c>
      <c r="C49" s="153"/>
      <c r="D49" s="153">
        <v>100</v>
      </c>
      <c r="E49" s="153">
        <f t="shared" si="4"/>
        <v>1107086</v>
      </c>
      <c r="F49" s="153"/>
      <c r="G49" s="153">
        <f t="shared" si="5"/>
        <v>0.1977234097048631</v>
      </c>
      <c r="H49" s="153"/>
      <c r="I49" s="153">
        <f t="shared" si="6"/>
        <v>19.772340970486312</v>
      </c>
      <c r="J49" s="156">
        <f t="shared" si="7"/>
        <v>218896.81875651807</v>
      </c>
    </row>
    <row r="50" spans="1:13" x14ac:dyDescent="0.25">
      <c r="A50" s="124">
        <v>42444</v>
      </c>
      <c r="B50" s="125" t="s">
        <v>386</v>
      </c>
      <c r="C50" s="157"/>
      <c r="D50" s="157">
        <v>50</v>
      </c>
      <c r="E50" s="157">
        <f>+E49-D50</f>
        <v>1107036</v>
      </c>
      <c r="F50" s="157"/>
      <c r="G50" s="157">
        <f t="shared" si="5"/>
        <v>0.1977234097048631</v>
      </c>
      <c r="H50" s="157"/>
      <c r="I50" s="157">
        <f t="shared" si="6"/>
        <v>9.8861704852431558</v>
      </c>
      <c r="J50" s="158">
        <f>+J49-I50</f>
        <v>218886.93258603284</v>
      </c>
      <c r="K50" s="159">
        <f>SUM(I43:I50)</f>
        <v>563.51171765885999</v>
      </c>
      <c r="L50" s="160"/>
      <c r="M50" s="143">
        <v>42444</v>
      </c>
    </row>
    <row r="51" spans="1:13" x14ac:dyDescent="0.25">
      <c r="A51" s="78">
        <v>42446</v>
      </c>
      <c r="B51" s="79" t="s">
        <v>215</v>
      </c>
      <c r="C51" s="153"/>
      <c r="D51" s="153">
        <v>100</v>
      </c>
      <c r="E51" s="153">
        <f t="shared" ref="E51:E100" si="8">+E50-D51</f>
        <v>1106936</v>
      </c>
      <c r="F51" s="153"/>
      <c r="G51" s="153">
        <f t="shared" ref="G51:G100" si="9">+J50/E50</f>
        <v>0.1977234097048631</v>
      </c>
      <c r="H51" s="153"/>
      <c r="I51" s="153">
        <f t="shared" ref="I51:I100" si="10">+D51*G51</f>
        <v>19.772340970486312</v>
      </c>
      <c r="J51" s="156">
        <f t="shared" ref="J51:J100" si="11">+J50-I51</f>
        <v>218867.16024506235</v>
      </c>
    </row>
    <row r="52" spans="1:13" x14ac:dyDescent="0.25">
      <c r="A52" s="78">
        <v>42446</v>
      </c>
      <c r="B52" s="79" t="s">
        <v>216</v>
      </c>
      <c r="C52" s="153"/>
      <c r="D52" s="153">
        <v>100</v>
      </c>
      <c r="E52" s="153">
        <f t="shared" si="8"/>
        <v>1106836</v>
      </c>
      <c r="F52" s="153"/>
      <c r="G52" s="153">
        <f t="shared" si="9"/>
        <v>0.1977234097048631</v>
      </c>
      <c r="H52" s="153"/>
      <c r="I52" s="153">
        <f t="shared" si="10"/>
        <v>19.772340970486312</v>
      </c>
      <c r="J52" s="156">
        <f t="shared" si="11"/>
        <v>218847.38790409185</v>
      </c>
    </row>
    <row r="53" spans="1:13" x14ac:dyDescent="0.25">
      <c r="A53" s="78">
        <v>42451</v>
      </c>
      <c r="B53" s="79" t="s">
        <v>228</v>
      </c>
      <c r="C53" s="153"/>
      <c r="D53" s="153">
        <v>250</v>
      </c>
      <c r="E53" s="153">
        <f t="shared" si="8"/>
        <v>1106586</v>
      </c>
      <c r="F53" s="153"/>
      <c r="G53" s="153">
        <f t="shared" si="9"/>
        <v>0.1977234097048631</v>
      </c>
      <c r="H53" s="153"/>
      <c r="I53" s="153">
        <f t="shared" si="10"/>
        <v>49.430852426215772</v>
      </c>
      <c r="J53" s="156">
        <f t="shared" si="11"/>
        <v>218797.95705166564</v>
      </c>
    </row>
    <row r="54" spans="1:13" x14ac:dyDescent="0.25">
      <c r="A54" s="78">
        <v>42453</v>
      </c>
      <c r="B54" s="79" t="s">
        <v>235</v>
      </c>
      <c r="C54" s="153"/>
      <c r="D54" s="153">
        <v>50</v>
      </c>
      <c r="E54" s="153">
        <f t="shared" si="8"/>
        <v>1106536</v>
      </c>
      <c r="F54" s="153"/>
      <c r="G54" s="153">
        <f t="shared" si="9"/>
        <v>0.1977234097048631</v>
      </c>
      <c r="H54" s="153"/>
      <c r="I54" s="153">
        <f t="shared" si="10"/>
        <v>9.8861704852431558</v>
      </c>
      <c r="J54" s="156">
        <f t="shared" si="11"/>
        <v>218788.07088118041</v>
      </c>
    </row>
    <row r="55" spans="1:13" x14ac:dyDescent="0.25">
      <c r="A55" s="124">
        <v>42089</v>
      </c>
      <c r="B55" s="125" t="s">
        <v>238</v>
      </c>
      <c r="C55" s="157"/>
      <c r="D55" s="157">
        <v>300</v>
      </c>
      <c r="E55" s="157">
        <f t="shared" si="8"/>
        <v>1106236</v>
      </c>
      <c r="F55" s="157"/>
      <c r="G55" s="157">
        <f t="shared" si="9"/>
        <v>0.1977234097048631</v>
      </c>
      <c r="H55" s="157"/>
      <c r="I55" s="157">
        <f t="shared" si="10"/>
        <v>59.317022911458928</v>
      </c>
      <c r="J55" s="158">
        <f t="shared" si="11"/>
        <v>218728.75385826896</v>
      </c>
      <c r="K55" s="159">
        <f>SUM(I51:I55)</f>
        <v>158.17872776389049</v>
      </c>
      <c r="L55" s="159">
        <f>SUM(K50:K55)</f>
        <v>721.69044542275049</v>
      </c>
      <c r="M55" s="143">
        <v>42460</v>
      </c>
    </row>
    <row r="56" spans="1:13" x14ac:dyDescent="0.25">
      <c r="A56" s="78">
        <v>42461</v>
      </c>
      <c r="B56" s="79" t="s">
        <v>246</v>
      </c>
      <c r="C56" s="153"/>
      <c r="D56" s="153">
        <v>150</v>
      </c>
      <c r="E56" s="153">
        <f t="shared" si="8"/>
        <v>1106086</v>
      </c>
      <c r="F56" s="153"/>
      <c r="G56" s="153">
        <f t="shared" si="9"/>
        <v>0.19772340970486313</v>
      </c>
      <c r="H56" s="153"/>
      <c r="I56" s="153">
        <f t="shared" si="10"/>
        <v>29.658511455729471</v>
      </c>
      <c r="J56" s="156">
        <f t="shared" si="11"/>
        <v>218699.09534681324</v>
      </c>
    </row>
    <row r="57" spans="1:13" x14ac:dyDescent="0.25">
      <c r="A57" s="78">
        <v>42464</v>
      </c>
      <c r="B57" s="79" t="s">
        <v>250</v>
      </c>
      <c r="C57" s="153"/>
      <c r="D57" s="153">
        <v>50</v>
      </c>
      <c r="E57" s="153">
        <f t="shared" si="8"/>
        <v>1106036</v>
      </c>
      <c r="F57" s="153"/>
      <c r="G57" s="153">
        <f t="shared" si="9"/>
        <v>0.19772340970486313</v>
      </c>
      <c r="H57" s="153"/>
      <c r="I57" s="153">
        <f t="shared" si="10"/>
        <v>9.8861704852431558</v>
      </c>
      <c r="J57" s="156">
        <f t="shared" si="11"/>
        <v>218689.209176328</v>
      </c>
    </row>
    <row r="58" spans="1:13" x14ac:dyDescent="0.25">
      <c r="A58" s="78">
        <v>42465</v>
      </c>
      <c r="B58" s="79" t="s">
        <v>254</v>
      </c>
      <c r="C58" s="153"/>
      <c r="D58" s="153">
        <v>50</v>
      </c>
      <c r="E58" s="153">
        <f t="shared" si="8"/>
        <v>1105986</v>
      </c>
      <c r="F58" s="153"/>
      <c r="G58" s="153">
        <f t="shared" si="9"/>
        <v>0.19772340970486313</v>
      </c>
      <c r="H58" s="153"/>
      <c r="I58" s="153">
        <f t="shared" si="10"/>
        <v>9.8861704852431558</v>
      </c>
      <c r="J58" s="156">
        <f t="shared" si="11"/>
        <v>218679.32300584277</v>
      </c>
    </row>
    <row r="59" spans="1:13" x14ac:dyDescent="0.25">
      <c r="A59" s="78">
        <v>42466</v>
      </c>
      <c r="B59" s="79" t="s">
        <v>257</v>
      </c>
      <c r="C59" s="153"/>
      <c r="D59" s="153">
        <v>200</v>
      </c>
      <c r="E59" s="153">
        <f t="shared" si="8"/>
        <v>1105786</v>
      </c>
      <c r="F59" s="153"/>
      <c r="G59" s="153">
        <f t="shared" si="9"/>
        <v>0.19772340970486316</v>
      </c>
      <c r="H59" s="153"/>
      <c r="I59" s="153">
        <f t="shared" si="10"/>
        <v>39.54468194097263</v>
      </c>
      <c r="J59" s="156">
        <f t="shared" si="11"/>
        <v>218639.77832390179</v>
      </c>
    </row>
    <row r="60" spans="1:13" x14ac:dyDescent="0.25">
      <c r="A60" s="78">
        <v>42466</v>
      </c>
      <c r="B60" s="79" t="s">
        <v>258</v>
      </c>
      <c r="C60" s="153"/>
      <c r="D60" s="153">
        <v>50</v>
      </c>
      <c r="E60" s="153">
        <f t="shared" si="8"/>
        <v>1105736</v>
      </c>
      <c r="F60" s="153"/>
      <c r="G60" s="153">
        <f t="shared" si="9"/>
        <v>0.19772340970486313</v>
      </c>
      <c r="H60" s="153"/>
      <c r="I60" s="153">
        <f t="shared" si="10"/>
        <v>9.8861704852431558</v>
      </c>
      <c r="J60" s="156">
        <f t="shared" si="11"/>
        <v>218629.89215341656</v>
      </c>
    </row>
    <row r="61" spans="1:13" x14ac:dyDescent="0.25">
      <c r="A61" s="78">
        <v>42467</v>
      </c>
      <c r="B61" s="79" t="s">
        <v>266</v>
      </c>
      <c r="C61" s="153"/>
      <c r="D61" s="153">
        <v>50</v>
      </c>
      <c r="E61" s="153">
        <f t="shared" si="8"/>
        <v>1105686</v>
      </c>
      <c r="F61" s="153"/>
      <c r="G61" s="153">
        <f t="shared" si="9"/>
        <v>0.19772340970486316</v>
      </c>
      <c r="H61" s="153"/>
      <c r="I61" s="153">
        <f t="shared" si="10"/>
        <v>9.8861704852431576</v>
      </c>
      <c r="J61" s="156">
        <f t="shared" si="11"/>
        <v>218620.00598293132</v>
      </c>
    </row>
    <row r="62" spans="1:13" x14ac:dyDescent="0.25">
      <c r="A62" s="78">
        <v>42471</v>
      </c>
      <c r="B62" s="79" t="s">
        <v>271</v>
      </c>
      <c r="C62" s="153"/>
      <c r="D62" s="153">
        <v>600</v>
      </c>
      <c r="E62" s="153">
        <f t="shared" si="8"/>
        <v>1105086</v>
      </c>
      <c r="F62" s="153"/>
      <c r="G62" s="153">
        <f t="shared" si="9"/>
        <v>0.19772340970486316</v>
      </c>
      <c r="H62" s="153"/>
      <c r="I62" s="153">
        <f t="shared" si="10"/>
        <v>118.6340458229179</v>
      </c>
      <c r="J62" s="156">
        <f t="shared" si="11"/>
        <v>218501.3719371084</v>
      </c>
    </row>
    <row r="63" spans="1:13" x14ac:dyDescent="0.25">
      <c r="A63" s="124">
        <v>42472</v>
      </c>
      <c r="B63" s="125" t="s">
        <v>272</v>
      </c>
      <c r="C63" s="157"/>
      <c r="D63" s="157">
        <v>500</v>
      </c>
      <c r="E63" s="157">
        <f t="shared" si="8"/>
        <v>1104586</v>
      </c>
      <c r="F63" s="157"/>
      <c r="G63" s="157">
        <f t="shared" si="9"/>
        <v>0.19772340970486316</v>
      </c>
      <c r="H63" s="157"/>
      <c r="I63" s="157">
        <f t="shared" si="10"/>
        <v>98.861704852431572</v>
      </c>
      <c r="J63" s="158">
        <f t="shared" si="11"/>
        <v>218402.51023225597</v>
      </c>
      <c r="K63" s="159">
        <f>SUM(I56:I63)</f>
        <v>326.2436260130242</v>
      </c>
      <c r="L63" s="160"/>
      <c r="M63" s="143">
        <v>42475</v>
      </c>
    </row>
    <row r="64" spans="1:13" x14ac:dyDescent="0.25">
      <c r="A64" s="78">
        <v>42478</v>
      </c>
      <c r="B64" s="79" t="s">
        <v>279</v>
      </c>
      <c r="C64" s="153"/>
      <c r="D64" s="153">
        <v>600</v>
      </c>
      <c r="E64" s="153">
        <f t="shared" si="8"/>
        <v>1103986</v>
      </c>
      <c r="F64" s="153"/>
      <c r="G64" s="153">
        <f t="shared" si="9"/>
        <v>0.19772340970486316</v>
      </c>
      <c r="H64" s="153"/>
      <c r="I64" s="153">
        <f t="shared" si="10"/>
        <v>118.6340458229179</v>
      </c>
      <c r="J64" s="156">
        <f t="shared" si="11"/>
        <v>218283.87618643304</v>
      </c>
    </row>
    <row r="65" spans="1:13" x14ac:dyDescent="0.25">
      <c r="A65" s="78">
        <v>42479</v>
      </c>
      <c r="B65" s="79" t="s">
        <v>280</v>
      </c>
      <c r="C65" s="153"/>
      <c r="D65" s="153">
        <v>700</v>
      </c>
      <c r="E65" s="153">
        <f t="shared" si="8"/>
        <v>1103286</v>
      </c>
      <c r="F65" s="153"/>
      <c r="G65" s="153">
        <f t="shared" si="9"/>
        <v>0.19772340970486316</v>
      </c>
      <c r="H65" s="153"/>
      <c r="I65" s="153">
        <f t="shared" si="10"/>
        <v>138.40638679340421</v>
      </c>
      <c r="J65" s="156">
        <f t="shared" si="11"/>
        <v>218145.46979963963</v>
      </c>
    </row>
    <row r="66" spans="1:13" x14ac:dyDescent="0.25">
      <c r="A66" s="78">
        <v>42481</v>
      </c>
      <c r="B66" s="79" t="s">
        <v>283</v>
      </c>
      <c r="C66" s="153"/>
      <c r="D66" s="153">
        <v>300</v>
      </c>
      <c r="E66" s="153">
        <f t="shared" si="8"/>
        <v>1102986</v>
      </c>
      <c r="F66" s="153"/>
      <c r="G66" s="153">
        <f t="shared" si="9"/>
        <v>0.19772340970486313</v>
      </c>
      <c r="H66" s="153"/>
      <c r="I66" s="153">
        <f t="shared" si="10"/>
        <v>59.317022911458942</v>
      </c>
      <c r="J66" s="156">
        <f t="shared" si="11"/>
        <v>218086.15277672818</v>
      </c>
    </row>
    <row r="67" spans="1:13" x14ac:dyDescent="0.25">
      <c r="A67" s="78">
        <v>42486</v>
      </c>
      <c r="B67" s="79" t="s">
        <v>296</v>
      </c>
      <c r="C67" s="153"/>
      <c r="D67" s="153">
        <v>700</v>
      </c>
      <c r="E67" s="153">
        <f t="shared" si="8"/>
        <v>1102286</v>
      </c>
      <c r="F67" s="153"/>
      <c r="G67" s="153">
        <f t="shared" si="9"/>
        <v>0.19772340970486316</v>
      </c>
      <c r="H67" s="153"/>
      <c r="I67" s="153">
        <f t="shared" si="10"/>
        <v>138.40638679340421</v>
      </c>
      <c r="J67" s="156">
        <f t="shared" si="11"/>
        <v>217947.74638993476</v>
      </c>
    </row>
    <row r="68" spans="1:13" x14ac:dyDescent="0.25">
      <c r="A68" s="124">
        <v>42488</v>
      </c>
      <c r="B68" s="125" t="s">
        <v>298</v>
      </c>
      <c r="C68" s="157"/>
      <c r="D68" s="157">
        <v>350</v>
      </c>
      <c r="E68" s="157">
        <f t="shared" si="8"/>
        <v>1101936</v>
      </c>
      <c r="F68" s="157"/>
      <c r="G68" s="157">
        <f t="shared" si="9"/>
        <v>0.19772340970486313</v>
      </c>
      <c r="H68" s="157"/>
      <c r="I68" s="157">
        <f t="shared" si="10"/>
        <v>69.20319339670209</v>
      </c>
      <c r="J68" s="158">
        <f t="shared" si="11"/>
        <v>217878.54319653806</v>
      </c>
      <c r="K68" s="159">
        <f>SUM(I64:I68)</f>
        <v>523.96703571788737</v>
      </c>
      <c r="L68" s="159">
        <f>SUM(K63:K68)</f>
        <v>850.21066173091162</v>
      </c>
      <c r="M68" s="143">
        <v>42490</v>
      </c>
    </row>
    <row r="69" spans="1:13" x14ac:dyDescent="0.25">
      <c r="A69" s="78">
        <v>42494</v>
      </c>
      <c r="B69" s="79" t="s">
        <v>303</v>
      </c>
      <c r="C69" s="153"/>
      <c r="D69" s="153">
        <v>50</v>
      </c>
      <c r="E69" s="153">
        <f t="shared" si="8"/>
        <v>1101886</v>
      </c>
      <c r="F69" s="153"/>
      <c r="G69" s="153">
        <f t="shared" si="9"/>
        <v>0.19772340970486313</v>
      </c>
      <c r="H69" s="153"/>
      <c r="I69" s="153">
        <f t="shared" si="10"/>
        <v>9.8861704852431558</v>
      </c>
      <c r="J69" s="156">
        <f t="shared" si="11"/>
        <v>217868.65702605282</v>
      </c>
    </row>
    <row r="70" spans="1:13" x14ac:dyDescent="0.25">
      <c r="A70" s="78">
        <v>42494</v>
      </c>
      <c r="B70" s="79" t="s">
        <v>305</v>
      </c>
      <c r="C70" s="153"/>
      <c r="D70" s="153">
        <v>300</v>
      </c>
      <c r="E70" s="153">
        <f t="shared" si="8"/>
        <v>1101586</v>
      </c>
      <c r="F70" s="153"/>
      <c r="G70" s="153">
        <f t="shared" si="9"/>
        <v>0.19772340970486313</v>
      </c>
      <c r="H70" s="153"/>
      <c r="I70" s="153">
        <f t="shared" si="10"/>
        <v>59.317022911458942</v>
      </c>
      <c r="J70" s="156">
        <f t="shared" si="11"/>
        <v>217809.34000314138</v>
      </c>
    </row>
    <row r="71" spans="1:13" x14ac:dyDescent="0.25">
      <c r="A71" s="78">
        <v>42494</v>
      </c>
      <c r="B71" s="79" t="s">
        <v>306</v>
      </c>
      <c r="C71" s="153"/>
      <c r="D71" s="153">
        <v>200</v>
      </c>
      <c r="E71" s="153">
        <f t="shared" si="8"/>
        <v>1101386</v>
      </c>
      <c r="F71" s="153"/>
      <c r="G71" s="153">
        <f t="shared" si="9"/>
        <v>0.19772340970486316</v>
      </c>
      <c r="H71" s="153"/>
      <c r="I71" s="153">
        <f t="shared" si="10"/>
        <v>39.54468194097263</v>
      </c>
      <c r="J71" s="156">
        <f t="shared" si="11"/>
        <v>217769.79532120039</v>
      </c>
    </row>
    <row r="72" spans="1:13" x14ac:dyDescent="0.25">
      <c r="A72" s="78">
        <v>42495</v>
      </c>
      <c r="B72" s="79" t="s">
        <v>309</v>
      </c>
      <c r="C72" s="153"/>
      <c r="D72" s="153">
        <v>100</v>
      </c>
      <c r="E72" s="153">
        <f t="shared" si="8"/>
        <v>1101286</v>
      </c>
      <c r="F72" s="153"/>
      <c r="G72" s="153">
        <f t="shared" si="9"/>
        <v>0.19772340970486313</v>
      </c>
      <c r="H72" s="153"/>
      <c r="I72" s="153">
        <f t="shared" si="10"/>
        <v>19.772340970486312</v>
      </c>
      <c r="J72" s="156">
        <f t="shared" si="11"/>
        <v>217750.0229802299</v>
      </c>
    </row>
    <row r="73" spans="1:13" x14ac:dyDescent="0.25">
      <c r="A73" s="78">
        <v>42496</v>
      </c>
      <c r="B73" s="79" t="s">
        <v>311</v>
      </c>
      <c r="C73" s="153"/>
      <c r="D73" s="153">
        <v>350</v>
      </c>
      <c r="E73" s="153">
        <f t="shared" si="8"/>
        <v>1100936</v>
      </c>
      <c r="F73" s="153"/>
      <c r="G73" s="153">
        <f t="shared" si="9"/>
        <v>0.19772340970486313</v>
      </c>
      <c r="H73" s="153"/>
      <c r="I73" s="153">
        <f t="shared" si="10"/>
        <v>69.20319339670209</v>
      </c>
      <c r="J73" s="156">
        <f t="shared" si="11"/>
        <v>217680.81978683319</v>
      </c>
    </row>
    <row r="74" spans="1:13" x14ac:dyDescent="0.25">
      <c r="A74" s="78">
        <v>42503</v>
      </c>
      <c r="B74" s="79" t="s">
        <v>323</v>
      </c>
      <c r="C74" s="153"/>
      <c r="D74" s="153">
        <v>100</v>
      </c>
      <c r="E74" s="153">
        <f t="shared" si="8"/>
        <v>1100836</v>
      </c>
      <c r="F74" s="153"/>
      <c r="G74" s="153">
        <f t="shared" si="9"/>
        <v>0.19772340970486313</v>
      </c>
      <c r="H74" s="153"/>
      <c r="I74" s="153">
        <f t="shared" si="10"/>
        <v>19.772340970486312</v>
      </c>
      <c r="J74" s="156">
        <f t="shared" si="11"/>
        <v>217661.0474458627</v>
      </c>
    </row>
    <row r="75" spans="1:13" x14ac:dyDescent="0.25">
      <c r="A75" s="124">
        <v>42504</v>
      </c>
      <c r="B75" s="125" t="s">
        <v>328</v>
      </c>
      <c r="C75" s="157"/>
      <c r="D75" s="157">
        <v>150</v>
      </c>
      <c r="E75" s="157">
        <f t="shared" si="8"/>
        <v>1100686</v>
      </c>
      <c r="F75" s="157"/>
      <c r="G75" s="157">
        <f t="shared" si="9"/>
        <v>0.19772340970486313</v>
      </c>
      <c r="H75" s="157"/>
      <c r="I75" s="157">
        <f t="shared" si="10"/>
        <v>29.658511455729471</v>
      </c>
      <c r="J75" s="158">
        <f t="shared" si="11"/>
        <v>217631.38893440698</v>
      </c>
      <c r="K75" s="159">
        <f>SUM(I69:I75)</f>
        <v>247.15426213107889</v>
      </c>
      <c r="L75" s="160"/>
      <c r="M75" s="143">
        <v>42505</v>
      </c>
    </row>
    <row r="76" spans="1:13" x14ac:dyDescent="0.25">
      <c r="A76" s="78">
        <v>42506</v>
      </c>
      <c r="B76" s="79" t="s">
        <v>334</v>
      </c>
      <c r="C76" s="153"/>
      <c r="D76" s="153">
        <v>100</v>
      </c>
      <c r="E76" s="153">
        <f t="shared" si="8"/>
        <v>1100586</v>
      </c>
      <c r="F76" s="153"/>
      <c r="G76" s="153">
        <f t="shared" si="9"/>
        <v>0.19772340970486313</v>
      </c>
      <c r="H76" s="153"/>
      <c r="I76" s="153">
        <f t="shared" si="10"/>
        <v>19.772340970486312</v>
      </c>
      <c r="J76" s="156">
        <f t="shared" si="11"/>
        <v>217611.61659343648</v>
      </c>
    </row>
    <row r="77" spans="1:13" x14ac:dyDescent="0.25">
      <c r="A77" s="78">
        <v>42507</v>
      </c>
      <c r="B77" s="79" t="s">
        <v>338</v>
      </c>
      <c r="C77" s="153"/>
      <c r="D77" s="153">
        <v>800</v>
      </c>
      <c r="E77" s="153">
        <f t="shared" si="8"/>
        <v>1099786</v>
      </c>
      <c r="F77" s="153"/>
      <c r="G77" s="153">
        <f t="shared" si="9"/>
        <v>0.19772340970486313</v>
      </c>
      <c r="H77" s="153"/>
      <c r="I77" s="153">
        <f t="shared" si="10"/>
        <v>158.17872776389049</v>
      </c>
      <c r="J77" s="156">
        <f t="shared" si="11"/>
        <v>217453.4378656726</v>
      </c>
    </row>
    <row r="78" spans="1:13" x14ac:dyDescent="0.25">
      <c r="A78" s="78">
        <v>42509</v>
      </c>
      <c r="B78" s="79" t="s">
        <v>341</v>
      </c>
      <c r="C78" s="153"/>
      <c r="D78" s="153">
        <v>300</v>
      </c>
      <c r="E78" s="153">
        <f t="shared" si="8"/>
        <v>1099486</v>
      </c>
      <c r="F78" s="153"/>
      <c r="G78" s="153">
        <f t="shared" si="9"/>
        <v>0.19772340970486313</v>
      </c>
      <c r="H78" s="153"/>
      <c r="I78" s="153">
        <f t="shared" si="10"/>
        <v>59.317022911458942</v>
      </c>
      <c r="J78" s="156">
        <f t="shared" si="11"/>
        <v>217394.12084276116</v>
      </c>
    </row>
    <row r="79" spans="1:13" x14ac:dyDescent="0.25">
      <c r="A79" s="124">
        <v>42510</v>
      </c>
      <c r="B79" s="125" t="s">
        <v>345</v>
      </c>
      <c r="C79" s="157"/>
      <c r="D79" s="157">
        <v>50</v>
      </c>
      <c r="E79" s="157">
        <f t="shared" si="8"/>
        <v>1099436</v>
      </c>
      <c r="F79" s="157"/>
      <c r="G79" s="157">
        <f t="shared" si="9"/>
        <v>0.19772340970486313</v>
      </c>
      <c r="H79" s="157"/>
      <c r="I79" s="157">
        <f t="shared" si="10"/>
        <v>9.8861704852431558</v>
      </c>
      <c r="J79" s="158">
        <f t="shared" si="11"/>
        <v>217384.23467227592</v>
      </c>
      <c r="K79" s="159">
        <f>SUM(I76:I79)</f>
        <v>247.15426213107889</v>
      </c>
      <c r="L79" s="159">
        <f>SUM(K75:K79)</f>
        <v>494.30852426215779</v>
      </c>
      <c r="M79" s="143">
        <v>42521</v>
      </c>
    </row>
    <row r="80" spans="1:13" x14ac:dyDescent="0.25">
      <c r="A80" s="78">
        <v>42522</v>
      </c>
      <c r="B80" s="79" t="s">
        <v>368</v>
      </c>
      <c r="C80" s="153"/>
      <c r="D80" s="153">
        <v>50</v>
      </c>
      <c r="E80" s="153">
        <f t="shared" si="8"/>
        <v>1099386</v>
      </c>
      <c r="F80" s="153"/>
      <c r="G80" s="153">
        <f t="shared" si="9"/>
        <v>0.19772340970486316</v>
      </c>
      <c r="H80" s="153"/>
      <c r="I80" s="153">
        <f t="shared" si="10"/>
        <v>9.8861704852431576</v>
      </c>
      <c r="J80" s="156">
        <f t="shared" si="11"/>
        <v>217374.34850179069</v>
      </c>
    </row>
    <row r="81" spans="1:13" x14ac:dyDescent="0.25">
      <c r="A81" s="78">
        <v>42522</v>
      </c>
      <c r="B81" s="79" t="s">
        <v>371</v>
      </c>
      <c r="C81" s="153"/>
      <c r="D81" s="153">
        <v>400</v>
      </c>
      <c r="E81" s="153">
        <f t="shared" si="8"/>
        <v>1098986</v>
      </c>
      <c r="F81" s="153"/>
      <c r="G81" s="153">
        <f t="shared" si="9"/>
        <v>0.19772340970486316</v>
      </c>
      <c r="H81" s="153"/>
      <c r="I81" s="153">
        <f t="shared" si="10"/>
        <v>79.08936388194526</v>
      </c>
      <c r="J81" s="156">
        <f t="shared" si="11"/>
        <v>217295.25913790875</v>
      </c>
    </row>
    <row r="82" spans="1:13" x14ac:dyDescent="0.25">
      <c r="A82" s="78">
        <v>42524</v>
      </c>
      <c r="B82" s="79" t="s">
        <v>376</v>
      </c>
      <c r="C82" s="153"/>
      <c r="D82" s="153">
        <v>300</v>
      </c>
      <c r="E82" s="153">
        <f t="shared" si="8"/>
        <v>1098686</v>
      </c>
      <c r="F82" s="153"/>
      <c r="G82" s="153">
        <f t="shared" si="9"/>
        <v>0.19772340970486316</v>
      </c>
      <c r="H82" s="153"/>
      <c r="I82" s="153">
        <f t="shared" si="10"/>
        <v>59.317022911458949</v>
      </c>
      <c r="J82" s="156">
        <f t="shared" si="11"/>
        <v>217235.94211499731</v>
      </c>
    </row>
    <row r="83" spans="1:13" x14ac:dyDescent="0.25">
      <c r="A83" s="78">
        <v>42525</v>
      </c>
      <c r="B83" s="79" t="s">
        <v>379</v>
      </c>
      <c r="C83" s="153"/>
      <c r="D83" s="153">
        <v>700</v>
      </c>
      <c r="E83" s="153">
        <f t="shared" si="8"/>
        <v>1097986</v>
      </c>
      <c r="F83" s="153"/>
      <c r="G83" s="153">
        <f t="shared" si="9"/>
        <v>0.19772340970486318</v>
      </c>
      <c r="H83" s="153"/>
      <c r="I83" s="153">
        <f t="shared" si="10"/>
        <v>138.40638679340424</v>
      </c>
      <c r="J83" s="156">
        <f t="shared" si="11"/>
        <v>217097.53572820389</v>
      </c>
    </row>
    <row r="84" spans="1:13" x14ac:dyDescent="0.25">
      <c r="A84" s="78">
        <v>42525</v>
      </c>
      <c r="B84" s="79" t="s">
        <v>382</v>
      </c>
      <c r="C84" s="153"/>
      <c r="D84" s="153">
        <v>700</v>
      </c>
      <c r="E84" s="153">
        <f t="shared" si="8"/>
        <v>1097286</v>
      </c>
      <c r="F84" s="153"/>
      <c r="G84" s="153">
        <f t="shared" si="9"/>
        <v>0.19772340970486316</v>
      </c>
      <c r="H84" s="153"/>
      <c r="I84" s="153">
        <f t="shared" si="10"/>
        <v>138.40638679340421</v>
      </c>
      <c r="J84" s="156">
        <f t="shared" si="11"/>
        <v>216959.12934141047</v>
      </c>
    </row>
    <row r="85" spans="1:13" x14ac:dyDescent="0.25">
      <c r="A85" s="78">
        <v>42528</v>
      </c>
      <c r="B85" s="79" t="s">
        <v>391</v>
      </c>
      <c r="C85" s="153"/>
      <c r="D85" s="153">
        <v>250</v>
      </c>
      <c r="E85" s="153">
        <f t="shared" si="8"/>
        <v>1097036</v>
      </c>
      <c r="F85" s="153"/>
      <c r="G85" s="153">
        <f t="shared" si="9"/>
        <v>0.19772340970486316</v>
      </c>
      <c r="H85" s="153"/>
      <c r="I85" s="153">
        <f t="shared" si="10"/>
        <v>49.430852426215786</v>
      </c>
      <c r="J85" s="156">
        <f t="shared" si="11"/>
        <v>216909.69848898426</v>
      </c>
    </row>
    <row r="86" spans="1:13" x14ac:dyDescent="0.25">
      <c r="A86" s="78">
        <v>42529</v>
      </c>
      <c r="B86" s="79" t="s">
        <v>395</v>
      </c>
      <c r="C86" s="153"/>
      <c r="D86" s="153">
        <v>50</v>
      </c>
      <c r="E86" s="153">
        <f t="shared" si="8"/>
        <v>1096986</v>
      </c>
      <c r="F86" s="153"/>
      <c r="G86" s="153">
        <f t="shared" si="9"/>
        <v>0.19772340970486316</v>
      </c>
      <c r="H86" s="153"/>
      <c r="I86" s="153">
        <f t="shared" si="10"/>
        <v>9.8861704852431576</v>
      </c>
      <c r="J86" s="156">
        <f t="shared" si="11"/>
        <v>216899.81231849903</v>
      </c>
    </row>
    <row r="87" spans="1:13" x14ac:dyDescent="0.25">
      <c r="A87" s="78">
        <v>42530</v>
      </c>
      <c r="B87" s="79" t="s">
        <v>398</v>
      </c>
      <c r="C87" s="153"/>
      <c r="D87" s="153">
        <v>200</v>
      </c>
      <c r="E87" s="153">
        <f t="shared" si="8"/>
        <v>1096786</v>
      </c>
      <c r="F87" s="153"/>
      <c r="G87" s="153">
        <f t="shared" si="9"/>
        <v>0.19772340970486316</v>
      </c>
      <c r="H87" s="153"/>
      <c r="I87" s="153">
        <f t="shared" si="10"/>
        <v>39.54468194097263</v>
      </c>
      <c r="J87" s="156">
        <f t="shared" si="11"/>
        <v>216860.26763655804</v>
      </c>
    </row>
    <row r="88" spans="1:13" x14ac:dyDescent="0.25">
      <c r="A88" s="78">
        <v>42531</v>
      </c>
      <c r="B88" s="79" t="s">
        <v>402</v>
      </c>
      <c r="C88" s="153"/>
      <c r="D88" s="153">
        <v>100</v>
      </c>
      <c r="E88" s="153">
        <f t="shared" si="8"/>
        <v>1096686</v>
      </c>
      <c r="F88" s="153"/>
      <c r="G88" s="153">
        <f t="shared" si="9"/>
        <v>0.19772340970486316</v>
      </c>
      <c r="H88" s="153"/>
      <c r="I88" s="153">
        <f t="shared" si="10"/>
        <v>19.772340970486315</v>
      </c>
      <c r="J88" s="156">
        <f t="shared" si="11"/>
        <v>216840.49529558755</v>
      </c>
    </row>
    <row r="89" spans="1:13" x14ac:dyDescent="0.25">
      <c r="A89" s="78">
        <v>42532</v>
      </c>
      <c r="B89" s="79" t="s">
        <v>406</v>
      </c>
      <c r="C89" s="153"/>
      <c r="D89" s="153">
        <v>250</v>
      </c>
      <c r="E89" s="153">
        <f t="shared" si="8"/>
        <v>1096436</v>
      </c>
      <c r="F89" s="153"/>
      <c r="G89" s="153">
        <f t="shared" si="9"/>
        <v>0.19772340970486316</v>
      </c>
      <c r="H89" s="153"/>
      <c r="I89" s="153">
        <f t="shared" si="10"/>
        <v>49.430852426215786</v>
      </c>
      <c r="J89" s="156">
        <f t="shared" si="11"/>
        <v>216791.06444316133</v>
      </c>
    </row>
    <row r="90" spans="1:13" x14ac:dyDescent="0.25">
      <c r="A90" s="124">
        <v>42536</v>
      </c>
      <c r="B90" s="125" t="s">
        <v>411</v>
      </c>
      <c r="C90" s="157"/>
      <c r="D90" s="157">
        <v>450</v>
      </c>
      <c r="E90" s="157">
        <f t="shared" si="8"/>
        <v>1095986</v>
      </c>
      <c r="F90" s="157"/>
      <c r="G90" s="157">
        <f t="shared" si="9"/>
        <v>0.19772340970486316</v>
      </c>
      <c r="H90" s="157"/>
      <c r="I90" s="157">
        <f t="shared" si="10"/>
        <v>88.975534367188416</v>
      </c>
      <c r="J90" s="158">
        <f t="shared" si="11"/>
        <v>216702.08890879413</v>
      </c>
      <c r="K90" s="159">
        <f>SUM(I80:I90)</f>
        <v>682.14576348177786</v>
      </c>
      <c r="L90" s="160"/>
      <c r="M90" s="143">
        <v>42536</v>
      </c>
    </row>
    <row r="91" spans="1:13" x14ac:dyDescent="0.25">
      <c r="A91" s="78">
        <v>42537</v>
      </c>
      <c r="B91" s="79" t="s">
        <v>413</v>
      </c>
      <c r="C91" s="153"/>
      <c r="D91" s="153">
        <v>200</v>
      </c>
      <c r="E91" s="153">
        <f t="shared" si="8"/>
        <v>1095786</v>
      </c>
      <c r="F91" s="153"/>
      <c r="G91" s="153">
        <f t="shared" si="9"/>
        <v>0.19772340970486313</v>
      </c>
      <c r="H91" s="153"/>
      <c r="I91" s="153">
        <f t="shared" si="10"/>
        <v>39.544681940972623</v>
      </c>
      <c r="J91" s="156">
        <f t="shared" si="11"/>
        <v>216662.54422685315</v>
      </c>
    </row>
    <row r="92" spans="1:13" x14ac:dyDescent="0.25">
      <c r="A92" s="78">
        <v>42541</v>
      </c>
      <c r="B92" s="79" t="s">
        <v>421</v>
      </c>
      <c r="C92" s="153"/>
      <c r="D92" s="153">
        <v>50</v>
      </c>
      <c r="E92" s="153">
        <f t="shared" si="8"/>
        <v>1095736</v>
      </c>
      <c r="F92" s="153"/>
      <c r="G92" s="153">
        <f t="shared" si="9"/>
        <v>0.19772340970486313</v>
      </c>
      <c r="H92" s="153"/>
      <c r="I92" s="153">
        <f t="shared" si="10"/>
        <v>9.8861704852431558</v>
      </c>
      <c r="J92" s="156">
        <f t="shared" si="11"/>
        <v>216652.65805636792</v>
      </c>
      <c r="L92" s="161"/>
    </row>
    <row r="93" spans="1:13" x14ac:dyDescent="0.25">
      <c r="A93" s="78">
        <v>42544</v>
      </c>
      <c r="B93" s="79" t="s">
        <v>423</v>
      </c>
      <c r="C93" s="153"/>
      <c r="D93" s="153">
        <v>350</v>
      </c>
      <c r="E93" s="153">
        <f t="shared" si="8"/>
        <v>1095386</v>
      </c>
      <c r="F93" s="153"/>
      <c r="G93" s="153">
        <f t="shared" si="9"/>
        <v>0.19772340970486313</v>
      </c>
      <c r="H93" s="153"/>
      <c r="I93" s="153">
        <f t="shared" si="10"/>
        <v>69.20319339670209</v>
      </c>
      <c r="J93" s="156">
        <f t="shared" si="11"/>
        <v>216583.45486297121</v>
      </c>
      <c r="K93" s="161"/>
    </row>
    <row r="94" spans="1:13" s="160" customFormat="1" x14ac:dyDescent="0.25">
      <c r="A94" s="124">
        <v>42551</v>
      </c>
      <c r="B94" s="125" t="s">
        <v>427</v>
      </c>
      <c r="C94" s="157"/>
      <c r="D94" s="157">
        <v>600</v>
      </c>
      <c r="E94" s="157">
        <f t="shared" si="8"/>
        <v>1094786</v>
      </c>
      <c r="F94" s="157"/>
      <c r="G94" s="157">
        <f t="shared" si="9"/>
        <v>0.19772340970486313</v>
      </c>
      <c r="H94" s="157"/>
      <c r="I94" s="157">
        <f t="shared" si="10"/>
        <v>118.63404582291788</v>
      </c>
      <c r="J94" s="158">
        <f t="shared" si="11"/>
        <v>216464.82081714828</v>
      </c>
      <c r="K94" s="159">
        <f>SUM(I91:I94)</f>
        <v>237.26809164583574</v>
      </c>
      <c r="L94" s="159">
        <f>SUM(K90:K94)</f>
        <v>919.4138551276136</v>
      </c>
      <c r="M94" s="143">
        <v>42551</v>
      </c>
    </row>
    <row r="95" spans="1:13" x14ac:dyDescent="0.25">
      <c r="A95" s="78">
        <v>42558</v>
      </c>
      <c r="B95" s="79" t="s">
        <v>442</v>
      </c>
      <c r="C95" s="153"/>
      <c r="D95" s="153">
        <v>200</v>
      </c>
      <c r="E95" s="153">
        <f t="shared" si="8"/>
        <v>1094586</v>
      </c>
      <c r="F95" s="153"/>
      <c r="G95" s="153">
        <f t="shared" si="9"/>
        <v>0.19772340970486313</v>
      </c>
      <c r="H95" s="153"/>
      <c r="I95" s="153">
        <f t="shared" si="10"/>
        <v>39.544681940972623</v>
      </c>
      <c r="J95" s="156">
        <f t="shared" si="11"/>
        <v>216425.2761352073</v>
      </c>
    </row>
    <row r="96" spans="1:13" s="160" customFormat="1" x14ac:dyDescent="0.25">
      <c r="A96" s="124">
        <v>42566</v>
      </c>
      <c r="B96" s="125" t="s">
        <v>450</v>
      </c>
      <c r="C96" s="157"/>
      <c r="D96" s="157">
        <v>250</v>
      </c>
      <c r="E96" s="157">
        <f t="shared" si="8"/>
        <v>1094336</v>
      </c>
      <c r="F96" s="157"/>
      <c r="G96" s="157">
        <f t="shared" si="9"/>
        <v>0.19772340970486313</v>
      </c>
      <c r="H96" s="157"/>
      <c r="I96" s="157">
        <f t="shared" si="10"/>
        <v>49.430852426215779</v>
      </c>
      <c r="J96" s="158">
        <f t="shared" si="11"/>
        <v>216375.84528278108</v>
      </c>
      <c r="K96" s="159">
        <f>SUM(I95:I96)</f>
        <v>88.975534367188402</v>
      </c>
      <c r="L96" s="159">
        <f>SUM(K96)</f>
        <v>88.975534367188402</v>
      </c>
      <c r="M96" s="143">
        <v>42566</v>
      </c>
    </row>
    <row r="97" spans="1:13" s="160" customFormat="1" x14ac:dyDescent="0.25">
      <c r="A97" s="124">
        <v>42597</v>
      </c>
      <c r="B97" s="125" t="s">
        <v>467</v>
      </c>
      <c r="C97" s="157"/>
      <c r="D97" s="157">
        <v>300</v>
      </c>
      <c r="E97" s="157">
        <f t="shared" si="8"/>
        <v>1094036</v>
      </c>
      <c r="F97" s="157"/>
      <c r="G97" s="157">
        <f t="shared" si="9"/>
        <v>0.19772340970486313</v>
      </c>
      <c r="H97" s="157"/>
      <c r="I97" s="157">
        <f t="shared" si="10"/>
        <v>59.317022911458942</v>
      </c>
      <c r="J97" s="158">
        <f t="shared" si="11"/>
        <v>216316.52825986964</v>
      </c>
      <c r="K97" s="159">
        <f>SUM(I97)</f>
        <v>59.317022911458942</v>
      </c>
      <c r="M97" s="143">
        <v>42597</v>
      </c>
    </row>
    <row r="98" spans="1:13" x14ac:dyDescent="0.25">
      <c r="A98" s="78">
        <v>42602</v>
      </c>
      <c r="B98" s="79" t="s">
        <v>473</v>
      </c>
      <c r="C98" s="153"/>
      <c r="D98" s="153">
        <v>150</v>
      </c>
      <c r="E98" s="153">
        <f t="shared" si="8"/>
        <v>1093886</v>
      </c>
      <c r="F98" s="153"/>
      <c r="G98" s="153">
        <f t="shared" si="9"/>
        <v>0.19772340970486313</v>
      </c>
      <c r="H98" s="153"/>
      <c r="I98" s="153">
        <f t="shared" si="10"/>
        <v>29.658511455729471</v>
      </c>
      <c r="J98" s="156">
        <f t="shared" si="11"/>
        <v>216286.86974841391</v>
      </c>
    </row>
    <row r="99" spans="1:13" x14ac:dyDescent="0.25">
      <c r="A99" s="78">
        <v>42604</v>
      </c>
      <c r="B99" s="79" t="s">
        <v>474</v>
      </c>
      <c r="C99" s="79"/>
      <c r="D99" s="155">
        <v>50</v>
      </c>
      <c r="E99" s="153">
        <f t="shared" si="8"/>
        <v>1093836</v>
      </c>
      <c r="F99" s="153"/>
      <c r="G99" s="153">
        <f t="shared" si="9"/>
        <v>0.19772340970486313</v>
      </c>
      <c r="H99" s="153"/>
      <c r="I99" s="153">
        <f t="shared" si="10"/>
        <v>9.8861704852431558</v>
      </c>
      <c r="J99" s="156">
        <f t="shared" si="11"/>
        <v>216276.98357792868</v>
      </c>
    </row>
    <row r="100" spans="1:13" x14ac:dyDescent="0.25">
      <c r="A100" s="78">
        <v>42606</v>
      </c>
      <c r="B100" s="79" t="s">
        <v>486</v>
      </c>
      <c r="C100" s="79"/>
      <c r="D100" s="52">
        <v>50</v>
      </c>
      <c r="E100" s="153">
        <f t="shared" si="8"/>
        <v>1093786</v>
      </c>
      <c r="F100" s="153"/>
      <c r="G100" s="153">
        <f t="shared" si="9"/>
        <v>0.19772340970486313</v>
      </c>
      <c r="H100" s="153"/>
      <c r="I100" s="153">
        <f t="shared" si="10"/>
        <v>9.8861704852431558</v>
      </c>
      <c r="J100" s="156">
        <f t="shared" si="11"/>
        <v>216267.09740744345</v>
      </c>
    </row>
    <row r="101" spans="1:13" s="160" customFormat="1" x14ac:dyDescent="0.25">
      <c r="A101" s="124">
        <v>42606</v>
      </c>
      <c r="B101" s="125" t="s">
        <v>488</v>
      </c>
      <c r="C101" s="125"/>
      <c r="D101" s="126">
        <v>100</v>
      </c>
      <c r="E101" s="157">
        <f t="shared" ref="E101:E112" si="12">+E100-D101</f>
        <v>1093686</v>
      </c>
      <c r="F101" s="157"/>
      <c r="G101" s="157">
        <f t="shared" ref="G101:G112" si="13">+J100/E100</f>
        <v>0.19772340970486316</v>
      </c>
      <c r="H101" s="157"/>
      <c r="I101" s="157">
        <f t="shared" ref="I101:I112" si="14">+D101*G101</f>
        <v>19.772340970486315</v>
      </c>
      <c r="J101" s="158">
        <f t="shared" ref="J101:J112" si="15">+J100-I101</f>
        <v>216247.32506647296</v>
      </c>
      <c r="K101" s="159">
        <f>SUM(I98:I101)</f>
        <v>69.20319339670209</v>
      </c>
      <c r="L101" s="159">
        <f>SUM(K97:K101)</f>
        <v>128.52021630816103</v>
      </c>
      <c r="M101" s="143">
        <v>42613</v>
      </c>
    </row>
    <row r="102" spans="1:13" x14ac:dyDescent="0.25">
      <c r="A102" s="78">
        <v>42632</v>
      </c>
      <c r="B102" s="79" t="s">
        <v>495</v>
      </c>
      <c r="C102" s="79"/>
      <c r="D102" s="52">
        <v>450</v>
      </c>
      <c r="E102" s="153">
        <f t="shared" si="12"/>
        <v>1093236</v>
      </c>
      <c r="F102" s="153"/>
      <c r="G102" s="153">
        <f t="shared" si="13"/>
        <v>0.19772340970486316</v>
      </c>
      <c r="H102" s="153"/>
      <c r="I102" s="153">
        <f t="shared" si="14"/>
        <v>88.975534367188416</v>
      </c>
      <c r="J102" s="156">
        <f t="shared" si="15"/>
        <v>216158.34953210576</v>
      </c>
    </row>
    <row r="103" spans="1:13" x14ac:dyDescent="0.25">
      <c r="A103" s="78">
        <v>42632</v>
      </c>
      <c r="B103" s="79" t="s">
        <v>496</v>
      </c>
      <c r="C103" s="79"/>
      <c r="D103" s="52">
        <v>1000</v>
      </c>
      <c r="E103" s="153">
        <f t="shared" si="12"/>
        <v>1092236</v>
      </c>
      <c r="F103" s="153"/>
      <c r="G103" s="153">
        <f t="shared" si="13"/>
        <v>0.19772340970486313</v>
      </c>
      <c r="H103" s="153"/>
      <c r="I103" s="153">
        <f t="shared" si="14"/>
        <v>197.72340970486312</v>
      </c>
      <c r="J103" s="156">
        <f t="shared" si="15"/>
        <v>215960.62612240089</v>
      </c>
      <c r="K103" s="161"/>
    </row>
    <row r="104" spans="1:13" x14ac:dyDescent="0.25">
      <c r="A104" s="78">
        <v>42632</v>
      </c>
      <c r="B104" s="79" t="s">
        <v>498</v>
      </c>
      <c r="C104" s="79"/>
      <c r="D104" s="52">
        <v>300</v>
      </c>
      <c r="E104" s="153">
        <f t="shared" si="12"/>
        <v>1091936</v>
      </c>
      <c r="F104" s="153"/>
      <c r="G104" s="153">
        <f t="shared" si="13"/>
        <v>0.19772340970486313</v>
      </c>
      <c r="H104" s="153"/>
      <c r="I104" s="153">
        <f t="shared" si="14"/>
        <v>59.317022911458942</v>
      </c>
      <c r="J104" s="156">
        <f t="shared" si="15"/>
        <v>215901.30909948944</v>
      </c>
    </row>
    <row r="105" spans="1:13" x14ac:dyDescent="0.25">
      <c r="A105" s="78">
        <v>42633</v>
      </c>
      <c r="B105" s="79" t="s">
        <v>501</v>
      </c>
      <c r="C105" s="79"/>
      <c r="D105" s="52">
        <v>700</v>
      </c>
      <c r="E105" s="153">
        <f t="shared" si="12"/>
        <v>1091236</v>
      </c>
      <c r="F105" s="153"/>
      <c r="G105" s="153">
        <f t="shared" si="13"/>
        <v>0.19772340970486316</v>
      </c>
      <c r="H105" s="153"/>
      <c r="I105" s="153">
        <f t="shared" si="14"/>
        <v>138.40638679340421</v>
      </c>
      <c r="J105" s="156">
        <f t="shared" si="15"/>
        <v>215762.90271269603</v>
      </c>
    </row>
    <row r="106" spans="1:13" x14ac:dyDescent="0.25">
      <c r="A106" s="78">
        <v>42635</v>
      </c>
      <c r="B106" s="79" t="s">
        <v>504</v>
      </c>
      <c r="C106" s="79"/>
      <c r="D106" s="52">
        <v>50</v>
      </c>
      <c r="E106" s="153">
        <f t="shared" si="12"/>
        <v>1091186</v>
      </c>
      <c r="F106" s="153"/>
      <c r="G106" s="153">
        <f t="shared" si="13"/>
        <v>0.19772340970486313</v>
      </c>
      <c r="H106" s="153"/>
      <c r="I106" s="153">
        <f t="shared" si="14"/>
        <v>9.8861704852431558</v>
      </c>
      <c r="J106" s="156">
        <f t="shared" si="15"/>
        <v>215753.0165422108</v>
      </c>
    </row>
    <row r="107" spans="1:13" x14ac:dyDescent="0.25">
      <c r="A107" s="78">
        <v>42636</v>
      </c>
      <c r="B107" s="79" t="s">
        <v>506</v>
      </c>
      <c r="C107" s="79"/>
      <c r="D107" s="52">
        <v>50</v>
      </c>
      <c r="E107" s="153">
        <f t="shared" si="12"/>
        <v>1091136</v>
      </c>
      <c r="F107" s="153"/>
      <c r="G107" s="153">
        <f t="shared" si="13"/>
        <v>0.19772340970486316</v>
      </c>
      <c r="H107" s="153"/>
      <c r="I107" s="153">
        <f t="shared" si="14"/>
        <v>9.8861704852431576</v>
      </c>
      <c r="J107" s="156">
        <f t="shared" si="15"/>
        <v>215743.13037172557</v>
      </c>
    </row>
    <row r="108" spans="1:13" s="160" customFormat="1" x14ac:dyDescent="0.25">
      <c r="A108" s="124">
        <v>42637</v>
      </c>
      <c r="B108" s="125" t="s">
        <v>508</v>
      </c>
      <c r="C108" s="125"/>
      <c r="D108" s="126">
        <v>100</v>
      </c>
      <c r="E108" s="157">
        <f t="shared" si="12"/>
        <v>1091036</v>
      </c>
      <c r="F108" s="157"/>
      <c r="G108" s="157">
        <f t="shared" si="13"/>
        <v>0.19772340970486316</v>
      </c>
      <c r="H108" s="157"/>
      <c r="I108" s="157">
        <f t="shared" si="14"/>
        <v>19.772340970486315</v>
      </c>
      <c r="J108" s="158">
        <f t="shared" si="15"/>
        <v>215723.35803075507</v>
      </c>
      <c r="K108" s="159">
        <f>SUM(I102:I108)</f>
        <v>523.96703571788726</v>
      </c>
      <c r="L108" s="159">
        <f>SUM(K108)</f>
        <v>523.96703571788726</v>
      </c>
      <c r="M108" s="143">
        <v>42643</v>
      </c>
    </row>
    <row r="109" spans="1:13" x14ac:dyDescent="0.25">
      <c r="A109" s="78">
        <v>42654</v>
      </c>
      <c r="B109" s="79" t="s">
        <v>517</v>
      </c>
      <c r="C109" s="79"/>
      <c r="D109" s="52">
        <v>350</v>
      </c>
      <c r="E109" s="153">
        <f t="shared" si="12"/>
        <v>1090686</v>
      </c>
      <c r="F109" s="153"/>
      <c r="G109" s="153">
        <f t="shared" si="13"/>
        <v>0.19772340970486316</v>
      </c>
      <c r="H109" s="153"/>
      <c r="I109" s="153">
        <f t="shared" si="14"/>
        <v>69.203193396702105</v>
      </c>
      <c r="J109" s="156">
        <f t="shared" si="15"/>
        <v>215654.15483735836</v>
      </c>
    </row>
    <row r="110" spans="1:13" x14ac:dyDescent="0.25">
      <c r="A110" s="78">
        <v>42654</v>
      </c>
      <c r="B110" s="79" t="s">
        <v>518</v>
      </c>
      <c r="C110" s="79"/>
      <c r="D110" s="52">
        <v>250</v>
      </c>
      <c r="E110" s="153">
        <f t="shared" si="12"/>
        <v>1090436</v>
      </c>
      <c r="F110" s="153"/>
      <c r="G110" s="153">
        <f t="shared" si="13"/>
        <v>0.19772340970486316</v>
      </c>
      <c r="H110" s="153"/>
      <c r="I110" s="153">
        <f t="shared" si="14"/>
        <v>49.430852426215786</v>
      </c>
      <c r="J110" s="156">
        <f t="shared" si="15"/>
        <v>215604.72398493215</v>
      </c>
    </row>
    <row r="111" spans="1:13" s="160" customFormat="1" x14ac:dyDescent="0.25">
      <c r="A111" s="124">
        <v>42657</v>
      </c>
      <c r="B111" s="125" t="s">
        <v>519</v>
      </c>
      <c r="C111" s="125"/>
      <c r="D111" s="126">
        <v>450</v>
      </c>
      <c r="E111" s="157">
        <f t="shared" si="12"/>
        <v>1089986</v>
      </c>
      <c r="F111" s="157"/>
      <c r="G111" s="157">
        <f t="shared" si="13"/>
        <v>0.19772340970486316</v>
      </c>
      <c r="H111" s="157"/>
      <c r="I111" s="157">
        <f t="shared" si="14"/>
        <v>88.975534367188416</v>
      </c>
      <c r="J111" s="158">
        <f t="shared" si="15"/>
        <v>215515.74845056495</v>
      </c>
      <c r="K111" s="159">
        <f>SUM(I109:I111)</f>
        <v>207.60958019010633</v>
      </c>
      <c r="M111" s="143">
        <v>42658</v>
      </c>
    </row>
    <row r="112" spans="1:13" x14ac:dyDescent="0.25">
      <c r="A112" s="78">
        <v>42660</v>
      </c>
      <c r="B112" s="79" t="s">
        <v>527</v>
      </c>
      <c r="C112" s="79"/>
      <c r="D112" s="52">
        <v>50</v>
      </c>
      <c r="E112" s="153">
        <f t="shared" si="12"/>
        <v>1089936</v>
      </c>
      <c r="F112" s="153"/>
      <c r="G112" s="153">
        <f t="shared" si="13"/>
        <v>0.19772340970486313</v>
      </c>
      <c r="H112" s="153"/>
      <c r="I112" s="153">
        <f t="shared" si="14"/>
        <v>9.8861704852431558</v>
      </c>
      <c r="J112" s="156">
        <f t="shared" si="15"/>
        <v>215505.86228007972</v>
      </c>
    </row>
    <row r="113" spans="1:13" x14ac:dyDescent="0.25">
      <c r="A113" s="78">
        <v>42662</v>
      </c>
      <c r="B113" s="79" t="s">
        <v>528</v>
      </c>
      <c r="C113" s="79"/>
      <c r="D113" s="52">
        <v>100</v>
      </c>
      <c r="E113" s="153">
        <f t="shared" ref="E113:E133" si="16">+E112-D113</f>
        <v>1089836</v>
      </c>
      <c r="F113" s="153"/>
      <c r="G113" s="153">
        <f t="shared" ref="G113:G133" si="17">+J112/E112</f>
        <v>0.19772340970486316</v>
      </c>
      <c r="H113" s="153"/>
      <c r="I113" s="153">
        <f t="shared" ref="I113:I133" si="18">+D113*G113</f>
        <v>19.772340970486315</v>
      </c>
      <c r="J113" s="156">
        <f t="shared" ref="J113:J133" si="19">+J112-I113</f>
        <v>215486.08993910922</v>
      </c>
    </row>
    <row r="114" spans="1:13" x14ac:dyDescent="0.25">
      <c r="A114" s="78">
        <v>42664</v>
      </c>
      <c r="B114" s="79" t="s">
        <v>532</v>
      </c>
      <c r="C114" s="79"/>
      <c r="D114" s="52">
        <v>100</v>
      </c>
      <c r="E114" s="153">
        <f t="shared" si="16"/>
        <v>1089736</v>
      </c>
      <c r="F114" s="153"/>
      <c r="G114" s="153">
        <f t="shared" si="17"/>
        <v>0.19772340970486313</v>
      </c>
      <c r="H114" s="153"/>
      <c r="I114" s="153">
        <f t="shared" si="18"/>
        <v>19.772340970486312</v>
      </c>
      <c r="J114" s="156">
        <f t="shared" si="19"/>
        <v>215466.31759813873</v>
      </c>
    </row>
    <row r="115" spans="1:13" x14ac:dyDescent="0.25">
      <c r="A115" s="78">
        <v>42664</v>
      </c>
      <c r="B115" s="79" t="s">
        <v>533</v>
      </c>
      <c r="C115" s="79"/>
      <c r="D115" s="52">
        <v>50</v>
      </c>
      <c r="E115" s="153">
        <f t="shared" si="16"/>
        <v>1089686</v>
      </c>
      <c r="F115" s="153"/>
      <c r="G115" s="153">
        <f t="shared" si="17"/>
        <v>0.19772340970486313</v>
      </c>
      <c r="H115" s="153"/>
      <c r="I115" s="153">
        <f t="shared" si="18"/>
        <v>9.8861704852431558</v>
      </c>
      <c r="J115" s="156">
        <f t="shared" si="19"/>
        <v>215456.4314276535</v>
      </c>
    </row>
    <row r="116" spans="1:13" x14ac:dyDescent="0.25">
      <c r="A116" s="78">
        <v>42665</v>
      </c>
      <c r="B116" s="79" t="s">
        <v>535</v>
      </c>
      <c r="C116" s="79"/>
      <c r="D116" s="52">
        <v>50</v>
      </c>
      <c r="E116" s="153">
        <f t="shared" si="16"/>
        <v>1089636</v>
      </c>
      <c r="F116" s="153"/>
      <c r="G116" s="153">
        <f t="shared" si="17"/>
        <v>0.19772340970486316</v>
      </c>
      <c r="H116" s="153"/>
      <c r="I116" s="153">
        <f t="shared" si="18"/>
        <v>9.8861704852431576</v>
      </c>
      <c r="J116" s="156">
        <f t="shared" si="19"/>
        <v>215446.54525716827</v>
      </c>
    </row>
    <row r="117" spans="1:13" x14ac:dyDescent="0.25">
      <c r="A117" s="78">
        <v>42667</v>
      </c>
      <c r="B117" s="79" t="s">
        <v>539</v>
      </c>
      <c r="C117" s="79"/>
      <c r="D117" s="52">
        <v>1000</v>
      </c>
      <c r="E117" s="153">
        <f t="shared" si="16"/>
        <v>1088636</v>
      </c>
      <c r="F117" s="153"/>
      <c r="G117" s="153">
        <f t="shared" si="17"/>
        <v>0.19772340970486316</v>
      </c>
      <c r="H117" s="153"/>
      <c r="I117" s="153">
        <f t="shared" si="18"/>
        <v>197.72340970486314</v>
      </c>
      <c r="J117" s="156">
        <f t="shared" si="19"/>
        <v>215248.8218474634</v>
      </c>
    </row>
    <row r="118" spans="1:13" s="160" customFormat="1" x14ac:dyDescent="0.25">
      <c r="A118" s="124">
        <v>42667</v>
      </c>
      <c r="B118" s="125" t="s">
        <v>540</v>
      </c>
      <c r="C118" s="125"/>
      <c r="D118" s="126">
        <v>600</v>
      </c>
      <c r="E118" s="157">
        <f t="shared" si="16"/>
        <v>1088036</v>
      </c>
      <c r="F118" s="157"/>
      <c r="G118" s="157">
        <f t="shared" si="17"/>
        <v>0.19772340970486316</v>
      </c>
      <c r="H118" s="157"/>
      <c r="I118" s="157">
        <f t="shared" si="18"/>
        <v>118.6340458229179</v>
      </c>
      <c r="J118" s="158">
        <f t="shared" si="19"/>
        <v>215130.18780164048</v>
      </c>
      <c r="K118" s="159">
        <f>SUM(I112:I118)</f>
        <v>385.56064892448308</v>
      </c>
      <c r="L118" s="159">
        <f>SUM(K111:K118)</f>
        <v>593.17022911458935</v>
      </c>
      <c r="M118" s="143">
        <v>42674</v>
      </c>
    </row>
    <row r="119" spans="1:13" x14ac:dyDescent="0.25">
      <c r="A119" s="78">
        <v>42677</v>
      </c>
      <c r="B119" s="79" t="s">
        <v>544</v>
      </c>
      <c r="C119" s="79"/>
      <c r="D119" s="52">
        <v>400</v>
      </c>
      <c r="E119" s="153">
        <f t="shared" si="16"/>
        <v>1087636</v>
      </c>
      <c r="F119" s="153"/>
      <c r="G119" s="153">
        <f t="shared" si="17"/>
        <v>0.19772340970486316</v>
      </c>
      <c r="H119" s="153"/>
      <c r="I119" s="153">
        <f t="shared" si="18"/>
        <v>79.08936388194526</v>
      </c>
      <c r="J119" s="156">
        <f t="shared" si="19"/>
        <v>215051.09843775854</v>
      </c>
    </row>
    <row r="120" spans="1:13" s="160" customFormat="1" x14ac:dyDescent="0.25">
      <c r="A120" s="124">
        <v>42688</v>
      </c>
      <c r="B120" s="125" t="s">
        <v>555</v>
      </c>
      <c r="C120" s="125"/>
      <c r="D120" s="126">
        <v>500</v>
      </c>
      <c r="E120" s="157">
        <f t="shared" si="16"/>
        <v>1087136</v>
      </c>
      <c r="F120" s="157"/>
      <c r="G120" s="157">
        <f t="shared" si="17"/>
        <v>0.19772340970486316</v>
      </c>
      <c r="H120" s="157"/>
      <c r="I120" s="157">
        <f t="shared" si="18"/>
        <v>98.861704852431572</v>
      </c>
      <c r="J120" s="158">
        <f t="shared" si="19"/>
        <v>214952.23673290611</v>
      </c>
      <c r="K120" s="159">
        <f>SUM(I119:I120)</f>
        <v>177.95106873437683</v>
      </c>
      <c r="M120" s="143">
        <v>42689</v>
      </c>
    </row>
    <row r="121" spans="1:13" x14ac:dyDescent="0.25">
      <c r="A121" s="78">
        <v>42692</v>
      </c>
      <c r="B121" s="79" t="s">
        <v>565</v>
      </c>
      <c r="C121" s="79"/>
      <c r="D121" s="52">
        <v>100</v>
      </c>
      <c r="E121" s="153">
        <f t="shared" si="16"/>
        <v>1087036</v>
      </c>
      <c r="F121" s="153"/>
      <c r="G121" s="153">
        <f t="shared" si="17"/>
        <v>0.19772340970486316</v>
      </c>
      <c r="H121" s="153"/>
      <c r="I121" s="153">
        <f t="shared" si="18"/>
        <v>19.772340970486315</v>
      </c>
      <c r="J121" s="156">
        <f t="shared" si="19"/>
        <v>214932.46439193562</v>
      </c>
    </row>
    <row r="122" spans="1:13" x14ac:dyDescent="0.25">
      <c r="A122" s="78">
        <v>42693</v>
      </c>
      <c r="B122" s="79" t="s">
        <v>566</v>
      </c>
      <c r="C122" s="79"/>
      <c r="D122" s="52">
        <v>75</v>
      </c>
      <c r="E122" s="153">
        <f t="shared" si="16"/>
        <v>1086961</v>
      </c>
      <c r="F122" s="153"/>
      <c r="G122" s="153">
        <f t="shared" si="17"/>
        <v>0.19772340970486316</v>
      </c>
      <c r="H122" s="153"/>
      <c r="I122" s="153">
        <f t="shared" si="18"/>
        <v>14.829255727864737</v>
      </c>
      <c r="J122" s="156">
        <f t="shared" si="19"/>
        <v>214917.63513620774</v>
      </c>
    </row>
    <row r="123" spans="1:13" x14ac:dyDescent="0.25">
      <c r="A123" s="78">
        <v>42697</v>
      </c>
      <c r="B123" s="79" t="s">
        <v>568</v>
      </c>
      <c r="C123" s="79"/>
      <c r="D123" s="52">
        <v>50</v>
      </c>
      <c r="E123" s="153">
        <f t="shared" si="16"/>
        <v>1086911</v>
      </c>
      <c r="F123" s="153"/>
      <c r="G123" s="153">
        <f t="shared" si="17"/>
        <v>0.19772340970486313</v>
      </c>
      <c r="H123" s="153"/>
      <c r="I123" s="153">
        <f t="shared" si="18"/>
        <v>9.8861704852431558</v>
      </c>
      <c r="J123" s="156">
        <f t="shared" si="19"/>
        <v>214907.74896572251</v>
      </c>
    </row>
    <row r="124" spans="1:13" x14ac:dyDescent="0.25">
      <c r="A124" s="78">
        <v>42703</v>
      </c>
      <c r="B124" s="79" t="s">
        <v>579</v>
      </c>
      <c r="C124" s="79"/>
      <c r="D124" s="52">
        <v>500</v>
      </c>
      <c r="E124" s="153">
        <f t="shared" si="16"/>
        <v>1086411</v>
      </c>
      <c r="F124" s="153"/>
      <c r="G124" s="153">
        <f t="shared" si="17"/>
        <v>0.19772340970486316</v>
      </c>
      <c r="H124" s="153"/>
      <c r="I124" s="153">
        <f t="shared" si="18"/>
        <v>98.861704852431572</v>
      </c>
      <c r="J124" s="156">
        <f t="shared" si="19"/>
        <v>214808.88726087008</v>
      </c>
    </row>
    <row r="125" spans="1:13" x14ac:dyDescent="0.25">
      <c r="A125" s="78">
        <v>42703</v>
      </c>
      <c r="B125" s="79" t="s">
        <v>580</v>
      </c>
      <c r="C125" s="79"/>
      <c r="D125" s="52">
        <v>0</v>
      </c>
      <c r="E125" s="153">
        <f t="shared" si="16"/>
        <v>1086411</v>
      </c>
      <c r="F125" s="153"/>
      <c r="G125" s="153">
        <f t="shared" si="17"/>
        <v>0.19772340970486316</v>
      </c>
      <c r="H125" s="153"/>
      <c r="I125" s="153">
        <f t="shared" si="18"/>
        <v>0</v>
      </c>
      <c r="J125" s="156">
        <f t="shared" si="19"/>
        <v>214808.88726087008</v>
      </c>
    </row>
    <row r="126" spans="1:13" s="160" customFormat="1" x14ac:dyDescent="0.25">
      <c r="A126" s="124">
        <v>42704</v>
      </c>
      <c r="B126" s="125" t="s">
        <v>583</v>
      </c>
      <c r="C126" s="125"/>
      <c r="D126" s="126">
        <v>450</v>
      </c>
      <c r="E126" s="157">
        <f t="shared" si="16"/>
        <v>1085961</v>
      </c>
      <c r="F126" s="157"/>
      <c r="G126" s="157">
        <f t="shared" si="17"/>
        <v>0.19772340970486316</v>
      </c>
      <c r="H126" s="157"/>
      <c r="I126" s="157">
        <f t="shared" si="18"/>
        <v>88.975534367188416</v>
      </c>
      <c r="J126" s="158">
        <f t="shared" si="19"/>
        <v>214719.91172650288</v>
      </c>
      <c r="K126" s="159">
        <f>SUM(I121:I126)</f>
        <v>232.32500640321422</v>
      </c>
      <c r="L126" s="159">
        <f>SUM(K120:K126)</f>
        <v>410.27607513759108</v>
      </c>
      <c r="M126" s="143">
        <v>42704</v>
      </c>
    </row>
    <row r="127" spans="1:13" x14ac:dyDescent="0.25">
      <c r="A127" s="78">
        <v>42706</v>
      </c>
      <c r="B127" s="79" t="s">
        <v>588</v>
      </c>
      <c r="C127" s="79"/>
      <c r="D127" s="52">
        <v>150</v>
      </c>
      <c r="E127" s="153">
        <f t="shared" si="16"/>
        <v>1085811</v>
      </c>
      <c r="F127" s="153"/>
      <c r="G127" s="153">
        <f t="shared" si="17"/>
        <v>0.19772340970486313</v>
      </c>
      <c r="H127" s="153"/>
      <c r="I127" s="153">
        <f t="shared" si="18"/>
        <v>29.658511455729471</v>
      </c>
      <c r="J127" s="156">
        <f t="shared" si="19"/>
        <v>214690.25321504715</v>
      </c>
    </row>
    <row r="128" spans="1:13" x14ac:dyDescent="0.25">
      <c r="A128" s="78">
        <v>42710</v>
      </c>
      <c r="B128" s="79" t="s">
        <v>595</v>
      </c>
      <c r="C128" s="79"/>
      <c r="D128" s="52">
        <v>100</v>
      </c>
      <c r="E128" s="153">
        <f t="shared" si="16"/>
        <v>1085711</v>
      </c>
      <c r="F128" s="153"/>
      <c r="G128" s="153">
        <f t="shared" si="17"/>
        <v>0.19772340970486313</v>
      </c>
      <c r="H128" s="153"/>
      <c r="I128" s="153">
        <f t="shared" si="18"/>
        <v>19.772340970486312</v>
      </c>
      <c r="J128" s="156">
        <f t="shared" si="19"/>
        <v>214670.48087407666</v>
      </c>
    </row>
    <row r="129" spans="1:13" x14ac:dyDescent="0.25">
      <c r="A129" s="78">
        <v>42710</v>
      </c>
      <c r="B129" s="79" t="s">
        <v>597</v>
      </c>
      <c r="C129" s="79"/>
      <c r="D129" s="52">
        <v>200</v>
      </c>
      <c r="E129" s="153">
        <f t="shared" si="16"/>
        <v>1085511</v>
      </c>
      <c r="F129" s="153"/>
      <c r="G129" s="153">
        <f t="shared" si="17"/>
        <v>0.19772340970486313</v>
      </c>
      <c r="H129" s="153"/>
      <c r="I129" s="153">
        <f t="shared" si="18"/>
        <v>39.544681940972623</v>
      </c>
      <c r="J129" s="156">
        <f t="shared" si="19"/>
        <v>214630.93619213568</v>
      </c>
    </row>
    <row r="130" spans="1:13" x14ac:dyDescent="0.25">
      <c r="A130" s="78">
        <v>42716</v>
      </c>
      <c r="B130" s="79" t="s">
        <v>605</v>
      </c>
      <c r="C130" s="79"/>
      <c r="D130" s="52">
        <v>200</v>
      </c>
      <c r="E130" s="153">
        <f t="shared" si="16"/>
        <v>1085311</v>
      </c>
      <c r="F130" s="153"/>
      <c r="G130" s="153">
        <f t="shared" si="17"/>
        <v>0.19772340970486313</v>
      </c>
      <c r="H130" s="153"/>
      <c r="I130" s="153">
        <f t="shared" si="18"/>
        <v>39.544681940972623</v>
      </c>
      <c r="J130" s="156">
        <f t="shared" si="19"/>
        <v>214591.39151019469</v>
      </c>
    </row>
    <row r="131" spans="1:13" s="160" customFormat="1" x14ac:dyDescent="0.25">
      <c r="A131" s="124">
        <v>42719</v>
      </c>
      <c r="B131" s="125" t="s">
        <v>610</v>
      </c>
      <c r="C131" s="125"/>
      <c r="D131" s="126">
        <v>250</v>
      </c>
      <c r="E131" s="157">
        <f t="shared" si="16"/>
        <v>1085061</v>
      </c>
      <c r="F131" s="157"/>
      <c r="G131" s="157">
        <f t="shared" si="17"/>
        <v>0.1977234097048631</v>
      </c>
      <c r="H131" s="157"/>
      <c r="I131" s="157">
        <f t="shared" si="18"/>
        <v>49.430852426215772</v>
      </c>
      <c r="J131" s="158">
        <f t="shared" si="19"/>
        <v>214541.96065776848</v>
      </c>
      <c r="K131" s="159">
        <f>SUM(I127:I131)</f>
        <v>177.9510687343768</v>
      </c>
      <c r="M131" s="143">
        <v>42719</v>
      </c>
    </row>
    <row r="132" spans="1:13" x14ac:dyDescent="0.25">
      <c r="A132" s="78">
        <v>42731</v>
      </c>
      <c r="B132" s="79" t="s">
        <v>631</v>
      </c>
      <c r="C132" s="79"/>
      <c r="D132" s="52">
        <v>50</v>
      </c>
      <c r="E132" s="153">
        <f t="shared" si="16"/>
        <v>1085011</v>
      </c>
      <c r="F132" s="153"/>
      <c r="G132" s="153">
        <f t="shared" si="17"/>
        <v>0.1977234097048631</v>
      </c>
      <c r="H132" s="153"/>
      <c r="I132" s="153">
        <f t="shared" si="18"/>
        <v>9.8861704852431558</v>
      </c>
      <c r="J132" s="156">
        <f t="shared" si="19"/>
        <v>214532.07448728324</v>
      </c>
    </row>
    <row r="133" spans="1:13" s="160" customFormat="1" x14ac:dyDescent="0.25">
      <c r="A133" s="124">
        <v>42735</v>
      </c>
      <c r="B133" s="125" t="s">
        <v>634</v>
      </c>
      <c r="C133" s="125"/>
      <c r="D133" s="126">
        <v>200</v>
      </c>
      <c r="E133" s="157">
        <f t="shared" si="16"/>
        <v>1084811</v>
      </c>
      <c r="F133" s="157"/>
      <c r="G133" s="157">
        <f t="shared" si="17"/>
        <v>0.19772340970486313</v>
      </c>
      <c r="H133" s="157"/>
      <c r="I133" s="157">
        <f t="shared" si="18"/>
        <v>39.544681940972623</v>
      </c>
      <c r="J133" s="158">
        <f t="shared" si="19"/>
        <v>214492.52980534226</v>
      </c>
      <c r="K133" s="159">
        <f>SUM(I132:I133)</f>
        <v>49.430852426215779</v>
      </c>
      <c r="L133" s="159">
        <f>SUM(K131:K133)</f>
        <v>227.38192116059258</v>
      </c>
      <c r="M133" s="143">
        <v>42735</v>
      </c>
    </row>
    <row r="134" spans="1:13" ht="11" thickBot="1" x14ac:dyDescent="0.3">
      <c r="A134" s="240"/>
      <c r="B134" s="219" t="s">
        <v>638</v>
      </c>
      <c r="C134" s="243">
        <f>SUM(C11:C133)</f>
        <v>1120531</v>
      </c>
      <c r="D134" s="243">
        <f>SUM(D11:D133)</f>
        <v>35720</v>
      </c>
      <c r="E134" s="241"/>
      <c r="F134" s="241"/>
      <c r="G134" s="241"/>
      <c r="H134" s="243">
        <f t="shared" ref="H134:I134" si="20">SUM(H11:H133)</f>
        <v>221555.21</v>
      </c>
      <c r="I134" s="243">
        <f t="shared" si="20"/>
        <v>7062.6801946577216</v>
      </c>
      <c r="J134" s="242"/>
    </row>
    <row r="135" spans="1:13" s="38" customFormat="1" x14ac:dyDescent="0.25">
      <c r="A135" s="174" t="s">
        <v>639</v>
      </c>
      <c r="B135" s="39"/>
      <c r="G135" s="140"/>
      <c r="H135" s="140"/>
      <c r="I135" s="140"/>
      <c r="J135" s="140"/>
    </row>
    <row r="136" spans="1:13" s="38" customFormat="1" x14ac:dyDescent="0.25">
      <c r="A136" s="174" t="s">
        <v>642</v>
      </c>
      <c r="B136" s="39"/>
      <c r="G136" s="140"/>
      <c r="H136" s="140"/>
      <c r="I136" s="140"/>
      <c r="J136" s="28">
        <f>+E133*F11</f>
        <v>214492.52980534229</v>
      </c>
    </row>
    <row r="137" spans="1:13" s="38" customFormat="1" x14ac:dyDescent="0.25">
      <c r="A137" s="174" t="s">
        <v>640</v>
      </c>
      <c r="B137" s="39"/>
      <c r="G137" s="140"/>
      <c r="H137" s="140"/>
      <c r="I137" s="140"/>
      <c r="J137" s="175">
        <f>+J133</f>
        <v>214492.52980534226</v>
      </c>
    </row>
    <row r="138" spans="1:13" s="38" customFormat="1" ht="11" thickBot="1" x14ac:dyDescent="0.3">
      <c r="A138" s="174"/>
      <c r="B138" s="39" t="s">
        <v>641</v>
      </c>
      <c r="G138" s="140"/>
      <c r="H138" s="140"/>
      <c r="I138" s="140"/>
      <c r="J138" s="202">
        <f>+J136-J137</f>
        <v>0</v>
      </c>
    </row>
    <row r="139" spans="1:13" s="38" customFormat="1" ht="11" thickTop="1" x14ac:dyDescent="0.25">
      <c r="D139" s="216"/>
      <c r="E139" s="154"/>
      <c r="F139" s="154"/>
      <c r="G139" s="154"/>
      <c r="H139" s="154"/>
      <c r="I139" s="154"/>
      <c r="J139" s="154"/>
    </row>
    <row r="140" spans="1:13" s="38" customFormat="1" x14ac:dyDescent="0.25">
      <c r="D140" s="216"/>
      <c r="E140" s="154"/>
      <c r="F140" s="154"/>
      <c r="G140" s="154"/>
      <c r="H140" s="154"/>
      <c r="I140" s="154"/>
      <c r="J140" s="154"/>
    </row>
    <row r="141" spans="1:13" s="38" customFormat="1" x14ac:dyDescent="0.25">
      <c r="D141" s="216"/>
      <c r="E141" s="154"/>
      <c r="F141" s="154"/>
      <c r="G141" s="154"/>
      <c r="H141" s="154"/>
      <c r="I141" s="154"/>
      <c r="J141" s="154"/>
    </row>
    <row r="142" spans="1:13" s="38" customFormat="1" x14ac:dyDescent="0.25">
      <c r="D142" s="216"/>
      <c r="E142" s="154"/>
      <c r="F142" s="154"/>
      <c r="G142" s="154"/>
      <c r="H142" s="154"/>
      <c r="I142" s="154"/>
      <c r="J142" s="154"/>
    </row>
    <row r="143" spans="1:13" s="38" customFormat="1" x14ac:dyDescent="0.25">
      <c r="D143" s="216"/>
      <c r="E143" s="154"/>
      <c r="F143" s="154"/>
      <c r="G143" s="154"/>
      <c r="H143" s="154"/>
      <c r="I143" s="154"/>
      <c r="J143" s="154"/>
    </row>
    <row r="144" spans="1:13" s="38" customFormat="1" x14ac:dyDescent="0.25">
      <c r="D144" s="216"/>
      <c r="E144" s="154"/>
      <c r="F144" s="154"/>
      <c r="G144" s="154"/>
      <c r="H144" s="154"/>
      <c r="I144" s="154"/>
      <c r="J144" s="154"/>
    </row>
    <row r="145" spans="4:10" s="38" customFormat="1" x14ac:dyDescent="0.25">
      <c r="D145" s="216"/>
      <c r="E145" s="154"/>
      <c r="F145" s="154"/>
      <c r="G145" s="154"/>
      <c r="H145" s="154"/>
      <c r="I145" s="154"/>
      <c r="J145" s="154"/>
    </row>
    <row r="146" spans="4:10" s="38" customFormat="1" x14ac:dyDescent="0.25">
      <c r="D146" s="216"/>
      <c r="E146" s="154"/>
      <c r="F146" s="154"/>
      <c r="G146" s="154"/>
      <c r="H146" s="154"/>
      <c r="I146" s="154"/>
      <c r="J146" s="154"/>
    </row>
    <row r="147" spans="4:10" s="38" customFormat="1" x14ac:dyDescent="0.25">
      <c r="D147" s="216"/>
      <c r="E147" s="154"/>
      <c r="F147" s="154"/>
      <c r="G147" s="154"/>
      <c r="H147" s="154"/>
      <c r="I147" s="154"/>
      <c r="J147" s="154"/>
    </row>
    <row r="148" spans="4:10" s="38" customFormat="1" x14ac:dyDescent="0.25">
      <c r="D148" s="216"/>
      <c r="E148" s="154"/>
      <c r="F148" s="154"/>
      <c r="G148" s="154"/>
      <c r="H148" s="154"/>
      <c r="I148" s="154"/>
      <c r="J148" s="154"/>
    </row>
    <row r="149" spans="4:10" s="38" customFormat="1" x14ac:dyDescent="0.25">
      <c r="D149" s="216"/>
      <c r="E149" s="154"/>
      <c r="F149" s="154"/>
      <c r="G149" s="154"/>
      <c r="H149" s="154"/>
      <c r="I149" s="154"/>
      <c r="J149" s="154"/>
    </row>
    <row r="150" spans="4:10" s="38" customFormat="1" x14ac:dyDescent="0.25">
      <c r="D150" s="216"/>
      <c r="E150" s="154"/>
      <c r="F150" s="154"/>
      <c r="G150" s="154"/>
      <c r="H150" s="154"/>
      <c r="I150" s="154"/>
      <c r="J150" s="154"/>
    </row>
    <row r="151" spans="4:10" s="38" customFormat="1" x14ac:dyDescent="0.25">
      <c r="D151" s="216"/>
      <c r="E151" s="154"/>
      <c r="F151" s="154"/>
      <c r="G151" s="154"/>
      <c r="H151" s="154"/>
      <c r="I151" s="154"/>
      <c r="J151" s="154"/>
    </row>
    <row r="152" spans="4:10" s="38" customFormat="1" x14ac:dyDescent="0.25">
      <c r="D152" s="216"/>
      <c r="E152" s="154"/>
      <c r="F152" s="154"/>
      <c r="G152" s="154"/>
      <c r="H152" s="154"/>
      <c r="I152" s="154"/>
      <c r="J152" s="154"/>
    </row>
    <row r="153" spans="4:10" s="38" customFormat="1" x14ac:dyDescent="0.25">
      <c r="D153" s="216"/>
      <c r="E153" s="154"/>
      <c r="F153" s="154"/>
      <c r="G153" s="154"/>
      <c r="H153" s="154"/>
      <c r="I153" s="154"/>
      <c r="J153" s="154"/>
    </row>
    <row r="154" spans="4:10" s="38" customFormat="1" x14ac:dyDescent="0.25">
      <c r="D154" s="216"/>
      <c r="E154" s="154"/>
      <c r="F154" s="154"/>
      <c r="G154" s="154"/>
      <c r="H154" s="154"/>
      <c r="I154" s="154"/>
      <c r="J154" s="154"/>
    </row>
    <row r="155" spans="4:10" s="38" customFormat="1" x14ac:dyDescent="0.25">
      <c r="D155" s="216"/>
      <c r="E155" s="154"/>
      <c r="F155" s="154"/>
      <c r="G155" s="154"/>
      <c r="H155" s="154"/>
      <c r="I155" s="154"/>
      <c r="J155" s="154"/>
    </row>
    <row r="156" spans="4:10" s="38" customFormat="1" x14ac:dyDescent="0.25">
      <c r="D156" s="216"/>
      <c r="E156" s="154"/>
      <c r="F156" s="154"/>
      <c r="G156" s="154"/>
      <c r="H156" s="154"/>
      <c r="I156" s="154"/>
      <c r="J156" s="154"/>
    </row>
    <row r="157" spans="4:10" s="38" customFormat="1" x14ac:dyDescent="0.25">
      <c r="D157" s="216"/>
      <c r="E157" s="154"/>
      <c r="F157" s="154"/>
      <c r="G157" s="154"/>
      <c r="H157" s="154"/>
      <c r="I157" s="154"/>
      <c r="J157" s="154"/>
    </row>
    <row r="158" spans="4:10" s="38" customFormat="1" x14ac:dyDescent="0.25">
      <c r="D158" s="216"/>
      <c r="E158" s="154"/>
      <c r="F158" s="154"/>
      <c r="G158" s="154"/>
      <c r="H158" s="154"/>
      <c r="I158" s="154"/>
      <c r="J158" s="154"/>
    </row>
    <row r="159" spans="4:10" s="38" customFormat="1" x14ac:dyDescent="0.25">
      <c r="D159" s="216"/>
      <c r="E159" s="154"/>
      <c r="F159" s="154"/>
      <c r="G159" s="154"/>
      <c r="H159" s="154"/>
      <c r="I159" s="154"/>
      <c r="J159" s="154"/>
    </row>
    <row r="160" spans="4:10" s="38" customFormat="1" x14ac:dyDescent="0.25">
      <c r="D160" s="216"/>
      <c r="E160" s="154"/>
      <c r="F160" s="154"/>
      <c r="G160" s="154"/>
      <c r="H160" s="154"/>
      <c r="I160" s="154"/>
      <c r="J160" s="154"/>
    </row>
    <row r="161" spans="4:10" s="38" customFormat="1" x14ac:dyDescent="0.25">
      <c r="D161" s="216"/>
      <c r="E161" s="154"/>
      <c r="F161" s="154"/>
      <c r="G161" s="154"/>
      <c r="H161" s="154"/>
      <c r="I161" s="154"/>
      <c r="J161" s="154"/>
    </row>
    <row r="162" spans="4:10" s="38" customFormat="1" x14ac:dyDescent="0.25">
      <c r="D162" s="216"/>
      <c r="E162" s="154"/>
      <c r="F162" s="154"/>
      <c r="G162" s="154"/>
      <c r="H162" s="154"/>
      <c r="I162" s="154"/>
      <c r="J162" s="154"/>
    </row>
    <row r="163" spans="4:10" s="38" customFormat="1" x14ac:dyDescent="0.25">
      <c r="D163" s="216"/>
      <c r="E163" s="154"/>
      <c r="F163" s="154"/>
      <c r="G163" s="154"/>
      <c r="H163" s="154"/>
      <c r="I163" s="154"/>
      <c r="J163" s="154"/>
    </row>
    <row r="164" spans="4:10" s="38" customFormat="1" x14ac:dyDescent="0.25">
      <c r="D164" s="216"/>
      <c r="E164" s="154"/>
      <c r="F164" s="154"/>
      <c r="G164" s="154"/>
      <c r="H164" s="154"/>
      <c r="I164" s="154"/>
      <c r="J164" s="154"/>
    </row>
    <row r="165" spans="4:10" s="38" customFormat="1" x14ac:dyDescent="0.25">
      <c r="D165" s="216"/>
      <c r="E165" s="154"/>
      <c r="F165" s="154"/>
      <c r="G165" s="154"/>
      <c r="H165" s="154"/>
      <c r="I165" s="154"/>
      <c r="J165" s="154"/>
    </row>
    <row r="166" spans="4:10" s="38" customFormat="1" x14ac:dyDescent="0.25">
      <c r="D166" s="216"/>
      <c r="E166" s="154"/>
      <c r="F166" s="154"/>
      <c r="G166" s="154"/>
      <c r="H166" s="154"/>
      <c r="I166" s="154"/>
      <c r="J166" s="154"/>
    </row>
    <row r="167" spans="4:10" s="38" customFormat="1" x14ac:dyDescent="0.25">
      <c r="D167" s="216"/>
      <c r="E167" s="154"/>
      <c r="F167" s="154"/>
      <c r="G167" s="154"/>
      <c r="H167" s="154"/>
      <c r="I167" s="154"/>
      <c r="J167" s="154"/>
    </row>
    <row r="168" spans="4:10" s="38" customFormat="1" x14ac:dyDescent="0.25">
      <c r="D168" s="216"/>
      <c r="E168" s="154"/>
      <c r="F168" s="154"/>
      <c r="G168" s="154"/>
      <c r="H168" s="154"/>
      <c r="I168" s="154"/>
      <c r="J168" s="154"/>
    </row>
    <row r="169" spans="4:10" s="38" customFormat="1" x14ac:dyDescent="0.25">
      <c r="D169" s="216"/>
      <c r="E169" s="154"/>
      <c r="F169" s="154"/>
      <c r="G169" s="154"/>
      <c r="H169" s="154"/>
      <c r="I169" s="154"/>
      <c r="J169" s="154"/>
    </row>
    <row r="170" spans="4:10" s="38" customFormat="1" x14ac:dyDescent="0.25">
      <c r="D170" s="216"/>
      <c r="E170" s="154"/>
      <c r="F170" s="154"/>
      <c r="G170" s="154"/>
      <c r="H170" s="154"/>
      <c r="I170" s="154"/>
      <c r="J170" s="154"/>
    </row>
    <row r="171" spans="4:10" s="38" customFormat="1" x14ac:dyDescent="0.25">
      <c r="D171" s="216"/>
      <c r="E171" s="154"/>
      <c r="F171" s="154"/>
      <c r="G171" s="154"/>
      <c r="H171" s="154"/>
      <c r="I171" s="154"/>
      <c r="J171" s="154"/>
    </row>
    <row r="172" spans="4:10" s="38" customFormat="1" x14ac:dyDescent="0.25">
      <c r="D172" s="216"/>
      <c r="E172" s="154"/>
      <c r="F172" s="154"/>
      <c r="G172" s="154"/>
      <c r="H172" s="154"/>
      <c r="I172" s="154"/>
      <c r="J172" s="154"/>
    </row>
    <row r="173" spans="4:10" s="38" customFormat="1" x14ac:dyDescent="0.25">
      <c r="D173" s="216"/>
      <c r="E173" s="154"/>
      <c r="F173" s="154"/>
      <c r="G173" s="154"/>
      <c r="H173" s="154"/>
      <c r="I173" s="154"/>
      <c r="J173" s="154"/>
    </row>
    <row r="174" spans="4:10" s="38" customFormat="1" x14ac:dyDescent="0.25">
      <c r="D174" s="216"/>
      <c r="E174" s="154"/>
      <c r="F174" s="154"/>
      <c r="G174" s="154"/>
      <c r="H174" s="154"/>
      <c r="I174" s="154"/>
      <c r="J174" s="154"/>
    </row>
    <row r="175" spans="4:10" s="38" customFormat="1" x14ac:dyDescent="0.25">
      <c r="D175" s="216"/>
      <c r="E175" s="154"/>
      <c r="F175" s="154"/>
      <c r="G175" s="154"/>
      <c r="H175" s="154"/>
      <c r="I175" s="154"/>
      <c r="J175" s="154"/>
    </row>
    <row r="176" spans="4:10" s="38" customFormat="1" x14ac:dyDescent="0.25">
      <c r="D176" s="216"/>
      <c r="E176" s="154"/>
      <c r="F176" s="154"/>
      <c r="G176" s="154"/>
      <c r="H176" s="154"/>
      <c r="I176" s="154"/>
      <c r="J176" s="154"/>
    </row>
    <row r="177" spans="4:10" s="38" customFormat="1" x14ac:dyDescent="0.25">
      <c r="D177" s="216"/>
      <c r="E177" s="154"/>
      <c r="F177" s="154"/>
      <c r="G177" s="154"/>
      <c r="H177" s="154"/>
      <c r="I177" s="154"/>
      <c r="J177" s="154"/>
    </row>
    <row r="178" spans="4:10" s="38" customFormat="1" x14ac:dyDescent="0.25">
      <c r="D178" s="216"/>
      <c r="E178" s="154"/>
      <c r="F178" s="154"/>
      <c r="G178" s="154"/>
      <c r="H178" s="154"/>
      <c r="I178" s="154"/>
      <c r="J178" s="154"/>
    </row>
    <row r="179" spans="4:10" s="38" customFormat="1" x14ac:dyDescent="0.25">
      <c r="D179" s="216"/>
      <c r="E179" s="154"/>
      <c r="F179" s="154"/>
      <c r="G179" s="154"/>
      <c r="H179" s="154"/>
      <c r="I179" s="154"/>
      <c r="J179" s="154"/>
    </row>
    <row r="180" spans="4:10" s="38" customFormat="1" x14ac:dyDescent="0.25">
      <c r="D180" s="216"/>
      <c r="E180" s="154"/>
      <c r="F180" s="154"/>
      <c r="G180" s="154"/>
      <c r="H180" s="154"/>
      <c r="I180" s="154"/>
      <c r="J180" s="154"/>
    </row>
    <row r="181" spans="4:10" s="38" customFormat="1" x14ac:dyDescent="0.25">
      <c r="D181" s="216"/>
      <c r="E181" s="154"/>
      <c r="F181" s="154"/>
      <c r="G181" s="154"/>
      <c r="H181" s="154"/>
      <c r="I181" s="154"/>
      <c r="J181" s="154"/>
    </row>
    <row r="182" spans="4:10" s="38" customFormat="1" x14ac:dyDescent="0.25">
      <c r="D182" s="216"/>
      <c r="E182" s="154"/>
      <c r="F182" s="154"/>
      <c r="G182" s="154"/>
      <c r="H182" s="154"/>
      <c r="I182" s="154"/>
      <c r="J182" s="154"/>
    </row>
    <row r="183" spans="4:10" s="38" customFormat="1" x14ac:dyDescent="0.25">
      <c r="D183" s="216"/>
      <c r="E183" s="154"/>
      <c r="F183" s="154"/>
      <c r="G183" s="154"/>
      <c r="H183" s="154"/>
      <c r="I183" s="154"/>
      <c r="J183" s="154"/>
    </row>
    <row r="184" spans="4:10" s="38" customFormat="1" x14ac:dyDescent="0.25">
      <c r="D184" s="216"/>
      <c r="E184" s="154"/>
      <c r="F184" s="154"/>
      <c r="G184" s="154"/>
      <c r="H184" s="154"/>
      <c r="I184" s="154"/>
      <c r="J184" s="154"/>
    </row>
    <row r="185" spans="4:10" s="38" customFormat="1" x14ac:dyDescent="0.25">
      <c r="D185" s="216"/>
      <c r="E185" s="154"/>
      <c r="F185" s="154"/>
      <c r="G185" s="154"/>
      <c r="H185" s="154"/>
      <c r="I185" s="154"/>
      <c r="J185" s="154"/>
    </row>
    <row r="186" spans="4:10" s="38" customFormat="1" x14ac:dyDescent="0.25">
      <c r="D186" s="216"/>
      <c r="E186" s="154"/>
      <c r="F186" s="154"/>
      <c r="G186" s="154"/>
      <c r="H186" s="154"/>
      <c r="I186" s="154"/>
      <c r="J186" s="154"/>
    </row>
    <row r="187" spans="4:10" s="38" customFormat="1" x14ac:dyDescent="0.25">
      <c r="D187" s="216"/>
      <c r="E187" s="154"/>
      <c r="F187" s="154"/>
      <c r="G187" s="154"/>
      <c r="H187" s="154"/>
      <c r="I187" s="154"/>
      <c r="J187" s="154"/>
    </row>
    <row r="188" spans="4:10" s="38" customFormat="1" x14ac:dyDescent="0.25">
      <c r="D188" s="216"/>
      <c r="E188" s="154"/>
      <c r="F188" s="154"/>
      <c r="G188" s="154"/>
      <c r="H188" s="154"/>
      <c r="I188" s="154"/>
      <c r="J188" s="154"/>
    </row>
    <row r="189" spans="4:10" s="38" customFormat="1" x14ac:dyDescent="0.25">
      <c r="D189" s="216"/>
      <c r="E189" s="154"/>
      <c r="F189" s="154"/>
      <c r="G189" s="154"/>
      <c r="H189" s="154"/>
      <c r="I189" s="154"/>
      <c r="J189" s="154"/>
    </row>
    <row r="190" spans="4:10" s="38" customFormat="1" x14ac:dyDescent="0.25">
      <c r="D190" s="216"/>
      <c r="E190" s="154"/>
      <c r="F190" s="154"/>
      <c r="G190" s="154"/>
      <c r="H190" s="154"/>
      <c r="I190" s="154"/>
      <c r="J190" s="154"/>
    </row>
    <row r="191" spans="4:10" s="38" customFormat="1" x14ac:dyDescent="0.25">
      <c r="D191" s="216"/>
      <c r="E191" s="154"/>
      <c r="F191" s="154"/>
      <c r="G191" s="154"/>
      <c r="H191" s="154"/>
      <c r="I191" s="154"/>
      <c r="J191" s="154"/>
    </row>
    <row r="192" spans="4:10" s="38" customFormat="1" x14ac:dyDescent="0.25">
      <c r="D192" s="216"/>
      <c r="E192" s="154"/>
      <c r="F192" s="154"/>
      <c r="G192" s="154"/>
      <c r="H192" s="154"/>
      <c r="I192" s="154"/>
      <c r="J192" s="154"/>
    </row>
    <row r="193" spans="4:10" s="38" customFormat="1" x14ac:dyDescent="0.25">
      <c r="D193" s="216"/>
      <c r="E193" s="154"/>
      <c r="F193" s="154"/>
      <c r="G193" s="154"/>
      <c r="H193" s="154"/>
      <c r="I193" s="154"/>
      <c r="J193" s="154"/>
    </row>
    <row r="194" spans="4:10" s="38" customFormat="1" x14ac:dyDescent="0.25">
      <c r="D194" s="216"/>
      <c r="E194" s="154"/>
      <c r="F194" s="154"/>
      <c r="G194" s="154"/>
      <c r="H194" s="154"/>
      <c r="I194" s="154"/>
      <c r="J194" s="154"/>
    </row>
    <row r="195" spans="4:10" s="38" customFormat="1" x14ac:dyDescent="0.25">
      <c r="D195" s="216"/>
      <c r="E195" s="154"/>
      <c r="F195" s="154"/>
      <c r="G195" s="154"/>
      <c r="H195" s="154"/>
      <c r="I195" s="154"/>
      <c r="J195" s="154"/>
    </row>
    <row r="196" spans="4:10" s="38" customFormat="1" x14ac:dyDescent="0.25">
      <c r="D196" s="216"/>
      <c r="E196" s="154"/>
      <c r="F196" s="154"/>
      <c r="G196" s="154"/>
      <c r="H196" s="154"/>
      <c r="I196" s="154"/>
      <c r="J196" s="154"/>
    </row>
    <row r="197" spans="4:10" s="38" customFormat="1" x14ac:dyDescent="0.25">
      <c r="D197" s="216"/>
      <c r="E197" s="154"/>
      <c r="F197" s="154"/>
      <c r="G197" s="154"/>
      <c r="H197" s="154"/>
      <c r="I197" s="154"/>
      <c r="J197" s="154"/>
    </row>
    <row r="198" spans="4:10" s="38" customFormat="1" x14ac:dyDescent="0.25">
      <c r="D198" s="216"/>
      <c r="E198" s="154"/>
      <c r="F198" s="154"/>
      <c r="G198" s="154"/>
      <c r="H198" s="154"/>
      <c r="I198" s="154"/>
      <c r="J198" s="154"/>
    </row>
    <row r="199" spans="4:10" s="38" customFormat="1" x14ac:dyDescent="0.25">
      <c r="D199" s="216"/>
      <c r="E199" s="154"/>
      <c r="F199" s="154"/>
      <c r="G199" s="154"/>
      <c r="H199" s="154"/>
      <c r="I199" s="154"/>
      <c r="J199" s="154"/>
    </row>
    <row r="200" spans="4:10" s="38" customFormat="1" x14ac:dyDescent="0.25">
      <c r="D200" s="216"/>
      <c r="E200" s="154"/>
      <c r="F200" s="154"/>
      <c r="G200" s="154"/>
      <c r="H200" s="154"/>
      <c r="I200" s="154"/>
      <c r="J200" s="154"/>
    </row>
    <row r="201" spans="4:10" s="38" customFormat="1" x14ac:dyDescent="0.25">
      <c r="D201" s="216"/>
      <c r="E201" s="154"/>
      <c r="F201" s="154"/>
      <c r="G201" s="154"/>
      <c r="H201" s="154"/>
      <c r="I201" s="154"/>
      <c r="J201" s="154"/>
    </row>
    <row r="202" spans="4:10" s="38" customFormat="1" x14ac:dyDescent="0.25">
      <c r="D202" s="216"/>
      <c r="E202" s="154"/>
      <c r="F202" s="154"/>
      <c r="G202" s="154"/>
      <c r="H202" s="154"/>
      <c r="I202" s="154"/>
      <c r="J202" s="154"/>
    </row>
    <row r="203" spans="4:10" s="38" customFormat="1" x14ac:dyDescent="0.25">
      <c r="D203" s="216"/>
      <c r="E203" s="154"/>
      <c r="F203" s="154"/>
      <c r="G203" s="154"/>
      <c r="H203" s="154"/>
      <c r="I203" s="154"/>
      <c r="J203" s="154"/>
    </row>
    <row r="204" spans="4:10" s="38" customFormat="1" x14ac:dyDescent="0.25">
      <c r="D204" s="216"/>
      <c r="E204" s="154"/>
      <c r="F204" s="154"/>
      <c r="G204" s="154"/>
      <c r="H204" s="154"/>
      <c r="I204" s="154"/>
      <c r="J204" s="154"/>
    </row>
    <row r="205" spans="4:10" s="38" customFormat="1" x14ac:dyDescent="0.25">
      <c r="D205" s="216"/>
      <c r="E205" s="154"/>
      <c r="F205" s="154"/>
      <c r="G205" s="154"/>
      <c r="H205" s="154"/>
      <c r="I205" s="154"/>
      <c r="J205" s="154"/>
    </row>
    <row r="206" spans="4:10" s="38" customFormat="1" x14ac:dyDescent="0.25">
      <c r="D206" s="216"/>
      <c r="E206" s="154"/>
      <c r="F206" s="154"/>
      <c r="G206" s="154"/>
      <c r="H206" s="154"/>
      <c r="I206" s="154"/>
      <c r="J206" s="154"/>
    </row>
    <row r="207" spans="4:10" s="38" customFormat="1" x14ac:dyDescent="0.25"/>
  </sheetData>
  <mergeCells count="5">
    <mergeCell ref="D4:H4"/>
    <mergeCell ref="C9:E9"/>
    <mergeCell ref="F9:G9"/>
    <mergeCell ref="H9:J9"/>
    <mergeCell ref="D5:G5"/>
  </mergeCells>
  <pageMargins left="0.70866141732283472" right="0.70866141732283472" top="0.74803149606299213" bottom="0.74803149606299213" header="0.31496062992125984" footer="0.31496062992125984"/>
  <pageSetup scale="7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47"/>
  <sheetViews>
    <sheetView topLeftCell="A28" workbookViewId="0">
      <selection activeCell="J42" sqref="J42"/>
    </sheetView>
  </sheetViews>
  <sheetFormatPr baseColWidth="10" defaultRowHeight="14.5" x14ac:dyDescent="0.35"/>
  <cols>
    <col min="2" max="2" width="41.08984375" customWidth="1"/>
    <col min="11" max="13" width="10.81640625" customWidth="1"/>
  </cols>
  <sheetData>
    <row r="1" spans="1:13" x14ac:dyDescent="0.35">
      <c r="A1" s="1" t="s">
        <v>0</v>
      </c>
      <c r="B1" s="2"/>
      <c r="C1" s="35"/>
      <c r="D1" s="35"/>
      <c r="E1" s="35"/>
      <c r="F1" s="35"/>
      <c r="G1" s="35"/>
      <c r="H1" s="36" t="s">
        <v>1</v>
      </c>
      <c r="I1" s="35"/>
      <c r="J1" s="145"/>
      <c r="K1" s="140"/>
      <c r="L1" s="140"/>
      <c r="M1" s="140"/>
    </row>
    <row r="2" spans="1:13" x14ac:dyDescent="0.35">
      <c r="A2" s="6" t="s">
        <v>2</v>
      </c>
      <c r="B2" s="7"/>
      <c r="C2" s="38"/>
      <c r="D2" s="38"/>
      <c r="E2" s="38"/>
      <c r="F2" s="38"/>
      <c r="G2" s="38"/>
      <c r="H2" s="39" t="s">
        <v>34</v>
      </c>
      <c r="I2" s="38"/>
      <c r="J2" s="146"/>
      <c r="K2" s="140"/>
      <c r="L2" s="140"/>
      <c r="M2" s="140"/>
    </row>
    <row r="3" spans="1:13" x14ac:dyDescent="0.35">
      <c r="A3" s="11" t="s">
        <v>4</v>
      </c>
      <c r="B3" s="12"/>
      <c r="C3" s="38"/>
      <c r="D3" s="38"/>
      <c r="E3" s="38"/>
      <c r="F3" s="38"/>
      <c r="G3" s="38"/>
      <c r="H3" s="39" t="s">
        <v>32</v>
      </c>
      <c r="I3" s="38"/>
      <c r="J3" s="146"/>
      <c r="K3" s="140"/>
      <c r="L3" s="140"/>
      <c r="M3" s="140"/>
    </row>
    <row r="4" spans="1:13" x14ac:dyDescent="0.35">
      <c r="A4" s="15"/>
      <c r="B4" s="38"/>
      <c r="C4" s="38"/>
      <c r="D4" s="275" t="s">
        <v>6</v>
      </c>
      <c r="E4" s="275"/>
      <c r="F4" s="275"/>
      <c r="G4" s="275"/>
      <c r="H4" s="275"/>
      <c r="I4" s="38"/>
      <c r="J4" s="146"/>
      <c r="K4" s="140"/>
      <c r="L4" s="140"/>
      <c r="M4" s="140"/>
    </row>
    <row r="5" spans="1:13" x14ac:dyDescent="0.35">
      <c r="A5" s="15"/>
      <c r="B5" s="41"/>
      <c r="C5" s="38"/>
      <c r="D5" s="281" t="s">
        <v>63</v>
      </c>
      <c r="E5" s="281"/>
      <c r="F5" s="281"/>
      <c r="G5" s="281"/>
      <c r="H5" s="38"/>
      <c r="I5" s="38"/>
      <c r="J5" s="146"/>
      <c r="K5" s="140"/>
      <c r="L5" s="140"/>
      <c r="M5" s="140"/>
    </row>
    <row r="6" spans="1:13" x14ac:dyDescent="0.35">
      <c r="A6" s="15"/>
      <c r="B6" s="41"/>
      <c r="C6" s="38"/>
      <c r="D6" s="291" t="s">
        <v>7</v>
      </c>
      <c r="E6" s="291"/>
      <c r="F6" s="291"/>
      <c r="G6" s="291"/>
      <c r="H6" s="38"/>
      <c r="I6" s="38"/>
      <c r="J6" s="146"/>
      <c r="K6" s="140"/>
      <c r="L6" s="140"/>
      <c r="M6" s="140"/>
    </row>
    <row r="7" spans="1:13" x14ac:dyDescent="0.35">
      <c r="A7" s="15"/>
      <c r="B7" s="38"/>
      <c r="C7" s="38"/>
      <c r="D7" s="38"/>
      <c r="E7" s="38"/>
      <c r="F7" s="38"/>
      <c r="G7" s="38"/>
      <c r="H7" s="38"/>
      <c r="I7" s="38"/>
      <c r="J7" s="146"/>
      <c r="K7" s="140"/>
      <c r="L7" s="140"/>
      <c r="M7" s="140"/>
    </row>
    <row r="8" spans="1:13" x14ac:dyDescent="0.35">
      <c r="A8" s="15"/>
      <c r="B8" s="38"/>
      <c r="C8" s="38"/>
      <c r="D8" s="38"/>
      <c r="E8" s="38"/>
      <c r="F8" s="38"/>
      <c r="G8" s="38"/>
      <c r="H8" s="38"/>
      <c r="I8" s="38"/>
      <c r="J8" s="146"/>
      <c r="K8" s="140"/>
      <c r="L8" s="140"/>
      <c r="M8" s="140"/>
    </row>
    <row r="9" spans="1:13" x14ac:dyDescent="0.35">
      <c r="A9" s="253" t="s">
        <v>8</v>
      </c>
      <c r="B9" s="254" t="s">
        <v>9</v>
      </c>
      <c r="C9" s="283" t="s">
        <v>10</v>
      </c>
      <c r="D9" s="284"/>
      <c r="E9" s="285"/>
      <c r="F9" s="286" t="s">
        <v>11</v>
      </c>
      <c r="G9" s="287"/>
      <c r="H9" s="283" t="s">
        <v>12</v>
      </c>
      <c r="I9" s="284"/>
      <c r="J9" s="288"/>
      <c r="K9" s="140"/>
      <c r="L9" s="140"/>
      <c r="M9" s="140"/>
    </row>
    <row r="10" spans="1:13" x14ac:dyDescent="0.35">
      <c r="A10" s="151"/>
      <c r="B10" s="152"/>
      <c r="C10" s="256" t="s">
        <v>26</v>
      </c>
      <c r="D10" s="256" t="s">
        <v>15</v>
      </c>
      <c r="E10" s="256" t="s">
        <v>21</v>
      </c>
      <c r="F10" s="256" t="s">
        <v>17</v>
      </c>
      <c r="G10" s="256" t="s">
        <v>18</v>
      </c>
      <c r="H10" s="256" t="s">
        <v>19</v>
      </c>
      <c r="I10" s="256" t="s">
        <v>20</v>
      </c>
      <c r="J10" s="256" t="s">
        <v>21</v>
      </c>
      <c r="K10" s="140"/>
      <c r="L10" s="140"/>
      <c r="M10" s="140"/>
    </row>
    <row r="11" spans="1:13" x14ac:dyDescent="0.35">
      <c r="A11" s="78">
        <v>42371</v>
      </c>
      <c r="B11" s="79" t="s">
        <v>35</v>
      </c>
      <c r="C11" s="52">
        <f>+'[1]tiraf 63-63'!$E$43</f>
        <v>288850</v>
      </c>
      <c r="D11" s="52"/>
      <c r="E11" s="52">
        <f>+C11</f>
        <v>288850</v>
      </c>
      <c r="F11" s="52">
        <f>+H11/C11</f>
        <v>0.17457334256534535</v>
      </c>
      <c r="G11" s="216"/>
      <c r="H11" s="259">
        <v>50425.51</v>
      </c>
      <c r="I11" s="52"/>
      <c r="J11" s="80">
        <f>+H11</f>
        <v>50425.51</v>
      </c>
      <c r="K11" s="140"/>
      <c r="L11" s="140"/>
      <c r="M11" s="140"/>
    </row>
    <row r="12" spans="1:13" x14ac:dyDescent="0.35">
      <c r="A12" s="78">
        <v>42376</v>
      </c>
      <c r="B12" s="79" t="s">
        <v>48</v>
      </c>
      <c r="C12" s="52"/>
      <c r="D12" s="52">
        <v>50</v>
      </c>
      <c r="E12" s="52">
        <f>+E11-D12</f>
        <v>288800</v>
      </c>
      <c r="F12" s="52"/>
      <c r="G12" s="52">
        <f>+J11/E11</f>
        <v>0.17457334256534535</v>
      </c>
      <c r="H12" s="52"/>
      <c r="I12" s="52">
        <f>+D12*G12</f>
        <v>8.7286671282672668</v>
      </c>
      <c r="J12" s="80">
        <f>+J11-I12</f>
        <v>50416.781332871731</v>
      </c>
      <c r="K12" s="140"/>
      <c r="L12" s="140"/>
      <c r="M12" s="140"/>
    </row>
    <row r="13" spans="1:13" x14ac:dyDescent="0.35">
      <c r="A13" s="78">
        <v>42378</v>
      </c>
      <c r="B13" s="79" t="s">
        <v>57</v>
      </c>
      <c r="C13" s="52"/>
      <c r="D13" s="52">
        <v>100</v>
      </c>
      <c r="E13" s="52">
        <f t="shared" ref="E13:E25" si="0">+E12-D13</f>
        <v>288700</v>
      </c>
      <c r="F13" s="52"/>
      <c r="G13" s="52">
        <f t="shared" ref="G13:G37" si="1">+J12/E12</f>
        <v>0.17457334256534532</v>
      </c>
      <c r="H13" s="52"/>
      <c r="I13" s="52">
        <f t="shared" ref="I13:I37" si="2">+D13*G13</f>
        <v>17.457334256534534</v>
      </c>
      <c r="J13" s="80">
        <f t="shared" ref="J13:J37" si="3">+J12-I13</f>
        <v>50399.323998615197</v>
      </c>
      <c r="K13" s="140"/>
      <c r="L13" s="140"/>
      <c r="M13" s="140"/>
    </row>
    <row r="14" spans="1:13" x14ac:dyDescent="0.35">
      <c r="A14" s="124">
        <v>42378</v>
      </c>
      <c r="B14" s="125" t="s">
        <v>58</v>
      </c>
      <c r="C14" s="126"/>
      <c r="D14" s="126">
        <v>50</v>
      </c>
      <c r="E14" s="126">
        <f t="shared" si="0"/>
        <v>288650</v>
      </c>
      <c r="F14" s="126"/>
      <c r="G14" s="126">
        <f t="shared" si="1"/>
        <v>0.17457334256534532</v>
      </c>
      <c r="H14" s="126"/>
      <c r="I14" s="126">
        <f t="shared" si="2"/>
        <v>8.7286671282672668</v>
      </c>
      <c r="J14" s="127">
        <f t="shared" si="3"/>
        <v>50390.595331486926</v>
      </c>
      <c r="K14" s="142">
        <f>SUM(I12:I14)</f>
        <v>34.914668513069067</v>
      </c>
      <c r="L14" s="160"/>
      <c r="M14" s="143">
        <v>42384</v>
      </c>
    </row>
    <row r="15" spans="1:13" x14ac:dyDescent="0.35">
      <c r="A15" s="78">
        <v>42387</v>
      </c>
      <c r="B15" s="79" t="s">
        <v>87</v>
      </c>
      <c r="C15" s="52"/>
      <c r="D15" s="52">
        <v>200</v>
      </c>
      <c r="E15" s="52">
        <f t="shared" si="0"/>
        <v>288450</v>
      </c>
      <c r="F15" s="52"/>
      <c r="G15" s="52">
        <f t="shared" si="1"/>
        <v>0.17457334256534532</v>
      </c>
      <c r="H15" s="52"/>
      <c r="I15" s="52">
        <f t="shared" si="2"/>
        <v>34.914668513069067</v>
      </c>
      <c r="J15" s="80">
        <f t="shared" si="3"/>
        <v>50355.680662973857</v>
      </c>
      <c r="K15" s="140"/>
      <c r="L15" s="140"/>
      <c r="M15" s="140"/>
    </row>
    <row r="16" spans="1:13" x14ac:dyDescent="0.35">
      <c r="A16" s="78">
        <v>42390</v>
      </c>
      <c r="B16" s="79" t="s">
        <v>95</v>
      </c>
      <c r="C16" s="52"/>
      <c r="D16" s="52">
        <v>50</v>
      </c>
      <c r="E16" s="52">
        <f t="shared" si="0"/>
        <v>288400</v>
      </c>
      <c r="F16" s="52"/>
      <c r="G16" s="52">
        <f t="shared" si="1"/>
        <v>0.17457334256534532</v>
      </c>
      <c r="H16" s="52"/>
      <c r="I16" s="52">
        <f t="shared" si="2"/>
        <v>8.7286671282672668</v>
      </c>
      <c r="J16" s="80">
        <f t="shared" si="3"/>
        <v>50346.951995845586</v>
      </c>
      <c r="K16" s="140"/>
      <c r="L16" s="140"/>
      <c r="M16" s="140"/>
    </row>
    <row r="17" spans="1:13" x14ac:dyDescent="0.35">
      <c r="A17" s="78">
        <v>42390</v>
      </c>
      <c r="B17" s="79" t="s">
        <v>96</v>
      </c>
      <c r="C17" s="52"/>
      <c r="D17" s="52">
        <v>200</v>
      </c>
      <c r="E17" s="52">
        <f t="shared" si="0"/>
        <v>288200</v>
      </c>
      <c r="F17" s="52"/>
      <c r="G17" s="52">
        <f t="shared" si="1"/>
        <v>0.17457334256534529</v>
      </c>
      <c r="H17" s="52"/>
      <c r="I17" s="52">
        <f t="shared" si="2"/>
        <v>34.91466851306906</v>
      </c>
      <c r="J17" s="80">
        <f t="shared" si="3"/>
        <v>50312.037327332517</v>
      </c>
      <c r="K17" s="140"/>
      <c r="L17" s="140"/>
      <c r="M17" s="140"/>
    </row>
    <row r="18" spans="1:13" x14ac:dyDescent="0.35">
      <c r="A18" s="78">
        <v>42392</v>
      </c>
      <c r="B18" s="79" t="s">
        <v>99</v>
      </c>
      <c r="C18" s="52"/>
      <c r="D18" s="52">
        <v>150</v>
      </c>
      <c r="E18" s="52">
        <f t="shared" si="0"/>
        <v>288050</v>
      </c>
      <c r="F18" s="52"/>
      <c r="G18" s="52">
        <f t="shared" si="1"/>
        <v>0.17457334256534529</v>
      </c>
      <c r="H18" s="52"/>
      <c r="I18" s="52">
        <f t="shared" si="2"/>
        <v>26.186001384801795</v>
      </c>
      <c r="J18" s="80">
        <f t="shared" si="3"/>
        <v>50285.851325947711</v>
      </c>
      <c r="K18" s="140"/>
      <c r="L18" s="140"/>
      <c r="M18" s="140"/>
    </row>
    <row r="19" spans="1:13" x14ac:dyDescent="0.35">
      <c r="A19" s="78">
        <v>42395</v>
      </c>
      <c r="B19" s="79" t="s">
        <v>103</v>
      </c>
      <c r="C19" s="52"/>
      <c r="D19" s="52">
        <v>50</v>
      </c>
      <c r="E19" s="52">
        <f t="shared" si="0"/>
        <v>288000</v>
      </c>
      <c r="F19" s="52"/>
      <c r="G19" s="52">
        <f t="shared" si="1"/>
        <v>0.17457334256534529</v>
      </c>
      <c r="H19" s="52"/>
      <c r="I19" s="52">
        <f t="shared" si="2"/>
        <v>8.728667128267265</v>
      </c>
      <c r="J19" s="80">
        <f t="shared" si="3"/>
        <v>50277.12265881944</v>
      </c>
      <c r="K19" s="140"/>
      <c r="L19" s="140"/>
      <c r="M19" s="140"/>
    </row>
    <row r="20" spans="1:13" x14ac:dyDescent="0.35">
      <c r="A20" s="124">
        <v>42396</v>
      </c>
      <c r="B20" s="125" t="s">
        <v>105</v>
      </c>
      <c r="C20" s="126"/>
      <c r="D20" s="126">
        <v>150</v>
      </c>
      <c r="E20" s="126">
        <f t="shared" si="0"/>
        <v>287850</v>
      </c>
      <c r="F20" s="126"/>
      <c r="G20" s="126">
        <f t="shared" si="1"/>
        <v>0.17457334256534529</v>
      </c>
      <c r="H20" s="126"/>
      <c r="I20" s="126">
        <f t="shared" si="2"/>
        <v>26.186001384801795</v>
      </c>
      <c r="J20" s="127">
        <f t="shared" si="3"/>
        <v>50250.936657434635</v>
      </c>
      <c r="K20" s="142">
        <f>SUM(I15:I20)</f>
        <v>139.65867405227624</v>
      </c>
      <c r="L20" s="142">
        <f>SUM(K14:K20)</f>
        <v>174.57334256534531</v>
      </c>
      <c r="M20" s="143">
        <v>42400</v>
      </c>
    </row>
    <row r="21" spans="1:13" x14ac:dyDescent="0.35">
      <c r="A21" s="78">
        <v>42401</v>
      </c>
      <c r="B21" s="79" t="s">
        <v>119</v>
      </c>
      <c r="C21" s="52"/>
      <c r="D21" s="52">
        <v>50</v>
      </c>
      <c r="E21" s="52">
        <f t="shared" si="0"/>
        <v>287800</v>
      </c>
      <c r="F21" s="52"/>
      <c r="G21" s="52">
        <f t="shared" si="1"/>
        <v>0.17457334256534526</v>
      </c>
      <c r="H21" s="52"/>
      <c r="I21" s="52">
        <f t="shared" si="2"/>
        <v>8.7286671282672632</v>
      </c>
      <c r="J21" s="80">
        <f t="shared" si="3"/>
        <v>50242.207990306371</v>
      </c>
      <c r="K21" s="140"/>
      <c r="L21" s="140"/>
      <c r="M21" s="140"/>
    </row>
    <row r="22" spans="1:13" x14ac:dyDescent="0.35">
      <c r="A22" s="124">
        <v>42410</v>
      </c>
      <c r="B22" s="125" t="s">
        <v>135</v>
      </c>
      <c r="C22" s="126"/>
      <c r="D22" s="126">
        <v>100</v>
      </c>
      <c r="E22" s="126">
        <f t="shared" si="0"/>
        <v>287700</v>
      </c>
      <c r="F22" s="126"/>
      <c r="G22" s="126">
        <f t="shared" si="1"/>
        <v>0.17457334256534529</v>
      </c>
      <c r="H22" s="126"/>
      <c r="I22" s="126">
        <f t="shared" si="2"/>
        <v>17.45733425653453</v>
      </c>
      <c r="J22" s="127">
        <f t="shared" si="3"/>
        <v>50224.750656049837</v>
      </c>
      <c r="K22" s="142">
        <f>SUM(I21:I22)</f>
        <v>26.186001384801791</v>
      </c>
      <c r="L22" s="160"/>
      <c r="M22" s="143">
        <v>42415</v>
      </c>
    </row>
    <row r="23" spans="1:13" x14ac:dyDescent="0.35">
      <c r="A23" s="124">
        <v>42429</v>
      </c>
      <c r="B23" s="125" t="s">
        <v>180</v>
      </c>
      <c r="C23" s="126"/>
      <c r="D23" s="126">
        <v>150</v>
      </c>
      <c r="E23" s="126">
        <f t="shared" si="0"/>
        <v>287550</v>
      </c>
      <c r="F23" s="126"/>
      <c r="G23" s="126">
        <f t="shared" si="1"/>
        <v>0.17457334256534529</v>
      </c>
      <c r="H23" s="126"/>
      <c r="I23" s="126">
        <f t="shared" si="2"/>
        <v>26.186001384801795</v>
      </c>
      <c r="J23" s="127">
        <f t="shared" si="3"/>
        <v>50198.564654665031</v>
      </c>
      <c r="K23" s="142">
        <f>SUM(I23)</f>
        <v>26.186001384801795</v>
      </c>
      <c r="L23" s="142">
        <f>SUM(K22:K23)</f>
        <v>52.372002769603583</v>
      </c>
      <c r="M23" s="143">
        <v>42429</v>
      </c>
    </row>
    <row r="24" spans="1:13" x14ac:dyDescent="0.35">
      <c r="A24" s="124">
        <v>42443</v>
      </c>
      <c r="B24" s="125" t="s">
        <v>212</v>
      </c>
      <c r="C24" s="126"/>
      <c r="D24" s="126">
        <v>150</v>
      </c>
      <c r="E24" s="126">
        <f t="shared" si="0"/>
        <v>287400</v>
      </c>
      <c r="F24" s="126"/>
      <c r="G24" s="126">
        <f t="shared" si="1"/>
        <v>0.17457334256534526</v>
      </c>
      <c r="H24" s="126"/>
      <c r="I24" s="126">
        <f t="shared" si="2"/>
        <v>26.186001384801788</v>
      </c>
      <c r="J24" s="127">
        <f t="shared" si="3"/>
        <v>50172.378653280226</v>
      </c>
      <c r="K24" s="142">
        <f>SUM(I24)</f>
        <v>26.186001384801788</v>
      </c>
      <c r="L24" s="142">
        <f>SUM(K24)</f>
        <v>26.186001384801788</v>
      </c>
      <c r="M24" s="143">
        <v>42444</v>
      </c>
    </row>
    <row r="25" spans="1:13" x14ac:dyDescent="0.35">
      <c r="A25" s="78">
        <v>42465</v>
      </c>
      <c r="B25" s="79" t="s">
        <v>255</v>
      </c>
      <c r="C25" s="52"/>
      <c r="D25" s="52">
        <v>300</v>
      </c>
      <c r="E25" s="52">
        <f t="shared" si="0"/>
        <v>287100</v>
      </c>
      <c r="F25" s="52"/>
      <c r="G25" s="52">
        <f t="shared" si="1"/>
        <v>0.17457334256534526</v>
      </c>
      <c r="H25" s="52"/>
      <c r="I25" s="52">
        <f t="shared" si="2"/>
        <v>52.372002769603576</v>
      </c>
      <c r="J25" s="80">
        <f t="shared" si="3"/>
        <v>50120.006650510622</v>
      </c>
      <c r="K25" s="140"/>
      <c r="L25" s="140"/>
      <c r="M25" s="140"/>
    </row>
    <row r="26" spans="1:13" x14ac:dyDescent="0.35">
      <c r="A26" s="124">
        <v>42471</v>
      </c>
      <c r="B26" s="125" t="s">
        <v>269</v>
      </c>
      <c r="C26" s="126"/>
      <c r="D26" s="126">
        <v>300</v>
      </c>
      <c r="E26" s="126">
        <f t="shared" ref="E26:E37" si="4">+E25-D26</f>
        <v>286800</v>
      </c>
      <c r="F26" s="126"/>
      <c r="G26" s="126">
        <f t="shared" si="1"/>
        <v>0.17457334256534526</v>
      </c>
      <c r="H26" s="126"/>
      <c r="I26" s="126">
        <f t="shared" si="2"/>
        <v>52.372002769603576</v>
      </c>
      <c r="J26" s="127">
        <f t="shared" si="3"/>
        <v>50067.634647741019</v>
      </c>
      <c r="K26" s="142">
        <f>SUM(I25:I26)</f>
        <v>104.74400553920715</v>
      </c>
      <c r="L26" s="142">
        <f>SUM(K26)</f>
        <v>104.74400553920715</v>
      </c>
      <c r="M26" s="143">
        <v>42475</v>
      </c>
    </row>
    <row r="27" spans="1:13" x14ac:dyDescent="0.35">
      <c r="A27" s="78">
        <v>42497</v>
      </c>
      <c r="B27" s="79" t="s">
        <v>314</v>
      </c>
      <c r="C27" s="52"/>
      <c r="D27" s="52">
        <v>50</v>
      </c>
      <c r="E27" s="52">
        <f t="shared" si="4"/>
        <v>286750</v>
      </c>
      <c r="F27" s="52"/>
      <c r="G27" s="52">
        <f t="shared" si="1"/>
        <v>0.17457334256534526</v>
      </c>
      <c r="H27" s="52"/>
      <c r="I27" s="52">
        <f t="shared" si="2"/>
        <v>8.7286671282672632</v>
      </c>
      <c r="J27" s="80">
        <f t="shared" si="3"/>
        <v>50058.905980612748</v>
      </c>
      <c r="K27" s="140"/>
      <c r="L27" s="140"/>
      <c r="M27" s="140"/>
    </row>
    <row r="28" spans="1:13" x14ac:dyDescent="0.35">
      <c r="A28" s="124">
        <v>42504</v>
      </c>
      <c r="B28" s="125" t="s">
        <v>327</v>
      </c>
      <c r="C28" s="126"/>
      <c r="D28" s="126">
        <v>100</v>
      </c>
      <c r="E28" s="126">
        <f t="shared" si="4"/>
        <v>286650</v>
      </c>
      <c r="F28" s="126"/>
      <c r="G28" s="126">
        <f t="shared" si="1"/>
        <v>0.17457334256534524</v>
      </c>
      <c r="H28" s="126"/>
      <c r="I28" s="126">
        <f t="shared" si="2"/>
        <v>17.457334256534523</v>
      </c>
      <c r="J28" s="127">
        <f t="shared" si="3"/>
        <v>50041.448646356213</v>
      </c>
      <c r="K28" s="142">
        <f>SUM(I27:I28)</f>
        <v>26.186001384801784</v>
      </c>
      <c r="L28" s="160"/>
      <c r="M28" s="143">
        <v>42505</v>
      </c>
    </row>
    <row r="29" spans="1:13" x14ac:dyDescent="0.35">
      <c r="A29" s="124">
        <v>42513</v>
      </c>
      <c r="B29" s="125" t="s">
        <v>353</v>
      </c>
      <c r="C29" s="126"/>
      <c r="D29" s="126">
        <v>50</v>
      </c>
      <c r="E29" s="126">
        <f t="shared" si="4"/>
        <v>286600</v>
      </c>
      <c r="F29" s="126"/>
      <c r="G29" s="126">
        <f t="shared" si="1"/>
        <v>0.17457334256534524</v>
      </c>
      <c r="H29" s="126"/>
      <c r="I29" s="126">
        <f t="shared" si="2"/>
        <v>8.7286671282672614</v>
      </c>
      <c r="J29" s="127">
        <f t="shared" si="3"/>
        <v>50032.719979227943</v>
      </c>
      <c r="K29" s="142">
        <f>SUM(I29)</f>
        <v>8.7286671282672614</v>
      </c>
      <c r="L29" s="142">
        <f>SUM(K28:K29)</f>
        <v>34.914668513069046</v>
      </c>
      <c r="M29" s="143">
        <v>42521</v>
      </c>
    </row>
    <row r="30" spans="1:13" x14ac:dyDescent="0.35">
      <c r="A30" s="124">
        <v>42532</v>
      </c>
      <c r="B30" s="125" t="s">
        <v>404</v>
      </c>
      <c r="C30" s="126"/>
      <c r="D30" s="126">
        <v>300</v>
      </c>
      <c r="E30" s="126">
        <f t="shared" si="4"/>
        <v>286300</v>
      </c>
      <c r="F30" s="126"/>
      <c r="G30" s="126">
        <f t="shared" si="1"/>
        <v>0.17457334256534524</v>
      </c>
      <c r="H30" s="126"/>
      <c r="I30" s="126">
        <f t="shared" si="2"/>
        <v>52.372002769603569</v>
      </c>
      <c r="J30" s="127">
        <f t="shared" si="3"/>
        <v>49980.347976458339</v>
      </c>
      <c r="K30" s="142">
        <f>SUM(I30)</f>
        <v>52.372002769603569</v>
      </c>
      <c r="L30" s="142">
        <f>SUM(K30)</f>
        <v>52.372002769603569</v>
      </c>
      <c r="M30" s="143">
        <v>42536</v>
      </c>
    </row>
    <row r="31" spans="1:13" x14ac:dyDescent="0.35">
      <c r="A31" s="78">
        <v>42552</v>
      </c>
      <c r="B31" s="79" t="s">
        <v>431</v>
      </c>
      <c r="C31" s="52"/>
      <c r="D31" s="52">
        <v>200</v>
      </c>
      <c r="E31" s="52">
        <f t="shared" si="4"/>
        <v>286100</v>
      </c>
      <c r="F31" s="52"/>
      <c r="G31" s="52">
        <f t="shared" si="1"/>
        <v>0.17457334256534524</v>
      </c>
      <c r="H31" s="52"/>
      <c r="I31" s="52">
        <f t="shared" si="2"/>
        <v>34.914668513069046</v>
      </c>
      <c r="J31" s="80">
        <f t="shared" si="3"/>
        <v>49945.43330794527</v>
      </c>
      <c r="K31" s="140"/>
      <c r="L31" s="140"/>
      <c r="M31" s="140"/>
    </row>
    <row r="32" spans="1:13" x14ac:dyDescent="0.35">
      <c r="A32" s="78">
        <v>42552</v>
      </c>
      <c r="B32" s="79" t="s">
        <v>433</v>
      </c>
      <c r="C32" s="52"/>
      <c r="D32" s="52">
        <v>250</v>
      </c>
      <c r="E32" s="52">
        <f t="shared" si="4"/>
        <v>285850</v>
      </c>
      <c r="F32" s="52"/>
      <c r="G32" s="52">
        <f t="shared" si="1"/>
        <v>0.17457334256534524</v>
      </c>
      <c r="H32" s="52"/>
      <c r="I32" s="52">
        <f t="shared" si="2"/>
        <v>43.643335641336307</v>
      </c>
      <c r="J32" s="80">
        <f t="shared" si="3"/>
        <v>49901.78997230393</v>
      </c>
      <c r="K32" s="144"/>
      <c r="L32" s="144"/>
      <c r="M32" s="140"/>
    </row>
    <row r="33" spans="1:13" s="112" customFormat="1" x14ac:dyDescent="0.35">
      <c r="A33" s="124">
        <v>42560</v>
      </c>
      <c r="B33" s="125" t="s">
        <v>444</v>
      </c>
      <c r="C33" s="126"/>
      <c r="D33" s="126">
        <v>20</v>
      </c>
      <c r="E33" s="126">
        <f t="shared" si="4"/>
        <v>285830</v>
      </c>
      <c r="F33" s="126"/>
      <c r="G33" s="126">
        <f t="shared" si="1"/>
        <v>0.17457334256534521</v>
      </c>
      <c r="H33" s="126"/>
      <c r="I33" s="126">
        <f t="shared" si="2"/>
        <v>3.491466851306904</v>
      </c>
      <c r="J33" s="127">
        <f t="shared" si="3"/>
        <v>49898.298505452622</v>
      </c>
      <c r="K33" s="142">
        <f>SUM(I31:I33)</f>
        <v>82.049471005712263</v>
      </c>
      <c r="L33" s="142">
        <f>SUM(K33)</f>
        <v>82.049471005712263</v>
      </c>
      <c r="M33" s="143">
        <v>42566</v>
      </c>
    </row>
    <row r="34" spans="1:13" s="112" customFormat="1" x14ac:dyDescent="0.35">
      <c r="A34" s="124">
        <v>42635</v>
      </c>
      <c r="B34" s="125" t="s">
        <v>503</v>
      </c>
      <c r="C34" s="126"/>
      <c r="D34" s="126">
        <v>150</v>
      </c>
      <c r="E34" s="126">
        <f t="shared" si="4"/>
        <v>285680</v>
      </c>
      <c r="F34" s="126"/>
      <c r="G34" s="126">
        <f t="shared" si="1"/>
        <v>0.17457334256534521</v>
      </c>
      <c r="H34" s="126"/>
      <c r="I34" s="126">
        <f t="shared" si="2"/>
        <v>26.186001384801781</v>
      </c>
      <c r="J34" s="127">
        <f t="shared" si="3"/>
        <v>49872.112504067823</v>
      </c>
      <c r="K34" s="142">
        <f>SUM(I34)</f>
        <v>26.186001384801781</v>
      </c>
      <c r="L34" s="142">
        <f>SUM(K34)</f>
        <v>26.186001384801781</v>
      </c>
      <c r="M34" s="143">
        <v>42643</v>
      </c>
    </row>
    <row r="35" spans="1:13" s="112" customFormat="1" x14ac:dyDescent="0.35">
      <c r="A35" s="124">
        <v>42657</v>
      </c>
      <c r="B35" s="125" t="s">
        <v>522</v>
      </c>
      <c r="C35" s="126"/>
      <c r="D35" s="126">
        <v>50</v>
      </c>
      <c r="E35" s="126">
        <f t="shared" si="4"/>
        <v>285630</v>
      </c>
      <c r="F35" s="126"/>
      <c r="G35" s="126">
        <f t="shared" si="1"/>
        <v>0.17457334256534524</v>
      </c>
      <c r="H35" s="126"/>
      <c r="I35" s="126">
        <f t="shared" si="2"/>
        <v>8.7286671282672614</v>
      </c>
      <c r="J35" s="127">
        <f t="shared" si="3"/>
        <v>49863.383836939553</v>
      </c>
      <c r="K35" s="142">
        <f>SUM(I35)</f>
        <v>8.7286671282672614</v>
      </c>
      <c r="L35" s="142">
        <f>SUM(K35)</f>
        <v>8.7286671282672614</v>
      </c>
      <c r="M35" s="143">
        <v>42658</v>
      </c>
    </row>
    <row r="36" spans="1:13" s="112" customFormat="1" x14ac:dyDescent="0.35">
      <c r="A36" s="124">
        <v>42678</v>
      </c>
      <c r="B36" s="125" t="s">
        <v>545</v>
      </c>
      <c r="C36" s="126"/>
      <c r="D36" s="126">
        <v>50</v>
      </c>
      <c r="E36" s="126">
        <f t="shared" si="4"/>
        <v>285580</v>
      </c>
      <c r="F36" s="126"/>
      <c r="G36" s="126">
        <f t="shared" si="1"/>
        <v>0.17457334256534521</v>
      </c>
      <c r="H36" s="126"/>
      <c r="I36" s="126">
        <f t="shared" si="2"/>
        <v>8.7286671282672597</v>
      </c>
      <c r="J36" s="127">
        <f t="shared" si="3"/>
        <v>49854.655169811289</v>
      </c>
      <c r="K36" s="142">
        <f>SUM(I36)</f>
        <v>8.7286671282672597</v>
      </c>
      <c r="L36" s="160"/>
      <c r="M36" s="143">
        <v>42689</v>
      </c>
    </row>
    <row r="37" spans="1:13" s="112" customFormat="1" x14ac:dyDescent="0.35">
      <c r="A37" s="260">
        <v>42704</v>
      </c>
      <c r="B37" s="261" t="s">
        <v>584</v>
      </c>
      <c r="C37" s="262"/>
      <c r="D37" s="262">
        <v>100</v>
      </c>
      <c r="E37" s="262">
        <f t="shared" si="4"/>
        <v>285480</v>
      </c>
      <c r="F37" s="262"/>
      <c r="G37" s="262">
        <f t="shared" si="1"/>
        <v>0.17457334256534524</v>
      </c>
      <c r="H37" s="262"/>
      <c r="I37" s="262">
        <f t="shared" si="2"/>
        <v>17.457334256534523</v>
      </c>
      <c r="J37" s="263">
        <f t="shared" si="3"/>
        <v>49837.197835554754</v>
      </c>
      <c r="K37" s="142">
        <f>SUM(I37)</f>
        <v>17.457334256534523</v>
      </c>
      <c r="L37" s="142">
        <f>SUM(K36:K37)</f>
        <v>26.186001384801784</v>
      </c>
      <c r="M37" s="143">
        <v>42704</v>
      </c>
    </row>
    <row r="38" spans="1:13" s="8" customFormat="1" ht="15" thickBot="1" x14ac:dyDescent="0.4">
      <c r="A38" s="218"/>
      <c r="B38" s="219" t="s">
        <v>638</v>
      </c>
      <c r="C38" s="220">
        <f>SUM(C11:C37)</f>
        <v>288850</v>
      </c>
      <c r="D38" s="220">
        <f>SUM(D11:D37)</f>
        <v>3370</v>
      </c>
      <c r="E38" s="220"/>
      <c r="F38" s="220"/>
      <c r="G38" s="220"/>
      <c r="H38" s="220">
        <f t="shared" ref="H38:I38" si="5">SUM(H11:H37)</f>
        <v>50425.51</v>
      </c>
      <c r="I38" s="220">
        <f t="shared" si="5"/>
        <v>588.3121644452134</v>
      </c>
      <c r="J38" s="255"/>
      <c r="K38" s="38"/>
      <c r="L38" s="264">
        <f>SUM(L20:L37)</f>
        <v>588.31216444521351</v>
      </c>
      <c r="M38" s="38"/>
    </row>
    <row r="39" spans="1:13" s="8" customFormat="1" x14ac:dyDescent="0.35">
      <c r="A39" s="174"/>
      <c r="B39" s="38"/>
      <c r="C39" s="216"/>
      <c r="D39" s="216"/>
      <c r="E39" s="216"/>
      <c r="F39" s="216"/>
      <c r="G39" s="216"/>
      <c r="H39" s="216"/>
      <c r="I39" s="216"/>
      <c r="J39" s="216"/>
      <c r="K39" s="38"/>
      <c r="L39" s="38"/>
      <c r="M39" s="38"/>
    </row>
    <row r="40" spans="1:13" s="8" customFormat="1" x14ac:dyDescent="0.35">
      <c r="A40" s="174"/>
      <c r="B40" s="38"/>
      <c r="C40" s="216"/>
      <c r="D40" s="216"/>
      <c r="E40" s="216"/>
      <c r="F40" s="216"/>
      <c r="G40" s="216"/>
      <c r="H40" s="216"/>
      <c r="I40" s="216"/>
      <c r="J40" s="216"/>
      <c r="K40" s="38"/>
      <c r="L40" s="38"/>
      <c r="M40" s="38"/>
    </row>
    <row r="41" spans="1:13" s="8" customFormat="1" x14ac:dyDescent="0.35">
      <c r="A41" s="174" t="s">
        <v>639</v>
      </c>
      <c r="B41" s="39"/>
      <c r="C41" s="38"/>
      <c r="D41" s="38"/>
      <c r="E41" s="38"/>
      <c r="F41" s="38"/>
      <c r="G41" s="140"/>
      <c r="H41" s="140"/>
      <c r="I41" s="140"/>
      <c r="J41" s="140"/>
      <c r="K41" s="38"/>
      <c r="L41" s="38"/>
      <c r="M41" s="38"/>
    </row>
    <row r="42" spans="1:13" s="8" customFormat="1" x14ac:dyDescent="0.35">
      <c r="A42" s="174" t="s">
        <v>642</v>
      </c>
      <c r="B42" s="39"/>
      <c r="C42" s="38"/>
      <c r="D42" s="38"/>
      <c r="E42" s="38"/>
      <c r="F42" s="38"/>
      <c r="G42" s="140"/>
      <c r="H42" s="140"/>
      <c r="I42" s="140"/>
      <c r="J42" s="28">
        <f>+E37*F11</f>
        <v>49837.197835554791</v>
      </c>
      <c r="K42" s="38"/>
      <c r="L42" s="38"/>
      <c r="M42" s="38"/>
    </row>
    <row r="43" spans="1:13" s="8" customFormat="1" x14ac:dyDescent="0.35">
      <c r="A43" s="174" t="s">
        <v>640</v>
      </c>
      <c r="B43" s="39"/>
      <c r="C43" s="38"/>
      <c r="D43" s="38"/>
      <c r="E43" s="38"/>
      <c r="F43" s="38"/>
      <c r="G43" s="140"/>
      <c r="H43" s="140"/>
      <c r="I43" s="140"/>
      <c r="J43" s="175">
        <f>+J37</f>
        <v>49837.197835554754</v>
      </c>
      <c r="K43" s="38"/>
      <c r="L43" s="38"/>
      <c r="M43" s="38"/>
    </row>
    <row r="44" spans="1:13" s="8" customFormat="1" ht="15" thickBot="1" x14ac:dyDescent="0.4">
      <c r="A44" s="174"/>
      <c r="B44" s="39" t="s">
        <v>641</v>
      </c>
      <c r="C44" s="38"/>
      <c r="D44" s="38"/>
      <c r="E44" s="38"/>
      <c r="F44" s="38"/>
      <c r="G44" s="140"/>
      <c r="H44" s="140"/>
      <c r="I44" s="140"/>
      <c r="J44" s="202">
        <f>+J42-J43</f>
        <v>0</v>
      </c>
      <c r="K44" s="38"/>
      <c r="L44" s="38"/>
      <c r="M44" s="38"/>
    </row>
    <row r="45" spans="1:13" ht="15" thickTop="1" x14ac:dyDescent="0.35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</row>
    <row r="46" spans="1:13" x14ac:dyDescent="0.35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</row>
    <row r="47" spans="1:13" x14ac:dyDescent="0.35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</row>
  </sheetData>
  <mergeCells count="6">
    <mergeCell ref="D4:H4"/>
    <mergeCell ref="C9:E9"/>
    <mergeCell ref="F9:G9"/>
    <mergeCell ref="H9:J9"/>
    <mergeCell ref="D5:G5"/>
    <mergeCell ref="D6:G6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9"/>
  <sheetViews>
    <sheetView workbookViewId="0">
      <selection activeCell="H12" sqref="H12"/>
    </sheetView>
  </sheetViews>
  <sheetFormatPr baseColWidth="10" defaultRowHeight="14.5" x14ac:dyDescent="0.35"/>
  <cols>
    <col min="2" max="2" width="49.453125" customWidth="1"/>
  </cols>
  <sheetData>
    <row r="1" spans="1:10" x14ac:dyDescent="0.35">
      <c r="A1" s="6" t="s">
        <v>0</v>
      </c>
      <c r="B1" s="7"/>
      <c r="C1" s="8"/>
      <c r="D1" s="8"/>
      <c r="E1" s="8"/>
      <c r="F1" s="8"/>
      <c r="G1" s="8"/>
      <c r="H1" s="4" t="s">
        <v>1</v>
      </c>
      <c r="I1" s="3"/>
      <c r="J1" s="3"/>
    </row>
    <row r="2" spans="1:10" x14ac:dyDescent="0.35">
      <c r="A2" s="6" t="s">
        <v>2</v>
      </c>
      <c r="B2" s="7"/>
      <c r="C2" s="8"/>
      <c r="D2" s="8"/>
      <c r="E2" s="8"/>
      <c r="F2" s="8"/>
      <c r="G2" s="8"/>
      <c r="H2" s="9" t="s">
        <v>384</v>
      </c>
      <c r="I2" s="8"/>
      <c r="J2" s="8"/>
    </row>
    <row r="3" spans="1:10" x14ac:dyDescent="0.35">
      <c r="A3" s="11" t="s">
        <v>4</v>
      </c>
      <c r="B3" s="12"/>
      <c r="C3" s="8"/>
      <c r="D3" s="8"/>
      <c r="E3" s="8"/>
      <c r="F3" s="8"/>
      <c r="G3" s="8"/>
      <c r="H3" s="9" t="s">
        <v>32</v>
      </c>
      <c r="I3" s="8"/>
      <c r="J3" s="8"/>
    </row>
    <row r="4" spans="1:10" ht="18" x14ac:dyDescent="0.4">
      <c r="A4" s="13"/>
      <c r="B4" s="8"/>
      <c r="C4" s="8"/>
      <c r="D4" s="269" t="s">
        <v>6</v>
      </c>
      <c r="E4" s="269"/>
      <c r="F4" s="269"/>
      <c r="G4" s="269"/>
      <c r="H4" s="269"/>
      <c r="I4" s="8"/>
      <c r="J4" s="64"/>
    </row>
    <row r="5" spans="1:10" x14ac:dyDescent="0.35">
      <c r="A5" s="13"/>
      <c r="B5" s="14"/>
      <c r="C5" s="8"/>
      <c r="D5" s="9" t="s">
        <v>63</v>
      </c>
      <c r="E5" s="14"/>
      <c r="F5" s="14"/>
      <c r="G5" s="8"/>
      <c r="H5" s="8"/>
      <c r="I5" s="8"/>
      <c r="J5" s="64"/>
    </row>
    <row r="6" spans="1:10" x14ac:dyDescent="0.35">
      <c r="A6" s="13"/>
      <c r="B6" s="14"/>
      <c r="C6" s="8"/>
      <c r="D6" s="8" t="s">
        <v>7</v>
      </c>
      <c r="E6" s="14"/>
      <c r="F6" s="14"/>
      <c r="G6" s="8"/>
      <c r="H6" s="8"/>
      <c r="I6" s="8"/>
      <c r="J6" s="64"/>
    </row>
    <row r="7" spans="1:10" x14ac:dyDescent="0.35">
      <c r="A7" s="13"/>
      <c r="B7" s="8"/>
      <c r="C7" s="8"/>
      <c r="D7" s="8"/>
      <c r="E7" s="8"/>
      <c r="F7" s="8"/>
      <c r="G7" s="8"/>
      <c r="H7" s="8"/>
      <c r="I7" s="8"/>
      <c r="J7" s="64"/>
    </row>
    <row r="8" spans="1:10" x14ac:dyDescent="0.35">
      <c r="A8" s="13"/>
      <c r="B8" s="8"/>
      <c r="C8" s="8"/>
      <c r="D8" s="8"/>
      <c r="E8" s="8"/>
      <c r="F8" s="8"/>
      <c r="G8" s="8"/>
      <c r="H8" s="8"/>
      <c r="I8" s="8"/>
      <c r="J8" s="64"/>
    </row>
    <row r="9" spans="1:10" x14ac:dyDescent="0.35">
      <c r="A9" s="65" t="s">
        <v>8</v>
      </c>
      <c r="B9" s="66" t="s">
        <v>9</v>
      </c>
      <c r="C9" s="296" t="s">
        <v>10</v>
      </c>
      <c r="D9" s="297"/>
      <c r="E9" s="298"/>
      <c r="F9" s="299" t="s">
        <v>11</v>
      </c>
      <c r="G9" s="300"/>
      <c r="H9" s="296" t="s">
        <v>12</v>
      </c>
      <c r="I9" s="297"/>
      <c r="J9" s="301"/>
    </row>
    <row r="10" spans="1:10" x14ac:dyDescent="0.35">
      <c r="A10" s="67"/>
      <c r="B10" s="68"/>
      <c r="C10" s="69" t="s">
        <v>26</v>
      </c>
      <c r="D10" s="70" t="s">
        <v>15</v>
      </c>
      <c r="E10" s="71" t="s">
        <v>21</v>
      </c>
      <c r="F10" s="70" t="s">
        <v>17</v>
      </c>
      <c r="G10" s="70" t="s">
        <v>18</v>
      </c>
      <c r="H10" s="69" t="s">
        <v>19</v>
      </c>
      <c r="I10" s="70" t="s">
        <v>20</v>
      </c>
      <c r="J10" s="72" t="s">
        <v>21</v>
      </c>
    </row>
    <row r="11" spans="1:10" x14ac:dyDescent="0.35">
      <c r="A11" s="73">
        <v>42371</v>
      </c>
      <c r="B11" s="74" t="s">
        <v>35</v>
      </c>
      <c r="C11" s="75">
        <v>416528</v>
      </c>
      <c r="D11" s="75"/>
      <c r="E11" s="75">
        <f>+C11</f>
        <v>416528</v>
      </c>
      <c r="F11" s="75">
        <f>+H11/C11</f>
        <v>5.0348235892905158E-2</v>
      </c>
      <c r="G11" s="76"/>
      <c r="H11" s="94">
        <v>20971.45</v>
      </c>
      <c r="I11" s="75"/>
      <c r="J11" s="77">
        <f>+H11</f>
        <v>20971.45</v>
      </c>
    </row>
    <row r="12" spans="1:10" x14ac:dyDescent="0.35">
      <c r="A12" s="95"/>
      <c r="B12" s="96"/>
      <c r="C12" s="97"/>
      <c r="D12" s="97"/>
      <c r="E12" s="97"/>
      <c r="F12" s="97"/>
      <c r="G12" s="97"/>
      <c r="H12" s="97"/>
      <c r="I12" s="97"/>
      <c r="J12" s="98"/>
    </row>
    <row r="13" spans="1:10" x14ac:dyDescent="0.35">
      <c r="A13" s="268"/>
      <c r="B13" s="96"/>
      <c r="C13" s="97"/>
      <c r="D13" s="97"/>
      <c r="E13" s="97"/>
      <c r="F13" s="97"/>
      <c r="G13" s="97"/>
      <c r="H13" s="97"/>
      <c r="I13" s="97"/>
      <c r="J13" s="97"/>
    </row>
    <row r="14" spans="1:10" s="8" customFormat="1" x14ac:dyDescent="0.35">
      <c r="A14" s="265"/>
      <c r="B14" s="266"/>
      <c r="C14" s="267"/>
      <c r="D14" s="267"/>
      <c r="E14" s="267"/>
      <c r="F14" s="267"/>
      <c r="G14" s="267"/>
      <c r="H14" s="267"/>
      <c r="I14" s="267"/>
      <c r="J14" s="267"/>
    </row>
    <row r="15" spans="1:10" s="8" customFormat="1" x14ac:dyDescent="0.35">
      <c r="A15" s="265"/>
      <c r="B15" s="266"/>
      <c r="C15" s="267"/>
      <c r="D15" s="267"/>
      <c r="E15" s="267"/>
      <c r="F15" s="267"/>
      <c r="G15" s="267"/>
      <c r="H15" s="267"/>
      <c r="I15" s="267"/>
      <c r="J15" s="267"/>
    </row>
    <row r="16" spans="1:10" s="8" customFormat="1" x14ac:dyDescent="0.35">
      <c r="A16" s="174" t="s">
        <v>639</v>
      </c>
      <c r="B16" s="39"/>
      <c r="C16" s="38"/>
      <c r="D16" s="38"/>
      <c r="E16" s="38"/>
      <c r="F16" s="38"/>
      <c r="G16" s="140"/>
      <c r="H16" s="140"/>
      <c r="I16" s="140"/>
      <c r="J16" s="140"/>
    </row>
    <row r="17" spans="1:10" s="8" customFormat="1" x14ac:dyDescent="0.35">
      <c r="A17" s="174" t="s">
        <v>642</v>
      </c>
      <c r="B17" s="39"/>
      <c r="C17" s="38"/>
      <c r="D17" s="38"/>
      <c r="E17" s="38"/>
      <c r="F17" s="38"/>
      <c r="G17" s="140"/>
      <c r="H17" s="140"/>
      <c r="I17" s="140"/>
      <c r="J17" s="28">
        <f>+E11*F11</f>
        <v>20971.45</v>
      </c>
    </row>
    <row r="18" spans="1:10" s="8" customFormat="1" x14ac:dyDescent="0.35">
      <c r="A18" s="174" t="s">
        <v>640</v>
      </c>
      <c r="B18" s="39"/>
      <c r="C18" s="38"/>
      <c r="D18" s="38"/>
      <c r="E18" s="38"/>
      <c r="F18" s="38"/>
      <c r="G18" s="140"/>
      <c r="H18" s="140"/>
      <c r="I18" s="140"/>
      <c r="J18" s="175">
        <f>+J11</f>
        <v>20971.45</v>
      </c>
    </row>
    <row r="19" spans="1:10" s="8" customFormat="1" ht="15" thickBot="1" x14ac:dyDescent="0.4">
      <c r="A19" s="174"/>
      <c r="B19" s="39" t="s">
        <v>641</v>
      </c>
      <c r="C19" s="38"/>
      <c r="D19" s="38"/>
      <c r="E19" s="38"/>
      <c r="F19" s="38"/>
      <c r="G19" s="140"/>
      <c r="H19" s="140"/>
      <c r="I19" s="140"/>
      <c r="J19" s="202">
        <f>+J17-J18</f>
        <v>0</v>
      </c>
    </row>
    <row r="20" spans="1:10" s="8" customFormat="1" ht="15" thickTop="1" x14ac:dyDescent="0.35">
      <c r="A20" s="140"/>
      <c r="B20" s="140"/>
      <c r="C20" s="140"/>
      <c r="D20" s="140"/>
      <c r="E20" s="140"/>
      <c r="F20" s="140"/>
      <c r="G20" s="140"/>
      <c r="H20" s="140"/>
      <c r="I20" s="140"/>
      <c r="J20" s="140"/>
    </row>
    <row r="21" spans="1:10" s="8" customFormat="1" x14ac:dyDescent="0.35">
      <c r="A21" s="265"/>
      <c r="B21" s="266"/>
      <c r="C21" s="267"/>
      <c r="D21" s="267"/>
      <c r="E21" s="267"/>
      <c r="F21" s="267"/>
      <c r="G21" s="267"/>
      <c r="H21" s="267"/>
      <c r="I21" s="267"/>
      <c r="J21" s="267"/>
    </row>
    <row r="22" spans="1:10" s="8" customFormat="1" x14ac:dyDescent="0.35">
      <c r="A22" s="265"/>
      <c r="B22" s="266"/>
      <c r="C22" s="267"/>
      <c r="D22" s="267"/>
      <c r="E22" s="267"/>
      <c r="F22" s="267"/>
      <c r="G22" s="267"/>
      <c r="H22" s="267"/>
      <c r="I22" s="267"/>
      <c r="J22" s="267"/>
    </row>
    <row r="23" spans="1:10" s="8" customFormat="1" x14ac:dyDescent="0.35">
      <c r="A23" s="265"/>
      <c r="C23" s="267"/>
      <c r="D23" s="267"/>
      <c r="E23" s="267"/>
      <c r="F23" s="267"/>
      <c r="G23" s="267"/>
      <c r="H23" s="267"/>
      <c r="I23" s="267"/>
      <c r="J23" s="267"/>
    </row>
    <row r="24" spans="1:10" s="8" customFormat="1" x14ac:dyDescent="0.35">
      <c r="A24" s="265"/>
      <c r="C24" s="267"/>
      <c r="D24" s="267"/>
      <c r="E24" s="267"/>
      <c r="F24" s="267"/>
      <c r="G24" s="267"/>
      <c r="H24" s="267"/>
      <c r="I24" s="267"/>
      <c r="J24" s="267"/>
    </row>
    <row r="25" spans="1:10" s="8" customFormat="1" x14ac:dyDescent="0.35">
      <c r="A25" s="265"/>
      <c r="B25" s="266"/>
      <c r="C25" s="267"/>
      <c r="D25" s="267"/>
      <c r="E25" s="267"/>
      <c r="F25" s="267"/>
      <c r="G25" s="267"/>
      <c r="H25" s="267"/>
      <c r="I25" s="267"/>
      <c r="J25" s="267"/>
    </row>
    <row r="26" spans="1:10" s="8" customFormat="1" x14ac:dyDescent="0.35">
      <c r="A26" s="265"/>
      <c r="B26" s="266"/>
      <c r="C26" s="267"/>
      <c r="D26" s="267"/>
      <c r="E26" s="267"/>
      <c r="F26" s="267"/>
      <c r="G26" s="267"/>
      <c r="H26" s="267"/>
      <c r="I26" s="267"/>
      <c r="J26" s="267"/>
    </row>
    <row r="27" spans="1:10" s="8" customFormat="1" x14ac:dyDescent="0.35">
      <c r="A27" s="265"/>
      <c r="B27" s="266"/>
      <c r="C27" s="267"/>
      <c r="D27" s="267"/>
      <c r="E27" s="267"/>
      <c r="F27" s="267"/>
      <c r="G27" s="267"/>
      <c r="H27" s="267"/>
      <c r="I27" s="267"/>
      <c r="J27" s="267"/>
    </row>
    <row r="28" spans="1:10" s="8" customFormat="1" x14ac:dyDescent="0.35">
      <c r="A28" s="265"/>
      <c r="B28" s="266"/>
      <c r="C28" s="267"/>
      <c r="D28" s="267"/>
      <c r="E28" s="267"/>
      <c r="F28" s="267"/>
      <c r="G28" s="267"/>
      <c r="H28" s="267"/>
      <c r="I28" s="267"/>
      <c r="J28" s="267"/>
    </row>
    <row r="29" spans="1:10" s="8" customFormat="1" x14ac:dyDescent="0.35">
      <c r="A29" s="265"/>
      <c r="B29" s="266"/>
      <c r="C29" s="267"/>
      <c r="D29" s="267"/>
      <c r="E29" s="267"/>
      <c r="F29" s="267"/>
      <c r="G29" s="267"/>
      <c r="H29" s="267"/>
      <c r="I29" s="267"/>
      <c r="J29" s="267"/>
    </row>
    <row r="30" spans="1:10" s="8" customFormat="1" x14ac:dyDescent="0.35">
      <c r="A30" s="265"/>
      <c r="B30" s="266"/>
      <c r="C30" s="267"/>
      <c r="D30" s="267"/>
      <c r="E30" s="267"/>
      <c r="F30" s="267"/>
      <c r="G30" s="267"/>
      <c r="H30" s="267"/>
      <c r="I30" s="267"/>
      <c r="J30" s="267"/>
    </row>
    <row r="31" spans="1:10" s="8" customFormat="1" x14ac:dyDescent="0.35">
      <c r="A31" s="265"/>
      <c r="B31" s="266"/>
      <c r="C31" s="267"/>
      <c r="D31" s="267"/>
      <c r="E31" s="267"/>
      <c r="F31" s="267"/>
      <c r="G31" s="267"/>
      <c r="H31" s="267"/>
      <c r="I31" s="267"/>
      <c r="J31" s="267"/>
    </row>
    <row r="32" spans="1:10" s="8" customFormat="1" x14ac:dyDescent="0.35">
      <c r="A32" s="265"/>
      <c r="B32" s="266"/>
      <c r="C32" s="267"/>
      <c r="D32" s="267"/>
      <c r="E32" s="267"/>
      <c r="F32" s="267"/>
      <c r="G32" s="267"/>
      <c r="H32" s="267"/>
      <c r="I32" s="267"/>
      <c r="J32" s="267"/>
    </row>
    <row r="33" spans="1:10" s="8" customFormat="1" x14ac:dyDescent="0.35">
      <c r="A33" s="265"/>
      <c r="B33" s="266"/>
      <c r="C33" s="267"/>
      <c r="D33" s="267"/>
      <c r="E33" s="267"/>
      <c r="F33" s="267"/>
      <c r="G33" s="267"/>
      <c r="H33" s="267"/>
      <c r="I33" s="267"/>
      <c r="J33" s="267"/>
    </row>
    <row r="34" spans="1:10" s="8" customFormat="1" x14ac:dyDescent="0.35">
      <c r="A34" s="265"/>
      <c r="B34" s="266"/>
      <c r="C34" s="267"/>
      <c r="D34" s="267"/>
      <c r="E34" s="267"/>
      <c r="F34" s="267"/>
      <c r="G34" s="267"/>
      <c r="H34" s="267"/>
      <c r="I34" s="267"/>
      <c r="J34" s="267"/>
    </row>
    <row r="35" spans="1:10" s="8" customFormat="1" x14ac:dyDescent="0.35">
      <c r="A35" s="265"/>
      <c r="B35" s="266"/>
      <c r="C35" s="267"/>
      <c r="D35" s="267"/>
      <c r="E35" s="267"/>
      <c r="F35" s="267"/>
      <c r="G35" s="267"/>
      <c r="H35" s="267"/>
      <c r="I35" s="267"/>
      <c r="J35" s="267"/>
    </row>
    <row r="36" spans="1:10" s="8" customFormat="1" x14ac:dyDescent="0.35">
      <c r="A36" s="265"/>
      <c r="B36" s="266"/>
      <c r="C36" s="267"/>
      <c r="D36" s="267"/>
      <c r="E36" s="267"/>
      <c r="F36" s="267"/>
      <c r="G36" s="267"/>
      <c r="H36" s="267"/>
      <c r="I36" s="267"/>
      <c r="J36" s="267"/>
    </row>
    <row r="37" spans="1:10" s="8" customFormat="1" x14ac:dyDescent="0.35">
      <c r="A37" s="265"/>
      <c r="B37" s="266"/>
      <c r="C37" s="267"/>
      <c r="D37" s="267"/>
      <c r="E37" s="267"/>
      <c r="F37" s="267"/>
      <c r="G37" s="267"/>
      <c r="H37" s="267"/>
      <c r="I37" s="267"/>
      <c r="J37" s="267"/>
    </row>
    <row r="38" spans="1:10" s="8" customFormat="1" x14ac:dyDescent="0.35">
      <c r="A38" s="265"/>
      <c r="B38" s="266"/>
      <c r="C38" s="267"/>
      <c r="D38" s="267"/>
      <c r="E38" s="267"/>
      <c r="F38" s="267"/>
      <c r="G38" s="267"/>
      <c r="H38" s="267"/>
      <c r="I38" s="267"/>
      <c r="J38" s="267"/>
    </row>
    <row r="39" spans="1:10" s="8" customFormat="1" x14ac:dyDescent="0.35">
      <c r="A39" s="265"/>
      <c r="B39" s="266"/>
      <c r="C39" s="267"/>
      <c r="D39" s="267"/>
      <c r="E39" s="267"/>
      <c r="F39" s="267"/>
      <c r="G39" s="267"/>
      <c r="H39" s="267"/>
      <c r="I39" s="267"/>
      <c r="J39" s="267"/>
    </row>
    <row r="40" spans="1:10" s="8" customFormat="1" x14ac:dyDescent="0.35">
      <c r="A40" s="265"/>
      <c r="B40" s="266"/>
      <c r="C40" s="267"/>
      <c r="D40" s="267"/>
      <c r="E40" s="267"/>
      <c r="F40" s="267"/>
      <c r="G40" s="267"/>
      <c r="H40" s="267"/>
      <c r="I40" s="267"/>
      <c r="J40" s="267"/>
    </row>
    <row r="41" spans="1:10" s="8" customFormat="1" x14ac:dyDescent="0.35">
      <c r="A41" s="265"/>
      <c r="B41" s="266"/>
      <c r="C41" s="267"/>
      <c r="D41" s="267"/>
      <c r="E41" s="267"/>
      <c r="F41" s="267"/>
      <c r="G41" s="267"/>
      <c r="H41" s="267"/>
      <c r="I41" s="267"/>
      <c r="J41" s="267"/>
    </row>
    <row r="42" spans="1:10" s="8" customFormat="1" x14ac:dyDescent="0.35">
      <c r="A42" s="265"/>
      <c r="B42" s="266"/>
      <c r="C42" s="267"/>
      <c r="D42" s="267"/>
      <c r="E42" s="267"/>
      <c r="F42" s="267"/>
      <c r="G42" s="267"/>
      <c r="H42" s="267"/>
      <c r="I42" s="267"/>
      <c r="J42" s="267"/>
    </row>
    <row r="43" spans="1:10" s="8" customFormat="1" x14ac:dyDescent="0.35">
      <c r="A43" s="265"/>
      <c r="B43" s="266"/>
      <c r="C43" s="267"/>
      <c r="D43" s="267"/>
      <c r="E43" s="267"/>
      <c r="F43" s="267"/>
      <c r="G43" s="267"/>
      <c r="H43" s="267"/>
      <c r="I43" s="267"/>
      <c r="J43" s="267"/>
    </row>
    <row r="44" spans="1:10" s="8" customFormat="1" x14ac:dyDescent="0.35">
      <c r="A44" s="265"/>
      <c r="B44" s="266"/>
      <c r="C44" s="267"/>
      <c r="D44" s="267"/>
      <c r="E44" s="267"/>
      <c r="F44" s="267"/>
      <c r="G44" s="267"/>
      <c r="H44" s="267"/>
      <c r="I44" s="267"/>
      <c r="J44" s="267"/>
    </row>
    <row r="45" spans="1:10" s="8" customFormat="1" x14ac:dyDescent="0.35"/>
    <row r="46" spans="1:10" s="8" customFormat="1" x14ac:dyDescent="0.35"/>
    <row r="47" spans="1:10" s="8" customFormat="1" x14ac:dyDescent="0.35"/>
    <row r="48" spans="1:10" s="8" customFormat="1" x14ac:dyDescent="0.35"/>
    <row r="49" s="8" customFormat="1" x14ac:dyDescent="0.35"/>
  </sheetData>
  <mergeCells count="4">
    <mergeCell ref="D4:H4"/>
    <mergeCell ref="C9:E9"/>
    <mergeCell ref="F9:G9"/>
    <mergeCell ref="H9:J9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-0.249977111117893"/>
  </sheetPr>
  <dimension ref="A1:N41"/>
  <sheetViews>
    <sheetView workbookViewId="0">
      <selection sqref="A1:N28"/>
    </sheetView>
  </sheetViews>
  <sheetFormatPr baseColWidth="10" defaultRowHeight="14.5" x14ac:dyDescent="0.35"/>
  <cols>
    <col min="2" max="2" width="21.90625" customWidth="1"/>
    <col min="12" max="14" width="10.81640625" customWidth="1"/>
  </cols>
  <sheetData>
    <row r="1" spans="1:14" x14ac:dyDescent="0.35">
      <c r="A1" s="1" t="s">
        <v>0</v>
      </c>
      <c r="B1" s="2"/>
      <c r="C1" s="35"/>
      <c r="D1" s="35"/>
      <c r="E1" s="35"/>
      <c r="F1" s="35"/>
      <c r="G1" s="35"/>
      <c r="H1" s="36" t="s">
        <v>1</v>
      </c>
      <c r="I1" s="35"/>
      <c r="J1" s="35"/>
      <c r="K1" s="37"/>
    </row>
    <row r="2" spans="1:14" x14ac:dyDescent="0.35">
      <c r="A2" s="6" t="s">
        <v>2</v>
      </c>
      <c r="B2" s="7"/>
      <c r="C2" s="38"/>
      <c r="D2" s="38"/>
      <c r="E2" s="38"/>
      <c r="F2" s="38"/>
      <c r="G2" s="38"/>
      <c r="H2" s="39" t="s">
        <v>23</v>
      </c>
      <c r="I2" s="38"/>
      <c r="J2" s="38"/>
      <c r="K2" s="40"/>
    </row>
    <row r="3" spans="1:14" x14ac:dyDescent="0.35">
      <c r="A3" s="11" t="s">
        <v>4</v>
      </c>
      <c r="B3" s="12"/>
      <c r="C3" s="38"/>
      <c r="D3" s="38"/>
      <c r="E3" s="38"/>
      <c r="F3" s="38"/>
      <c r="G3" s="38"/>
      <c r="H3" s="39" t="s">
        <v>5</v>
      </c>
      <c r="I3" s="38"/>
      <c r="J3" s="38"/>
      <c r="K3" s="40"/>
    </row>
    <row r="4" spans="1:14" x14ac:dyDescent="0.35">
      <c r="A4" s="15"/>
      <c r="B4" s="38"/>
      <c r="C4" s="38"/>
      <c r="D4" s="275" t="s">
        <v>6</v>
      </c>
      <c r="E4" s="275"/>
      <c r="F4" s="275"/>
      <c r="G4" s="275"/>
      <c r="H4" s="275"/>
      <c r="I4" s="38"/>
      <c r="J4" s="38"/>
      <c r="K4" s="40"/>
    </row>
    <row r="5" spans="1:14" x14ac:dyDescent="0.35">
      <c r="A5" s="15"/>
      <c r="B5" s="41"/>
      <c r="C5" s="38"/>
      <c r="D5" s="39" t="s">
        <v>65</v>
      </c>
      <c r="E5" s="41"/>
      <c r="F5" s="41"/>
      <c r="G5" s="38"/>
      <c r="H5" s="38"/>
      <c r="I5" s="38"/>
      <c r="J5" s="38"/>
      <c r="K5" s="40"/>
    </row>
    <row r="6" spans="1:14" x14ac:dyDescent="0.35">
      <c r="A6" s="15"/>
      <c r="B6" s="41"/>
      <c r="C6" s="38"/>
      <c r="D6" s="38" t="s">
        <v>7</v>
      </c>
      <c r="E6" s="41"/>
      <c r="F6" s="41"/>
      <c r="G6" s="38"/>
      <c r="H6" s="38"/>
      <c r="I6" s="38"/>
      <c r="J6" s="38"/>
      <c r="K6" s="40"/>
    </row>
    <row r="7" spans="1:14" x14ac:dyDescent="0.35">
      <c r="A7" s="16" t="s">
        <v>8</v>
      </c>
      <c r="B7" s="42" t="s">
        <v>9</v>
      </c>
      <c r="C7" s="276" t="s">
        <v>10</v>
      </c>
      <c r="D7" s="276"/>
      <c r="E7" s="277"/>
      <c r="F7" s="278" t="s">
        <v>11</v>
      </c>
      <c r="G7" s="278"/>
      <c r="H7" s="279" t="s">
        <v>12</v>
      </c>
      <c r="I7" s="280"/>
      <c r="J7" s="280"/>
      <c r="K7" s="166" t="s">
        <v>13</v>
      </c>
    </row>
    <row r="8" spans="1:14" x14ac:dyDescent="0.35">
      <c r="A8" s="18"/>
      <c r="B8" s="43"/>
      <c r="C8" s="43" t="s">
        <v>14</v>
      </c>
      <c r="D8" s="44" t="s">
        <v>15</v>
      </c>
      <c r="E8" s="45" t="s">
        <v>16</v>
      </c>
      <c r="F8" s="46" t="s">
        <v>17</v>
      </c>
      <c r="G8" s="46" t="s">
        <v>18</v>
      </c>
      <c r="H8" s="44" t="s">
        <v>19</v>
      </c>
      <c r="I8" s="47" t="s">
        <v>20</v>
      </c>
      <c r="J8" s="48" t="s">
        <v>21</v>
      </c>
      <c r="K8" s="193"/>
    </row>
    <row r="9" spans="1:14" x14ac:dyDescent="0.35">
      <c r="A9" s="49">
        <v>42371</v>
      </c>
      <c r="B9" s="31" t="s">
        <v>24</v>
      </c>
      <c r="C9" s="30">
        <f>+[1]azul!$E$16</f>
        <v>2859.06</v>
      </c>
      <c r="D9" s="50"/>
      <c r="E9" s="32">
        <f>+C9</f>
        <v>2859.06</v>
      </c>
      <c r="F9" s="51">
        <f>+H9/C9</f>
        <v>25.528572932014313</v>
      </c>
      <c r="G9" s="38"/>
      <c r="H9" s="52">
        <f>+[1]azul!$J$16</f>
        <v>72987.721727004842</v>
      </c>
      <c r="I9" s="50"/>
      <c r="J9" s="30">
        <f>+H9</f>
        <v>72987.721727004842</v>
      </c>
      <c r="K9" s="53"/>
      <c r="L9" s="140"/>
      <c r="M9" s="140"/>
      <c r="N9" s="140"/>
    </row>
    <row r="10" spans="1:14" x14ac:dyDescent="0.35">
      <c r="A10" s="114">
        <v>42399</v>
      </c>
      <c r="B10" s="115" t="s">
        <v>115</v>
      </c>
      <c r="C10" s="115"/>
      <c r="D10" s="115">
        <f>9*2.05</f>
        <v>18.45</v>
      </c>
      <c r="E10" s="116">
        <f>+E9-D10</f>
        <v>2840.61</v>
      </c>
      <c r="F10" s="117"/>
      <c r="G10" s="117">
        <f>+J9/E9</f>
        <v>25.528572932014313</v>
      </c>
      <c r="H10" s="115"/>
      <c r="I10" s="110">
        <f>+D10*G10</f>
        <v>471.00217059566404</v>
      </c>
      <c r="J10" s="110">
        <f>+J9-I10</f>
        <v>72516.719556409182</v>
      </c>
      <c r="K10" s="137"/>
      <c r="L10" s="179">
        <f t="shared" ref="L10:L15" si="0">SUM(I10)</f>
        <v>471.00217059566404</v>
      </c>
      <c r="M10" s="179">
        <f>+L10</f>
        <v>471.00217059566404</v>
      </c>
      <c r="N10" s="143">
        <v>42399</v>
      </c>
    </row>
    <row r="11" spans="1:14" x14ac:dyDescent="0.35">
      <c r="A11" s="114">
        <v>42427</v>
      </c>
      <c r="B11" s="115" t="s">
        <v>176</v>
      </c>
      <c r="C11" s="115"/>
      <c r="D11" s="115">
        <f>7.5+7.39+7.27+7.15+7.03+6.92+6.8+6.68+6.56+6.45+6.33</f>
        <v>76.08</v>
      </c>
      <c r="E11" s="116">
        <f t="shared" ref="E11:E21" si="1">+E10-D11</f>
        <v>2764.53</v>
      </c>
      <c r="F11" s="117"/>
      <c r="G11" s="117">
        <f t="shared" ref="G11:G21" si="2">+J10/E10</f>
        <v>25.528572932014313</v>
      </c>
      <c r="H11" s="115"/>
      <c r="I11" s="110">
        <f t="shared" ref="I11:I21" si="3">+D11*G11</f>
        <v>1942.2138286676488</v>
      </c>
      <c r="J11" s="110">
        <f t="shared" ref="J11:J21" si="4">+J10-I11</f>
        <v>70574.505727741533</v>
      </c>
      <c r="K11" s="137"/>
      <c r="L11" s="179">
        <f t="shared" si="0"/>
        <v>1942.2138286676488</v>
      </c>
      <c r="M11" s="179">
        <f>+L11</f>
        <v>1942.2138286676488</v>
      </c>
      <c r="N11" s="143">
        <v>42428</v>
      </c>
    </row>
    <row r="12" spans="1:14" x14ac:dyDescent="0.35">
      <c r="A12" s="114">
        <v>42438</v>
      </c>
      <c r="B12" s="115" t="s">
        <v>199</v>
      </c>
      <c r="C12" s="115"/>
      <c r="D12" s="115">
        <f>6*1.6</f>
        <v>9.6000000000000014</v>
      </c>
      <c r="E12" s="116">
        <f t="shared" si="1"/>
        <v>2754.9300000000003</v>
      </c>
      <c r="F12" s="117"/>
      <c r="G12" s="117">
        <f t="shared" si="2"/>
        <v>25.528572932014313</v>
      </c>
      <c r="H12" s="115"/>
      <c r="I12" s="110">
        <f t="shared" si="3"/>
        <v>245.07430014733745</v>
      </c>
      <c r="J12" s="110">
        <f t="shared" si="4"/>
        <v>70329.431427594202</v>
      </c>
      <c r="K12" s="137"/>
      <c r="L12" s="179">
        <f t="shared" si="0"/>
        <v>245.07430014733745</v>
      </c>
      <c r="M12" s="179">
        <f>+L12</f>
        <v>245.07430014733745</v>
      </c>
      <c r="N12" s="143">
        <v>42444</v>
      </c>
    </row>
    <row r="13" spans="1:14" s="112" customFormat="1" x14ac:dyDescent="0.35">
      <c r="A13" s="114">
        <v>42548</v>
      </c>
      <c r="B13" s="115" t="s">
        <v>424</v>
      </c>
      <c r="C13" s="115"/>
      <c r="D13" s="115">
        <f>50*2.1</f>
        <v>105</v>
      </c>
      <c r="E13" s="116">
        <f t="shared" si="1"/>
        <v>2649.9300000000003</v>
      </c>
      <c r="F13" s="117"/>
      <c r="G13" s="117">
        <f t="shared" si="2"/>
        <v>25.528572932014313</v>
      </c>
      <c r="H13" s="115"/>
      <c r="I13" s="110">
        <f t="shared" si="3"/>
        <v>2680.5001578615029</v>
      </c>
      <c r="J13" s="110">
        <f t="shared" si="4"/>
        <v>67648.931269732697</v>
      </c>
      <c r="K13" s="137"/>
      <c r="L13" s="179">
        <f t="shared" si="0"/>
        <v>2680.5001578615029</v>
      </c>
      <c r="M13" s="179">
        <f>SUM(L13)</f>
        <v>2680.5001578615029</v>
      </c>
      <c r="N13" s="143">
        <v>42551</v>
      </c>
    </row>
    <row r="14" spans="1:14" s="112" customFormat="1" x14ac:dyDescent="0.35">
      <c r="A14" s="114">
        <v>42563</v>
      </c>
      <c r="B14" s="115" t="s">
        <v>445</v>
      </c>
      <c r="C14" s="115"/>
      <c r="D14" s="115">
        <f>25*1.5</f>
        <v>37.5</v>
      </c>
      <c r="E14" s="116">
        <f t="shared" si="1"/>
        <v>2612.4300000000003</v>
      </c>
      <c r="F14" s="117"/>
      <c r="G14" s="117">
        <f t="shared" si="2"/>
        <v>25.528572932014313</v>
      </c>
      <c r="H14" s="115"/>
      <c r="I14" s="110">
        <f t="shared" si="3"/>
        <v>957.32148495053673</v>
      </c>
      <c r="J14" s="110">
        <f t="shared" si="4"/>
        <v>66691.609784782166</v>
      </c>
      <c r="K14" s="137"/>
      <c r="L14" s="179">
        <f t="shared" si="0"/>
        <v>957.32148495053673</v>
      </c>
      <c r="M14" s="160"/>
      <c r="N14" s="143">
        <v>42566</v>
      </c>
    </row>
    <row r="15" spans="1:14" s="112" customFormat="1" x14ac:dyDescent="0.35">
      <c r="A15" s="114">
        <v>42578</v>
      </c>
      <c r="B15" s="115" t="s">
        <v>453</v>
      </c>
      <c r="C15" s="115"/>
      <c r="D15" s="115">
        <f>19*3.16</f>
        <v>60.040000000000006</v>
      </c>
      <c r="E15" s="116">
        <f t="shared" si="1"/>
        <v>2552.3900000000003</v>
      </c>
      <c r="F15" s="117"/>
      <c r="G15" s="117">
        <f t="shared" si="2"/>
        <v>25.528572932014317</v>
      </c>
      <c r="H15" s="115"/>
      <c r="I15" s="110">
        <f t="shared" si="3"/>
        <v>1532.7355188381398</v>
      </c>
      <c r="J15" s="110">
        <f t="shared" si="4"/>
        <v>65158.874265944025</v>
      </c>
      <c r="K15" s="137"/>
      <c r="L15" s="179">
        <f t="shared" si="0"/>
        <v>1532.7355188381398</v>
      </c>
      <c r="M15" s="179">
        <f>SUM(L14:L15)</f>
        <v>2490.0570037886764</v>
      </c>
      <c r="N15" s="143">
        <v>42582</v>
      </c>
    </row>
    <row r="16" spans="1:14" x14ac:dyDescent="0.35">
      <c r="A16" s="54">
        <v>42597</v>
      </c>
      <c r="B16" s="55" t="s">
        <v>468</v>
      </c>
      <c r="C16" s="56"/>
      <c r="D16" s="55">
        <v>0</v>
      </c>
      <c r="E16" s="57">
        <f t="shared" si="1"/>
        <v>2552.3900000000003</v>
      </c>
      <c r="F16" s="58"/>
      <c r="G16" s="58">
        <f t="shared" si="2"/>
        <v>25.528572932014313</v>
      </c>
      <c r="H16" s="56"/>
      <c r="I16" s="33">
        <f t="shared" si="3"/>
        <v>0</v>
      </c>
      <c r="J16" s="59">
        <f t="shared" si="4"/>
        <v>65158.874265944025</v>
      </c>
      <c r="K16" s="201"/>
      <c r="L16" s="140"/>
      <c r="M16" s="140"/>
      <c r="N16" s="140"/>
    </row>
    <row r="17" spans="1:14" s="112" customFormat="1" x14ac:dyDescent="0.35">
      <c r="A17" s="114">
        <v>42597</v>
      </c>
      <c r="B17" s="115" t="s">
        <v>469</v>
      </c>
      <c r="C17" s="115"/>
      <c r="D17" s="115">
        <f>3*6.4</f>
        <v>19.200000000000003</v>
      </c>
      <c r="E17" s="116">
        <f t="shared" si="1"/>
        <v>2533.1900000000005</v>
      </c>
      <c r="F17" s="117"/>
      <c r="G17" s="117">
        <f t="shared" si="2"/>
        <v>25.528572932014313</v>
      </c>
      <c r="H17" s="115"/>
      <c r="I17" s="110">
        <f t="shared" si="3"/>
        <v>490.14860029467491</v>
      </c>
      <c r="J17" s="110">
        <f t="shared" si="4"/>
        <v>64668.725665649348</v>
      </c>
      <c r="K17" s="137"/>
      <c r="L17" s="179">
        <f>SUM(I16:I17)</f>
        <v>490.14860029467491</v>
      </c>
      <c r="M17" s="179">
        <f>SUM(L17)</f>
        <v>490.14860029467491</v>
      </c>
      <c r="N17" s="143">
        <v>42597</v>
      </c>
    </row>
    <row r="18" spans="1:14" s="112" customFormat="1" x14ac:dyDescent="0.35">
      <c r="A18" s="114">
        <v>42665</v>
      </c>
      <c r="B18" s="115" t="s">
        <v>534</v>
      </c>
      <c r="C18" s="115"/>
      <c r="D18" s="115">
        <v>2.63</v>
      </c>
      <c r="E18" s="116">
        <f t="shared" si="1"/>
        <v>2530.5600000000004</v>
      </c>
      <c r="F18" s="117"/>
      <c r="G18" s="117">
        <f t="shared" si="2"/>
        <v>25.528572932014313</v>
      </c>
      <c r="H18" s="115"/>
      <c r="I18" s="110">
        <f t="shared" si="3"/>
        <v>67.140146811197638</v>
      </c>
      <c r="J18" s="110">
        <f t="shared" si="4"/>
        <v>64601.585518838154</v>
      </c>
      <c r="K18" s="137"/>
      <c r="L18" s="179">
        <f>SUM(I18)</f>
        <v>67.140146811197638</v>
      </c>
      <c r="M18" s="179">
        <f>SUM(L18)</f>
        <v>67.140146811197638</v>
      </c>
      <c r="N18" s="143">
        <v>42674</v>
      </c>
    </row>
    <row r="19" spans="1:14" x14ac:dyDescent="0.35">
      <c r="A19" s="54">
        <v>42713</v>
      </c>
      <c r="B19" s="55" t="s">
        <v>601</v>
      </c>
      <c r="C19" s="56"/>
      <c r="D19" s="55">
        <f>5*2.8</f>
        <v>14</v>
      </c>
      <c r="E19" s="57">
        <f t="shared" si="1"/>
        <v>2516.5600000000004</v>
      </c>
      <c r="F19" s="58"/>
      <c r="G19" s="58">
        <f t="shared" si="2"/>
        <v>25.528572932014313</v>
      </c>
      <c r="H19" s="56"/>
      <c r="I19" s="33">
        <f t="shared" si="3"/>
        <v>357.40002104820041</v>
      </c>
      <c r="J19" s="59">
        <f t="shared" si="4"/>
        <v>64244.185497789957</v>
      </c>
      <c r="K19" s="201"/>
      <c r="L19" s="140"/>
      <c r="M19" s="140"/>
      <c r="N19" s="140"/>
    </row>
    <row r="20" spans="1:14" x14ac:dyDescent="0.35">
      <c r="A20" s="54">
        <v>42713</v>
      </c>
      <c r="B20" s="55" t="s">
        <v>602</v>
      </c>
      <c r="C20" s="56"/>
      <c r="D20" s="55">
        <f>8*4.96+11*2.5+38*1.65</f>
        <v>129.88</v>
      </c>
      <c r="E20" s="57">
        <f t="shared" si="1"/>
        <v>2386.6800000000003</v>
      </c>
      <c r="F20" s="58"/>
      <c r="G20" s="58">
        <f t="shared" si="2"/>
        <v>25.528572932014317</v>
      </c>
      <c r="H20" s="56"/>
      <c r="I20" s="33">
        <f t="shared" si="3"/>
        <v>3315.6510524100195</v>
      </c>
      <c r="J20" s="59">
        <f t="shared" si="4"/>
        <v>60928.534445379933</v>
      </c>
      <c r="K20" s="201"/>
      <c r="L20" s="140"/>
      <c r="M20" s="140"/>
      <c r="N20" s="140"/>
    </row>
    <row r="21" spans="1:14" s="112" customFormat="1" x14ac:dyDescent="0.35">
      <c r="A21" s="114">
        <v>42717</v>
      </c>
      <c r="B21" s="115" t="s">
        <v>607</v>
      </c>
      <c r="C21" s="115"/>
      <c r="D21" s="115">
        <f>3*1.4</f>
        <v>4.1999999999999993</v>
      </c>
      <c r="E21" s="116">
        <f t="shared" si="1"/>
        <v>2382.4800000000005</v>
      </c>
      <c r="F21" s="117"/>
      <c r="G21" s="117">
        <f t="shared" si="2"/>
        <v>25.528572932014317</v>
      </c>
      <c r="H21" s="115"/>
      <c r="I21" s="110">
        <f t="shared" si="3"/>
        <v>107.22000631446011</v>
      </c>
      <c r="J21" s="110">
        <f t="shared" si="4"/>
        <v>60821.314439065471</v>
      </c>
      <c r="K21" s="137"/>
      <c r="L21" s="179">
        <f>SUM(I19:I21)</f>
        <v>3780.27107977268</v>
      </c>
      <c r="M21" s="179">
        <f>SUM(L21)</f>
        <v>3780.27107977268</v>
      </c>
      <c r="N21" s="143">
        <v>42735</v>
      </c>
    </row>
    <row r="22" spans="1:14" ht="15" thickBot="1" x14ac:dyDescent="0.4">
      <c r="A22" s="194"/>
      <c r="B22" s="195" t="s">
        <v>638</v>
      </c>
      <c r="C22" s="199">
        <f>SUM(C9:C21)</f>
        <v>2859.06</v>
      </c>
      <c r="D22" s="199">
        <f>SUM(D9:D21)</f>
        <v>476.58</v>
      </c>
      <c r="E22" s="196"/>
      <c r="F22" s="197"/>
      <c r="G22" s="198"/>
      <c r="H22" s="199">
        <f t="shared" ref="H22:I22" si="5">SUM(H9:H21)</f>
        <v>72987.721727004842</v>
      </c>
      <c r="I22" s="199">
        <f t="shared" si="5"/>
        <v>12166.407287939384</v>
      </c>
      <c r="J22" s="199"/>
      <c r="K22" s="200"/>
      <c r="L22" s="113"/>
      <c r="M22" s="202">
        <f>SUM(M10:M21)</f>
        <v>12166.407287939383</v>
      </c>
    </row>
    <row r="23" spans="1:14" s="8" customFormat="1" x14ac:dyDescent="0.35">
      <c r="A23" s="184"/>
      <c r="B23" s="185"/>
      <c r="C23" s="186"/>
      <c r="D23" s="185"/>
      <c r="E23" s="187"/>
      <c r="F23" s="188"/>
      <c r="G23" s="189"/>
      <c r="H23" s="190"/>
      <c r="I23" s="163"/>
      <c r="J23" s="191"/>
      <c r="K23" s="192"/>
    </row>
    <row r="24" spans="1:14" s="8" customFormat="1" x14ac:dyDescent="0.35">
      <c r="A24" s="184"/>
      <c r="B24" s="185"/>
      <c r="C24" s="186"/>
      <c r="D24" s="185"/>
      <c r="E24" s="187"/>
      <c r="F24" s="188"/>
      <c r="G24" s="189"/>
      <c r="H24" s="190"/>
      <c r="I24" s="163"/>
      <c r="J24" s="191"/>
      <c r="K24" s="192"/>
    </row>
    <row r="25" spans="1:14" s="8" customFormat="1" x14ac:dyDescent="0.35">
      <c r="A25" s="184"/>
      <c r="B25" s="174" t="s">
        <v>639</v>
      </c>
      <c r="C25" s="39"/>
      <c r="D25" s="38"/>
      <c r="E25" s="38"/>
      <c r="F25" s="38"/>
      <c r="G25" s="38"/>
      <c r="H25" s="140"/>
      <c r="I25" s="140"/>
      <c r="J25" s="140"/>
      <c r="K25" s="140"/>
    </row>
    <row r="26" spans="1:14" s="8" customFormat="1" x14ac:dyDescent="0.35">
      <c r="A26" s="184"/>
      <c r="B26" s="174" t="s">
        <v>642</v>
      </c>
      <c r="C26" s="39"/>
      <c r="D26" s="38"/>
      <c r="E26" s="38"/>
      <c r="F26" s="38"/>
      <c r="G26" s="38"/>
      <c r="H26" s="140"/>
      <c r="I26" s="140"/>
      <c r="J26" s="140"/>
      <c r="K26" s="28">
        <f>+E21*F9</f>
        <v>60821.314439065471</v>
      </c>
    </row>
    <row r="27" spans="1:14" s="8" customFormat="1" x14ac:dyDescent="0.35">
      <c r="A27" s="184"/>
      <c r="B27" s="174" t="s">
        <v>640</v>
      </c>
      <c r="C27" s="39"/>
      <c r="D27" s="38"/>
      <c r="E27" s="38"/>
      <c r="F27" s="38"/>
      <c r="G27" s="38"/>
      <c r="H27" s="140"/>
      <c r="I27" s="140"/>
      <c r="J27" s="140"/>
      <c r="K27" s="175">
        <f>+J21</f>
        <v>60821.314439065471</v>
      </c>
    </row>
    <row r="28" spans="1:14" s="8" customFormat="1" ht="15" thickBot="1" x14ac:dyDescent="0.4">
      <c r="A28" s="184"/>
      <c r="B28" s="174"/>
      <c r="C28" s="39" t="s">
        <v>641</v>
      </c>
      <c r="D28" s="38"/>
      <c r="E28" s="38"/>
      <c r="F28" s="38"/>
      <c r="G28" s="38"/>
      <c r="H28" s="140"/>
      <c r="I28" s="140"/>
      <c r="J28" s="140"/>
      <c r="K28" s="202">
        <f>+K26-K27</f>
        <v>0</v>
      </c>
    </row>
    <row r="29" spans="1:14" s="8" customFormat="1" ht="15" thickTop="1" x14ac:dyDescent="0.35">
      <c r="A29" s="184"/>
      <c r="B29" s="185"/>
      <c r="C29" s="186"/>
      <c r="D29" s="185"/>
      <c r="E29" s="187"/>
      <c r="F29" s="188"/>
      <c r="G29" s="189"/>
      <c r="H29" s="190"/>
      <c r="I29" s="163"/>
      <c r="J29" s="191"/>
      <c r="K29" s="192"/>
    </row>
    <row r="30" spans="1:14" s="8" customFormat="1" x14ac:dyDescent="0.35">
      <c r="A30" s="184"/>
      <c r="B30" s="185"/>
      <c r="C30" s="186"/>
      <c r="D30" s="185"/>
      <c r="E30" s="187"/>
      <c r="F30" s="188"/>
      <c r="G30" s="189"/>
      <c r="H30" s="190"/>
      <c r="I30" s="163"/>
      <c r="J30" s="191"/>
      <c r="K30" s="192"/>
    </row>
    <row r="31" spans="1:14" s="8" customFormat="1" x14ac:dyDescent="0.35">
      <c r="A31" s="184"/>
      <c r="B31" s="185"/>
      <c r="C31" s="186"/>
      <c r="D31" s="185"/>
      <c r="E31" s="187"/>
      <c r="F31" s="188"/>
      <c r="G31" s="189"/>
      <c r="H31" s="190"/>
      <c r="I31" s="163"/>
      <c r="J31" s="191"/>
      <c r="K31" s="192"/>
    </row>
    <row r="32" spans="1:14" s="8" customFormat="1" x14ac:dyDescent="0.35">
      <c r="A32" s="184"/>
      <c r="B32" s="185"/>
      <c r="C32" s="186"/>
      <c r="D32" s="185"/>
      <c r="E32" s="187"/>
      <c r="F32" s="188"/>
      <c r="G32" s="189"/>
      <c r="H32" s="190"/>
      <c r="I32" s="163"/>
      <c r="J32" s="191"/>
      <c r="K32" s="192"/>
    </row>
    <row r="33" spans="1:11" s="8" customFormat="1" x14ac:dyDescent="0.35">
      <c r="A33" s="184"/>
      <c r="B33" s="185"/>
      <c r="C33" s="186"/>
      <c r="D33" s="185"/>
      <c r="E33" s="187"/>
      <c r="F33" s="188"/>
      <c r="G33" s="189"/>
      <c r="H33" s="190"/>
      <c r="I33" s="163"/>
      <c r="J33" s="191"/>
      <c r="K33" s="192"/>
    </row>
    <row r="34" spans="1:11" s="8" customFormat="1" x14ac:dyDescent="0.35">
      <c r="A34" s="184"/>
      <c r="B34" s="185"/>
      <c r="C34" s="186"/>
      <c r="D34" s="185"/>
      <c r="E34" s="187"/>
      <c r="F34" s="188"/>
      <c r="G34" s="189"/>
      <c r="H34" s="190"/>
      <c r="I34" s="163"/>
      <c r="J34" s="191"/>
      <c r="K34" s="192"/>
    </row>
    <row r="35" spans="1:11" s="8" customFormat="1" x14ac:dyDescent="0.35">
      <c r="A35" s="184"/>
      <c r="B35" s="185"/>
      <c r="C35" s="186"/>
      <c r="D35" s="185"/>
      <c r="E35" s="187"/>
      <c r="F35" s="188"/>
      <c r="G35" s="189"/>
      <c r="H35" s="190"/>
      <c r="I35" s="163"/>
      <c r="J35" s="191"/>
      <c r="K35" s="192"/>
    </row>
    <row r="36" spans="1:11" s="8" customFormat="1" x14ac:dyDescent="0.35">
      <c r="A36" s="184"/>
      <c r="B36" s="185"/>
      <c r="C36" s="186"/>
      <c r="D36" s="185"/>
      <c r="E36" s="187"/>
      <c r="F36" s="188"/>
      <c r="G36" s="189"/>
      <c r="H36" s="190"/>
      <c r="I36" s="163"/>
      <c r="J36" s="191"/>
      <c r="K36" s="192"/>
    </row>
    <row r="37" spans="1:11" s="8" customFormat="1" x14ac:dyDescent="0.35">
      <c r="A37" s="184"/>
      <c r="B37" s="185"/>
      <c r="C37" s="186"/>
      <c r="D37" s="185"/>
      <c r="E37" s="187"/>
      <c r="F37" s="188"/>
      <c r="G37" s="189"/>
      <c r="H37" s="190"/>
      <c r="I37" s="163"/>
      <c r="J37" s="191"/>
      <c r="K37" s="192"/>
    </row>
    <row r="38" spans="1:11" s="8" customFormat="1" x14ac:dyDescent="0.35">
      <c r="A38" s="184"/>
      <c r="B38" s="185"/>
      <c r="C38" s="186"/>
      <c r="D38" s="185"/>
      <c r="E38" s="187"/>
      <c r="F38" s="188"/>
      <c r="G38" s="189"/>
      <c r="H38" s="190"/>
      <c r="I38" s="163"/>
      <c r="J38" s="191"/>
      <c r="K38" s="192"/>
    </row>
    <row r="39" spans="1:11" s="8" customFormat="1" x14ac:dyDescent="0.35">
      <c r="A39" s="184"/>
      <c r="B39" s="185"/>
      <c r="C39" s="186"/>
      <c r="D39" s="185"/>
      <c r="E39" s="187"/>
      <c r="F39" s="188"/>
      <c r="G39" s="189"/>
      <c r="H39" s="190"/>
      <c r="I39" s="163"/>
      <c r="J39" s="191"/>
      <c r="K39" s="192"/>
    </row>
    <row r="40" spans="1:11" s="8" customFormat="1" x14ac:dyDescent="0.35">
      <c r="A40" s="184"/>
      <c r="B40" s="185"/>
      <c r="C40" s="186"/>
      <c r="D40" s="185"/>
      <c r="E40" s="187"/>
      <c r="F40" s="188"/>
      <c r="G40" s="189"/>
      <c r="H40" s="190"/>
      <c r="I40" s="163"/>
      <c r="J40" s="191"/>
      <c r="K40" s="192"/>
    </row>
    <row r="41" spans="1:11" s="8" customFormat="1" x14ac:dyDescent="0.35"/>
  </sheetData>
  <mergeCells count="4">
    <mergeCell ref="D4:H4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4294967293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N78"/>
  <sheetViews>
    <sheetView workbookViewId="0">
      <selection activeCell="D6" sqref="D6:G6"/>
    </sheetView>
  </sheetViews>
  <sheetFormatPr baseColWidth="10" defaultRowHeight="14.5" x14ac:dyDescent="0.35"/>
  <cols>
    <col min="2" max="2" width="23.453125" customWidth="1"/>
    <col min="12" max="14" width="10.81640625" customWidth="1"/>
  </cols>
  <sheetData>
    <row r="1" spans="1:14" x14ac:dyDescent="0.35">
      <c r="A1" s="1" t="s">
        <v>0</v>
      </c>
      <c r="B1" s="2"/>
      <c r="C1" s="35"/>
      <c r="D1" s="35"/>
      <c r="E1" s="35"/>
      <c r="F1" s="35"/>
      <c r="G1" s="35"/>
      <c r="H1" s="36" t="s">
        <v>1</v>
      </c>
      <c r="I1" s="35"/>
      <c r="J1" s="35"/>
      <c r="K1" s="37"/>
    </row>
    <row r="2" spans="1:14" x14ac:dyDescent="0.35">
      <c r="A2" s="6" t="s">
        <v>2</v>
      </c>
      <c r="B2" s="7"/>
      <c r="C2" s="38"/>
      <c r="D2" s="38"/>
      <c r="E2" s="38"/>
      <c r="F2" s="38"/>
      <c r="G2" s="38"/>
      <c r="H2" s="39" t="s">
        <v>647</v>
      </c>
      <c r="I2" s="38"/>
      <c r="J2" s="38"/>
      <c r="K2" s="40"/>
    </row>
    <row r="3" spans="1:14" x14ac:dyDescent="0.35">
      <c r="A3" s="11" t="s">
        <v>4</v>
      </c>
      <c r="B3" s="12"/>
      <c r="C3" s="38"/>
      <c r="D3" s="38"/>
      <c r="E3" s="38"/>
      <c r="F3" s="38"/>
      <c r="G3" s="38"/>
      <c r="H3" s="39" t="s">
        <v>5</v>
      </c>
      <c r="I3" s="38"/>
      <c r="J3" s="38"/>
      <c r="K3" s="40"/>
    </row>
    <row r="4" spans="1:14" x14ac:dyDescent="0.35">
      <c r="A4" s="15"/>
      <c r="B4" s="38"/>
      <c r="C4" s="38"/>
      <c r="D4" s="275" t="s">
        <v>6</v>
      </c>
      <c r="E4" s="275"/>
      <c r="F4" s="275"/>
      <c r="G4" s="275"/>
      <c r="H4" s="275"/>
      <c r="I4" s="38"/>
      <c r="J4" s="38"/>
      <c r="K4" s="40"/>
    </row>
    <row r="5" spans="1:14" x14ac:dyDescent="0.35">
      <c r="A5" s="15"/>
      <c r="B5" s="41"/>
      <c r="C5" s="38"/>
      <c r="D5" s="281" t="s">
        <v>66</v>
      </c>
      <c r="E5" s="281"/>
      <c r="F5" s="281"/>
      <c r="G5" s="281"/>
      <c r="H5" s="38"/>
      <c r="I5" s="38"/>
      <c r="J5" s="38"/>
      <c r="K5" s="40"/>
    </row>
    <row r="6" spans="1:14" x14ac:dyDescent="0.35">
      <c r="A6" s="15"/>
      <c r="B6" s="41"/>
      <c r="C6" s="38"/>
      <c r="D6" s="282" t="s">
        <v>7</v>
      </c>
      <c r="E6" s="282"/>
      <c r="F6" s="282"/>
      <c r="G6" s="282"/>
      <c r="H6" s="38"/>
      <c r="I6" s="38"/>
      <c r="J6" s="38"/>
      <c r="K6" s="40"/>
    </row>
    <row r="7" spans="1:14" x14ac:dyDescent="0.35">
      <c r="A7" s="16" t="s">
        <v>8</v>
      </c>
      <c r="B7" s="42" t="s">
        <v>9</v>
      </c>
      <c r="C7" s="276" t="s">
        <v>10</v>
      </c>
      <c r="D7" s="276"/>
      <c r="E7" s="277"/>
      <c r="F7" s="278" t="s">
        <v>11</v>
      </c>
      <c r="G7" s="278"/>
      <c r="H7" s="279" t="s">
        <v>12</v>
      </c>
      <c r="I7" s="280"/>
      <c r="J7" s="280"/>
      <c r="K7" s="166" t="s">
        <v>13</v>
      </c>
    </row>
    <row r="8" spans="1:14" x14ac:dyDescent="0.35">
      <c r="A8" s="18"/>
      <c r="B8" s="43"/>
      <c r="C8" s="43" t="s">
        <v>14</v>
      </c>
      <c r="D8" s="44" t="s">
        <v>15</v>
      </c>
      <c r="E8" s="45" t="s">
        <v>16</v>
      </c>
      <c r="F8" s="46" t="s">
        <v>17</v>
      </c>
      <c r="G8" s="46" t="s">
        <v>18</v>
      </c>
      <c r="H8" s="44" t="s">
        <v>19</v>
      </c>
      <c r="I8" s="47" t="s">
        <v>20</v>
      </c>
      <c r="J8" s="48" t="s">
        <v>21</v>
      </c>
      <c r="K8" s="193"/>
    </row>
    <row r="9" spans="1:14" x14ac:dyDescent="0.35">
      <c r="A9" s="49">
        <v>42371</v>
      </c>
      <c r="B9" s="31" t="s">
        <v>25</v>
      </c>
      <c r="C9" s="30">
        <f>+'[1]ral #28'!$E$80</f>
        <v>1575.5500000000006</v>
      </c>
      <c r="D9" s="31"/>
      <c r="E9" s="32">
        <f>+C9</f>
        <v>1575.5500000000006</v>
      </c>
      <c r="F9" s="51">
        <f>+H9/C9</f>
        <v>25.860570812083171</v>
      </c>
      <c r="G9" s="51"/>
      <c r="H9" s="58">
        <f>+'[1]ral #28'!$J$80</f>
        <v>40744.622342977658</v>
      </c>
      <c r="I9" s="50"/>
      <c r="J9" s="27">
        <f>+H9</f>
        <v>40744.622342977658</v>
      </c>
      <c r="K9" s="53"/>
    </row>
    <row r="10" spans="1:14" x14ac:dyDescent="0.35">
      <c r="A10" s="49">
        <v>42377</v>
      </c>
      <c r="B10" s="31" t="s">
        <v>52</v>
      </c>
      <c r="C10" s="50"/>
      <c r="D10" s="60">
        <f>4*5.2</f>
        <v>20.8</v>
      </c>
      <c r="E10" s="61">
        <f>+E9-D10</f>
        <v>1554.7500000000007</v>
      </c>
      <c r="F10" s="51"/>
      <c r="G10" s="51">
        <f>+J9/E9</f>
        <v>25.860570812083171</v>
      </c>
      <c r="H10" s="58"/>
      <c r="I10" s="51">
        <f>+D10*G10</f>
        <v>537.89987289133001</v>
      </c>
      <c r="J10" s="62">
        <f>+J9-I10</f>
        <v>40206.72247008633</v>
      </c>
      <c r="K10" s="63"/>
    </row>
    <row r="11" spans="1:14" x14ac:dyDescent="0.35">
      <c r="A11" s="119">
        <v>42384</v>
      </c>
      <c r="B11" s="107" t="s">
        <v>80</v>
      </c>
      <c r="C11" s="107"/>
      <c r="D11" s="120">
        <f>2*3.3</f>
        <v>6.6</v>
      </c>
      <c r="E11" s="121">
        <f t="shared" ref="E11" si="0">+E10-D11</f>
        <v>1548.1500000000008</v>
      </c>
      <c r="F11" s="122"/>
      <c r="G11" s="122">
        <f t="shared" ref="G11" si="1">+J10/E10</f>
        <v>25.860570812083171</v>
      </c>
      <c r="H11" s="117"/>
      <c r="I11" s="122">
        <f t="shared" ref="I11" si="2">+D11*G11</f>
        <v>170.67976735974892</v>
      </c>
      <c r="J11" s="122">
        <f t="shared" ref="J11" si="3">+J10-I11</f>
        <v>40036.042702726583</v>
      </c>
      <c r="K11" s="111"/>
      <c r="L11" s="123">
        <f>SUM(I10:I11)</f>
        <v>708.5796402510789</v>
      </c>
      <c r="M11" s="112"/>
      <c r="N11" s="118">
        <v>42384</v>
      </c>
    </row>
    <row r="12" spans="1:14" x14ac:dyDescent="0.35">
      <c r="A12" s="49">
        <v>42385</v>
      </c>
      <c r="B12" s="31" t="s">
        <v>83</v>
      </c>
      <c r="C12" s="50"/>
      <c r="D12" s="60">
        <f>32*4.75</f>
        <v>152</v>
      </c>
      <c r="E12" s="61">
        <f t="shared" ref="E12:E33" si="4">+E11-D12</f>
        <v>1396.1500000000008</v>
      </c>
      <c r="F12" s="51"/>
      <c r="G12" s="51">
        <f t="shared" ref="G12:G33" si="5">+J11/E11</f>
        <v>25.860570812083171</v>
      </c>
      <c r="H12" s="58"/>
      <c r="I12" s="51">
        <f t="shared" ref="I12:I33" si="6">+D12*G12</f>
        <v>3930.8067634366421</v>
      </c>
      <c r="J12" s="62">
        <f t="shared" ref="J12:J33" si="7">+J11-I12</f>
        <v>36105.235939289938</v>
      </c>
      <c r="K12" s="63"/>
    </row>
    <row r="13" spans="1:14" x14ac:dyDescent="0.35">
      <c r="A13" s="49">
        <v>42389</v>
      </c>
      <c r="B13" s="31" t="s">
        <v>91</v>
      </c>
      <c r="C13" s="50"/>
      <c r="D13" s="60">
        <f>5*10+18*9.5+5*6</f>
        <v>251</v>
      </c>
      <c r="E13" s="61">
        <f t="shared" si="4"/>
        <v>1145.1500000000008</v>
      </c>
      <c r="F13" s="51"/>
      <c r="G13" s="51">
        <f t="shared" si="5"/>
        <v>25.860570812083171</v>
      </c>
      <c r="H13" s="58"/>
      <c r="I13" s="51">
        <f t="shared" si="6"/>
        <v>6491.0032738328764</v>
      </c>
      <c r="J13" s="62">
        <f t="shared" si="7"/>
        <v>29614.232665457061</v>
      </c>
      <c r="K13" s="63"/>
    </row>
    <row r="14" spans="1:14" x14ac:dyDescent="0.35">
      <c r="A14" s="49">
        <v>42389</v>
      </c>
      <c r="B14" s="31" t="s">
        <v>92</v>
      </c>
      <c r="C14" s="50"/>
      <c r="D14" s="60">
        <v>7</v>
      </c>
      <c r="E14" s="61">
        <f t="shared" si="4"/>
        <v>1138.1500000000008</v>
      </c>
      <c r="F14" s="51"/>
      <c r="G14" s="51">
        <f t="shared" si="5"/>
        <v>25.860570812083168</v>
      </c>
      <c r="H14" s="58"/>
      <c r="I14" s="51">
        <f t="shared" si="6"/>
        <v>181.02399568458219</v>
      </c>
      <c r="J14" s="62">
        <f t="shared" si="7"/>
        <v>29433.208669772477</v>
      </c>
      <c r="K14" s="63"/>
    </row>
    <row r="15" spans="1:14" x14ac:dyDescent="0.35">
      <c r="A15" s="119">
        <v>42398</v>
      </c>
      <c r="B15" s="107" t="s">
        <v>113</v>
      </c>
      <c r="C15" s="107"/>
      <c r="D15" s="120">
        <f>5*3.8+5*2.1</f>
        <v>29.5</v>
      </c>
      <c r="E15" s="121">
        <f t="shared" si="4"/>
        <v>1108.6500000000008</v>
      </c>
      <c r="F15" s="122"/>
      <c r="G15" s="122">
        <f t="shared" si="5"/>
        <v>25.860570812083168</v>
      </c>
      <c r="H15" s="117"/>
      <c r="I15" s="122">
        <f t="shared" si="6"/>
        <v>762.8868389564534</v>
      </c>
      <c r="J15" s="122">
        <f t="shared" si="7"/>
        <v>28670.321830816025</v>
      </c>
      <c r="K15" s="111"/>
      <c r="L15" s="123">
        <f>SUM(I12:I15)</f>
        <v>11365.720871910555</v>
      </c>
      <c r="M15" s="123">
        <f>SUM(L11:L15)</f>
        <v>12074.300512161633</v>
      </c>
      <c r="N15" s="118">
        <v>42400</v>
      </c>
    </row>
    <row r="16" spans="1:14" x14ac:dyDescent="0.35">
      <c r="A16" s="119">
        <v>42403</v>
      </c>
      <c r="B16" s="107" t="s">
        <v>124</v>
      </c>
      <c r="C16" s="107"/>
      <c r="D16" s="120">
        <f>4*2.5+2</f>
        <v>12</v>
      </c>
      <c r="E16" s="121">
        <f t="shared" si="4"/>
        <v>1096.6500000000008</v>
      </c>
      <c r="F16" s="122"/>
      <c r="G16" s="122">
        <f t="shared" si="5"/>
        <v>25.860570812083168</v>
      </c>
      <c r="H16" s="117"/>
      <c r="I16" s="122">
        <f t="shared" si="6"/>
        <v>310.32684974499801</v>
      </c>
      <c r="J16" s="122">
        <f t="shared" si="7"/>
        <v>28359.994981071028</v>
      </c>
      <c r="K16" s="111"/>
      <c r="L16" s="123">
        <f>SUM(I16)</f>
        <v>310.32684974499801</v>
      </c>
      <c r="M16" s="112"/>
      <c r="N16" s="118">
        <v>42415</v>
      </c>
    </row>
    <row r="17" spans="1:14" x14ac:dyDescent="0.35">
      <c r="A17" s="49">
        <v>42420</v>
      </c>
      <c r="B17" s="31" t="s">
        <v>159</v>
      </c>
      <c r="C17" s="50"/>
      <c r="D17" s="60">
        <f>6*2.9+10*2.06</f>
        <v>38</v>
      </c>
      <c r="E17" s="61">
        <f t="shared" si="4"/>
        <v>1058.6500000000008</v>
      </c>
      <c r="F17" s="51"/>
      <c r="G17" s="51">
        <f t="shared" si="5"/>
        <v>25.860570812083168</v>
      </c>
      <c r="H17" s="58"/>
      <c r="I17" s="51">
        <f t="shared" si="6"/>
        <v>982.70169085916041</v>
      </c>
      <c r="J17" s="62">
        <f t="shared" si="7"/>
        <v>27377.293290211866</v>
      </c>
      <c r="K17" s="63"/>
    </row>
    <row r="18" spans="1:14" x14ac:dyDescent="0.35">
      <c r="A18" s="119">
        <v>42423</v>
      </c>
      <c r="B18" s="107" t="s">
        <v>167</v>
      </c>
      <c r="C18" s="107"/>
      <c r="D18" s="120">
        <v>1.2</v>
      </c>
      <c r="E18" s="121">
        <f t="shared" si="4"/>
        <v>1057.4500000000007</v>
      </c>
      <c r="F18" s="122"/>
      <c r="G18" s="122">
        <f t="shared" si="5"/>
        <v>25.860570812083168</v>
      </c>
      <c r="H18" s="117"/>
      <c r="I18" s="122">
        <f t="shared" si="6"/>
        <v>31.032684974499801</v>
      </c>
      <c r="J18" s="122">
        <f t="shared" si="7"/>
        <v>27346.260605237367</v>
      </c>
      <c r="K18" s="111"/>
      <c r="L18" s="123">
        <f>SUM(I17:I18)</f>
        <v>1013.7343758336602</v>
      </c>
      <c r="M18" s="123">
        <f>SUM(L16:L18)</f>
        <v>1324.0612255786582</v>
      </c>
      <c r="N18" s="118">
        <v>42429</v>
      </c>
    </row>
    <row r="19" spans="1:14" x14ac:dyDescent="0.35">
      <c r="A19" s="49">
        <v>42445</v>
      </c>
      <c r="B19" s="31" t="s">
        <v>214</v>
      </c>
      <c r="C19" s="50"/>
      <c r="D19" s="60">
        <f>9*3.2+2</f>
        <v>30.8</v>
      </c>
      <c r="E19" s="61">
        <f t="shared" si="4"/>
        <v>1026.6500000000008</v>
      </c>
      <c r="F19" s="51"/>
      <c r="G19" s="51">
        <f t="shared" si="5"/>
        <v>25.860570812083171</v>
      </c>
      <c r="H19" s="58"/>
      <c r="I19" s="51">
        <f t="shared" si="6"/>
        <v>796.50558101216166</v>
      </c>
      <c r="J19" s="62">
        <f t="shared" si="7"/>
        <v>26549.755024225204</v>
      </c>
      <c r="K19" s="63"/>
    </row>
    <row r="20" spans="1:14" x14ac:dyDescent="0.35">
      <c r="A20" s="119">
        <v>42460</v>
      </c>
      <c r="B20" s="107" t="s">
        <v>244</v>
      </c>
      <c r="C20" s="107"/>
      <c r="D20" s="120">
        <f>4.3+2.5</f>
        <v>6.8</v>
      </c>
      <c r="E20" s="121">
        <f t="shared" si="4"/>
        <v>1019.8500000000008</v>
      </c>
      <c r="F20" s="122"/>
      <c r="G20" s="122">
        <f t="shared" si="5"/>
        <v>25.860570812083168</v>
      </c>
      <c r="H20" s="117"/>
      <c r="I20" s="122">
        <f t="shared" si="6"/>
        <v>175.85188152216554</v>
      </c>
      <c r="J20" s="122">
        <f t="shared" si="7"/>
        <v>26373.903142703039</v>
      </c>
      <c r="K20" s="111"/>
      <c r="L20" s="123">
        <f>SUM(I19:I20)</f>
        <v>972.35746253432717</v>
      </c>
      <c r="M20" s="123">
        <f>SUM(L20)</f>
        <v>972.35746253432717</v>
      </c>
      <c r="N20" s="118">
        <v>42460</v>
      </c>
    </row>
    <row r="21" spans="1:14" x14ac:dyDescent="0.35">
      <c r="A21" s="49">
        <v>42466</v>
      </c>
      <c r="B21" s="31" t="s">
        <v>256</v>
      </c>
      <c r="C21" s="50"/>
      <c r="D21" s="60">
        <v>7</v>
      </c>
      <c r="E21" s="61">
        <f t="shared" si="4"/>
        <v>1012.8500000000008</v>
      </c>
      <c r="F21" s="51"/>
      <c r="G21" s="51">
        <f t="shared" si="5"/>
        <v>25.860570812083168</v>
      </c>
      <c r="H21" s="58"/>
      <c r="I21" s="51">
        <f t="shared" si="6"/>
        <v>181.02399568458219</v>
      </c>
      <c r="J21" s="62">
        <f t="shared" si="7"/>
        <v>26192.879147018455</v>
      </c>
      <c r="K21" s="63"/>
    </row>
    <row r="22" spans="1:14" x14ac:dyDescent="0.35">
      <c r="A22" s="49">
        <v>42466</v>
      </c>
      <c r="B22" s="31" t="s">
        <v>260</v>
      </c>
      <c r="C22" s="50"/>
      <c r="D22" s="60">
        <v>6</v>
      </c>
      <c r="E22" s="61">
        <f t="shared" si="4"/>
        <v>1006.8500000000008</v>
      </c>
      <c r="F22" s="51"/>
      <c r="G22" s="51">
        <f t="shared" si="5"/>
        <v>25.860570812083164</v>
      </c>
      <c r="H22" s="58"/>
      <c r="I22" s="51">
        <f t="shared" si="6"/>
        <v>155.16342487249898</v>
      </c>
      <c r="J22" s="62">
        <f t="shared" si="7"/>
        <v>26037.715722145957</v>
      </c>
      <c r="K22" s="63"/>
    </row>
    <row r="23" spans="1:14" x14ac:dyDescent="0.35">
      <c r="A23" s="49">
        <v>42467</v>
      </c>
      <c r="B23" s="31" t="s">
        <v>389</v>
      </c>
      <c r="C23" s="50"/>
      <c r="D23" s="60">
        <v>0</v>
      </c>
      <c r="E23" s="61">
        <f t="shared" si="4"/>
        <v>1006.8500000000008</v>
      </c>
      <c r="F23" s="51"/>
      <c r="G23" s="51">
        <f t="shared" si="5"/>
        <v>25.860570812083164</v>
      </c>
      <c r="H23" s="58"/>
      <c r="I23" s="51">
        <f t="shared" si="6"/>
        <v>0</v>
      </c>
      <c r="J23" s="62">
        <f t="shared" si="7"/>
        <v>26037.715722145957</v>
      </c>
      <c r="K23" s="63"/>
    </row>
    <row r="24" spans="1:14" x14ac:dyDescent="0.35">
      <c r="A24" s="119">
        <v>42467</v>
      </c>
      <c r="B24" s="107" t="s">
        <v>262</v>
      </c>
      <c r="C24" s="107"/>
      <c r="D24" s="120">
        <f>5*5</f>
        <v>25</v>
      </c>
      <c r="E24" s="121">
        <f t="shared" si="4"/>
        <v>981.85000000000082</v>
      </c>
      <c r="F24" s="122"/>
      <c r="G24" s="122">
        <f t="shared" si="5"/>
        <v>25.860570812083164</v>
      </c>
      <c r="H24" s="117"/>
      <c r="I24" s="122">
        <f t="shared" si="6"/>
        <v>646.51427030207913</v>
      </c>
      <c r="J24" s="122">
        <f t="shared" si="7"/>
        <v>25391.201451843877</v>
      </c>
      <c r="K24" s="111"/>
      <c r="L24" s="123">
        <f>SUM(I21:I24)</f>
        <v>982.70169085916029</v>
      </c>
      <c r="M24" s="112"/>
      <c r="N24" s="118">
        <v>42475</v>
      </c>
    </row>
    <row r="25" spans="1:14" x14ac:dyDescent="0.35">
      <c r="A25" s="49">
        <v>42483</v>
      </c>
      <c r="B25" s="31" t="s">
        <v>388</v>
      </c>
      <c r="C25" s="50"/>
      <c r="D25" s="60">
        <v>0</v>
      </c>
      <c r="E25" s="61">
        <f t="shared" si="4"/>
        <v>981.85000000000082</v>
      </c>
      <c r="F25" s="51"/>
      <c r="G25" s="51">
        <f t="shared" si="5"/>
        <v>25.860570812083164</v>
      </c>
      <c r="H25" s="58"/>
      <c r="I25" s="51">
        <f t="shared" si="6"/>
        <v>0</v>
      </c>
      <c r="J25" s="62">
        <f t="shared" si="7"/>
        <v>25391.201451843877</v>
      </c>
      <c r="K25" s="63"/>
    </row>
    <row r="26" spans="1:14" x14ac:dyDescent="0.35">
      <c r="A26" s="49">
        <v>42483</v>
      </c>
      <c r="B26" s="31" t="s">
        <v>293</v>
      </c>
      <c r="C26" s="50"/>
      <c r="D26" s="60">
        <f>12*4+9*3.7+3*1.6</f>
        <v>86.100000000000009</v>
      </c>
      <c r="E26" s="61">
        <f t="shared" si="4"/>
        <v>895.7500000000008</v>
      </c>
      <c r="F26" s="51"/>
      <c r="G26" s="51">
        <f t="shared" si="5"/>
        <v>25.860570812083164</v>
      </c>
      <c r="H26" s="58"/>
      <c r="I26" s="51">
        <f t="shared" si="6"/>
        <v>2226.5951469203605</v>
      </c>
      <c r="J26" s="62">
        <f t="shared" si="7"/>
        <v>23164.606304923516</v>
      </c>
      <c r="K26" s="63"/>
    </row>
    <row r="27" spans="1:14" x14ac:dyDescent="0.35">
      <c r="A27" s="49">
        <v>42485</v>
      </c>
      <c r="B27" s="31" t="s">
        <v>294</v>
      </c>
      <c r="C27" s="50"/>
      <c r="D27" s="60">
        <f>13*4+12*6</f>
        <v>124</v>
      </c>
      <c r="E27" s="61">
        <f t="shared" si="4"/>
        <v>771.7500000000008</v>
      </c>
      <c r="F27" s="51"/>
      <c r="G27" s="51">
        <f t="shared" si="5"/>
        <v>25.860570812083164</v>
      </c>
      <c r="H27" s="58"/>
      <c r="I27" s="51">
        <f t="shared" si="6"/>
        <v>3206.7107806983122</v>
      </c>
      <c r="J27" s="62">
        <f t="shared" si="7"/>
        <v>19957.895524225205</v>
      </c>
      <c r="K27" s="63"/>
    </row>
    <row r="28" spans="1:14" x14ac:dyDescent="0.35">
      <c r="A28" s="119">
        <v>42486</v>
      </c>
      <c r="B28" s="107" t="s">
        <v>295</v>
      </c>
      <c r="C28" s="107"/>
      <c r="D28" s="120">
        <f>13*5.15+11*4.8</f>
        <v>119.75</v>
      </c>
      <c r="E28" s="121">
        <f t="shared" si="4"/>
        <v>652.0000000000008</v>
      </c>
      <c r="F28" s="122"/>
      <c r="G28" s="122">
        <f t="shared" si="5"/>
        <v>25.860570812083168</v>
      </c>
      <c r="H28" s="117"/>
      <c r="I28" s="122">
        <f t="shared" si="6"/>
        <v>3096.8033547469595</v>
      </c>
      <c r="J28" s="122">
        <f t="shared" si="7"/>
        <v>16861.092169478245</v>
      </c>
      <c r="K28" s="111"/>
      <c r="L28" s="123">
        <f>SUM(I25:I28)</f>
        <v>8530.1092823656327</v>
      </c>
      <c r="M28" s="123">
        <f>SUM(L24:L28)</f>
        <v>9512.8109732247922</v>
      </c>
      <c r="N28" s="118">
        <v>42490</v>
      </c>
    </row>
    <row r="29" spans="1:14" x14ac:dyDescent="0.35">
      <c r="A29" s="49">
        <v>42495</v>
      </c>
      <c r="B29" s="31" t="s">
        <v>308</v>
      </c>
      <c r="C29" s="50"/>
      <c r="D29" s="60">
        <v>14</v>
      </c>
      <c r="E29" s="61">
        <f t="shared" si="4"/>
        <v>638.0000000000008</v>
      </c>
      <c r="F29" s="51"/>
      <c r="G29" s="51">
        <f t="shared" si="5"/>
        <v>25.860570812083164</v>
      </c>
      <c r="H29" s="58"/>
      <c r="I29" s="51">
        <f t="shared" si="6"/>
        <v>362.04799136916432</v>
      </c>
      <c r="J29" s="62">
        <f t="shared" si="7"/>
        <v>16499.044178109081</v>
      </c>
      <c r="K29" s="63"/>
    </row>
    <row r="30" spans="1:14" x14ac:dyDescent="0.35">
      <c r="A30" s="49">
        <v>42496</v>
      </c>
      <c r="B30" s="31" t="s">
        <v>310</v>
      </c>
      <c r="C30" s="50"/>
      <c r="D30" s="60">
        <f>120*3.2</f>
        <v>384</v>
      </c>
      <c r="E30" s="61">
        <f t="shared" si="4"/>
        <v>254.0000000000008</v>
      </c>
      <c r="F30" s="51"/>
      <c r="G30" s="51">
        <f t="shared" si="5"/>
        <v>25.860570812083168</v>
      </c>
      <c r="H30" s="58"/>
      <c r="I30" s="51">
        <f t="shared" si="6"/>
        <v>9930.4591918399365</v>
      </c>
      <c r="J30" s="62">
        <f t="shared" si="7"/>
        <v>6568.5849862691448</v>
      </c>
      <c r="K30" s="63"/>
    </row>
    <row r="31" spans="1:14" x14ac:dyDescent="0.35">
      <c r="A31" s="49">
        <v>42500</v>
      </c>
      <c r="B31" s="31" t="s">
        <v>316</v>
      </c>
      <c r="C31" s="50"/>
      <c r="D31" s="60">
        <f>5*4.3</f>
        <v>21.5</v>
      </c>
      <c r="E31" s="61">
        <f t="shared" si="4"/>
        <v>232.5000000000008</v>
      </c>
      <c r="F31" s="51"/>
      <c r="G31" s="51">
        <f t="shared" si="5"/>
        <v>25.860570812083168</v>
      </c>
      <c r="H31" s="58"/>
      <c r="I31" s="51">
        <f t="shared" si="6"/>
        <v>556.00227245978806</v>
      </c>
      <c r="J31" s="62">
        <f t="shared" si="7"/>
        <v>6012.5827138093564</v>
      </c>
      <c r="K31" s="63"/>
    </row>
    <row r="32" spans="1:14" x14ac:dyDescent="0.35">
      <c r="A32" s="119">
        <v>42500</v>
      </c>
      <c r="B32" s="107" t="s">
        <v>317</v>
      </c>
      <c r="C32" s="107"/>
      <c r="D32" s="120">
        <f>5*3.1</f>
        <v>15.5</v>
      </c>
      <c r="E32" s="121">
        <f t="shared" si="4"/>
        <v>217.0000000000008</v>
      </c>
      <c r="F32" s="122"/>
      <c r="G32" s="122">
        <f t="shared" si="5"/>
        <v>25.860570812083164</v>
      </c>
      <c r="H32" s="117"/>
      <c r="I32" s="122">
        <f t="shared" si="6"/>
        <v>400.83884758728902</v>
      </c>
      <c r="J32" s="122">
        <f t="shared" si="7"/>
        <v>5611.7438662220675</v>
      </c>
      <c r="K32" s="111"/>
      <c r="L32" s="123">
        <f>SUM(I29:I32)</f>
        <v>11249.348303256178</v>
      </c>
      <c r="M32" s="123"/>
      <c r="N32" s="118">
        <v>42505</v>
      </c>
    </row>
    <row r="33" spans="1:14" x14ac:dyDescent="0.35">
      <c r="A33" s="49">
        <v>42509</v>
      </c>
      <c r="B33" s="31" t="s">
        <v>343</v>
      </c>
      <c r="C33" s="50"/>
      <c r="D33" s="60">
        <f>15*5.65</f>
        <v>84.75</v>
      </c>
      <c r="E33" s="61">
        <f t="shared" si="4"/>
        <v>132.2500000000008</v>
      </c>
      <c r="F33" s="51"/>
      <c r="G33" s="51">
        <f t="shared" si="5"/>
        <v>25.860570812083164</v>
      </c>
      <c r="H33" s="58"/>
      <c r="I33" s="51">
        <f t="shared" si="6"/>
        <v>2191.6833763240484</v>
      </c>
      <c r="J33" s="62">
        <f t="shared" si="7"/>
        <v>3420.0604898980191</v>
      </c>
      <c r="K33" s="63"/>
    </row>
    <row r="34" spans="1:14" x14ac:dyDescent="0.35">
      <c r="A34" s="49">
        <v>42509</v>
      </c>
      <c r="B34" s="31" t="s">
        <v>344</v>
      </c>
      <c r="C34" s="50"/>
      <c r="D34" s="60">
        <f>3*5</f>
        <v>15</v>
      </c>
      <c r="E34" s="61">
        <f t="shared" ref="E34:E44" si="8">+E33-D34</f>
        <v>117.2500000000008</v>
      </c>
      <c r="F34" s="51"/>
      <c r="G34" s="51">
        <f t="shared" ref="G34:G43" si="9">+J33/E33</f>
        <v>25.860570812083164</v>
      </c>
      <c r="H34" s="58"/>
      <c r="I34" s="51">
        <f t="shared" ref="I34:I43" si="10">+D34*G34</f>
        <v>387.90856218124748</v>
      </c>
      <c r="J34" s="62">
        <f t="shared" ref="J34:J43" si="11">+J33-I34</f>
        <v>3032.1519277167718</v>
      </c>
      <c r="K34" s="63"/>
    </row>
    <row r="35" spans="1:14" x14ac:dyDescent="0.35">
      <c r="A35" s="49">
        <v>42511</v>
      </c>
      <c r="B35" s="31" t="s">
        <v>348</v>
      </c>
      <c r="C35" s="50"/>
      <c r="D35" s="60">
        <v>1.27</v>
      </c>
      <c r="E35" s="61">
        <f t="shared" si="8"/>
        <v>115.9800000000008</v>
      </c>
      <c r="F35" s="51"/>
      <c r="G35" s="51">
        <f t="shared" si="9"/>
        <v>25.860570812083164</v>
      </c>
      <c r="H35" s="58"/>
      <c r="I35" s="51">
        <f t="shared" si="10"/>
        <v>32.842924931345621</v>
      </c>
      <c r="J35" s="62">
        <f t="shared" si="11"/>
        <v>2999.3090027854259</v>
      </c>
      <c r="K35" s="63"/>
    </row>
    <row r="36" spans="1:14" x14ac:dyDescent="0.35">
      <c r="A36" s="49">
        <v>42513</v>
      </c>
      <c r="B36" s="31" t="s">
        <v>352</v>
      </c>
      <c r="C36" s="50"/>
      <c r="D36" s="60">
        <v>2</v>
      </c>
      <c r="E36" s="61">
        <f t="shared" si="8"/>
        <v>113.9800000000008</v>
      </c>
      <c r="F36" s="51"/>
      <c r="G36" s="51">
        <f t="shared" si="9"/>
        <v>25.860570812083164</v>
      </c>
      <c r="H36" s="58"/>
      <c r="I36" s="51">
        <f t="shared" si="10"/>
        <v>51.721141624166329</v>
      </c>
      <c r="J36" s="62">
        <f t="shared" si="11"/>
        <v>2947.5878611612598</v>
      </c>
      <c r="K36" s="63"/>
    </row>
    <row r="37" spans="1:14" x14ac:dyDescent="0.35">
      <c r="A37" s="49">
        <v>42515</v>
      </c>
      <c r="B37" s="31" t="s">
        <v>358</v>
      </c>
      <c r="C37" s="50"/>
      <c r="D37" s="60">
        <f>7*2.5</f>
        <v>17.5</v>
      </c>
      <c r="E37" s="61">
        <f t="shared" si="8"/>
        <v>96.4800000000008</v>
      </c>
      <c r="F37" s="51"/>
      <c r="G37" s="51">
        <f t="shared" si="9"/>
        <v>25.860570812083164</v>
      </c>
      <c r="H37" s="58"/>
      <c r="I37" s="51">
        <f t="shared" si="10"/>
        <v>452.55998921145539</v>
      </c>
      <c r="J37" s="62">
        <f t="shared" si="11"/>
        <v>2495.0278719498042</v>
      </c>
      <c r="K37" s="63"/>
    </row>
    <row r="38" spans="1:14" x14ac:dyDescent="0.35">
      <c r="A38" s="119">
        <v>42515</v>
      </c>
      <c r="B38" s="107" t="s">
        <v>360</v>
      </c>
      <c r="C38" s="107"/>
      <c r="D38" s="120">
        <f>9*4.3</f>
        <v>38.699999999999996</v>
      </c>
      <c r="E38" s="121">
        <f t="shared" si="8"/>
        <v>57.780000000000804</v>
      </c>
      <c r="F38" s="122"/>
      <c r="G38" s="122">
        <f t="shared" si="9"/>
        <v>25.860570812083161</v>
      </c>
      <c r="H38" s="117"/>
      <c r="I38" s="122">
        <f t="shared" si="10"/>
        <v>1000.8040904276182</v>
      </c>
      <c r="J38" s="122">
        <f t="shared" si="11"/>
        <v>1494.2237815221861</v>
      </c>
      <c r="K38" s="111"/>
      <c r="L38" s="123">
        <f>SUM(I33:I38)</f>
        <v>4117.5200846998814</v>
      </c>
      <c r="M38" s="123">
        <f>SUM(L32:L38)</f>
        <v>15366.868387956059</v>
      </c>
      <c r="N38" s="118">
        <v>42521</v>
      </c>
    </row>
    <row r="39" spans="1:14" x14ac:dyDescent="0.35">
      <c r="A39" s="49">
        <v>42524</v>
      </c>
      <c r="B39" s="31" t="s">
        <v>375</v>
      </c>
      <c r="C39" s="50"/>
      <c r="D39" s="60">
        <v>5</v>
      </c>
      <c r="E39" s="61">
        <f t="shared" si="8"/>
        <v>52.780000000000804</v>
      </c>
      <c r="F39" s="51"/>
      <c r="G39" s="51">
        <f t="shared" si="9"/>
        <v>25.860570812083164</v>
      </c>
      <c r="H39" s="58"/>
      <c r="I39" s="51">
        <f t="shared" si="10"/>
        <v>129.30285406041583</v>
      </c>
      <c r="J39" s="62">
        <f t="shared" si="11"/>
        <v>1364.9209274617701</v>
      </c>
      <c r="K39" s="63"/>
    </row>
    <row r="40" spans="1:14" x14ac:dyDescent="0.35">
      <c r="A40" s="119">
        <v>42534</v>
      </c>
      <c r="B40" s="107" t="s">
        <v>408</v>
      </c>
      <c r="C40" s="107"/>
      <c r="D40" s="120">
        <v>1.72</v>
      </c>
      <c r="E40" s="121">
        <f t="shared" si="8"/>
        <v>51.060000000000805</v>
      </c>
      <c r="F40" s="122"/>
      <c r="G40" s="122">
        <f t="shared" si="9"/>
        <v>25.860570812083164</v>
      </c>
      <c r="H40" s="117"/>
      <c r="I40" s="122">
        <f t="shared" si="10"/>
        <v>44.480181796783043</v>
      </c>
      <c r="J40" s="122">
        <f t="shared" si="11"/>
        <v>1320.4407456649872</v>
      </c>
      <c r="K40" s="111"/>
      <c r="L40" s="123">
        <f>SUM(I39:I40)</f>
        <v>173.78303585719885</v>
      </c>
      <c r="M40" s="112"/>
      <c r="N40" s="118">
        <v>42536</v>
      </c>
    </row>
    <row r="41" spans="1:14" s="112" customFormat="1" x14ac:dyDescent="0.35">
      <c r="A41" s="119">
        <v>42551</v>
      </c>
      <c r="B41" s="107" t="s">
        <v>429</v>
      </c>
      <c r="C41" s="107"/>
      <c r="D41" s="120">
        <v>1.25</v>
      </c>
      <c r="E41" s="121">
        <f t="shared" si="8"/>
        <v>49.810000000000805</v>
      </c>
      <c r="F41" s="122"/>
      <c r="G41" s="122">
        <f t="shared" si="9"/>
        <v>25.860570812083164</v>
      </c>
      <c r="H41" s="117"/>
      <c r="I41" s="122">
        <f t="shared" si="10"/>
        <v>32.325713515103956</v>
      </c>
      <c r="J41" s="122">
        <f t="shared" si="11"/>
        <v>1288.1150321498833</v>
      </c>
      <c r="K41" s="111"/>
      <c r="L41" s="123">
        <f>SUM(I41)</f>
        <v>32.325713515103956</v>
      </c>
      <c r="M41" s="123">
        <f>SUM(L40:L41)</f>
        <v>206.10874937230281</v>
      </c>
      <c r="N41" s="118">
        <v>42551</v>
      </c>
    </row>
    <row r="42" spans="1:14" s="112" customFormat="1" x14ac:dyDescent="0.35">
      <c r="A42" s="119">
        <v>42558</v>
      </c>
      <c r="B42" s="107" t="s">
        <v>441</v>
      </c>
      <c r="C42" s="107"/>
      <c r="D42" s="120">
        <v>6</v>
      </c>
      <c r="E42" s="121">
        <f t="shared" si="8"/>
        <v>43.810000000000805</v>
      </c>
      <c r="F42" s="122"/>
      <c r="G42" s="122">
        <f t="shared" si="9"/>
        <v>25.860570812083164</v>
      </c>
      <c r="H42" s="117"/>
      <c r="I42" s="122">
        <f t="shared" si="10"/>
        <v>155.16342487249898</v>
      </c>
      <c r="J42" s="122">
        <f t="shared" si="11"/>
        <v>1132.9516072773843</v>
      </c>
      <c r="K42" s="111"/>
      <c r="L42" s="123">
        <f>SUM(I42)</f>
        <v>155.16342487249898</v>
      </c>
      <c r="M42" s="123">
        <f>SUM(L42)</f>
        <v>155.16342487249898</v>
      </c>
      <c r="N42" s="118">
        <v>42566</v>
      </c>
    </row>
    <row r="43" spans="1:14" s="112" customFormat="1" x14ac:dyDescent="0.35">
      <c r="A43" s="119">
        <v>42712</v>
      </c>
      <c r="B43" s="107" t="s">
        <v>599</v>
      </c>
      <c r="C43" s="107"/>
      <c r="D43" s="120">
        <f>2*2</f>
        <v>4</v>
      </c>
      <c r="E43" s="121">
        <f t="shared" si="8"/>
        <v>39.810000000000805</v>
      </c>
      <c r="F43" s="122"/>
      <c r="G43" s="122">
        <f t="shared" si="9"/>
        <v>25.860570812083164</v>
      </c>
      <c r="H43" s="117"/>
      <c r="I43" s="122">
        <f t="shared" si="10"/>
        <v>103.44228324833266</v>
      </c>
      <c r="J43" s="122">
        <f t="shared" si="11"/>
        <v>1029.5093240290516</v>
      </c>
      <c r="K43" s="111"/>
      <c r="L43" s="123">
        <f>SUM(I43)</f>
        <v>103.44228324833266</v>
      </c>
      <c r="M43" s="123">
        <f>SUM(L43)</f>
        <v>103.44228324833266</v>
      </c>
      <c r="N43" s="118">
        <v>42719</v>
      </c>
    </row>
    <row r="44" spans="1:14" s="112" customFormat="1" x14ac:dyDescent="0.35">
      <c r="A44" s="248">
        <v>42735</v>
      </c>
      <c r="B44" s="107" t="s">
        <v>646</v>
      </c>
      <c r="C44" s="249"/>
      <c r="D44" s="250">
        <v>39.81</v>
      </c>
      <c r="E44" s="121">
        <f t="shared" si="8"/>
        <v>8.0291329140891321E-13</v>
      </c>
      <c r="F44" s="251"/>
      <c r="G44" s="122">
        <f t="shared" ref="G44" si="12">+J43/E43</f>
        <v>25.860570812083164</v>
      </c>
      <c r="H44" s="117"/>
      <c r="I44" s="122">
        <f t="shared" ref="I44" si="13">+D44*G44</f>
        <v>1029.5093240290307</v>
      </c>
      <c r="J44" s="122">
        <f t="shared" ref="J44" si="14">+J43-I44</f>
        <v>2.0918378140777349E-11</v>
      </c>
      <c r="K44" s="252"/>
      <c r="L44" s="123">
        <f>SUM(I44)</f>
        <v>1029.5093240290307</v>
      </c>
      <c r="M44" s="123">
        <f>SUM(L44)</f>
        <v>1029.5093240290307</v>
      </c>
      <c r="N44" s="118">
        <v>42735</v>
      </c>
    </row>
    <row r="45" spans="1:14" ht="15" thickBot="1" x14ac:dyDescent="0.4">
      <c r="A45" s="209"/>
      <c r="B45" s="169" t="s">
        <v>638</v>
      </c>
      <c r="C45" s="173">
        <f>SUM(C9:C44)</f>
        <v>1575.5500000000006</v>
      </c>
      <c r="D45" s="210"/>
      <c r="E45" s="211"/>
      <c r="F45" s="212"/>
      <c r="G45" s="212"/>
      <c r="H45" s="173">
        <f>SUM(H9:H44)</f>
        <v>40744.622342977658</v>
      </c>
      <c r="I45" s="173">
        <f>SUM(I9:I44)</f>
        <v>40744.622342977651</v>
      </c>
      <c r="J45" s="213"/>
      <c r="K45" s="214"/>
      <c r="M45" s="215">
        <f>SUM(M15:M44)</f>
        <v>40744.622342977636</v>
      </c>
    </row>
    <row r="46" spans="1:14" s="8" customFormat="1" x14ac:dyDescent="0.35">
      <c r="A46" s="203"/>
      <c r="B46" s="39"/>
      <c r="C46" s="204"/>
      <c r="D46" s="205"/>
      <c r="E46" s="206"/>
      <c r="F46" s="207"/>
      <c r="G46" s="207"/>
      <c r="H46" s="189"/>
      <c r="I46" s="207"/>
      <c r="J46" s="208"/>
      <c r="K46" s="39"/>
    </row>
    <row r="47" spans="1:14" s="8" customFormat="1" x14ac:dyDescent="0.35">
      <c r="A47" s="203"/>
      <c r="B47" s="39"/>
      <c r="C47" s="204"/>
      <c r="D47" s="205"/>
      <c r="E47" s="206"/>
      <c r="F47" s="207"/>
      <c r="G47" s="207"/>
      <c r="H47" s="189"/>
      <c r="I47" s="207"/>
      <c r="J47" s="208"/>
      <c r="K47" s="39"/>
    </row>
    <row r="48" spans="1:14" s="8" customFormat="1" x14ac:dyDescent="0.35">
      <c r="A48" s="174" t="s">
        <v>639</v>
      </c>
      <c r="B48" s="39"/>
      <c r="C48" s="38"/>
      <c r="D48" s="38"/>
      <c r="E48" s="38"/>
      <c r="F48" s="38"/>
      <c r="G48" s="140"/>
      <c r="H48" s="140"/>
      <c r="I48" s="140"/>
      <c r="J48" s="140"/>
      <c r="K48" s="39"/>
    </row>
    <row r="49" spans="1:11" s="8" customFormat="1" x14ac:dyDescent="0.35">
      <c r="A49" s="174" t="s">
        <v>642</v>
      </c>
      <c r="B49" s="39"/>
      <c r="C49" s="38"/>
      <c r="D49" s="38"/>
      <c r="E49" s="38"/>
      <c r="F49" s="38"/>
      <c r="G49" s="140"/>
      <c r="H49" s="140"/>
      <c r="I49" s="140"/>
      <c r="J49" s="28">
        <f>+E44*F9</f>
        <v>2.0763796028442972E-11</v>
      </c>
      <c r="K49" s="39"/>
    </row>
    <row r="50" spans="1:11" s="8" customFormat="1" x14ac:dyDescent="0.35">
      <c r="A50" s="174" t="s">
        <v>640</v>
      </c>
      <c r="B50" s="39"/>
      <c r="C50" s="38"/>
      <c r="D50" s="38"/>
      <c r="E50" s="38"/>
      <c r="F50" s="38"/>
      <c r="G50" s="140"/>
      <c r="H50" s="140"/>
      <c r="I50" s="140"/>
      <c r="J50" s="175">
        <f>+J44</f>
        <v>2.0918378140777349E-11</v>
      </c>
      <c r="K50" s="39"/>
    </row>
    <row r="51" spans="1:11" s="8" customFormat="1" ht="15" thickBot="1" x14ac:dyDescent="0.4">
      <c r="A51" s="174"/>
      <c r="B51" s="39" t="s">
        <v>641</v>
      </c>
      <c r="C51" s="38"/>
      <c r="D51" s="38"/>
      <c r="E51" s="38"/>
      <c r="F51" s="38"/>
      <c r="G51" s="140"/>
      <c r="H51" s="140"/>
      <c r="I51" s="140"/>
      <c r="J51" s="202">
        <f>+J49-J50</f>
        <v>-1.5458211233437722E-13</v>
      </c>
      <c r="K51" s="39"/>
    </row>
    <row r="52" spans="1:11" s="8" customFormat="1" ht="15" thickTop="1" x14ac:dyDescent="0.35">
      <c r="A52" s="203"/>
      <c r="B52" s="39"/>
      <c r="C52" s="204"/>
      <c r="D52" s="205"/>
      <c r="E52" s="206"/>
      <c r="F52" s="207"/>
      <c r="G52" s="207"/>
      <c r="H52" s="189"/>
      <c r="I52" s="207"/>
      <c r="J52" s="208"/>
      <c r="K52" s="39"/>
    </row>
    <row r="53" spans="1:11" s="8" customFormat="1" x14ac:dyDescent="0.35">
      <c r="A53" s="203"/>
      <c r="B53" s="39"/>
      <c r="C53" s="204"/>
      <c r="D53" s="205"/>
      <c r="E53" s="206"/>
      <c r="F53" s="207"/>
      <c r="G53" s="207"/>
      <c r="H53" s="189"/>
      <c r="I53" s="207"/>
      <c r="J53" s="208"/>
      <c r="K53" s="39"/>
    </row>
    <row r="54" spans="1:11" s="8" customFormat="1" x14ac:dyDescent="0.35">
      <c r="A54" s="203"/>
      <c r="B54" s="39"/>
      <c r="C54" s="204"/>
      <c r="D54" s="205"/>
      <c r="E54" s="206"/>
      <c r="F54" s="207"/>
      <c r="G54" s="207"/>
      <c r="H54" s="189"/>
      <c r="I54" s="207"/>
      <c r="J54" s="208"/>
      <c r="K54" s="39"/>
    </row>
    <row r="55" spans="1:11" s="8" customFormat="1" x14ac:dyDescent="0.35">
      <c r="A55" s="203"/>
      <c r="B55" s="39"/>
      <c r="C55" s="204"/>
      <c r="D55" s="205"/>
      <c r="E55" s="206"/>
      <c r="F55" s="207"/>
      <c r="G55" s="207"/>
      <c r="H55" s="189"/>
      <c r="I55" s="207"/>
      <c r="J55" s="208"/>
      <c r="K55" s="39"/>
    </row>
    <row r="56" spans="1:11" s="8" customFormat="1" x14ac:dyDescent="0.35">
      <c r="A56" s="203"/>
      <c r="B56" s="39"/>
      <c r="C56" s="204"/>
      <c r="D56" s="205"/>
      <c r="E56" s="206"/>
      <c r="F56" s="207"/>
      <c r="G56" s="207"/>
      <c r="H56" s="189"/>
      <c r="I56" s="207"/>
      <c r="J56" s="208"/>
      <c r="K56" s="39"/>
    </row>
    <row r="57" spans="1:11" s="8" customFormat="1" x14ac:dyDescent="0.35">
      <c r="A57" s="203"/>
      <c r="B57" s="39"/>
      <c r="C57" s="204"/>
      <c r="D57" s="205"/>
      <c r="E57" s="206"/>
      <c r="F57" s="207"/>
      <c r="G57" s="207"/>
      <c r="H57" s="189"/>
      <c r="I57" s="207"/>
      <c r="J57" s="208"/>
      <c r="K57" s="39"/>
    </row>
    <row r="58" spans="1:11" s="8" customFormat="1" x14ac:dyDescent="0.35">
      <c r="A58" s="203"/>
      <c r="B58" s="39"/>
      <c r="C58" s="204"/>
      <c r="D58" s="205"/>
      <c r="E58" s="206"/>
      <c r="F58" s="207"/>
      <c r="G58" s="207"/>
      <c r="H58" s="189"/>
      <c r="I58" s="207"/>
      <c r="J58" s="208"/>
      <c r="K58" s="39"/>
    </row>
    <row r="59" spans="1:11" s="8" customFormat="1" x14ac:dyDescent="0.35">
      <c r="A59" s="203"/>
      <c r="B59" s="39"/>
      <c r="C59" s="204"/>
      <c r="D59" s="205"/>
      <c r="E59" s="206"/>
      <c r="F59" s="207"/>
      <c r="G59" s="207"/>
      <c r="H59" s="189"/>
      <c r="I59" s="207"/>
      <c r="J59" s="208"/>
      <c r="K59" s="39"/>
    </row>
    <row r="60" spans="1:11" s="8" customFormat="1" x14ac:dyDescent="0.35">
      <c r="A60" s="203"/>
      <c r="B60" s="39"/>
      <c r="C60" s="204"/>
      <c r="D60" s="205"/>
      <c r="E60" s="206"/>
      <c r="F60" s="207"/>
      <c r="G60" s="207"/>
      <c r="H60" s="189"/>
      <c r="I60" s="207"/>
      <c r="J60" s="208"/>
      <c r="K60" s="39"/>
    </row>
    <row r="61" spans="1:11" s="8" customFormat="1" x14ac:dyDescent="0.35">
      <c r="A61" s="203"/>
      <c r="B61" s="39"/>
      <c r="C61" s="204"/>
      <c r="D61" s="205"/>
      <c r="E61" s="206"/>
      <c r="F61" s="207"/>
      <c r="G61" s="207"/>
      <c r="H61" s="189"/>
      <c r="I61" s="207"/>
      <c r="J61" s="208"/>
      <c r="K61" s="39"/>
    </row>
    <row r="62" spans="1:11" s="8" customFormat="1" x14ac:dyDescent="0.35">
      <c r="A62" s="203"/>
      <c r="B62" s="39"/>
      <c r="C62" s="204"/>
      <c r="D62" s="205"/>
      <c r="E62" s="206"/>
      <c r="F62" s="207"/>
      <c r="G62" s="207"/>
      <c r="H62" s="189"/>
      <c r="I62" s="207"/>
      <c r="J62" s="208"/>
      <c r="K62" s="39"/>
    </row>
    <row r="63" spans="1:11" s="8" customFormat="1" x14ac:dyDescent="0.35">
      <c r="A63" s="203"/>
      <c r="B63" s="39"/>
      <c r="C63" s="204"/>
      <c r="D63" s="205"/>
      <c r="E63" s="206"/>
      <c r="F63" s="207"/>
      <c r="G63" s="207"/>
      <c r="H63" s="189"/>
      <c r="I63" s="207"/>
      <c r="J63" s="208"/>
      <c r="K63" s="39"/>
    </row>
    <row r="64" spans="1:11" s="8" customFormat="1" x14ac:dyDescent="0.35">
      <c r="A64" s="203"/>
      <c r="B64" s="39"/>
      <c r="C64" s="204"/>
      <c r="D64" s="205"/>
      <c r="E64" s="206"/>
      <c r="F64" s="207"/>
      <c r="G64" s="207"/>
      <c r="H64" s="189"/>
      <c r="I64" s="207"/>
      <c r="J64" s="208"/>
      <c r="K64" s="39"/>
    </row>
    <row r="65" spans="1:11" s="8" customFormat="1" x14ac:dyDescent="0.35">
      <c r="A65" s="203"/>
      <c r="B65" s="39"/>
      <c r="C65" s="204"/>
      <c r="D65" s="205"/>
      <c r="E65" s="206"/>
      <c r="F65" s="207"/>
      <c r="G65" s="207"/>
      <c r="H65" s="189"/>
      <c r="I65" s="207"/>
      <c r="J65" s="208"/>
      <c r="K65" s="39"/>
    </row>
    <row r="66" spans="1:11" s="8" customFormat="1" x14ac:dyDescent="0.35">
      <c r="A66" s="203"/>
      <c r="B66" s="39"/>
      <c r="C66" s="204"/>
      <c r="D66" s="205"/>
      <c r="E66" s="206"/>
      <c r="F66" s="207"/>
      <c r="G66" s="207"/>
      <c r="H66" s="189"/>
      <c r="I66" s="207"/>
      <c r="J66" s="208"/>
      <c r="K66" s="39"/>
    </row>
    <row r="67" spans="1:11" s="8" customFormat="1" x14ac:dyDescent="0.35">
      <c r="A67" s="203"/>
      <c r="B67" s="39"/>
      <c r="C67" s="204"/>
      <c r="D67" s="205"/>
      <c r="E67" s="206"/>
      <c r="F67" s="207"/>
      <c r="G67" s="207"/>
      <c r="H67" s="189"/>
      <c r="I67" s="207"/>
      <c r="J67" s="208"/>
      <c r="K67" s="39"/>
    </row>
    <row r="68" spans="1:11" s="8" customFormat="1" x14ac:dyDescent="0.35">
      <c r="A68" s="203"/>
      <c r="B68" s="39"/>
      <c r="C68" s="204"/>
      <c r="D68" s="205"/>
      <c r="E68" s="206"/>
      <c r="F68" s="207"/>
      <c r="G68" s="207"/>
      <c r="H68" s="189"/>
      <c r="I68" s="207"/>
      <c r="J68" s="208"/>
      <c r="K68" s="39"/>
    </row>
    <row r="69" spans="1:11" s="8" customFormat="1" x14ac:dyDescent="0.35">
      <c r="A69" s="203"/>
      <c r="B69" s="39"/>
      <c r="C69" s="204"/>
      <c r="D69" s="205"/>
      <c r="E69" s="206"/>
      <c r="F69" s="207"/>
      <c r="G69" s="207"/>
      <c r="H69" s="189"/>
      <c r="I69" s="207"/>
      <c r="J69" s="208"/>
      <c r="K69" s="39"/>
    </row>
    <row r="70" spans="1:11" s="8" customFormat="1" x14ac:dyDescent="0.35">
      <c r="A70" s="203"/>
      <c r="B70" s="39"/>
      <c r="C70" s="204"/>
      <c r="D70" s="205"/>
      <c r="E70" s="206"/>
      <c r="F70" s="207"/>
      <c r="G70" s="207"/>
      <c r="H70" s="189"/>
      <c r="I70" s="207"/>
      <c r="J70" s="208"/>
      <c r="K70" s="39"/>
    </row>
    <row r="71" spans="1:11" s="8" customFormat="1" x14ac:dyDescent="0.35">
      <c r="A71" s="203"/>
      <c r="B71" s="39"/>
      <c r="C71" s="204"/>
      <c r="D71" s="205"/>
      <c r="E71" s="206"/>
      <c r="F71" s="207"/>
      <c r="G71" s="207"/>
      <c r="H71" s="189"/>
      <c r="I71" s="207"/>
      <c r="J71" s="208"/>
      <c r="K71" s="39"/>
    </row>
    <row r="72" spans="1:11" s="8" customFormat="1" x14ac:dyDescent="0.35">
      <c r="A72" s="203"/>
      <c r="B72" s="39"/>
      <c r="C72" s="204"/>
      <c r="D72" s="205"/>
      <c r="E72" s="206"/>
      <c r="F72" s="207"/>
      <c r="G72" s="207"/>
      <c r="H72" s="189"/>
      <c r="I72" s="207"/>
      <c r="J72" s="208"/>
      <c r="K72" s="39"/>
    </row>
    <row r="73" spans="1:11" s="8" customFormat="1" x14ac:dyDescent="0.35">
      <c r="A73" s="203"/>
      <c r="B73" s="39"/>
      <c r="C73" s="204"/>
      <c r="D73" s="205"/>
      <c r="E73" s="206"/>
      <c r="F73" s="207"/>
      <c r="G73" s="207"/>
      <c r="H73" s="189"/>
      <c r="I73" s="207"/>
      <c r="J73" s="208"/>
      <c r="K73" s="39"/>
    </row>
    <row r="74" spans="1:11" s="8" customFormat="1" x14ac:dyDescent="0.35">
      <c r="A74" s="203"/>
      <c r="B74" s="39"/>
      <c r="C74" s="204"/>
      <c r="D74" s="205"/>
      <c r="E74" s="206"/>
      <c r="F74" s="207"/>
      <c r="G74" s="207"/>
      <c r="H74" s="189"/>
      <c r="I74" s="207"/>
      <c r="J74" s="208"/>
      <c r="K74" s="39"/>
    </row>
    <row r="75" spans="1:11" s="8" customFormat="1" x14ac:dyDescent="0.35">
      <c r="A75" s="203"/>
      <c r="B75" s="39"/>
      <c r="C75" s="204"/>
      <c r="D75" s="205"/>
      <c r="E75" s="206"/>
      <c r="F75" s="207"/>
      <c r="G75" s="207"/>
      <c r="H75" s="189"/>
      <c r="I75" s="207"/>
      <c r="J75" s="208"/>
      <c r="K75" s="39"/>
    </row>
    <row r="76" spans="1:11" s="8" customFormat="1" x14ac:dyDescent="0.35">
      <c r="A76" s="203"/>
      <c r="B76" s="39"/>
      <c r="C76" s="204"/>
      <c r="D76" s="205"/>
      <c r="E76" s="206"/>
      <c r="F76" s="207"/>
      <c r="G76" s="207"/>
      <c r="H76" s="189"/>
      <c r="I76" s="207"/>
      <c r="J76" s="208"/>
      <c r="K76" s="39"/>
    </row>
    <row r="77" spans="1:11" s="8" customFormat="1" x14ac:dyDescent="0.35">
      <c r="A77" s="203"/>
      <c r="B77" s="39"/>
      <c r="C77" s="204"/>
      <c r="D77" s="205"/>
      <c r="E77" s="206"/>
      <c r="F77" s="207"/>
      <c r="G77" s="207"/>
      <c r="H77" s="189"/>
      <c r="I77" s="207"/>
      <c r="J77" s="208"/>
      <c r="K77" s="39"/>
    </row>
    <row r="78" spans="1:11" s="8" customFormat="1" x14ac:dyDescent="0.35">
      <c r="A78" s="203"/>
      <c r="B78" s="39"/>
      <c r="C78" s="204"/>
      <c r="D78" s="205"/>
      <c r="E78" s="206"/>
      <c r="F78" s="207"/>
      <c r="G78" s="207"/>
      <c r="H78" s="189"/>
      <c r="I78" s="207"/>
      <c r="J78" s="208"/>
      <c r="K78" s="39"/>
    </row>
  </sheetData>
  <mergeCells count="6">
    <mergeCell ref="D4:H4"/>
    <mergeCell ref="C7:E7"/>
    <mergeCell ref="F7:G7"/>
    <mergeCell ref="H7:J7"/>
    <mergeCell ref="D5:G5"/>
    <mergeCell ref="D6:G6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4294967293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0"/>
  <sheetViews>
    <sheetView workbookViewId="0">
      <selection activeCell="H23" sqref="H23"/>
    </sheetView>
  </sheetViews>
  <sheetFormatPr baseColWidth="10" defaultRowHeight="14.5" x14ac:dyDescent="0.35"/>
  <cols>
    <col min="2" max="2" width="21.81640625" customWidth="1"/>
    <col min="11" max="13" width="10.81640625" customWidth="1"/>
  </cols>
  <sheetData>
    <row r="1" spans="1:13" x14ac:dyDescent="0.35">
      <c r="A1" s="1" t="s">
        <v>0</v>
      </c>
      <c r="B1" s="2"/>
      <c r="C1" s="35"/>
      <c r="D1" s="35"/>
      <c r="E1" s="35"/>
      <c r="F1" s="35"/>
      <c r="G1" s="35"/>
      <c r="H1" s="36" t="s">
        <v>1</v>
      </c>
      <c r="I1" s="35"/>
      <c r="J1" s="145"/>
      <c r="K1" s="140"/>
      <c r="L1" s="140"/>
      <c r="M1" s="140"/>
    </row>
    <row r="2" spans="1:13" x14ac:dyDescent="0.35">
      <c r="A2" s="6" t="s">
        <v>2</v>
      </c>
      <c r="B2" s="7"/>
      <c r="C2" s="38"/>
      <c r="D2" s="38"/>
      <c r="E2" s="38"/>
      <c r="F2" s="38"/>
      <c r="G2" s="38"/>
      <c r="H2" s="39" t="s">
        <v>418</v>
      </c>
      <c r="I2" s="38"/>
      <c r="J2" s="146"/>
      <c r="K2" s="140"/>
      <c r="L2" s="140"/>
      <c r="M2" s="140"/>
    </row>
    <row r="3" spans="1:13" x14ac:dyDescent="0.35">
      <c r="A3" s="11" t="s">
        <v>4</v>
      </c>
      <c r="B3" s="12"/>
      <c r="C3" s="38"/>
      <c r="D3" s="38"/>
      <c r="E3" s="38"/>
      <c r="F3" s="38"/>
      <c r="G3" s="38"/>
      <c r="H3" s="39" t="s">
        <v>419</v>
      </c>
      <c r="I3" s="38"/>
      <c r="J3" s="146"/>
      <c r="K3" s="140"/>
      <c r="L3" s="140"/>
      <c r="M3" s="140"/>
    </row>
    <row r="4" spans="1:13" x14ac:dyDescent="0.35">
      <c r="A4" s="15"/>
      <c r="B4" s="38"/>
      <c r="C4" s="38"/>
      <c r="D4" s="275" t="s">
        <v>6</v>
      </c>
      <c r="E4" s="275"/>
      <c r="F4" s="275"/>
      <c r="G4" s="275"/>
      <c r="H4" s="275"/>
      <c r="I4" s="38"/>
      <c r="J4" s="146"/>
      <c r="K4" s="140"/>
      <c r="L4" s="140"/>
      <c r="M4" s="140"/>
    </row>
    <row r="5" spans="1:13" x14ac:dyDescent="0.35">
      <c r="A5" s="15"/>
      <c r="B5" s="41"/>
      <c r="C5" s="38"/>
      <c r="D5" s="39" t="s">
        <v>65</v>
      </c>
      <c r="E5" s="41"/>
      <c r="F5" s="41"/>
      <c r="G5" s="38"/>
      <c r="H5" s="38"/>
      <c r="I5" s="38"/>
      <c r="J5" s="146"/>
      <c r="K5" s="140"/>
      <c r="L5" s="140"/>
      <c r="M5" s="140"/>
    </row>
    <row r="6" spans="1:13" x14ac:dyDescent="0.35">
      <c r="A6" s="15"/>
      <c r="B6" s="41"/>
      <c r="C6" s="38"/>
      <c r="D6" s="38" t="s">
        <v>7</v>
      </c>
      <c r="E6" s="41"/>
      <c r="F6" s="41"/>
      <c r="G6" s="38"/>
      <c r="H6" s="38"/>
      <c r="I6" s="38"/>
      <c r="J6" s="146"/>
      <c r="K6" s="140"/>
      <c r="L6" s="140"/>
      <c r="M6" s="140"/>
    </row>
    <row r="7" spans="1:13" x14ac:dyDescent="0.35">
      <c r="A7" s="15"/>
      <c r="B7" s="38"/>
      <c r="C7" s="38"/>
      <c r="D7" s="38"/>
      <c r="E7" s="38"/>
      <c r="F7" s="38"/>
      <c r="G7" s="38"/>
      <c r="H7" s="38"/>
      <c r="I7" s="38"/>
      <c r="J7" s="146"/>
      <c r="K7" s="140"/>
      <c r="L7" s="140"/>
      <c r="M7" s="140"/>
    </row>
    <row r="8" spans="1:13" x14ac:dyDescent="0.35">
      <c r="A8" s="15"/>
      <c r="B8" s="38"/>
      <c r="C8" s="38"/>
      <c r="D8" s="38"/>
      <c r="E8" s="38"/>
      <c r="F8" s="38"/>
      <c r="G8" s="38"/>
      <c r="H8" s="38"/>
      <c r="I8" s="38"/>
      <c r="J8" s="146"/>
      <c r="K8" s="140"/>
      <c r="L8" s="140"/>
      <c r="M8" s="140"/>
    </row>
    <row r="9" spans="1:13" x14ac:dyDescent="0.35">
      <c r="A9" s="253" t="s">
        <v>8</v>
      </c>
      <c r="B9" s="254" t="s">
        <v>9</v>
      </c>
      <c r="C9" s="283" t="s">
        <v>10</v>
      </c>
      <c r="D9" s="284"/>
      <c r="E9" s="285"/>
      <c r="F9" s="286" t="s">
        <v>11</v>
      </c>
      <c r="G9" s="287"/>
      <c r="H9" s="283" t="s">
        <v>12</v>
      </c>
      <c r="I9" s="284"/>
      <c r="J9" s="288"/>
      <c r="K9" s="140"/>
      <c r="L9" s="140"/>
      <c r="M9" s="140"/>
    </row>
    <row r="10" spans="1:13" x14ac:dyDescent="0.35">
      <c r="A10" s="151"/>
      <c r="B10" s="152"/>
      <c r="C10" s="256" t="s">
        <v>26</v>
      </c>
      <c r="D10" s="245" t="s">
        <v>15</v>
      </c>
      <c r="E10" s="256" t="s">
        <v>21</v>
      </c>
      <c r="F10" s="256" t="s">
        <v>17</v>
      </c>
      <c r="G10" s="256" t="s">
        <v>18</v>
      </c>
      <c r="H10" s="244" t="s">
        <v>19</v>
      </c>
      <c r="I10" s="256" t="s">
        <v>20</v>
      </c>
      <c r="J10" s="247" t="s">
        <v>21</v>
      </c>
      <c r="K10" s="140"/>
      <c r="L10" s="140"/>
      <c r="M10" s="140"/>
    </row>
    <row r="11" spans="1:13" x14ac:dyDescent="0.35">
      <c r="A11" s="78">
        <v>42370</v>
      </c>
      <c r="B11" s="79" t="s">
        <v>27</v>
      </c>
      <c r="C11" s="52">
        <f>+'[1]j-60'!$E$35</f>
        <v>30</v>
      </c>
      <c r="D11" s="52"/>
      <c r="E11" s="52">
        <f>+C11</f>
        <v>30</v>
      </c>
      <c r="F11" s="52">
        <f>+H11/C11</f>
        <v>0.48110854020201071</v>
      </c>
      <c r="G11" s="52"/>
      <c r="H11" s="52">
        <f>+'[1]j-60'!$J$35</f>
        <v>14.433256206060321</v>
      </c>
      <c r="I11" s="52"/>
      <c r="J11" s="80">
        <f>+H11</f>
        <v>14.433256206060321</v>
      </c>
      <c r="K11" s="140"/>
      <c r="L11" s="140"/>
      <c r="M11" s="140"/>
    </row>
    <row r="12" spans="1:13" s="112" customFormat="1" x14ac:dyDescent="0.35">
      <c r="A12" s="124">
        <v>42735</v>
      </c>
      <c r="B12" s="125" t="s">
        <v>645</v>
      </c>
      <c r="C12" s="126"/>
      <c r="D12" s="126">
        <v>30</v>
      </c>
      <c r="E12" s="126">
        <f>+E11-D12</f>
        <v>0</v>
      </c>
      <c r="F12" s="126"/>
      <c r="G12" s="126">
        <f>+H11/E11</f>
        <v>0.48110854020201071</v>
      </c>
      <c r="H12" s="126"/>
      <c r="I12" s="126">
        <f>+D12*G12</f>
        <v>14.433256206060321</v>
      </c>
      <c r="J12" s="127">
        <f>+J11-I12</f>
        <v>0</v>
      </c>
      <c r="K12" s="142">
        <f>SUM(I12)</f>
        <v>14.433256206060321</v>
      </c>
      <c r="L12" s="142">
        <f>SUM(K12)</f>
        <v>14.433256206060321</v>
      </c>
      <c r="M12" s="143">
        <v>42735</v>
      </c>
    </row>
    <row r="13" spans="1:13" x14ac:dyDescent="0.35">
      <c r="A13" s="78"/>
      <c r="B13" s="79"/>
      <c r="C13" s="52"/>
      <c r="D13" s="52"/>
      <c r="E13" s="52"/>
      <c r="F13" s="52"/>
      <c r="G13" s="52"/>
      <c r="H13" s="52"/>
      <c r="I13" s="52"/>
      <c r="J13" s="80"/>
      <c r="K13" s="140"/>
      <c r="L13" s="140"/>
      <c r="M13" s="140"/>
    </row>
    <row r="14" spans="1:13" ht="15" thickBot="1" x14ac:dyDescent="0.4">
      <c r="A14" s="218"/>
      <c r="B14" s="219" t="s">
        <v>638</v>
      </c>
      <c r="C14" s="220">
        <f>SUM(C11)</f>
        <v>30</v>
      </c>
      <c r="D14" s="220"/>
      <c r="E14" s="220"/>
      <c r="F14" s="220"/>
      <c r="G14" s="220"/>
      <c r="H14" s="220">
        <f t="shared" ref="H14:I14" si="0">SUM(H11)</f>
        <v>14.433256206060321</v>
      </c>
      <c r="I14" s="220">
        <f t="shared" si="0"/>
        <v>0</v>
      </c>
      <c r="J14" s="255"/>
      <c r="K14" s="140"/>
      <c r="L14" s="140"/>
      <c r="M14" s="140"/>
    </row>
    <row r="15" spans="1:13" x14ac:dyDescent="0.35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</row>
    <row r="16" spans="1:13" x14ac:dyDescent="0.35">
      <c r="A16" s="174" t="s">
        <v>639</v>
      </c>
      <c r="B16" s="39"/>
      <c r="C16" s="38"/>
      <c r="D16" s="38"/>
      <c r="E16" s="38"/>
      <c r="F16" s="38"/>
      <c r="G16" s="140"/>
      <c r="H16" s="140"/>
      <c r="I16" s="140"/>
      <c r="J16" s="140"/>
      <c r="K16" s="140"/>
      <c r="L16" s="140"/>
      <c r="M16" s="140"/>
    </row>
    <row r="17" spans="1:13" x14ac:dyDescent="0.35">
      <c r="A17" s="174" t="s">
        <v>642</v>
      </c>
      <c r="B17" s="39"/>
      <c r="C17" s="38"/>
      <c r="D17" s="38"/>
      <c r="E17" s="38"/>
      <c r="F17" s="38"/>
      <c r="G17" s="140"/>
      <c r="H17" s="140"/>
      <c r="I17" s="140"/>
      <c r="J17" s="28">
        <f>+E12*G12</f>
        <v>0</v>
      </c>
      <c r="K17" s="140"/>
      <c r="L17" s="140"/>
      <c r="M17" s="140"/>
    </row>
    <row r="18" spans="1:13" x14ac:dyDescent="0.35">
      <c r="A18" s="174" t="s">
        <v>640</v>
      </c>
      <c r="B18" s="39"/>
      <c r="C18" s="38"/>
      <c r="D18" s="38"/>
      <c r="E18" s="38"/>
      <c r="F18" s="38"/>
      <c r="G18" s="140"/>
      <c r="H18" s="140"/>
      <c r="I18" s="140"/>
      <c r="J18" s="175">
        <f>+J12</f>
        <v>0</v>
      </c>
      <c r="K18" s="140"/>
      <c r="L18" s="140"/>
      <c r="M18" s="140"/>
    </row>
    <row r="19" spans="1:13" ht="15" thickBot="1" x14ac:dyDescent="0.4">
      <c r="A19" s="174"/>
      <c r="B19" s="39" t="s">
        <v>641</v>
      </c>
      <c r="C19" s="38"/>
      <c r="D19" s="38"/>
      <c r="E19" s="38"/>
      <c r="F19" s="38"/>
      <c r="G19" s="140"/>
      <c r="H19" s="140"/>
      <c r="I19" s="140"/>
      <c r="J19" s="202">
        <f>+J17-J18</f>
        <v>0</v>
      </c>
      <c r="K19" s="140"/>
      <c r="L19" s="140"/>
      <c r="M19" s="140"/>
    </row>
    <row r="20" spans="1:13" ht="15" thickTop="1" x14ac:dyDescent="0.35"/>
  </sheetData>
  <mergeCells count="4">
    <mergeCell ref="D4:H4"/>
    <mergeCell ref="C9:E9"/>
    <mergeCell ref="F9:G9"/>
    <mergeCell ref="H9:J9"/>
  </mergeCells>
  <pageMargins left="0.70866141732283472" right="0.70866141732283472" top="0.74803149606299213" bottom="0.74803149606299213" header="0.31496062992125984" footer="0.31496062992125984"/>
  <pageSetup scale="75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0"/>
  <sheetViews>
    <sheetView workbookViewId="0">
      <selection activeCell="H24" sqref="H24"/>
    </sheetView>
  </sheetViews>
  <sheetFormatPr baseColWidth="10" defaultRowHeight="14.5" x14ac:dyDescent="0.35"/>
  <cols>
    <col min="2" max="2" width="36.453125" customWidth="1"/>
    <col min="11" max="13" width="10.81640625" customWidth="1"/>
  </cols>
  <sheetData>
    <row r="1" spans="1:13" x14ac:dyDescent="0.35">
      <c r="A1" s="1" t="s">
        <v>0</v>
      </c>
      <c r="B1" s="2"/>
      <c r="C1" s="35"/>
      <c r="D1" s="35"/>
      <c r="E1" s="35"/>
      <c r="F1" s="35"/>
      <c r="G1" s="35"/>
      <c r="H1" s="36" t="s">
        <v>1</v>
      </c>
      <c r="I1" s="35"/>
      <c r="J1" s="145"/>
      <c r="K1" s="140"/>
      <c r="L1" s="140"/>
      <c r="M1" s="140"/>
    </row>
    <row r="2" spans="1:13" x14ac:dyDescent="0.35">
      <c r="A2" s="6" t="s">
        <v>2</v>
      </c>
      <c r="B2" s="7"/>
      <c r="C2" s="38"/>
      <c r="D2" s="38"/>
      <c r="E2" s="38"/>
      <c r="F2" s="38"/>
      <c r="G2" s="38"/>
      <c r="H2" s="39" t="s">
        <v>416</v>
      </c>
      <c r="I2" s="38"/>
      <c r="J2" s="146"/>
      <c r="K2" s="140"/>
      <c r="L2" s="140"/>
      <c r="M2" s="140"/>
    </row>
    <row r="3" spans="1:13" x14ac:dyDescent="0.35">
      <c r="A3" s="11" t="s">
        <v>4</v>
      </c>
      <c r="B3" s="12"/>
      <c r="C3" s="38"/>
      <c r="D3" s="38"/>
      <c r="E3" s="38"/>
      <c r="F3" s="38"/>
      <c r="G3" s="38"/>
      <c r="H3" s="39" t="s">
        <v>417</v>
      </c>
      <c r="I3" s="38"/>
      <c r="J3" s="146"/>
      <c r="K3" s="140"/>
      <c r="L3" s="140"/>
      <c r="M3" s="140"/>
    </row>
    <row r="4" spans="1:13" x14ac:dyDescent="0.35">
      <c r="A4" s="15"/>
      <c r="B4" s="38"/>
      <c r="C4" s="38"/>
      <c r="D4" s="257" t="s">
        <v>6</v>
      </c>
      <c r="E4" s="257"/>
      <c r="F4" s="257"/>
      <c r="G4" s="257"/>
      <c r="H4" s="257"/>
      <c r="I4" s="38"/>
      <c r="J4" s="146"/>
      <c r="K4" s="140"/>
      <c r="L4" s="140"/>
      <c r="M4" s="140"/>
    </row>
    <row r="5" spans="1:13" x14ac:dyDescent="0.35">
      <c r="A5" s="289" t="s">
        <v>65</v>
      </c>
      <c r="B5" s="281"/>
      <c r="C5" s="281"/>
      <c r="D5" s="281"/>
      <c r="E5" s="281"/>
      <c r="F5" s="281"/>
      <c r="G5" s="281"/>
      <c r="H5" s="281"/>
      <c r="I5" s="281"/>
      <c r="J5" s="146"/>
      <c r="K5" s="140"/>
      <c r="L5" s="140"/>
      <c r="M5" s="140"/>
    </row>
    <row r="6" spans="1:13" x14ac:dyDescent="0.35">
      <c r="A6" s="290" t="s">
        <v>7</v>
      </c>
      <c r="B6" s="291"/>
      <c r="C6" s="291"/>
      <c r="D6" s="291"/>
      <c r="E6" s="291"/>
      <c r="F6" s="291"/>
      <c r="G6" s="291"/>
      <c r="H6" s="291"/>
      <c r="I6" s="291"/>
      <c r="J6" s="292"/>
      <c r="K6" s="140"/>
      <c r="L6" s="140"/>
      <c r="M6" s="140"/>
    </row>
    <row r="7" spans="1:13" x14ac:dyDescent="0.35">
      <c r="A7" s="15"/>
      <c r="B7" s="38"/>
      <c r="C7" s="38"/>
      <c r="D7" s="38" t="s">
        <v>28</v>
      </c>
      <c r="E7" s="38"/>
      <c r="F7" s="38"/>
      <c r="G7" s="38"/>
      <c r="H7" s="38"/>
      <c r="I7" s="38"/>
      <c r="J7" s="146"/>
      <c r="K7" s="140"/>
      <c r="L7" s="140"/>
      <c r="M7" s="140"/>
    </row>
    <row r="8" spans="1:13" x14ac:dyDescent="0.35">
      <c r="A8" s="15"/>
      <c r="B8" s="38"/>
      <c r="C8" s="38"/>
      <c r="D8" s="38"/>
      <c r="E8" s="38"/>
      <c r="F8" s="38"/>
      <c r="G8" s="38"/>
      <c r="H8" s="38"/>
      <c r="I8" s="38"/>
      <c r="J8" s="146"/>
      <c r="K8" s="140"/>
      <c r="L8" s="140"/>
      <c r="M8" s="140"/>
    </row>
    <row r="9" spans="1:13" x14ac:dyDescent="0.35">
      <c r="A9" s="253" t="s">
        <v>8</v>
      </c>
      <c r="B9" s="254" t="s">
        <v>9</v>
      </c>
      <c r="C9" s="283" t="s">
        <v>10</v>
      </c>
      <c r="D9" s="284"/>
      <c r="E9" s="285"/>
      <c r="F9" s="293" t="s">
        <v>11</v>
      </c>
      <c r="G9" s="293"/>
      <c r="H9" s="283" t="s">
        <v>12</v>
      </c>
      <c r="I9" s="284"/>
      <c r="J9" s="288"/>
      <c r="K9" s="140"/>
      <c r="L9" s="140"/>
      <c r="M9" s="140"/>
    </row>
    <row r="10" spans="1:13" x14ac:dyDescent="0.35">
      <c r="A10" s="151"/>
      <c r="B10" s="152"/>
      <c r="C10" s="244" t="s">
        <v>26</v>
      </c>
      <c r="D10" s="245" t="s">
        <v>15</v>
      </c>
      <c r="E10" s="246" t="s">
        <v>21</v>
      </c>
      <c r="F10" s="256" t="s">
        <v>17</v>
      </c>
      <c r="G10" s="256" t="s">
        <v>18</v>
      </c>
      <c r="H10" s="244" t="s">
        <v>19</v>
      </c>
      <c r="I10" s="245" t="s">
        <v>20</v>
      </c>
      <c r="J10" s="247" t="s">
        <v>21</v>
      </c>
      <c r="K10" s="140"/>
      <c r="L10" s="140"/>
      <c r="M10" s="140"/>
    </row>
    <row r="11" spans="1:13" x14ac:dyDescent="0.35">
      <c r="A11" s="78">
        <v>42006</v>
      </c>
      <c r="B11" s="79" t="s">
        <v>383</v>
      </c>
      <c r="C11" s="52">
        <v>122.5</v>
      </c>
      <c r="D11" s="52"/>
      <c r="E11" s="52">
        <f>+C11</f>
        <v>122.5</v>
      </c>
      <c r="F11" s="52">
        <f>+H11/C11</f>
        <v>14.48</v>
      </c>
      <c r="G11" s="52"/>
      <c r="H11" s="52">
        <v>1773.8</v>
      </c>
      <c r="I11" s="52"/>
      <c r="J11" s="80">
        <f>+H11</f>
        <v>1773.8</v>
      </c>
      <c r="K11" s="140"/>
      <c r="L11" s="140"/>
      <c r="M11" s="140"/>
    </row>
    <row r="12" spans="1:13" x14ac:dyDescent="0.35">
      <c r="A12" s="124">
        <v>42012</v>
      </c>
      <c r="B12" s="125" t="s">
        <v>53</v>
      </c>
      <c r="C12" s="126"/>
      <c r="D12" s="126">
        <v>1</v>
      </c>
      <c r="E12" s="126">
        <f>+E11-D12</f>
        <v>121.5</v>
      </c>
      <c r="F12" s="126"/>
      <c r="G12" s="126">
        <f>+J11/E11</f>
        <v>14.48</v>
      </c>
      <c r="H12" s="126"/>
      <c r="I12" s="126">
        <f>+D12*G12</f>
        <v>14.48</v>
      </c>
      <c r="J12" s="127">
        <f>+J11-I12</f>
        <v>1759.32</v>
      </c>
      <c r="K12" s="142">
        <f t="shared" ref="K12:K17" si="0">SUM(I12)</f>
        <v>14.48</v>
      </c>
      <c r="L12" s="142">
        <f>+K12</f>
        <v>14.48</v>
      </c>
      <c r="M12" s="143">
        <v>42384</v>
      </c>
    </row>
    <row r="13" spans="1:13" x14ac:dyDescent="0.35">
      <c r="A13" s="124">
        <v>42397</v>
      </c>
      <c r="B13" s="125" t="s">
        <v>108</v>
      </c>
      <c r="C13" s="126"/>
      <c r="D13" s="126">
        <v>7</v>
      </c>
      <c r="E13" s="126">
        <f t="shared" ref="E13:E28" si="1">+E12-D13</f>
        <v>114.5</v>
      </c>
      <c r="F13" s="126"/>
      <c r="G13" s="126">
        <f t="shared" ref="G13:G28" si="2">+J12/E12</f>
        <v>14.479999999999999</v>
      </c>
      <c r="H13" s="126"/>
      <c r="I13" s="126">
        <f t="shared" ref="I13:I28" si="3">+D13*G13</f>
        <v>101.35999999999999</v>
      </c>
      <c r="J13" s="127">
        <f t="shared" ref="J13:J28" si="4">+J12-I13</f>
        <v>1657.96</v>
      </c>
      <c r="K13" s="142">
        <f t="shared" si="0"/>
        <v>101.35999999999999</v>
      </c>
      <c r="L13" s="142">
        <f>+K13</f>
        <v>101.35999999999999</v>
      </c>
      <c r="M13" s="143">
        <v>42400</v>
      </c>
    </row>
    <row r="14" spans="1:13" x14ac:dyDescent="0.35">
      <c r="A14" s="124">
        <v>42401</v>
      </c>
      <c r="B14" s="125" t="s">
        <v>121</v>
      </c>
      <c r="C14" s="126"/>
      <c r="D14" s="126">
        <v>7</v>
      </c>
      <c r="E14" s="126">
        <f t="shared" si="1"/>
        <v>107.5</v>
      </c>
      <c r="F14" s="126"/>
      <c r="G14" s="126">
        <f t="shared" si="2"/>
        <v>14.48</v>
      </c>
      <c r="H14" s="126"/>
      <c r="I14" s="126">
        <f t="shared" si="3"/>
        <v>101.36</v>
      </c>
      <c r="J14" s="127">
        <f t="shared" si="4"/>
        <v>1556.6000000000001</v>
      </c>
      <c r="K14" s="142">
        <f t="shared" si="0"/>
        <v>101.36</v>
      </c>
      <c r="L14" s="142">
        <f>+K14</f>
        <v>101.36</v>
      </c>
      <c r="M14" s="143">
        <v>42415</v>
      </c>
    </row>
    <row r="15" spans="1:13" x14ac:dyDescent="0.35">
      <c r="A15" s="124">
        <v>42482</v>
      </c>
      <c r="B15" s="125" t="s">
        <v>286</v>
      </c>
      <c r="C15" s="126"/>
      <c r="D15" s="126">
        <v>4</v>
      </c>
      <c r="E15" s="126">
        <f t="shared" si="1"/>
        <v>103.5</v>
      </c>
      <c r="F15" s="126"/>
      <c r="G15" s="126">
        <f t="shared" si="2"/>
        <v>14.48</v>
      </c>
      <c r="H15" s="126"/>
      <c r="I15" s="126">
        <f t="shared" si="3"/>
        <v>57.92</v>
      </c>
      <c r="J15" s="127">
        <f t="shared" si="4"/>
        <v>1498.68</v>
      </c>
      <c r="K15" s="142">
        <f t="shared" si="0"/>
        <v>57.92</v>
      </c>
      <c r="L15" s="142">
        <f>+K15</f>
        <v>57.92</v>
      </c>
      <c r="M15" s="143">
        <v>42490</v>
      </c>
    </row>
    <row r="16" spans="1:13" s="112" customFormat="1" x14ac:dyDescent="0.35">
      <c r="A16" s="124">
        <v>42658</v>
      </c>
      <c r="B16" s="125" t="s">
        <v>524</v>
      </c>
      <c r="C16" s="126"/>
      <c r="D16" s="126">
        <v>4</v>
      </c>
      <c r="E16" s="126">
        <f t="shared" si="1"/>
        <v>99.5</v>
      </c>
      <c r="F16" s="126"/>
      <c r="G16" s="126">
        <f t="shared" si="2"/>
        <v>14.48</v>
      </c>
      <c r="H16" s="126"/>
      <c r="I16" s="126">
        <f t="shared" si="3"/>
        <v>57.92</v>
      </c>
      <c r="J16" s="127">
        <f t="shared" si="4"/>
        <v>1440.76</v>
      </c>
      <c r="K16" s="142">
        <f t="shared" si="0"/>
        <v>57.92</v>
      </c>
      <c r="L16" s="142"/>
      <c r="M16" s="143">
        <v>42658</v>
      </c>
    </row>
    <row r="17" spans="1:13" s="112" customFormat="1" x14ac:dyDescent="0.35">
      <c r="A17" s="124">
        <v>42663</v>
      </c>
      <c r="B17" s="125" t="s">
        <v>531</v>
      </c>
      <c r="C17" s="126"/>
      <c r="D17" s="126">
        <v>2</v>
      </c>
      <c r="E17" s="126">
        <f t="shared" si="1"/>
        <v>97.5</v>
      </c>
      <c r="F17" s="126"/>
      <c r="G17" s="126">
        <f t="shared" si="2"/>
        <v>14.48</v>
      </c>
      <c r="H17" s="126"/>
      <c r="I17" s="126">
        <f t="shared" si="3"/>
        <v>28.96</v>
      </c>
      <c r="J17" s="127">
        <f t="shared" si="4"/>
        <v>1411.8</v>
      </c>
      <c r="K17" s="142">
        <f t="shared" si="0"/>
        <v>28.96</v>
      </c>
      <c r="L17" s="142">
        <f>SUM(K16:K17)</f>
        <v>86.88</v>
      </c>
      <c r="M17" s="143">
        <v>42674</v>
      </c>
    </row>
    <row r="18" spans="1:13" x14ac:dyDescent="0.35">
      <c r="A18" s="78">
        <v>42682</v>
      </c>
      <c r="B18" s="79" t="s">
        <v>551</v>
      </c>
      <c r="C18" s="52"/>
      <c r="D18" s="52">
        <v>4</v>
      </c>
      <c r="E18" s="52">
        <f t="shared" si="1"/>
        <v>93.5</v>
      </c>
      <c r="F18" s="52"/>
      <c r="G18" s="128">
        <f t="shared" si="2"/>
        <v>14.479999999999999</v>
      </c>
      <c r="H18" s="128"/>
      <c r="I18" s="128">
        <f t="shared" si="3"/>
        <v>57.919999999999995</v>
      </c>
      <c r="J18" s="129">
        <f t="shared" si="4"/>
        <v>1353.8799999999999</v>
      </c>
      <c r="K18" s="140"/>
      <c r="L18" s="140"/>
      <c r="M18" s="140"/>
    </row>
    <row r="19" spans="1:13" s="112" customFormat="1" x14ac:dyDescent="0.35">
      <c r="A19" s="124">
        <v>42688</v>
      </c>
      <c r="B19" s="125" t="s">
        <v>557</v>
      </c>
      <c r="C19" s="126"/>
      <c r="D19" s="126">
        <v>4</v>
      </c>
      <c r="E19" s="126">
        <f t="shared" si="1"/>
        <v>89.5</v>
      </c>
      <c r="F19" s="126"/>
      <c r="G19" s="126">
        <f t="shared" si="2"/>
        <v>14.479999999999999</v>
      </c>
      <c r="H19" s="126"/>
      <c r="I19" s="126">
        <f t="shared" si="3"/>
        <v>57.919999999999995</v>
      </c>
      <c r="J19" s="127">
        <f t="shared" si="4"/>
        <v>1295.9599999999998</v>
      </c>
      <c r="K19" s="142">
        <f>SUM(I18:I19)</f>
        <v>115.83999999999999</v>
      </c>
      <c r="L19" s="160"/>
      <c r="M19" s="143">
        <v>42689</v>
      </c>
    </row>
    <row r="20" spans="1:13" x14ac:dyDescent="0.35">
      <c r="A20" s="78">
        <v>42692</v>
      </c>
      <c r="B20" s="79" t="s">
        <v>564</v>
      </c>
      <c r="C20" s="52"/>
      <c r="D20" s="52">
        <v>1</v>
      </c>
      <c r="E20" s="52">
        <f t="shared" si="1"/>
        <v>88.5</v>
      </c>
      <c r="F20" s="52"/>
      <c r="G20" s="128">
        <f t="shared" si="2"/>
        <v>14.479999999999999</v>
      </c>
      <c r="H20" s="128"/>
      <c r="I20" s="128">
        <f t="shared" si="3"/>
        <v>14.479999999999999</v>
      </c>
      <c r="J20" s="129">
        <f t="shared" si="4"/>
        <v>1281.4799999999998</v>
      </c>
      <c r="K20" s="140"/>
      <c r="L20" s="140"/>
      <c r="M20" s="140"/>
    </row>
    <row r="21" spans="1:13" x14ac:dyDescent="0.35">
      <c r="A21" s="78">
        <v>42699</v>
      </c>
      <c r="B21" s="79" t="s">
        <v>573</v>
      </c>
      <c r="C21" s="52"/>
      <c r="D21" s="52">
        <v>2</v>
      </c>
      <c r="E21" s="52">
        <f t="shared" si="1"/>
        <v>86.5</v>
      </c>
      <c r="F21" s="52"/>
      <c r="G21" s="128">
        <f t="shared" si="2"/>
        <v>14.479999999999997</v>
      </c>
      <c r="H21" s="128"/>
      <c r="I21" s="128">
        <f t="shared" si="3"/>
        <v>28.959999999999994</v>
      </c>
      <c r="J21" s="129">
        <f t="shared" si="4"/>
        <v>1252.5199999999998</v>
      </c>
      <c r="K21" s="140"/>
      <c r="L21" s="140"/>
      <c r="M21" s="140"/>
    </row>
    <row r="22" spans="1:13" s="112" customFormat="1" x14ac:dyDescent="0.35">
      <c r="A22" s="124">
        <v>42702</v>
      </c>
      <c r="B22" s="125" t="s">
        <v>575</v>
      </c>
      <c r="C22" s="126"/>
      <c r="D22" s="126">
        <v>3</v>
      </c>
      <c r="E22" s="126">
        <f t="shared" si="1"/>
        <v>83.5</v>
      </c>
      <c r="F22" s="126"/>
      <c r="G22" s="126">
        <f t="shared" si="2"/>
        <v>14.479999999999997</v>
      </c>
      <c r="H22" s="126"/>
      <c r="I22" s="126">
        <f t="shared" si="3"/>
        <v>43.439999999999991</v>
      </c>
      <c r="J22" s="127">
        <f t="shared" si="4"/>
        <v>1209.0799999999997</v>
      </c>
      <c r="K22" s="142">
        <f>SUM(I20:I22)</f>
        <v>86.879999999999981</v>
      </c>
      <c r="L22" s="142">
        <f>SUM(K19:K22)</f>
        <v>202.71999999999997</v>
      </c>
      <c r="M22" s="143">
        <v>42704</v>
      </c>
    </row>
    <row r="23" spans="1:13" x14ac:dyDescent="0.35">
      <c r="A23" s="78">
        <v>42707</v>
      </c>
      <c r="B23" s="79" t="s">
        <v>591</v>
      </c>
      <c r="C23" s="52"/>
      <c r="D23" s="52">
        <v>5</v>
      </c>
      <c r="E23" s="52">
        <f t="shared" si="1"/>
        <v>78.5</v>
      </c>
      <c r="F23" s="52"/>
      <c r="G23" s="128">
        <f t="shared" si="2"/>
        <v>14.479999999999997</v>
      </c>
      <c r="H23" s="128"/>
      <c r="I23" s="128">
        <f t="shared" si="3"/>
        <v>72.399999999999977</v>
      </c>
      <c r="J23" s="129">
        <f t="shared" si="4"/>
        <v>1136.6799999999998</v>
      </c>
      <c r="K23" s="140"/>
      <c r="L23" s="140"/>
      <c r="M23" s="140"/>
    </row>
    <row r="24" spans="1:13" x14ac:dyDescent="0.35">
      <c r="A24" s="78">
        <v>42713</v>
      </c>
      <c r="B24" s="79" t="s">
        <v>600</v>
      </c>
      <c r="C24" s="52"/>
      <c r="D24" s="52">
        <v>1</v>
      </c>
      <c r="E24" s="52">
        <f t="shared" si="1"/>
        <v>77.5</v>
      </c>
      <c r="F24" s="52"/>
      <c r="G24" s="128">
        <f t="shared" si="2"/>
        <v>14.479999999999999</v>
      </c>
      <c r="H24" s="128"/>
      <c r="I24" s="128">
        <f t="shared" si="3"/>
        <v>14.479999999999999</v>
      </c>
      <c r="J24" s="129">
        <f t="shared" si="4"/>
        <v>1122.1999999999998</v>
      </c>
      <c r="K24" s="140"/>
      <c r="L24" s="140"/>
      <c r="M24" s="140"/>
    </row>
    <row r="25" spans="1:13" s="112" customFormat="1" x14ac:dyDescent="0.35">
      <c r="A25" s="124">
        <v>42718</v>
      </c>
      <c r="B25" s="125" t="s">
        <v>609</v>
      </c>
      <c r="C25" s="126"/>
      <c r="D25" s="126">
        <v>4</v>
      </c>
      <c r="E25" s="126">
        <f t="shared" si="1"/>
        <v>73.5</v>
      </c>
      <c r="F25" s="126"/>
      <c r="G25" s="126">
        <f t="shared" si="2"/>
        <v>14.479999999999997</v>
      </c>
      <c r="H25" s="126"/>
      <c r="I25" s="126">
        <f t="shared" si="3"/>
        <v>57.919999999999987</v>
      </c>
      <c r="J25" s="127">
        <f t="shared" si="4"/>
        <v>1064.2799999999997</v>
      </c>
      <c r="K25" s="142">
        <f>SUM(I23:I25)</f>
        <v>144.79999999999995</v>
      </c>
      <c r="L25" s="142"/>
      <c r="M25" s="143">
        <v>42719</v>
      </c>
    </row>
    <row r="26" spans="1:13" x14ac:dyDescent="0.35">
      <c r="A26" s="78">
        <v>42725</v>
      </c>
      <c r="B26" s="79" t="s">
        <v>620</v>
      </c>
      <c r="C26" s="52"/>
      <c r="D26" s="52">
        <v>4</v>
      </c>
      <c r="E26" s="52">
        <f t="shared" si="1"/>
        <v>69.5</v>
      </c>
      <c r="F26" s="52"/>
      <c r="G26" s="128">
        <f t="shared" si="2"/>
        <v>14.479999999999997</v>
      </c>
      <c r="H26" s="128"/>
      <c r="I26" s="128">
        <f t="shared" si="3"/>
        <v>57.919999999999987</v>
      </c>
      <c r="J26" s="129">
        <f t="shared" si="4"/>
        <v>1006.3599999999998</v>
      </c>
      <c r="K26" s="140"/>
      <c r="L26" s="140"/>
      <c r="M26" s="140"/>
    </row>
    <row r="27" spans="1:13" x14ac:dyDescent="0.35">
      <c r="A27" s="78">
        <v>42727</v>
      </c>
      <c r="B27" s="79" t="s">
        <v>624</v>
      </c>
      <c r="C27" s="52"/>
      <c r="D27" s="52">
        <v>1</v>
      </c>
      <c r="E27" s="52">
        <f t="shared" si="1"/>
        <v>68.5</v>
      </c>
      <c r="F27" s="52"/>
      <c r="G27" s="128">
        <f t="shared" si="2"/>
        <v>14.479999999999997</v>
      </c>
      <c r="H27" s="128"/>
      <c r="I27" s="128">
        <f t="shared" si="3"/>
        <v>14.479999999999997</v>
      </c>
      <c r="J27" s="129">
        <f t="shared" si="4"/>
        <v>991.87999999999977</v>
      </c>
      <c r="K27" s="140"/>
      <c r="L27" s="140"/>
      <c r="M27" s="140"/>
    </row>
    <row r="28" spans="1:13" s="112" customFormat="1" x14ac:dyDescent="0.35">
      <c r="A28" s="124">
        <v>42735</v>
      </c>
      <c r="B28" s="125" t="s">
        <v>636</v>
      </c>
      <c r="C28" s="126"/>
      <c r="D28" s="126">
        <v>2</v>
      </c>
      <c r="E28" s="126">
        <f t="shared" si="1"/>
        <v>66.5</v>
      </c>
      <c r="F28" s="126"/>
      <c r="G28" s="126">
        <f t="shared" si="2"/>
        <v>14.479999999999997</v>
      </c>
      <c r="H28" s="126"/>
      <c r="I28" s="126">
        <f t="shared" si="3"/>
        <v>28.959999999999994</v>
      </c>
      <c r="J28" s="127">
        <f t="shared" si="4"/>
        <v>962.91999999999973</v>
      </c>
      <c r="K28" s="142">
        <f>SUM(I26:I28)</f>
        <v>101.35999999999997</v>
      </c>
      <c r="L28" s="142">
        <f>SUM(K25:K28)</f>
        <v>246.15999999999991</v>
      </c>
      <c r="M28" s="143">
        <v>42735</v>
      </c>
    </row>
    <row r="29" spans="1:13" ht="15" thickBot="1" x14ac:dyDescent="0.4">
      <c r="A29" s="218"/>
      <c r="B29" s="219" t="s">
        <v>638</v>
      </c>
      <c r="C29" s="220">
        <f>SUM(C11:C28)</f>
        <v>122.5</v>
      </c>
      <c r="D29" s="220">
        <f>SUM(D11:D28)</f>
        <v>56</v>
      </c>
      <c r="E29" s="220"/>
      <c r="F29" s="220"/>
      <c r="G29" s="221"/>
      <c r="H29" s="220">
        <f t="shared" ref="H29:I29" si="5">SUM(H11:H28)</f>
        <v>1773.8</v>
      </c>
      <c r="I29" s="220">
        <f t="shared" si="5"/>
        <v>810.88</v>
      </c>
      <c r="J29" s="222"/>
      <c r="K29" s="140"/>
      <c r="L29" s="258">
        <f>SUM(L12:L28)</f>
        <v>810.87999999999988</v>
      </c>
      <c r="M29" s="140"/>
    </row>
    <row r="30" spans="1:13" s="8" customFormat="1" x14ac:dyDescent="0.35">
      <c r="A30" s="174"/>
      <c r="B30" s="38"/>
      <c r="C30" s="216"/>
      <c r="D30" s="216"/>
      <c r="E30" s="216"/>
      <c r="F30" s="216"/>
      <c r="G30" s="217"/>
      <c r="H30" s="217"/>
      <c r="I30" s="217"/>
      <c r="J30" s="217"/>
      <c r="K30" s="38"/>
      <c r="L30" s="38"/>
      <c r="M30" s="38"/>
    </row>
    <row r="31" spans="1:13" s="8" customFormat="1" x14ac:dyDescent="0.35">
      <c r="A31" s="174" t="s">
        <v>639</v>
      </c>
      <c r="B31" s="39"/>
      <c r="C31" s="38"/>
      <c r="D31" s="38"/>
      <c r="E31" s="38"/>
      <c r="F31" s="38"/>
      <c r="G31" s="140"/>
      <c r="H31" s="140"/>
      <c r="I31" s="140"/>
      <c r="J31" s="140"/>
      <c r="K31" s="38"/>
      <c r="L31" s="38"/>
      <c r="M31" s="38"/>
    </row>
    <row r="32" spans="1:13" s="8" customFormat="1" x14ac:dyDescent="0.35">
      <c r="A32" s="174" t="s">
        <v>642</v>
      </c>
      <c r="B32" s="39"/>
      <c r="C32" s="38"/>
      <c r="D32" s="38"/>
      <c r="E32" s="38"/>
      <c r="F32" s="38"/>
      <c r="G32" s="140"/>
      <c r="H32" s="140"/>
      <c r="I32" s="140"/>
      <c r="J32" s="28">
        <f>+E28*F11</f>
        <v>962.92000000000007</v>
      </c>
      <c r="K32" s="38"/>
      <c r="L32" s="38"/>
      <c r="M32" s="38"/>
    </row>
    <row r="33" spans="1:13" s="8" customFormat="1" x14ac:dyDescent="0.35">
      <c r="A33" s="174" t="s">
        <v>640</v>
      </c>
      <c r="B33" s="39"/>
      <c r="C33" s="38"/>
      <c r="D33" s="38"/>
      <c r="E33" s="38"/>
      <c r="F33" s="38"/>
      <c r="G33" s="140"/>
      <c r="H33" s="140"/>
      <c r="I33" s="140"/>
      <c r="J33" s="175">
        <f>+J28</f>
        <v>962.91999999999973</v>
      </c>
      <c r="K33" s="38"/>
      <c r="L33" s="38"/>
      <c r="M33" s="38"/>
    </row>
    <row r="34" spans="1:13" s="8" customFormat="1" ht="15" thickBot="1" x14ac:dyDescent="0.4">
      <c r="A34" s="174"/>
      <c r="B34" s="39" t="s">
        <v>641</v>
      </c>
      <c r="C34" s="38"/>
      <c r="D34" s="38"/>
      <c r="E34" s="38"/>
      <c r="F34" s="38"/>
      <c r="G34" s="140"/>
      <c r="H34" s="140"/>
      <c r="I34" s="140"/>
      <c r="J34" s="202">
        <f>+J32-J33</f>
        <v>0</v>
      </c>
      <c r="K34" s="38"/>
      <c r="L34" s="38"/>
      <c r="M34" s="38"/>
    </row>
    <row r="35" spans="1:13" s="8" customFormat="1" ht="15" thickTop="1" x14ac:dyDescent="0.35">
      <c r="A35" s="174"/>
      <c r="B35" s="38"/>
      <c r="C35" s="216"/>
      <c r="D35" s="216"/>
      <c r="E35" s="216"/>
      <c r="F35" s="216"/>
      <c r="G35" s="217"/>
      <c r="H35" s="217"/>
      <c r="I35" s="217"/>
      <c r="J35" s="217"/>
      <c r="K35" s="38"/>
      <c r="L35" s="38"/>
      <c r="M35" s="38"/>
    </row>
    <row r="36" spans="1:13" s="8" customFormat="1" x14ac:dyDescent="0.35">
      <c r="A36" s="174"/>
      <c r="B36" s="38"/>
      <c r="C36" s="216"/>
      <c r="D36" s="216"/>
      <c r="E36" s="216"/>
      <c r="F36" s="216"/>
      <c r="G36" s="217"/>
      <c r="H36" s="217"/>
      <c r="I36" s="217"/>
      <c r="J36" s="217"/>
    </row>
    <row r="37" spans="1:13" s="8" customFormat="1" x14ac:dyDescent="0.35">
      <c r="A37" s="174"/>
      <c r="B37" s="38"/>
      <c r="C37" s="216"/>
      <c r="D37" s="216"/>
      <c r="E37" s="216"/>
      <c r="F37" s="216"/>
      <c r="G37" s="217"/>
      <c r="H37" s="217"/>
      <c r="I37" s="217"/>
      <c r="J37" s="217"/>
    </row>
    <row r="38" spans="1:13" s="8" customFormat="1" x14ac:dyDescent="0.35">
      <c r="A38" s="174"/>
      <c r="B38" s="38"/>
      <c r="C38" s="216"/>
      <c r="D38" s="216"/>
      <c r="E38" s="216"/>
      <c r="F38" s="216"/>
      <c r="G38" s="217"/>
      <c r="H38" s="217"/>
      <c r="I38" s="217"/>
      <c r="J38" s="217"/>
    </row>
    <row r="39" spans="1:13" s="8" customFormat="1" x14ac:dyDescent="0.35">
      <c r="A39" s="174"/>
      <c r="B39" s="38"/>
      <c r="C39" s="216"/>
      <c r="D39" s="216"/>
      <c r="E39" s="216"/>
      <c r="F39" s="216"/>
      <c r="G39" s="217"/>
      <c r="H39" s="217"/>
      <c r="I39" s="217"/>
      <c r="J39" s="217"/>
    </row>
    <row r="40" spans="1:13" s="8" customFormat="1" x14ac:dyDescent="0.35">
      <c r="A40" s="174"/>
      <c r="B40" s="38"/>
      <c r="C40" s="216"/>
      <c r="D40" s="216"/>
      <c r="E40" s="216"/>
      <c r="F40" s="216"/>
      <c r="G40" s="217"/>
      <c r="H40" s="217"/>
      <c r="I40" s="217"/>
      <c r="J40" s="217"/>
    </row>
  </sheetData>
  <mergeCells count="5">
    <mergeCell ref="A5:I5"/>
    <mergeCell ref="A6:J6"/>
    <mergeCell ref="C9:E9"/>
    <mergeCell ref="F9:G9"/>
    <mergeCell ref="H9:J9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BA2F-194C-4F3B-A155-3AEE6AFA3EC8}">
  <dimension ref="A1:M117"/>
  <sheetViews>
    <sheetView tabSelected="1" zoomScale="115" zoomScaleNormal="115" workbookViewId="0">
      <selection activeCell="F15" sqref="F15"/>
    </sheetView>
  </sheetViews>
  <sheetFormatPr baseColWidth="10" defaultRowHeight="14.5" x14ac:dyDescent="0.35"/>
  <sheetData>
    <row r="1" spans="1:13" x14ac:dyDescent="0.35">
      <c r="A1" s="314" t="s">
        <v>649</v>
      </c>
      <c r="B1" s="315"/>
      <c r="C1" s="35"/>
      <c r="D1" s="35"/>
      <c r="E1" s="35"/>
      <c r="F1" s="35"/>
      <c r="G1" s="35"/>
      <c r="H1" s="35"/>
      <c r="I1" s="35"/>
      <c r="J1" s="145"/>
      <c r="K1" s="140"/>
      <c r="L1" s="140"/>
      <c r="M1" s="140"/>
    </row>
    <row r="2" spans="1:13" x14ac:dyDescent="0.35">
      <c r="A2" s="316" t="s">
        <v>650</v>
      </c>
      <c r="B2" s="317"/>
      <c r="C2" s="140"/>
      <c r="D2" s="140"/>
      <c r="E2" s="140"/>
      <c r="F2" s="140"/>
      <c r="G2" s="140"/>
      <c r="H2" s="311" t="s">
        <v>1</v>
      </c>
      <c r="I2" s="140"/>
      <c r="J2" s="146"/>
      <c r="K2" s="140"/>
      <c r="L2" s="140"/>
      <c r="M2" s="140"/>
    </row>
    <row r="3" spans="1:13" x14ac:dyDescent="0.35">
      <c r="A3" s="318" t="s">
        <v>4</v>
      </c>
      <c r="B3" s="319"/>
      <c r="C3" s="140"/>
      <c r="D3" s="140"/>
      <c r="E3" s="140"/>
      <c r="F3" s="140"/>
      <c r="G3" s="140"/>
      <c r="H3" s="311" t="s">
        <v>651</v>
      </c>
      <c r="I3" s="140"/>
      <c r="J3" s="146"/>
      <c r="K3" s="140"/>
      <c r="L3" s="140"/>
      <c r="M3" s="140"/>
    </row>
    <row r="4" spans="1:13" x14ac:dyDescent="0.35">
      <c r="A4" s="15"/>
      <c r="B4" s="140"/>
      <c r="C4" s="140"/>
      <c r="D4" s="319" t="s">
        <v>6</v>
      </c>
      <c r="E4" s="319"/>
      <c r="F4" s="319"/>
      <c r="G4" s="319"/>
      <c r="H4" s="140" t="s">
        <v>28</v>
      </c>
      <c r="I4" s="140"/>
      <c r="J4" s="146"/>
      <c r="K4" s="140"/>
      <c r="L4" s="140"/>
      <c r="M4" s="140"/>
    </row>
    <row r="5" spans="1:13" x14ac:dyDescent="0.35">
      <c r="A5" s="320" t="s">
        <v>65</v>
      </c>
      <c r="B5" s="321"/>
      <c r="C5" s="321"/>
      <c r="D5" s="321"/>
      <c r="E5" s="321"/>
      <c r="F5" s="321"/>
      <c r="G5" s="321"/>
      <c r="H5" s="321"/>
      <c r="I5" s="321"/>
      <c r="J5" s="146"/>
      <c r="K5" s="140"/>
      <c r="L5" s="140"/>
      <c r="M5" s="140"/>
    </row>
    <row r="6" spans="1:13" x14ac:dyDescent="0.35">
      <c r="A6" s="290" t="s">
        <v>7</v>
      </c>
      <c r="B6" s="302"/>
      <c r="C6" s="302"/>
      <c r="D6" s="302"/>
      <c r="E6" s="302"/>
      <c r="F6" s="302"/>
      <c r="G6" s="302"/>
      <c r="H6" s="302"/>
      <c r="I6" s="302"/>
      <c r="J6" s="292"/>
      <c r="K6" s="140"/>
      <c r="L6" s="140"/>
      <c r="M6" s="140"/>
    </row>
    <row r="7" spans="1:13" x14ac:dyDescent="0.35">
      <c r="A7" s="15"/>
      <c r="B7" s="140"/>
      <c r="C7" s="140"/>
      <c r="D7" s="140"/>
      <c r="E7" s="140"/>
      <c r="F7" s="140"/>
      <c r="G7" s="140"/>
      <c r="H7" s="140"/>
      <c r="I7" s="140"/>
      <c r="J7" s="146"/>
      <c r="K7" s="140"/>
      <c r="L7" s="140"/>
      <c r="M7" s="140"/>
    </row>
    <row r="8" spans="1:13" x14ac:dyDescent="0.35">
      <c r="A8" s="15"/>
      <c r="B8" s="140"/>
      <c r="C8" s="140"/>
      <c r="D8" s="140"/>
      <c r="E8" s="140"/>
      <c r="F8" s="140"/>
      <c r="G8" s="140"/>
      <c r="H8" s="140"/>
      <c r="I8" s="140"/>
      <c r="J8" s="146"/>
      <c r="K8" s="140"/>
      <c r="L8" s="140"/>
      <c r="M8" s="140"/>
    </row>
    <row r="9" spans="1:13" x14ac:dyDescent="0.35">
      <c r="A9" s="253" t="s">
        <v>8</v>
      </c>
      <c r="B9" s="254" t="s">
        <v>9</v>
      </c>
      <c r="C9" s="283" t="s">
        <v>10</v>
      </c>
      <c r="D9" s="284"/>
      <c r="E9" s="285"/>
      <c r="F9" s="286" t="s">
        <v>11</v>
      </c>
      <c r="G9" s="287"/>
      <c r="H9" s="283" t="s">
        <v>12</v>
      </c>
      <c r="I9" s="284"/>
      <c r="J9" s="288"/>
      <c r="K9" s="140"/>
      <c r="L9" s="140"/>
      <c r="M9" s="140"/>
    </row>
    <row r="10" spans="1:13" x14ac:dyDescent="0.35">
      <c r="A10" s="151"/>
      <c r="B10" s="152"/>
      <c r="C10" s="303" t="s">
        <v>26</v>
      </c>
      <c r="D10" s="304" t="s">
        <v>15</v>
      </c>
      <c r="E10" s="305" t="s">
        <v>21</v>
      </c>
      <c r="F10" s="304" t="s">
        <v>17</v>
      </c>
      <c r="G10" s="304" t="s">
        <v>18</v>
      </c>
      <c r="H10" s="303" t="s">
        <v>19</v>
      </c>
      <c r="I10" s="304" t="s">
        <v>20</v>
      </c>
      <c r="J10" s="306" t="s">
        <v>21</v>
      </c>
      <c r="K10" s="140"/>
      <c r="L10" s="140"/>
      <c r="M10" s="140"/>
    </row>
    <row r="11" spans="1:13" x14ac:dyDescent="0.35">
      <c r="A11" s="78">
        <v>42371</v>
      </c>
      <c r="B11" s="307" t="s">
        <v>652</v>
      </c>
      <c r="C11" s="79">
        <v>79</v>
      </c>
      <c r="D11" s="79"/>
      <c r="E11" s="79">
        <v>79</v>
      </c>
      <c r="F11" s="52">
        <f>+H11/C11</f>
        <v>13.163417721518988</v>
      </c>
      <c r="G11" s="52"/>
      <c r="H11" s="52">
        <v>1039.9100000000001</v>
      </c>
      <c r="I11" s="52"/>
      <c r="J11" s="80">
        <f>+[2]CLAVOS!$J$45</f>
        <v>1039.9147826086955</v>
      </c>
      <c r="K11" s="142"/>
      <c r="L11" s="140"/>
      <c r="M11" s="140"/>
    </row>
    <row r="12" spans="1:13" x14ac:dyDescent="0.35">
      <c r="A12" s="78">
        <v>42371</v>
      </c>
      <c r="B12" s="79" t="s">
        <v>653</v>
      </c>
      <c r="C12" s="79"/>
      <c r="D12" s="79">
        <v>4</v>
      </c>
      <c r="E12" s="79">
        <f>+E11-D12</f>
        <v>75</v>
      </c>
      <c r="F12" s="52"/>
      <c r="G12" s="52">
        <f>+J11/E11</f>
        <v>13.163478260869564</v>
      </c>
      <c r="H12" s="52"/>
      <c r="I12" s="52">
        <f>+D12*G12</f>
        <v>52.653913043478255</v>
      </c>
      <c r="J12" s="80">
        <f>+J11-I12</f>
        <v>987.26086956521726</v>
      </c>
      <c r="K12" s="142"/>
      <c r="L12" s="140"/>
      <c r="M12" s="140"/>
    </row>
    <row r="13" spans="1:13" x14ac:dyDescent="0.35">
      <c r="A13" s="78">
        <v>42373</v>
      </c>
      <c r="B13" s="79" t="s">
        <v>654</v>
      </c>
      <c r="C13" s="79"/>
      <c r="D13" s="79">
        <v>2</v>
      </c>
      <c r="E13" s="79">
        <f t="shared" ref="E13:E57" si="0">+E12-D13</f>
        <v>73</v>
      </c>
      <c r="F13" s="52"/>
      <c r="G13" s="52">
        <f t="shared" ref="G13:G57" si="1">+J12/E12</f>
        <v>13.163478260869564</v>
      </c>
      <c r="H13" s="52"/>
      <c r="I13" s="52">
        <f t="shared" ref="I13:I76" si="2">+D13*G13</f>
        <v>26.326956521739127</v>
      </c>
      <c r="J13" s="80">
        <f t="shared" ref="J13:J57" si="3">+J12-I13</f>
        <v>960.93391304347813</v>
      </c>
      <c r="K13" s="142"/>
      <c r="L13" s="140"/>
      <c r="M13" s="140"/>
    </row>
    <row r="14" spans="1:13" x14ac:dyDescent="0.35">
      <c r="A14" s="78">
        <v>42373</v>
      </c>
      <c r="B14" s="79" t="s">
        <v>655</v>
      </c>
      <c r="C14" s="79"/>
      <c r="D14" s="79">
        <v>1</v>
      </c>
      <c r="E14" s="79">
        <f t="shared" si="0"/>
        <v>72</v>
      </c>
      <c r="F14" s="52"/>
      <c r="G14" s="52">
        <f t="shared" si="1"/>
        <v>13.163478260869564</v>
      </c>
      <c r="H14" s="52"/>
      <c r="I14" s="52">
        <f t="shared" si="2"/>
        <v>13.163478260869564</v>
      </c>
      <c r="J14" s="80">
        <f t="shared" si="3"/>
        <v>947.77043478260862</v>
      </c>
      <c r="K14" s="142"/>
      <c r="L14" s="140"/>
      <c r="M14" s="140"/>
    </row>
    <row r="15" spans="1:13" x14ac:dyDescent="0.35">
      <c r="A15" s="78">
        <v>42373</v>
      </c>
      <c r="B15" s="79" t="s">
        <v>656</v>
      </c>
      <c r="C15" s="79"/>
      <c r="D15" s="79">
        <v>2</v>
      </c>
      <c r="E15" s="79">
        <f t="shared" si="0"/>
        <v>70</v>
      </c>
      <c r="F15" s="52"/>
      <c r="G15" s="52">
        <f t="shared" si="1"/>
        <v>13.163478260869564</v>
      </c>
      <c r="H15" s="52"/>
      <c r="I15" s="52">
        <f t="shared" si="2"/>
        <v>26.326956521739127</v>
      </c>
      <c r="J15" s="80">
        <f t="shared" si="3"/>
        <v>921.44347826086948</v>
      </c>
      <c r="K15" s="142"/>
      <c r="L15" s="140"/>
      <c r="M15" s="140"/>
    </row>
    <row r="16" spans="1:13" x14ac:dyDescent="0.35">
      <c r="A16" s="78">
        <v>42375</v>
      </c>
      <c r="B16" s="79" t="s">
        <v>657</v>
      </c>
      <c r="C16" s="79"/>
      <c r="D16" s="79">
        <v>2</v>
      </c>
      <c r="E16" s="79">
        <f t="shared" si="0"/>
        <v>68</v>
      </c>
      <c r="F16" s="52"/>
      <c r="G16" s="52">
        <f t="shared" si="1"/>
        <v>13.163478260869564</v>
      </c>
      <c r="H16" s="52"/>
      <c r="I16" s="52">
        <f t="shared" si="2"/>
        <v>26.326956521739127</v>
      </c>
      <c r="J16" s="80">
        <f t="shared" si="3"/>
        <v>895.11652173913035</v>
      </c>
      <c r="K16" s="142"/>
      <c r="L16" s="140"/>
      <c r="M16" s="140"/>
    </row>
    <row r="17" spans="1:13" x14ac:dyDescent="0.35">
      <c r="A17" s="78">
        <v>42375</v>
      </c>
      <c r="B17" s="79" t="s">
        <v>658</v>
      </c>
      <c r="C17" s="79"/>
      <c r="D17" s="79">
        <v>1</v>
      </c>
      <c r="E17" s="79">
        <f t="shared" si="0"/>
        <v>67</v>
      </c>
      <c r="F17" s="52"/>
      <c r="G17" s="52">
        <f t="shared" si="1"/>
        <v>13.163478260869564</v>
      </c>
      <c r="H17" s="52"/>
      <c r="I17" s="52">
        <f t="shared" si="2"/>
        <v>13.163478260869564</v>
      </c>
      <c r="J17" s="80">
        <f t="shared" si="3"/>
        <v>881.95304347826084</v>
      </c>
      <c r="K17" s="142"/>
      <c r="L17" s="140"/>
      <c r="M17" s="140"/>
    </row>
    <row r="18" spans="1:13" x14ac:dyDescent="0.35">
      <c r="A18" s="78">
        <v>42375</v>
      </c>
      <c r="B18" s="79" t="s">
        <v>659</v>
      </c>
      <c r="C18" s="79"/>
      <c r="D18" s="79">
        <v>1</v>
      </c>
      <c r="E18" s="79">
        <f t="shared" si="0"/>
        <v>66</v>
      </c>
      <c r="F18" s="52"/>
      <c r="G18" s="52">
        <f t="shared" si="1"/>
        <v>13.163478260869566</v>
      </c>
      <c r="H18" s="52"/>
      <c r="I18" s="52">
        <f t="shared" si="2"/>
        <v>13.163478260869566</v>
      </c>
      <c r="J18" s="80">
        <f t="shared" si="3"/>
        <v>868.78956521739133</v>
      </c>
      <c r="K18" s="142"/>
      <c r="L18" s="140"/>
      <c r="M18" s="140"/>
    </row>
    <row r="19" spans="1:13" x14ac:dyDescent="0.35">
      <c r="A19" s="78">
        <v>42377</v>
      </c>
      <c r="B19" s="79" t="s">
        <v>660</v>
      </c>
      <c r="C19" s="79"/>
      <c r="D19" s="79">
        <v>1</v>
      </c>
      <c r="E19" s="79">
        <f t="shared" si="0"/>
        <v>65</v>
      </c>
      <c r="F19" s="52"/>
      <c r="G19" s="52">
        <f t="shared" si="1"/>
        <v>13.163478260869566</v>
      </c>
      <c r="H19" s="52"/>
      <c r="I19" s="52">
        <f t="shared" si="2"/>
        <v>13.163478260869566</v>
      </c>
      <c r="J19" s="80">
        <f t="shared" si="3"/>
        <v>855.62608695652182</v>
      </c>
      <c r="K19" s="142"/>
      <c r="L19" s="140"/>
      <c r="M19" s="140"/>
    </row>
    <row r="20" spans="1:13" x14ac:dyDescent="0.35">
      <c r="A20" s="78">
        <v>42377</v>
      </c>
      <c r="B20" s="79" t="s">
        <v>661</v>
      </c>
      <c r="C20" s="79"/>
      <c r="D20" s="79">
        <v>1</v>
      </c>
      <c r="E20" s="79">
        <f t="shared" si="0"/>
        <v>64</v>
      </c>
      <c r="F20" s="52"/>
      <c r="G20" s="52">
        <f t="shared" si="1"/>
        <v>13.163478260869567</v>
      </c>
      <c r="H20" s="52"/>
      <c r="I20" s="52">
        <f t="shared" si="2"/>
        <v>13.163478260869567</v>
      </c>
      <c r="J20" s="80">
        <f t="shared" si="3"/>
        <v>842.46260869565231</v>
      </c>
      <c r="K20" s="142"/>
      <c r="L20" s="140"/>
      <c r="M20" s="140"/>
    </row>
    <row r="21" spans="1:13" x14ac:dyDescent="0.35">
      <c r="A21" s="78">
        <v>42377</v>
      </c>
      <c r="B21" s="79" t="s">
        <v>662</v>
      </c>
      <c r="C21" s="79"/>
      <c r="D21" s="79">
        <v>2</v>
      </c>
      <c r="E21" s="79">
        <f t="shared" si="0"/>
        <v>62</v>
      </c>
      <c r="F21" s="52"/>
      <c r="G21" s="52">
        <f t="shared" si="1"/>
        <v>13.163478260869567</v>
      </c>
      <c r="H21" s="52"/>
      <c r="I21" s="52">
        <f t="shared" si="2"/>
        <v>26.326956521739135</v>
      </c>
      <c r="J21" s="80">
        <f t="shared" si="3"/>
        <v>816.13565217391317</v>
      </c>
      <c r="K21" s="142"/>
      <c r="L21" s="140"/>
      <c r="M21" s="140"/>
    </row>
    <row r="22" spans="1:13" x14ac:dyDescent="0.35">
      <c r="A22" s="78">
        <v>42377</v>
      </c>
      <c r="B22" s="79" t="s">
        <v>663</v>
      </c>
      <c r="C22" s="79"/>
      <c r="D22" s="79">
        <v>10</v>
      </c>
      <c r="E22" s="79">
        <f t="shared" si="0"/>
        <v>52</v>
      </c>
      <c r="F22" s="52"/>
      <c r="G22" s="52">
        <f t="shared" si="1"/>
        <v>13.163478260869567</v>
      </c>
      <c r="H22" s="52"/>
      <c r="I22" s="52">
        <f t="shared" si="2"/>
        <v>131.63478260869567</v>
      </c>
      <c r="J22" s="80">
        <f t="shared" si="3"/>
        <v>684.5008695652175</v>
      </c>
      <c r="K22" s="142"/>
      <c r="L22" s="140"/>
      <c r="M22" s="140"/>
    </row>
    <row r="23" spans="1:13" x14ac:dyDescent="0.35">
      <c r="A23" s="78">
        <v>42381</v>
      </c>
      <c r="B23" s="79" t="s">
        <v>664</v>
      </c>
      <c r="C23" s="79"/>
      <c r="D23" s="79">
        <v>3</v>
      </c>
      <c r="E23" s="79">
        <f t="shared" si="0"/>
        <v>49</v>
      </c>
      <c r="F23" s="52"/>
      <c r="G23" s="52">
        <f t="shared" si="1"/>
        <v>13.163478260869567</v>
      </c>
      <c r="H23" s="52"/>
      <c r="I23" s="52">
        <f t="shared" si="2"/>
        <v>39.490434782608702</v>
      </c>
      <c r="J23" s="80">
        <f t="shared" si="3"/>
        <v>645.01043478260885</v>
      </c>
      <c r="K23" s="142"/>
      <c r="L23" s="140"/>
      <c r="M23" s="140"/>
    </row>
    <row r="24" spans="1:13" x14ac:dyDescent="0.35">
      <c r="A24" s="78">
        <v>42017</v>
      </c>
      <c r="B24" s="79" t="s">
        <v>665</v>
      </c>
      <c r="C24" s="79"/>
      <c r="D24" s="79">
        <v>6</v>
      </c>
      <c r="E24" s="79">
        <f t="shared" si="0"/>
        <v>43</v>
      </c>
      <c r="F24" s="52"/>
      <c r="G24" s="52">
        <f t="shared" si="1"/>
        <v>13.163478260869569</v>
      </c>
      <c r="H24" s="52"/>
      <c r="I24" s="52">
        <f t="shared" si="2"/>
        <v>78.980869565217418</v>
      </c>
      <c r="J24" s="80">
        <f t="shared" si="3"/>
        <v>566.02956521739145</v>
      </c>
      <c r="K24" s="142"/>
      <c r="L24" s="140"/>
      <c r="M24" s="140"/>
    </row>
    <row r="25" spans="1:13" x14ac:dyDescent="0.35">
      <c r="A25" s="78">
        <v>42382</v>
      </c>
      <c r="B25" s="79" t="s">
        <v>666</v>
      </c>
      <c r="C25" s="79"/>
      <c r="D25" s="79">
        <v>5</v>
      </c>
      <c r="E25" s="79">
        <f t="shared" si="0"/>
        <v>38</v>
      </c>
      <c r="F25" s="52"/>
      <c r="G25" s="52">
        <f t="shared" si="1"/>
        <v>13.163478260869569</v>
      </c>
      <c r="H25" s="52"/>
      <c r="I25" s="52">
        <f t="shared" si="2"/>
        <v>65.817391304347851</v>
      </c>
      <c r="J25" s="80">
        <f t="shared" si="3"/>
        <v>500.21217391304361</v>
      </c>
      <c r="K25" s="142"/>
      <c r="L25" s="140"/>
      <c r="M25" s="140"/>
    </row>
    <row r="26" spans="1:13" x14ac:dyDescent="0.35">
      <c r="A26" s="78">
        <v>42383</v>
      </c>
      <c r="B26" s="79" t="s">
        <v>108</v>
      </c>
      <c r="C26" s="79"/>
      <c r="D26" s="79">
        <v>3</v>
      </c>
      <c r="E26" s="79">
        <f t="shared" si="0"/>
        <v>35</v>
      </c>
      <c r="F26" s="52"/>
      <c r="G26" s="52">
        <f t="shared" si="1"/>
        <v>13.163478260869569</v>
      </c>
      <c r="H26" s="52"/>
      <c r="I26" s="52">
        <f t="shared" si="2"/>
        <v>39.490434782608709</v>
      </c>
      <c r="J26" s="80">
        <f t="shared" si="3"/>
        <v>460.72173913043491</v>
      </c>
      <c r="K26" s="142"/>
      <c r="L26" s="140"/>
      <c r="M26" s="140"/>
    </row>
    <row r="27" spans="1:13" x14ac:dyDescent="0.35">
      <c r="A27" s="78">
        <v>42383</v>
      </c>
      <c r="B27" s="79" t="s">
        <v>667</v>
      </c>
      <c r="C27" s="79"/>
      <c r="D27" s="79">
        <v>2</v>
      </c>
      <c r="E27" s="79">
        <f t="shared" si="0"/>
        <v>33</v>
      </c>
      <c r="F27" s="52"/>
      <c r="G27" s="52">
        <f t="shared" si="1"/>
        <v>13.163478260869569</v>
      </c>
      <c r="H27" s="52"/>
      <c r="I27" s="52">
        <f t="shared" si="2"/>
        <v>26.326956521739138</v>
      </c>
      <c r="J27" s="80">
        <f t="shared" si="3"/>
        <v>434.39478260869578</v>
      </c>
      <c r="K27" s="142"/>
      <c r="L27" s="140"/>
      <c r="M27" s="140"/>
    </row>
    <row r="28" spans="1:13" x14ac:dyDescent="0.35">
      <c r="A28" s="124">
        <v>42383</v>
      </c>
      <c r="B28" s="125" t="s">
        <v>668</v>
      </c>
      <c r="C28" s="125"/>
      <c r="D28" s="125">
        <v>2</v>
      </c>
      <c r="E28" s="125">
        <f t="shared" si="0"/>
        <v>31</v>
      </c>
      <c r="F28" s="126"/>
      <c r="G28" s="126">
        <f t="shared" si="1"/>
        <v>13.163478260869569</v>
      </c>
      <c r="H28" s="126"/>
      <c r="I28" s="126">
        <f t="shared" si="2"/>
        <v>26.326956521739138</v>
      </c>
      <c r="J28" s="127">
        <f t="shared" si="3"/>
        <v>408.06782608695664</v>
      </c>
      <c r="K28" s="142">
        <f>SUM(I12:I28)</f>
        <v>631.84695652173923</v>
      </c>
      <c r="L28" s="160"/>
      <c r="M28" s="143">
        <v>42384</v>
      </c>
    </row>
    <row r="29" spans="1:13" x14ac:dyDescent="0.35">
      <c r="A29" s="78">
        <v>42385</v>
      </c>
      <c r="B29" s="79" t="s">
        <v>669</v>
      </c>
      <c r="C29" s="79"/>
      <c r="D29" s="79">
        <v>2</v>
      </c>
      <c r="E29" s="79">
        <f t="shared" si="0"/>
        <v>29</v>
      </c>
      <c r="F29" s="52"/>
      <c r="G29" s="52">
        <f t="shared" si="1"/>
        <v>13.163478260869569</v>
      </c>
      <c r="H29" s="52"/>
      <c r="I29" s="52">
        <f t="shared" si="2"/>
        <v>26.326956521739138</v>
      </c>
      <c r="J29" s="80">
        <f t="shared" si="3"/>
        <v>381.74086956521751</v>
      </c>
      <c r="K29" s="142"/>
      <c r="L29" s="140"/>
      <c r="M29" s="140"/>
    </row>
    <row r="30" spans="1:13" x14ac:dyDescent="0.35">
      <c r="A30" s="78">
        <v>42387</v>
      </c>
      <c r="B30" s="79" t="s">
        <v>670</v>
      </c>
      <c r="C30" s="79"/>
      <c r="D30" s="79">
        <v>2</v>
      </c>
      <c r="E30" s="79">
        <f t="shared" si="0"/>
        <v>27</v>
      </c>
      <c r="F30" s="52"/>
      <c r="G30" s="52">
        <f t="shared" si="1"/>
        <v>13.163478260869569</v>
      </c>
      <c r="H30" s="52"/>
      <c r="I30" s="52">
        <f t="shared" si="2"/>
        <v>26.326956521739138</v>
      </c>
      <c r="J30" s="80">
        <f t="shared" si="3"/>
        <v>355.41391304347837</v>
      </c>
      <c r="K30" s="142"/>
      <c r="L30" s="140"/>
      <c r="M30" s="140"/>
    </row>
    <row r="31" spans="1:13" x14ac:dyDescent="0.35">
      <c r="A31" s="78">
        <v>42388</v>
      </c>
      <c r="B31" s="79" t="s">
        <v>671</v>
      </c>
      <c r="C31" s="79"/>
      <c r="D31" s="79">
        <v>4</v>
      </c>
      <c r="E31" s="79">
        <f t="shared" si="0"/>
        <v>23</v>
      </c>
      <c r="F31" s="52"/>
      <c r="G31" s="52">
        <f t="shared" si="1"/>
        <v>13.163478260869569</v>
      </c>
      <c r="H31" s="52"/>
      <c r="I31" s="52">
        <f t="shared" si="2"/>
        <v>52.653913043478276</v>
      </c>
      <c r="J31" s="80">
        <f t="shared" si="3"/>
        <v>302.7600000000001</v>
      </c>
      <c r="K31" s="142"/>
      <c r="L31" s="140"/>
      <c r="M31" s="140"/>
    </row>
    <row r="32" spans="1:13" x14ac:dyDescent="0.35">
      <c r="A32" s="78">
        <v>42390</v>
      </c>
      <c r="B32" s="79" t="s">
        <v>672</v>
      </c>
      <c r="C32" s="79"/>
      <c r="D32" s="79">
        <v>1</v>
      </c>
      <c r="E32" s="79">
        <f t="shared" si="0"/>
        <v>22</v>
      </c>
      <c r="F32" s="52"/>
      <c r="G32" s="52">
        <f t="shared" si="1"/>
        <v>13.163478260869569</v>
      </c>
      <c r="H32" s="52"/>
      <c r="I32" s="52">
        <f t="shared" si="2"/>
        <v>13.163478260869569</v>
      </c>
      <c r="J32" s="80">
        <f t="shared" si="3"/>
        <v>289.59652173913054</v>
      </c>
      <c r="K32" s="142"/>
      <c r="L32" s="140"/>
      <c r="M32" s="140"/>
    </row>
    <row r="33" spans="1:13" x14ac:dyDescent="0.35">
      <c r="A33" s="78">
        <v>42390</v>
      </c>
      <c r="B33" s="79" t="s">
        <v>673</v>
      </c>
      <c r="C33" s="79"/>
      <c r="D33" s="79">
        <v>2</v>
      </c>
      <c r="E33" s="79">
        <f t="shared" si="0"/>
        <v>20</v>
      </c>
      <c r="F33" s="52"/>
      <c r="G33" s="52">
        <f t="shared" si="1"/>
        <v>13.163478260869569</v>
      </c>
      <c r="H33" s="52"/>
      <c r="I33" s="52">
        <f t="shared" si="2"/>
        <v>26.326956521739138</v>
      </c>
      <c r="J33" s="80">
        <f t="shared" si="3"/>
        <v>263.2695652173914</v>
      </c>
      <c r="K33" s="142"/>
      <c r="L33" s="140"/>
      <c r="M33" s="140"/>
    </row>
    <row r="34" spans="1:13" x14ac:dyDescent="0.35">
      <c r="A34" s="78">
        <v>42390</v>
      </c>
      <c r="B34" s="79" t="s">
        <v>674</v>
      </c>
      <c r="C34" s="79"/>
      <c r="D34" s="79">
        <v>6</v>
      </c>
      <c r="E34" s="79">
        <f t="shared" si="0"/>
        <v>14</v>
      </c>
      <c r="F34" s="52"/>
      <c r="G34" s="52">
        <f t="shared" si="1"/>
        <v>13.163478260869571</v>
      </c>
      <c r="H34" s="52"/>
      <c r="I34" s="52">
        <f t="shared" si="2"/>
        <v>78.980869565217432</v>
      </c>
      <c r="J34" s="80">
        <f t="shared" si="3"/>
        <v>184.28869565217397</v>
      </c>
      <c r="K34" s="142"/>
      <c r="L34" s="140"/>
      <c r="M34" s="140"/>
    </row>
    <row r="35" spans="1:13" x14ac:dyDescent="0.35">
      <c r="A35" s="78">
        <v>42396</v>
      </c>
      <c r="B35" s="79" t="s">
        <v>675</v>
      </c>
      <c r="C35" s="79">
        <v>92</v>
      </c>
      <c r="D35" s="79"/>
      <c r="E35" s="79">
        <f>+E34+C35</f>
        <v>106</v>
      </c>
      <c r="F35" s="52">
        <f>+H35/C35</f>
        <v>13.163478260869566</v>
      </c>
      <c r="G35" s="52"/>
      <c r="H35" s="52">
        <f>1392*0.87</f>
        <v>1211.04</v>
      </c>
      <c r="I35" s="52"/>
      <c r="J35" s="80">
        <f>+J34+H35</f>
        <v>1395.328695652174</v>
      </c>
      <c r="K35" s="142"/>
      <c r="L35" s="140"/>
      <c r="M35" s="140"/>
    </row>
    <row r="36" spans="1:13" x14ac:dyDescent="0.35">
      <c r="A36" s="78">
        <v>42398</v>
      </c>
      <c r="B36" s="79" t="s">
        <v>676</v>
      </c>
      <c r="C36" s="79"/>
      <c r="D36" s="79">
        <v>2</v>
      </c>
      <c r="E36" s="79">
        <f>+E35-D36</f>
        <v>104</v>
      </c>
      <c r="F36" s="52"/>
      <c r="G36" s="52">
        <f>+J35/E35</f>
        <v>13.163478260869566</v>
      </c>
      <c r="H36" s="52"/>
      <c r="I36" s="52">
        <f t="shared" si="2"/>
        <v>26.326956521739131</v>
      </c>
      <c r="J36" s="80">
        <f>+J35-I36</f>
        <v>1369.001739130435</v>
      </c>
      <c r="K36" s="142"/>
      <c r="L36" s="140"/>
      <c r="M36" s="140"/>
    </row>
    <row r="37" spans="1:13" x14ac:dyDescent="0.35">
      <c r="A37" s="124">
        <v>42398</v>
      </c>
      <c r="B37" s="125" t="s">
        <v>677</v>
      </c>
      <c r="C37" s="125"/>
      <c r="D37" s="125">
        <v>1</v>
      </c>
      <c r="E37" s="125">
        <f t="shared" si="0"/>
        <v>103</v>
      </c>
      <c r="F37" s="126"/>
      <c r="G37" s="126">
        <f t="shared" si="1"/>
        <v>13.163478260869567</v>
      </c>
      <c r="H37" s="126"/>
      <c r="I37" s="126">
        <f t="shared" si="2"/>
        <v>13.163478260869567</v>
      </c>
      <c r="J37" s="127">
        <f t="shared" si="3"/>
        <v>1355.8382608695654</v>
      </c>
      <c r="K37" s="142">
        <f>SUM(I29:I37)</f>
        <v>263.2695652173914</v>
      </c>
      <c r="L37" s="142">
        <f>SUM(K28:K37)</f>
        <v>895.11652173913058</v>
      </c>
      <c r="M37" s="143">
        <v>42400</v>
      </c>
    </row>
    <row r="38" spans="1:13" x14ac:dyDescent="0.35">
      <c r="A38" s="78">
        <v>42402</v>
      </c>
      <c r="B38" s="79" t="s">
        <v>678</v>
      </c>
      <c r="C38" s="79"/>
      <c r="D38" s="79">
        <v>10</v>
      </c>
      <c r="E38" s="79">
        <f t="shared" si="0"/>
        <v>93</v>
      </c>
      <c r="F38" s="52"/>
      <c r="G38" s="52">
        <f t="shared" si="1"/>
        <v>13.163478260869567</v>
      </c>
      <c r="H38" s="52"/>
      <c r="I38" s="52">
        <f t="shared" si="2"/>
        <v>131.63478260869567</v>
      </c>
      <c r="J38" s="80">
        <f t="shared" si="3"/>
        <v>1224.2034782608698</v>
      </c>
      <c r="K38" s="142"/>
      <c r="L38" s="140"/>
      <c r="M38" s="140"/>
    </row>
    <row r="39" spans="1:13" x14ac:dyDescent="0.35">
      <c r="A39" s="78">
        <v>42406</v>
      </c>
      <c r="B39" s="79" t="s">
        <v>679</v>
      </c>
      <c r="C39" s="79"/>
      <c r="D39" s="79">
        <v>1</v>
      </c>
      <c r="E39" s="79">
        <f t="shared" si="0"/>
        <v>92</v>
      </c>
      <c r="F39" s="52"/>
      <c r="G39" s="52">
        <f t="shared" si="1"/>
        <v>13.163478260869567</v>
      </c>
      <c r="H39" s="52"/>
      <c r="I39" s="52">
        <f t="shared" si="2"/>
        <v>13.163478260869567</v>
      </c>
      <c r="J39" s="80">
        <f t="shared" si="3"/>
        <v>1211.0400000000002</v>
      </c>
      <c r="K39" s="142"/>
      <c r="L39" s="140"/>
      <c r="M39" s="140"/>
    </row>
    <row r="40" spans="1:13" x14ac:dyDescent="0.35">
      <c r="A40" s="78">
        <v>42411</v>
      </c>
      <c r="B40" s="79" t="s">
        <v>680</v>
      </c>
      <c r="C40" s="79"/>
      <c r="D40" s="79">
        <v>2</v>
      </c>
      <c r="E40" s="79">
        <f t="shared" si="0"/>
        <v>90</v>
      </c>
      <c r="F40" s="52"/>
      <c r="G40" s="52">
        <f t="shared" si="1"/>
        <v>13.163478260869567</v>
      </c>
      <c r="H40" s="52"/>
      <c r="I40" s="52">
        <f t="shared" si="2"/>
        <v>26.326956521739135</v>
      </c>
      <c r="J40" s="80">
        <f t="shared" si="3"/>
        <v>1184.7130434782612</v>
      </c>
      <c r="K40" s="142"/>
      <c r="L40" s="140"/>
      <c r="M40" s="140"/>
    </row>
    <row r="41" spans="1:13" x14ac:dyDescent="0.35">
      <c r="A41" s="124">
        <v>42415</v>
      </c>
      <c r="B41" s="125" t="s">
        <v>681</v>
      </c>
      <c r="C41" s="125"/>
      <c r="D41" s="125">
        <v>2</v>
      </c>
      <c r="E41" s="125">
        <f t="shared" si="0"/>
        <v>88</v>
      </c>
      <c r="F41" s="126"/>
      <c r="G41" s="126">
        <f t="shared" si="1"/>
        <v>13.163478260869569</v>
      </c>
      <c r="H41" s="126"/>
      <c r="I41" s="126">
        <f t="shared" si="2"/>
        <v>26.326956521739138</v>
      </c>
      <c r="J41" s="127">
        <f t="shared" si="3"/>
        <v>1158.3860869565219</v>
      </c>
      <c r="K41" s="142">
        <f>SUM(I38:I41)</f>
        <v>197.45217391304351</v>
      </c>
      <c r="L41" s="160"/>
      <c r="M41" s="143">
        <v>42415</v>
      </c>
    </row>
    <row r="42" spans="1:13" x14ac:dyDescent="0.35">
      <c r="A42" s="78">
        <v>42387</v>
      </c>
      <c r="B42" s="79" t="s">
        <v>682</v>
      </c>
      <c r="C42" s="79"/>
      <c r="D42" s="79">
        <v>1</v>
      </c>
      <c r="E42" s="79">
        <f t="shared" si="0"/>
        <v>87</v>
      </c>
      <c r="F42" s="52"/>
      <c r="G42" s="52">
        <f t="shared" si="1"/>
        <v>13.163478260869567</v>
      </c>
      <c r="H42" s="52"/>
      <c r="I42" s="52">
        <f t="shared" si="2"/>
        <v>13.163478260869567</v>
      </c>
      <c r="J42" s="80">
        <f t="shared" si="3"/>
        <v>1145.2226086956523</v>
      </c>
      <c r="K42" s="142"/>
      <c r="L42" s="140"/>
      <c r="M42" s="140"/>
    </row>
    <row r="43" spans="1:13" x14ac:dyDescent="0.35">
      <c r="A43" s="78">
        <v>42418</v>
      </c>
      <c r="B43" s="79" t="s">
        <v>683</v>
      </c>
      <c r="C43" s="79"/>
      <c r="D43" s="79">
        <v>2</v>
      </c>
      <c r="E43" s="79">
        <f t="shared" si="0"/>
        <v>85</v>
      </c>
      <c r="F43" s="52"/>
      <c r="G43" s="52">
        <f t="shared" si="1"/>
        <v>13.163478260869567</v>
      </c>
      <c r="H43" s="52"/>
      <c r="I43" s="52">
        <f t="shared" si="2"/>
        <v>26.326956521739135</v>
      </c>
      <c r="J43" s="80">
        <f t="shared" si="3"/>
        <v>1118.8956521739133</v>
      </c>
      <c r="K43" s="142"/>
      <c r="L43" s="140"/>
      <c r="M43" s="140"/>
    </row>
    <row r="44" spans="1:13" x14ac:dyDescent="0.35">
      <c r="A44" s="78">
        <v>42422</v>
      </c>
      <c r="B44" s="79" t="s">
        <v>684</v>
      </c>
      <c r="C44" s="79"/>
      <c r="D44" s="79">
        <v>3</v>
      </c>
      <c r="E44" s="79">
        <f t="shared" si="0"/>
        <v>82</v>
      </c>
      <c r="F44" s="52"/>
      <c r="G44" s="52">
        <f t="shared" si="1"/>
        <v>13.163478260869567</v>
      </c>
      <c r="H44" s="52"/>
      <c r="I44" s="52">
        <f t="shared" si="2"/>
        <v>39.490434782608702</v>
      </c>
      <c r="J44" s="80">
        <f t="shared" si="3"/>
        <v>1079.4052173913046</v>
      </c>
      <c r="K44" s="142"/>
      <c r="L44" s="140"/>
      <c r="M44" s="140"/>
    </row>
    <row r="45" spans="1:13" x14ac:dyDescent="0.35">
      <c r="A45" s="78">
        <v>42422</v>
      </c>
      <c r="B45" s="79" t="s">
        <v>685</v>
      </c>
      <c r="C45" s="79"/>
      <c r="D45" s="79">
        <v>3</v>
      </c>
      <c r="E45" s="79">
        <f t="shared" si="0"/>
        <v>79</v>
      </c>
      <c r="F45" s="52"/>
      <c r="G45" s="52">
        <f t="shared" si="1"/>
        <v>13.163478260869569</v>
      </c>
      <c r="H45" s="52"/>
      <c r="I45" s="52">
        <f t="shared" si="2"/>
        <v>39.490434782608709</v>
      </c>
      <c r="J45" s="80">
        <f t="shared" si="3"/>
        <v>1039.914782608696</v>
      </c>
      <c r="K45" s="142"/>
      <c r="L45" s="140"/>
      <c r="M45" s="140"/>
    </row>
    <row r="46" spans="1:13" x14ac:dyDescent="0.35">
      <c r="A46" s="78">
        <v>42424</v>
      </c>
      <c r="B46" s="79" t="s">
        <v>686</v>
      </c>
      <c r="C46" s="79"/>
      <c r="D46" s="79">
        <v>1</v>
      </c>
      <c r="E46" s="79">
        <f t="shared" si="0"/>
        <v>78</v>
      </c>
      <c r="F46" s="52"/>
      <c r="G46" s="52">
        <f t="shared" si="1"/>
        <v>13.163478260869569</v>
      </c>
      <c r="H46" s="52"/>
      <c r="I46" s="52">
        <f t="shared" si="2"/>
        <v>13.163478260869569</v>
      </c>
      <c r="J46" s="80">
        <f t="shared" si="3"/>
        <v>1026.7513043478264</v>
      </c>
      <c r="K46" s="142"/>
      <c r="L46" s="140"/>
      <c r="M46" s="140"/>
    </row>
    <row r="47" spans="1:13" x14ac:dyDescent="0.35">
      <c r="A47" s="78">
        <v>42429</v>
      </c>
      <c r="B47" s="79" t="s">
        <v>687</v>
      </c>
      <c r="C47" s="79"/>
      <c r="D47" s="79">
        <v>2</v>
      </c>
      <c r="E47" s="79">
        <f t="shared" si="0"/>
        <v>76</v>
      </c>
      <c r="F47" s="52"/>
      <c r="G47" s="52">
        <f t="shared" si="1"/>
        <v>13.163478260869569</v>
      </c>
      <c r="H47" s="52"/>
      <c r="I47" s="52">
        <f t="shared" si="2"/>
        <v>26.326956521739138</v>
      </c>
      <c r="J47" s="80">
        <f t="shared" si="3"/>
        <v>1000.4243478260872</v>
      </c>
      <c r="K47" s="142"/>
      <c r="L47" s="140"/>
      <c r="M47" s="140"/>
    </row>
    <row r="48" spans="1:13" x14ac:dyDescent="0.35">
      <c r="A48" s="124">
        <v>42429</v>
      </c>
      <c r="B48" s="125" t="s">
        <v>688</v>
      </c>
      <c r="C48" s="125"/>
      <c r="D48" s="125">
        <v>3</v>
      </c>
      <c r="E48" s="125">
        <f t="shared" si="0"/>
        <v>73</v>
      </c>
      <c r="F48" s="126"/>
      <c r="G48" s="126">
        <f t="shared" si="1"/>
        <v>13.163478260869569</v>
      </c>
      <c r="H48" s="126"/>
      <c r="I48" s="126">
        <f t="shared" si="2"/>
        <v>39.490434782608709</v>
      </c>
      <c r="J48" s="127">
        <f t="shared" si="3"/>
        <v>960.93391304347847</v>
      </c>
      <c r="K48" s="142">
        <f>SUM(I42:I48)</f>
        <v>197.45217391304351</v>
      </c>
      <c r="L48" s="142">
        <f>SUM(K41:K48)</f>
        <v>394.90434782608702</v>
      </c>
      <c r="M48" s="143">
        <v>42429</v>
      </c>
    </row>
    <row r="49" spans="1:13" x14ac:dyDescent="0.35">
      <c r="A49" s="78">
        <v>42431</v>
      </c>
      <c r="B49" s="79" t="s">
        <v>689</v>
      </c>
      <c r="C49" s="79"/>
      <c r="D49" s="79">
        <v>2</v>
      </c>
      <c r="E49" s="79">
        <f t="shared" si="0"/>
        <v>71</v>
      </c>
      <c r="F49" s="52"/>
      <c r="G49" s="52">
        <f t="shared" si="1"/>
        <v>13.163478260869567</v>
      </c>
      <c r="H49" s="52"/>
      <c r="I49" s="52">
        <f t="shared" si="2"/>
        <v>26.326956521739135</v>
      </c>
      <c r="J49" s="80">
        <f t="shared" si="3"/>
        <v>934.60695652173933</v>
      </c>
      <c r="K49" s="142"/>
      <c r="L49" s="140"/>
      <c r="M49" s="140"/>
    </row>
    <row r="50" spans="1:13" x14ac:dyDescent="0.35">
      <c r="A50" s="78">
        <v>42432</v>
      </c>
      <c r="B50" s="79" t="s">
        <v>690</v>
      </c>
      <c r="C50" s="79"/>
      <c r="D50" s="79">
        <v>3</v>
      </c>
      <c r="E50" s="79">
        <f t="shared" si="0"/>
        <v>68</v>
      </c>
      <c r="F50" s="52"/>
      <c r="G50" s="52">
        <f t="shared" si="1"/>
        <v>13.163478260869567</v>
      </c>
      <c r="H50" s="52"/>
      <c r="I50" s="52">
        <f t="shared" si="2"/>
        <v>39.490434782608702</v>
      </c>
      <c r="J50" s="80">
        <f t="shared" si="3"/>
        <v>895.11652173913058</v>
      </c>
      <c r="K50" s="142"/>
      <c r="L50" s="140"/>
      <c r="M50" s="140"/>
    </row>
    <row r="51" spans="1:13" x14ac:dyDescent="0.35">
      <c r="A51" s="78">
        <v>42437</v>
      </c>
      <c r="B51" s="79" t="s">
        <v>691</v>
      </c>
      <c r="C51" s="79"/>
      <c r="D51" s="79">
        <v>2</v>
      </c>
      <c r="E51" s="79">
        <f t="shared" si="0"/>
        <v>66</v>
      </c>
      <c r="F51" s="52"/>
      <c r="G51" s="52">
        <f t="shared" si="1"/>
        <v>13.163478260869567</v>
      </c>
      <c r="H51" s="52"/>
      <c r="I51" s="52">
        <f t="shared" si="2"/>
        <v>26.326956521739135</v>
      </c>
      <c r="J51" s="80">
        <f t="shared" si="3"/>
        <v>868.78956521739144</v>
      </c>
      <c r="K51" s="142"/>
      <c r="L51" s="140"/>
      <c r="M51" s="140"/>
    </row>
    <row r="52" spans="1:13" x14ac:dyDescent="0.35">
      <c r="A52" s="78">
        <v>42437</v>
      </c>
      <c r="B52" s="79" t="s">
        <v>692</v>
      </c>
      <c r="C52" s="79"/>
      <c r="D52" s="79">
        <v>3</v>
      </c>
      <c r="E52" s="79">
        <f t="shared" si="0"/>
        <v>63</v>
      </c>
      <c r="F52" s="52"/>
      <c r="G52" s="52">
        <f t="shared" si="1"/>
        <v>13.163478260869567</v>
      </c>
      <c r="H52" s="52"/>
      <c r="I52" s="52">
        <f t="shared" si="2"/>
        <v>39.490434782608702</v>
      </c>
      <c r="J52" s="80">
        <f t="shared" si="3"/>
        <v>829.29913043478268</v>
      </c>
      <c r="K52" s="142"/>
      <c r="L52" s="140"/>
      <c r="M52" s="140"/>
    </row>
    <row r="53" spans="1:13" x14ac:dyDescent="0.35">
      <c r="A53" s="78">
        <v>42439</v>
      </c>
      <c r="B53" s="79" t="s">
        <v>693</v>
      </c>
      <c r="C53" s="79"/>
      <c r="D53" s="79">
        <v>3</v>
      </c>
      <c r="E53" s="79">
        <f t="shared" si="0"/>
        <v>60</v>
      </c>
      <c r="F53" s="52"/>
      <c r="G53" s="52">
        <f t="shared" si="1"/>
        <v>13.163478260869566</v>
      </c>
      <c r="H53" s="52"/>
      <c r="I53" s="52">
        <f t="shared" si="2"/>
        <v>39.490434782608695</v>
      </c>
      <c r="J53" s="80">
        <f t="shared" si="3"/>
        <v>789.80869565217404</v>
      </c>
      <c r="K53" s="142"/>
      <c r="L53" s="140"/>
      <c r="M53" s="140"/>
    </row>
    <row r="54" spans="1:13" x14ac:dyDescent="0.35">
      <c r="A54" s="78">
        <v>42440</v>
      </c>
      <c r="B54" s="79" t="s">
        <v>694</v>
      </c>
      <c r="C54" s="79"/>
      <c r="D54" s="79">
        <v>2</v>
      </c>
      <c r="E54" s="79">
        <f t="shared" si="0"/>
        <v>58</v>
      </c>
      <c r="F54" s="52"/>
      <c r="G54" s="52">
        <f t="shared" si="1"/>
        <v>13.163478260869567</v>
      </c>
      <c r="H54" s="52"/>
      <c r="I54" s="52">
        <f t="shared" si="2"/>
        <v>26.326956521739135</v>
      </c>
      <c r="J54" s="80">
        <f t="shared" si="3"/>
        <v>763.4817391304349</v>
      </c>
      <c r="K54" s="142"/>
      <c r="L54" s="140"/>
      <c r="M54" s="140"/>
    </row>
    <row r="55" spans="1:13" x14ac:dyDescent="0.35">
      <c r="A55" s="78">
        <v>42440</v>
      </c>
      <c r="B55" s="79" t="s">
        <v>695</v>
      </c>
      <c r="C55" s="79"/>
      <c r="D55" s="79">
        <v>1</v>
      </c>
      <c r="E55" s="79">
        <f t="shared" si="0"/>
        <v>57</v>
      </c>
      <c r="F55" s="52"/>
      <c r="G55" s="52">
        <f t="shared" si="1"/>
        <v>13.163478260869567</v>
      </c>
      <c r="H55" s="52"/>
      <c r="I55" s="52">
        <f t="shared" si="2"/>
        <v>13.163478260869567</v>
      </c>
      <c r="J55" s="80">
        <f t="shared" si="3"/>
        <v>750.31826086956539</v>
      </c>
      <c r="K55" s="142"/>
      <c r="L55" s="140"/>
      <c r="M55" s="140"/>
    </row>
    <row r="56" spans="1:13" x14ac:dyDescent="0.35">
      <c r="A56" s="124">
        <v>42441</v>
      </c>
      <c r="B56" s="125" t="s">
        <v>696</v>
      </c>
      <c r="C56" s="125"/>
      <c r="D56" s="125">
        <v>4</v>
      </c>
      <c r="E56" s="125">
        <f t="shared" si="0"/>
        <v>53</v>
      </c>
      <c r="F56" s="126"/>
      <c r="G56" s="126">
        <f t="shared" si="1"/>
        <v>13.163478260869569</v>
      </c>
      <c r="H56" s="126"/>
      <c r="I56" s="126">
        <f t="shared" si="2"/>
        <v>52.653913043478276</v>
      </c>
      <c r="J56" s="127">
        <f t="shared" si="3"/>
        <v>697.66434782608712</v>
      </c>
      <c r="K56" s="142">
        <f>SUM(I49:I56)</f>
        <v>263.26956521739135</v>
      </c>
      <c r="L56" s="160"/>
      <c r="M56" s="143">
        <v>42444</v>
      </c>
    </row>
    <row r="57" spans="1:13" x14ac:dyDescent="0.35">
      <c r="A57" s="78">
        <v>42445</v>
      </c>
      <c r="B57" s="79" t="s">
        <v>697</v>
      </c>
      <c r="C57" s="79"/>
      <c r="D57" s="79">
        <v>1</v>
      </c>
      <c r="E57" s="79">
        <f t="shared" si="0"/>
        <v>52</v>
      </c>
      <c r="F57" s="52"/>
      <c r="G57" s="52">
        <f t="shared" si="1"/>
        <v>13.163478260869569</v>
      </c>
      <c r="H57" s="52"/>
      <c r="I57" s="52">
        <f t="shared" si="2"/>
        <v>13.163478260869569</v>
      </c>
      <c r="J57" s="80">
        <f t="shared" si="3"/>
        <v>684.5008695652175</v>
      </c>
      <c r="K57" s="142"/>
      <c r="L57" s="140"/>
      <c r="M57" s="140"/>
    </row>
    <row r="58" spans="1:13" x14ac:dyDescent="0.35">
      <c r="A58" s="78">
        <v>42445</v>
      </c>
      <c r="B58" s="79" t="s">
        <v>698</v>
      </c>
      <c r="C58" s="79">
        <v>92</v>
      </c>
      <c r="D58" s="79"/>
      <c r="E58" s="79">
        <f>+E57+C58</f>
        <v>144</v>
      </c>
      <c r="F58" s="52">
        <f>+H58/C58</f>
        <v>13.163478260869566</v>
      </c>
      <c r="G58" s="52"/>
      <c r="H58" s="52">
        <f>1392*0.87</f>
        <v>1211.04</v>
      </c>
      <c r="I58" s="52"/>
      <c r="J58" s="80">
        <f>+J57+H58</f>
        <v>1895.5408695652175</v>
      </c>
      <c r="K58" s="142"/>
      <c r="L58" s="140"/>
      <c r="M58" s="140"/>
    </row>
    <row r="59" spans="1:13" x14ac:dyDescent="0.35">
      <c r="A59" s="78">
        <v>42453</v>
      </c>
      <c r="B59" s="79" t="s">
        <v>699</v>
      </c>
      <c r="C59" s="79"/>
      <c r="D59" s="79">
        <v>1</v>
      </c>
      <c r="E59" s="79">
        <f>+E58-D59</f>
        <v>143</v>
      </c>
      <c r="F59" s="52"/>
      <c r="G59" s="52">
        <f>+J58/E58</f>
        <v>13.163478260869566</v>
      </c>
      <c r="H59" s="52"/>
      <c r="I59" s="52">
        <f t="shared" si="2"/>
        <v>13.163478260869566</v>
      </c>
      <c r="J59" s="80">
        <f>+J58-I59</f>
        <v>1882.3773913043478</v>
      </c>
      <c r="K59" s="142"/>
      <c r="L59" s="140"/>
      <c r="M59" s="140"/>
    </row>
    <row r="60" spans="1:13" x14ac:dyDescent="0.35">
      <c r="A60" s="78">
        <v>42458</v>
      </c>
      <c r="B60" s="79" t="s">
        <v>700</v>
      </c>
      <c r="C60" s="79"/>
      <c r="D60" s="79">
        <v>3</v>
      </c>
      <c r="E60" s="79">
        <f t="shared" ref="E60:E80" si="4">+E59-D60</f>
        <v>140</v>
      </c>
      <c r="F60" s="52"/>
      <c r="G60" s="52">
        <f t="shared" ref="G60:G80" si="5">+J59/E59</f>
        <v>13.163478260869566</v>
      </c>
      <c r="H60" s="52"/>
      <c r="I60" s="52">
        <f t="shared" si="2"/>
        <v>39.490434782608695</v>
      </c>
      <c r="J60" s="80">
        <f t="shared" ref="J60:J80" si="6">+J59-I60</f>
        <v>1842.8869565217392</v>
      </c>
      <c r="K60" s="142"/>
      <c r="L60" s="140"/>
      <c r="M60" s="140"/>
    </row>
    <row r="61" spans="1:13" x14ac:dyDescent="0.35">
      <c r="A61" s="78">
        <v>42460</v>
      </c>
      <c r="B61" s="79" t="s">
        <v>701</v>
      </c>
      <c r="C61" s="79"/>
      <c r="D61" s="79">
        <v>1</v>
      </c>
      <c r="E61" s="79">
        <f t="shared" si="4"/>
        <v>139</v>
      </c>
      <c r="F61" s="52"/>
      <c r="G61" s="52">
        <f t="shared" si="5"/>
        <v>13.163478260869566</v>
      </c>
      <c r="H61" s="52"/>
      <c r="I61" s="52">
        <f t="shared" si="2"/>
        <v>13.163478260869566</v>
      </c>
      <c r="J61" s="80">
        <f t="shared" si="6"/>
        <v>1829.7234782608696</v>
      </c>
      <c r="K61" s="142"/>
      <c r="L61" s="140"/>
      <c r="M61" s="140"/>
    </row>
    <row r="62" spans="1:13" x14ac:dyDescent="0.35">
      <c r="A62" s="124">
        <v>42460</v>
      </c>
      <c r="B62" s="125" t="s">
        <v>702</v>
      </c>
      <c r="C62" s="125"/>
      <c r="D62" s="125">
        <v>1</v>
      </c>
      <c r="E62" s="125">
        <f t="shared" si="4"/>
        <v>138</v>
      </c>
      <c r="F62" s="126"/>
      <c r="G62" s="126">
        <f t="shared" si="5"/>
        <v>13.163478260869566</v>
      </c>
      <c r="H62" s="126"/>
      <c r="I62" s="126">
        <f t="shared" si="2"/>
        <v>13.163478260869566</v>
      </c>
      <c r="J62" s="127">
        <f t="shared" si="6"/>
        <v>1816.56</v>
      </c>
      <c r="K62" s="142">
        <f>SUM(I57:I62)</f>
        <v>92.144347826086971</v>
      </c>
      <c r="L62" s="142">
        <f>SUM(K56:K62)</f>
        <v>355.41391304347832</v>
      </c>
      <c r="M62" s="143">
        <v>42460</v>
      </c>
    </row>
    <row r="63" spans="1:13" x14ac:dyDescent="0.35">
      <c r="A63" s="124">
        <v>42475</v>
      </c>
      <c r="B63" s="125" t="s">
        <v>703</v>
      </c>
      <c r="C63" s="125"/>
      <c r="D63" s="125">
        <v>1</v>
      </c>
      <c r="E63" s="125">
        <f t="shared" si="4"/>
        <v>137</v>
      </c>
      <c r="F63" s="126"/>
      <c r="G63" s="126">
        <f t="shared" si="5"/>
        <v>13.163478260869566</v>
      </c>
      <c r="H63" s="126"/>
      <c r="I63" s="126">
        <f t="shared" si="2"/>
        <v>13.163478260869566</v>
      </c>
      <c r="J63" s="127">
        <f t="shared" si="6"/>
        <v>1803.3965217391303</v>
      </c>
      <c r="K63" s="142">
        <f>SUM(I63)</f>
        <v>13.163478260869566</v>
      </c>
      <c r="L63" s="160"/>
      <c r="M63" s="143">
        <v>42475</v>
      </c>
    </row>
    <row r="64" spans="1:13" x14ac:dyDescent="0.35">
      <c r="A64" s="78">
        <v>42476</v>
      </c>
      <c r="B64" s="79" t="s">
        <v>704</v>
      </c>
      <c r="C64" s="79"/>
      <c r="D64" s="79">
        <v>1</v>
      </c>
      <c r="E64" s="79">
        <f t="shared" si="4"/>
        <v>136</v>
      </c>
      <c r="F64" s="52"/>
      <c r="G64" s="52">
        <f t="shared" si="5"/>
        <v>13.163478260869564</v>
      </c>
      <c r="H64" s="52"/>
      <c r="I64" s="52">
        <f t="shared" si="2"/>
        <v>13.163478260869564</v>
      </c>
      <c r="J64" s="80">
        <f t="shared" si="6"/>
        <v>1790.2330434782607</v>
      </c>
      <c r="K64" s="142"/>
      <c r="L64" s="140"/>
      <c r="M64" s="140"/>
    </row>
    <row r="65" spans="1:13" x14ac:dyDescent="0.35">
      <c r="A65" s="78">
        <v>42482</v>
      </c>
      <c r="B65" s="79" t="s">
        <v>705</v>
      </c>
      <c r="C65" s="79"/>
      <c r="D65" s="79">
        <v>6</v>
      </c>
      <c r="E65" s="79">
        <f t="shared" si="4"/>
        <v>130</v>
      </c>
      <c r="F65" s="52"/>
      <c r="G65" s="52">
        <f t="shared" si="5"/>
        <v>13.163478260869564</v>
      </c>
      <c r="H65" s="52"/>
      <c r="I65" s="52">
        <f t="shared" si="2"/>
        <v>78.980869565217375</v>
      </c>
      <c r="J65" s="80">
        <f t="shared" si="6"/>
        <v>1711.2521739130434</v>
      </c>
      <c r="K65" s="142"/>
      <c r="L65" s="140"/>
      <c r="M65" s="140"/>
    </row>
    <row r="66" spans="1:13" x14ac:dyDescent="0.35">
      <c r="A66" s="78">
        <v>42485</v>
      </c>
      <c r="B66" s="79" t="s">
        <v>706</v>
      </c>
      <c r="C66" s="79"/>
      <c r="D66" s="79">
        <v>7</v>
      </c>
      <c r="E66" s="79">
        <f t="shared" si="4"/>
        <v>123</v>
      </c>
      <c r="F66" s="52"/>
      <c r="G66" s="52">
        <f t="shared" si="5"/>
        <v>13.163478260869566</v>
      </c>
      <c r="H66" s="52"/>
      <c r="I66" s="52">
        <f t="shared" si="2"/>
        <v>92.144347826086957</v>
      </c>
      <c r="J66" s="80">
        <f t="shared" si="6"/>
        <v>1619.1078260869565</v>
      </c>
      <c r="K66" s="142"/>
      <c r="L66" s="140"/>
      <c r="M66" s="140"/>
    </row>
    <row r="67" spans="1:13" x14ac:dyDescent="0.35">
      <c r="A67" s="78">
        <v>42486</v>
      </c>
      <c r="B67" s="79" t="s">
        <v>707</v>
      </c>
      <c r="C67" s="79"/>
      <c r="D67" s="79">
        <v>6</v>
      </c>
      <c r="E67" s="79">
        <f t="shared" si="4"/>
        <v>117</v>
      </c>
      <c r="F67" s="52"/>
      <c r="G67" s="52">
        <f t="shared" si="5"/>
        <v>13.163478260869566</v>
      </c>
      <c r="H67" s="52"/>
      <c r="I67" s="52">
        <f t="shared" si="2"/>
        <v>78.98086956521739</v>
      </c>
      <c r="J67" s="80">
        <f t="shared" si="6"/>
        <v>1540.1269565217392</v>
      </c>
      <c r="K67" s="142"/>
      <c r="L67" s="140"/>
      <c r="M67" s="140"/>
    </row>
    <row r="68" spans="1:13" x14ac:dyDescent="0.35">
      <c r="A68" s="124">
        <v>42490</v>
      </c>
      <c r="B68" s="125" t="s">
        <v>708</v>
      </c>
      <c r="C68" s="125"/>
      <c r="D68" s="125">
        <v>1</v>
      </c>
      <c r="E68" s="125">
        <f t="shared" si="4"/>
        <v>116</v>
      </c>
      <c r="F68" s="126"/>
      <c r="G68" s="126">
        <f t="shared" si="5"/>
        <v>13.163478260869566</v>
      </c>
      <c r="H68" s="126"/>
      <c r="I68" s="126">
        <f t="shared" si="2"/>
        <v>13.163478260869566</v>
      </c>
      <c r="J68" s="127">
        <f t="shared" si="6"/>
        <v>1526.9634782608696</v>
      </c>
      <c r="K68" s="142">
        <f>SUM(I64:I68)</f>
        <v>276.43304347826086</v>
      </c>
      <c r="L68" s="142">
        <f>SUM(K63:K68)</f>
        <v>289.59652173913042</v>
      </c>
      <c r="M68" s="143">
        <v>42490</v>
      </c>
    </row>
    <row r="69" spans="1:13" x14ac:dyDescent="0.35">
      <c r="A69" s="78">
        <v>42493</v>
      </c>
      <c r="B69" s="79" t="s">
        <v>709</v>
      </c>
      <c r="C69" s="79"/>
      <c r="D69" s="79">
        <v>1</v>
      </c>
      <c r="E69" s="79">
        <f t="shared" si="4"/>
        <v>115</v>
      </c>
      <c r="F69" s="52"/>
      <c r="G69" s="52">
        <f t="shared" si="5"/>
        <v>13.163478260869566</v>
      </c>
      <c r="H69" s="52"/>
      <c r="I69" s="52">
        <f t="shared" si="2"/>
        <v>13.163478260869566</v>
      </c>
      <c r="J69" s="80">
        <f t="shared" si="6"/>
        <v>1513.8</v>
      </c>
      <c r="K69" s="142"/>
      <c r="L69" s="140"/>
      <c r="M69" s="140"/>
    </row>
    <row r="70" spans="1:13" x14ac:dyDescent="0.35">
      <c r="A70" s="78">
        <v>42494</v>
      </c>
      <c r="B70" s="79" t="s">
        <v>710</v>
      </c>
      <c r="C70" s="79"/>
      <c r="D70" s="79">
        <v>5</v>
      </c>
      <c r="E70" s="79">
        <f t="shared" si="4"/>
        <v>110</v>
      </c>
      <c r="F70" s="52"/>
      <c r="G70" s="52">
        <f t="shared" si="5"/>
        <v>13.163478260869566</v>
      </c>
      <c r="H70" s="52"/>
      <c r="I70" s="52">
        <f t="shared" si="2"/>
        <v>65.817391304347822</v>
      </c>
      <c r="J70" s="80">
        <f t="shared" si="6"/>
        <v>1447.9826086956521</v>
      </c>
      <c r="K70" s="142"/>
      <c r="L70" s="140"/>
      <c r="M70" s="140"/>
    </row>
    <row r="71" spans="1:13" x14ac:dyDescent="0.35">
      <c r="A71" s="78">
        <v>42497</v>
      </c>
      <c r="B71" s="79" t="s">
        <v>711</v>
      </c>
      <c r="C71" s="79"/>
      <c r="D71" s="79">
        <v>2</v>
      </c>
      <c r="E71" s="79">
        <f t="shared" si="4"/>
        <v>108</v>
      </c>
      <c r="F71" s="52"/>
      <c r="G71" s="52">
        <f t="shared" si="5"/>
        <v>13.163478260869564</v>
      </c>
      <c r="H71" s="52"/>
      <c r="I71" s="52">
        <f t="shared" si="2"/>
        <v>26.326956521739127</v>
      </c>
      <c r="J71" s="80">
        <f t="shared" si="6"/>
        <v>1421.655652173913</v>
      </c>
      <c r="K71" s="142"/>
      <c r="L71" s="140"/>
      <c r="M71" s="140"/>
    </row>
    <row r="72" spans="1:13" x14ac:dyDescent="0.35">
      <c r="A72" s="78">
        <v>42500</v>
      </c>
      <c r="B72" s="79" t="s">
        <v>712</v>
      </c>
      <c r="C72" s="79"/>
      <c r="D72" s="79">
        <v>2</v>
      </c>
      <c r="E72" s="79">
        <f t="shared" si="4"/>
        <v>106</v>
      </c>
      <c r="F72" s="52"/>
      <c r="G72" s="52">
        <f t="shared" si="5"/>
        <v>13.163478260869566</v>
      </c>
      <c r="H72" s="52"/>
      <c r="I72" s="52">
        <f t="shared" si="2"/>
        <v>26.326956521739131</v>
      </c>
      <c r="J72" s="80">
        <f t="shared" si="6"/>
        <v>1395.328695652174</v>
      </c>
      <c r="K72" s="142"/>
      <c r="L72" s="140"/>
      <c r="M72" s="140"/>
    </row>
    <row r="73" spans="1:13" x14ac:dyDescent="0.35">
      <c r="A73" s="124">
        <v>42503</v>
      </c>
      <c r="B73" s="125" t="s">
        <v>713</v>
      </c>
      <c r="C73" s="125"/>
      <c r="D73" s="125">
        <v>2</v>
      </c>
      <c r="E73" s="125">
        <f t="shared" si="4"/>
        <v>104</v>
      </c>
      <c r="F73" s="126"/>
      <c r="G73" s="126">
        <f t="shared" si="5"/>
        <v>13.163478260869566</v>
      </c>
      <c r="H73" s="126"/>
      <c r="I73" s="126">
        <f t="shared" si="2"/>
        <v>26.326956521739131</v>
      </c>
      <c r="J73" s="127">
        <f t="shared" si="6"/>
        <v>1369.001739130435</v>
      </c>
      <c r="K73" s="142">
        <f>SUM(I69:I73)</f>
        <v>157.96173913043478</v>
      </c>
      <c r="L73" s="160"/>
      <c r="M73" s="143">
        <v>42505</v>
      </c>
    </row>
    <row r="74" spans="1:13" x14ac:dyDescent="0.35">
      <c r="A74" s="78">
        <v>42506</v>
      </c>
      <c r="B74" s="79" t="s">
        <v>714</v>
      </c>
      <c r="C74" s="79"/>
      <c r="D74" s="79">
        <v>3</v>
      </c>
      <c r="E74" s="79">
        <f t="shared" si="4"/>
        <v>101</v>
      </c>
      <c r="F74" s="52"/>
      <c r="G74" s="52">
        <f t="shared" si="5"/>
        <v>13.163478260869567</v>
      </c>
      <c r="H74" s="52"/>
      <c r="I74" s="52">
        <f t="shared" si="2"/>
        <v>39.490434782608702</v>
      </c>
      <c r="J74" s="80">
        <f t="shared" si="6"/>
        <v>1329.5113043478264</v>
      </c>
      <c r="K74" s="142"/>
      <c r="L74" s="140"/>
      <c r="M74" s="140"/>
    </row>
    <row r="75" spans="1:13" x14ac:dyDescent="0.35">
      <c r="A75" s="78">
        <v>42506</v>
      </c>
      <c r="B75" s="79" t="s">
        <v>715</v>
      </c>
      <c r="C75" s="79"/>
      <c r="D75" s="79">
        <v>1</v>
      </c>
      <c r="E75" s="79">
        <f t="shared" si="4"/>
        <v>100</v>
      </c>
      <c r="F75" s="52"/>
      <c r="G75" s="52">
        <f t="shared" si="5"/>
        <v>13.163478260869567</v>
      </c>
      <c r="H75" s="52"/>
      <c r="I75" s="52">
        <f t="shared" si="2"/>
        <v>13.163478260869567</v>
      </c>
      <c r="J75" s="80">
        <f t="shared" si="6"/>
        <v>1316.3478260869567</v>
      </c>
      <c r="K75" s="142"/>
      <c r="L75" s="140"/>
      <c r="M75" s="140"/>
    </row>
    <row r="76" spans="1:13" x14ac:dyDescent="0.35">
      <c r="A76" s="78">
        <v>42506</v>
      </c>
      <c r="B76" s="79" t="s">
        <v>716</v>
      </c>
      <c r="C76" s="79"/>
      <c r="D76" s="79">
        <v>4</v>
      </c>
      <c r="E76" s="79">
        <f t="shared" si="4"/>
        <v>96</v>
      </c>
      <c r="F76" s="52"/>
      <c r="G76" s="52">
        <f t="shared" si="5"/>
        <v>13.163478260869567</v>
      </c>
      <c r="H76" s="52"/>
      <c r="I76" s="52">
        <f t="shared" si="2"/>
        <v>52.653913043478269</v>
      </c>
      <c r="J76" s="80">
        <f t="shared" si="6"/>
        <v>1263.6939130434785</v>
      </c>
      <c r="K76" s="142"/>
      <c r="L76" s="140"/>
      <c r="M76" s="140"/>
    </row>
    <row r="77" spans="1:13" x14ac:dyDescent="0.35">
      <c r="A77" s="78">
        <v>42510</v>
      </c>
      <c r="B77" s="79" t="s">
        <v>717</v>
      </c>
      <c r="C77" s="79"/>
      <c r="D77" s="79">
        <v>4</v>
      </c>
      <c r="E77" s="79">
        <f t="shared" si="4"/>
        <v>92</v>
      </c>
      <c r="F77" s="52"/>
      <c r="G77" s="52">
        <f t="shared" si="5"/>
        <v>13.163478260869567</v>
      </c>
      <c r="H77" s="52"/>
      <c r="I77" s="52">
        <f t="shared" ref="I77:I109" si="7">+D77*G77</f>
        <v>52.653913043478269</v>
      </c>
      <c r="J77" s="80">
        <f t="shared" si="6"/>
        <v>1211.0400000000002</v>
      </c>
      <c r="K77" s="142"/>
      <c r="L77" s="140"/>
      <c r="M77" s="140"/>
    </row>
    <row r="78" spans="1:13" x14ac:dyDescent="0.35">
      <c r="A78" s="78">
        <v>42513</v>
      </c>
      <c r="B78" s="79" t="s">
        <v>718</v>
      </c>
      <c r="C78" s="79"/>
      <c r="D78" s="79">
        <v>1</v>
      </c>
      <c r="E78" s="79">
        <f t="shared" si="4"/>
        <v>91</v>
      </c>
      <c r="F78" s="52"/>
      <c r="G78" s="52">
        <f t="shared" si="5"/>
        <v>13.163478260869567</v>
      </c>
      <c r="H78" s="52"/>
      <c r="I78" s="52">
        <f t="shared" si="7"/>
        <v>13.163478260869567</v>
      </c>
      <c r="J78" s="80">
        <f t="shared" si="6"/>
        <v>1197.8765217391306</v>
      </c>
      <c r="K78" s="142"/>
      <c r="L78" s="140"/>
      <c r="M78" s="140"/>
    </row>
    <row r="79" spans="1:13" x14ac:dyDescent="0.35">
      <c r="A79" s="78">
        <v>42515</v>
      </c>
      <c r="B79" s="79" t="s">
        <v>719</v>
      </c>
      <c r="C79" s="79"/>
      <c r="D79" s="79">
        <v>3</v>
      </c>
      <c r="E79" s="79">
        <f t="shared" si="4"/>
        <v>88</v>
      </c>
      <c r="F79" s="52"/>
      <c r="G79" s="52">
        <f t="shared" si="5"/>
        <v>13.163478260869567</v>
      </c>
      <c r="H79" s="52"/>
      <c r="I79" s="52">
        <f t="shared" si="7"/>
        <v>39.490434782608702</v>
      </c>
      <c r="J79" s="80">
        <f t="shared" si="6"/>
        <v>1158.3860869565219</v>
      </c>
      <c r="K79" s="142"/>
      <c r="L79" s="140"/>
      <c r="M79" s="140"/>
    </row>
    <row r="80" spans="1:13" x14ac:dyDescent="0.35">
      <c r="A80" s="124">
        <v>42518</v>
      </c>
      <c r="B80" s="125" t="s">
        <v>720</v>
      </c>
      <c r="C80" s="125"/>
      <c r="D80" s="125">
        <v>2</v>
      </c>
      <c r="E80" s="125">
        <f t="shared" si="4"/>
        <v>86</v>
      </c>
      <c r="F80" s="126"/>
      <c r="G80" s="126">
        <f t="shared" si="5"/>
        <v>13.163478260869567</v>
      </c>
      <c r="H80" s="126"/>
      <c r="I80" s="126">
        <f t="shared" si="7"/>
        <v>26.326956521739135</v>
      </c>
      <c r="J80" s="127">
        <f t="shared" si="6"/>
        <v>1132.0591304347827</v>
      </c>
      <c r="K80" s="142">
        <f>SUM(I74:I80)</f>
        <v>236.94260869565221</v>
      </c>
      <c r="L80" s="142">
        <f>SUM(K73:K80)</f>
        <v>394.90434782608702</v>
      </c>
      <c r="M80" s="143">
        <v>42521</v>
      </c>
    </row>
    <row r="81" spans="1:13" x14ac:dyDescent="0.35">
      <c r="A81" s="78">
        <v>42522</v>
      </c>
      <c r="B81" s="79" t="s">
        <v>721</v>
      </c>
      <c r="C81" s="79">
        <v>92</v>
      </c>
      <c r="D81" s="79"/>
      <c r="E81" s="79">
        <f>+E80+C81</f>
        <v>178</v>
      </c>
      <c r="F81" s="52">
        <f>+H81/C81</f>
        <v>12.178297826086956</v>
      </c>
      <c r="G81" s="52"/>
      <c r="H81" s="52">
        <f>1287.82*0.87</f>
        <v>1120.4033999999999</v>
      </c>
      <c r="I81" s="52"/>
      <c r="J81" s="80">
        <f>+J80+H81</f>
        <v>2252.4625304347828</v>
      </c>
      <c r="K81" s="142"/>
      <c r="L81" s="140"/>
      <c r="M81" s="140"/>
    </row>
    <row r="82" spans="1:13" x14ac:dyDescent="0.35">
      <c r="A82" s="78">
        <v>42522</v>
      </c>
      <c r="B82" s="79" t="s">
        <v>722</v>
      </c>
      <c r="C82" s="79"/>
      <c r="D82" s="79">
        <v>2</v>
      </c>
      <c r="E82" s="79">
        <f>+E81-D82</f>
        <v>176</v>
      </c>
      <c r="F82" s="52"/>
      <c r="G82" s="52">
        <f>+J81/E81</f>
        <v>12.654283878847094</v>
      </c>
      <c r="H82" s="52"/>
      <c r="I82" s="52">
        <f t="shared" si="7"/>
        <v>25.308567757694188</v>
      </c>
      <c r="J82" s="80">
        <f>+J81-I82</f>
        <v>2227.1539626770887</v>
      </c>
      <c r="K82" s="142"/>
      <c r="L82" s="140"/>
      <c r="M82" s="140"/>
    </row>
    <row r="83" spans="1:13" x14ac:dyDescent="0.35">
      <c r="A83" s="78">
        <v>42523</v>
      </c>
      <c r="B83" s="79" t="s">
        <v>723</v>
      </c>
      <c r="C83" s="79"/>
      <c r="D83" s="79">
        <v>2</v>
      </c>
      <c r="E83" s="79">
        <f t="shared" ref="E83:E92" si="8">+E82-D83</f>
        <v>174</v>
      </c>
      <c r="F83" s="52"/>
      <c r="G83" s="52">
        <f>+J82/E82</f>
        <v>12.654283878847094</v>
      </c>
      <c r="H83" s="52"/>
      <c r="I83" s="52">
        <f t="shared" si="7"/>
        <v>25.308567757694188</v>
      </c>
      <c r="J83" s="80">
        <f t="shared" ref="J83:J92" si="9">+J82-I83</f>
        <v>2201.8453949193945</v>
      </c>
      <c r="K83" s="142"/>
      <c r="L83" s="140"/>
      <c r="M83" s="140"/>
    </row>
    <row r="84" spans="1:13" x14ac:dyDescent="0.35">
      <c r="A84" s="78">
        <v>42525</v>
      </c>
      <c r="B84" s="79" t="s">
        <v>724</v>
      </c>
      <c r="C84" s="79"/>
      <c r="D84" s="79">
        <v>1</v>
      </c>
      <c r="E84" s="79">
        <f t="shared" si="8"/>
        <v>173</v>
      </c>
      <c r="F84" s="52"/>
      <c r="G84" s="52">
        <f t="shared" ref="G84:G92" si="10">+J83/E83</f>
        <v>12.654283878847094</v>
      </c>
      <c r="H84" s="52"/>
      <c r="I84" s="52">
        <f t="shared" si="7"/>
        <v>12.654283878847094</v>
      </c>
      <c r="J84" s="80">
        <f t="shared" si="9"/>
        <v>2189.1911110405472</v>
      </c>
      <c r="K84" s="142"/>
      <c r="L84" s="140"/>
      <c r="M84" s="140"/>
    </row>
    <row r="85" spans="1:13" x14ac:dyDescent="0.35">
      <c r="A85" s="124">
        <v>42529</v>
      </c>
      <c r="B85" s="125" t="s">
        <v>725</v>
      </c>
      <c r="C85" s="125"/>
      <c r="D85" s="125">
        <v>3</v>
      </c>
      <c r="E85" s="79">
        <f t="shared" si="8"/>
        <v>170</v>
      </c>
      <c r="F85" s="126"/>
      <c r="G85" s="52">
        <f t="shared" si="10"/>
        <v>12.654283878847094</v>
      </c>
      <c r="H85" s="126"/>
      <c r="I85" s="126">
        <f t="shared" si="7"/>
        <v>37.962851636541281</v>
      </c>
      <c r="J85" s="80">
        <f t="shared" si="9"/>
        <v>2151.2282594040057</v>
      </c>
      <c r="K85" s="142">
        <f>SUM(I82:I85)</f>
        <v>101.23427103077675</v>
      </c>
      <c r="L85" s="160"/>
      <c r="M85" s="143">
        <v>42536</v>
      </c>
    </row>
    <row r="86" spans="1:13" x14ac:dyDescent="0.35">
      <c r="A86" s="124">
        <v>42549</v>
      </c>
      <c r="B86" s="125" t="s">
        <v>726</v>
      </c>
      <c r="C86" s="125"/>
      <c r="D86" s="125">
        <v>2</v>
      </c>
      <c r="E86" s="79">
        <f t="shared" si="8"/>
        <v>168</v>
      </c>
      <c r="F86" s="126"/>
      <c r="G86" s="52">
        <f t="shared" si="10"/>
        <v>12.654283878847092</v>
      </c>
      <c r="H86" s="126"/>
      <c r="I86" s="126">
        <f t="shared" si="7"/>
        <v>25.308567757694185</v>
      </c>
      <c r="J86" s="80">
        <f t="shared" si="9"/>
        <v>2125.9196916463115</v>
      </c>
      <c r="K86" s="142">
        <f>SUM(I86)</f>
        <v>25.308567757694185</v>
      </c>
      <c r="L86" s="142">
        <f>SUM(K85:K86)</f>
        <v>126.54283878847093</v>
      </c>
      <c r="M86" s="143">
        <v>42551</v>
      </c>
    </row>
    <row r="87" spans="1:13" x14ac:dyDescent="0.35">
      <c r="A87" s="78">
        <v>42555</v>
      </c>
      <c r="B87" s="79" t="s">
        <v>727</v>
      </c>
      <c r="C87" s="79"/>
      <c r="D87" s="79">
        <v>1</v>
      </c>
      <c r="E87" s="79">
        <f t="shared" si="8"/>
        <v>167</v>
      </c>
      <c r="F87" s="52"/>
      <c r="G87" s="52">
        <f t="shared" si="10"/>
        <v>12.654283878847092</v>
      </c>
      <c r="H87" s="52"/>
      <c r="I87" s="52">
        <f t="shared" si="7"/>
        <v>12.654283878847092</v>
      </c>
      <c r="J87" s="80">
        <f t="shared" si="9"/>
        <v>2113.2654077674642</v>
      </c>
      <c r="K87" s="142"/>
      <c r="L87" s="144"/>
      <c r="M87" s="140"/>
    </row>
    <row r="88" spans="1:13" x14ac:dyDescent="0.35">
      <c r="A88" s="78">
        <v>42557</v>
      </c>
      <c r="B88" s="79" t="s">
        <v>728</v>
      </c>
      <c r="C88" s="79"/>
      <c r="D88" s="79">
        <v>2</v>
      </c>
      <c r="E88" s="79">
        <f t="shared" si="8"/>
        <v>165</v>
      </c>
      <c r="F88" s="52"/>
      <c r="G88" s="52">
        <f t="shared" si="10"/>
        <v>12.654283878847091</v>
      </c>
      <c r="H88" s="52"/>
      <c r="I88" s="52">
        <f t="shared" si="7"/>
        <v>25.308567757694181</v>
      </c>
      <c r="J88" s="80">
        <f t="shared" si="9"/>
        <v>2087.9568400097701</v>
      </c>
      <c r="K88" s="142"/>
      <c r="L88" s="144"/>
      <c r="M88" s="140"/>
    </row>
    <row r="89" spans="1:13" x14ac:dyDescent="0.35">
      <c r="A89" s="124">
        <v>42564</v>
      </c>
      <c r="B89" s="125" t="s">
        <v>729</v>
      </c>
      <c r="C89" s="125"/>
      <c r="D89" s="125">
        <v>1</v>
      </c>
      <c r="E89" s="125">
        <f t="shared" si="8"/>
        <v>164</v>
      </c>
      <c r="F89" s="126"/>
      <c r="G89" s="126">
        <f t="shared" si="10"/>
        <v>12.654283878847091</v>
      </c>
      <c r="H89" s="126"/>
      <c r="I89" s="126">
        <f t="shared" si="7"/>
        <v>12.654283878847091</v>
      </c>
      <c r="J89" s="127">
        <f t="shared" si="9"/>
        <v>2075.3025561309228</v>
      </c>
      <c r="K89" s="142">
        <f>SUM(I87:I89)</f>
        <v>50.617135515388362</v>
      </c>
      <c r="L89" s="142">
        <f>SUM(K89)</f>
        <v>50.617135515388362</v>
      </c>
      <c r="M89" s="143">
        <v>42566</v>
      </c>
    </row>
    <row r="90" spans="1:13" x14ac:dyDescent="0.35">
      <c r="A90" s="78">
        <v>42583</v>
      </c>
      <c r="B90" s="79" t="s">
        <v>730</v>
      </c>
      <c r="C90" s="79"/>
      <c r="D90" s="79">
        <v>1</v>
      </c>
      <c r="E90" s="79">
        <f t="shared" si="8"/>
        <v>163</v>
      </c>
      <c r="F90" s="52"/>
      <c r="G90" s="52">
        <f t="shared" si="10"/>
        <v>12.654283878847091</v>
      </c>
      <c r="H90" s="52"/>
      <c r="I90" s="52">
        <f t="shared" si="7"/>
        <v>12.654283878847091</v>
      </c>
      <c r="J90" s="80">
        <f t="shared" si="9"/>
        <v>2062.6482722520755</v>
      </c>
      <c r="K90" s="142"/>
      <c r="L90" s="140"/>
      <c r="M90" s="140"/>
    </row>
    <row r="91" spans="1:13" x14ac:dyDescent="0.35">
      <c r="A91" s="78">
        <v>42585</v>
      </c>
      <c r="B91" s="79" t="s">
        <v>731</v>
      </c>
      <c r="C91" s="79"/>
      <c r="D91" s="79">
        <v>1</v>
      </c>
      <c r="E91" s="79">
        <f t="shared" si="8"/>
        <v>162</v>
      </c>
      <c r="F91" s="52"/>
      <c r="G91" s="52">
        <f t="shared" si="10"/>
        <v>12.654283878847089</v>
      </c>
      <c r="H91" s="52"/>
      <c r="I91" s="52">
        <f t="shared" si="7"/>
        <v>12.654283878847089</v>
      </c>
      <c r="J91" s="80">
        <f t="shared" si="9"/>
        <v>2049.9939883732281</v>
      </c>
      <c r="K91" s="142"/>
      <c r="L91" s="140"/>
      <c r="M91" s="140"/>
    </row>
    <row r="92" spans="1:13" x14ac:dyDescent="0.35">
      <c r="A92" s="124">
        <v>42597</v>
      </c>
      <c r="B92" s="125" t="s">
        <v>732</v>
      </c>
      <c r="C92" s="125"/>
      <c r="D92" s="125">
        <v>5</v>
      </c>
      <c r="E92" s="125">
        <f t="shared" si="8"/>
        <v>157</v>
      </c>
      <c r="F92" s="126"/>
      <c r="G92" s="126">
        <f t="shared" si="10"/>
        <v>12.654283878847087</v>
      </c>
      <c r="H92" s="126"/>
      <c r="I92" s="126">
        <f t="shared" si="7"/>
        <v>63.271419394235437</v>
      </c>
      <c r="J92" s="127">
        <f t="shared" si="9"/>
        <v>1986.7225689789927</v>
      </c>
      <c r="K92" s="142">
        <f>SUM(I90:I92)</f>
        <v>88.579987151929615</v>
      </c>
      <c r="L92" s="142"/>
      <c r="M92" s="143">
        <v>42597</v>
      </c>
    </row>
    <row r="93" spans="1:13" x14ac:dyDescent="0.35">
      <c r="A93" s="78">
        <v>42601</v>
      </c>
      <c r="B93" s="79" t="s">
        <v>733</v>
      </c>
      <c r="C93" s="79">
        <v>92</v>
      </c>
      <c r="D93" s="79"/>
      <c r="E93" s="79">
        <f>+E92+C93</f>
        <v>249</v>
      </c>
      <c r="F93" s="52">
        <f>+H93/C93</f>
        <v>12.149928260869565</v>
      </c>
      <c r="G93" s="52"/>
      <c r="H93" s="52">
        <f>1284.82*0.87</f>
        <v>1117.7934</v>
      </c>
      <c r="I93" s="52"/>
      <c r="J93" s="80">
        <f>+J92+H93</f>
        <v>3104.5159689789925</v>
      </c>
      <c r="K93" s="142"/>
      <c r="L93" s="140"/>
      <c r="M93" s="140"/>
    </row>
    <row r="94" spans="1:13" x14ac:dyDescent="0.35">
      <c r="A94" s="124">
        <v>42605</v>
      </c>
      <c r="B94" s="125" t="s">
        <v>734</v>
      </c>
      <c r="C94" s="125"/>
      <c r="D94" s="125">
        <v>1</v>
      </c>
      <c r="E94" s="125">
        <f t="shared" ref="E94:E106" si="11">+E93-D94</f>
        <v>248</v>
      </c>
      <c r="F94" s="126"/>
      <c r="G94" s="126">
        <f t="shared" ref="G94:G106" si="12">+J93/E93</f>
        <v>12.467935618389529</v>
      </c>
      <c r="H94" s="126"/>
      <c r="I94" s="126">
        <f t="shared" si="7"/>
        <v>12.467935618389529</v>
      </c>
      <c r="J94" s="127">
        <f>+J93-I94</f>
        <v>3092.0480333606029</v>
      </c>
      <c r="K94" s="142">
        <f>SUM(I94)</f>
        <v>12.467935618389529</v>
      </c>
      <c r="L94" s="142">
        <f>SUM(K92:K94)</f>
        <v>101.04792277031915</v>
      </c>
      <c r="M94" s="143">
        <v>42613</v>
      </c>
    </row>
    <row r="95" spans="1:13" x14ac:dyDescent="0.35">
      <c r="A95" s="78">
        <v>42614</v>
      </c>
      <c r="B95" s="79" t="s">
        <v>735</v>
      </c>
      <c r="C95" s="79"/>
      <c r="D95" s="79">
        <v>4</v>
      </c>
      <c r="E95" s="79">
        <f t="shared" si="11"/>
        <v>244</v>
      </c>
      <c r="F95" s="52"/>
      <c r="G95" s="52">
        <f t="shared" si="12"/>
        <v>12.467935618389527</v>
      </c>
      <c r="H95" s="52"/>
      <c r="I95" s="52">
        <f t="shared" si="7"/>
        <v>49.871742473558108</v>
      </c>
      <c r="J95" s="80">
        <f t="shared" ref="J95:J106" si="13">+J94-I95</f>
        <v>3042.1762908870446</v>
      </c>
      <c r="K95" s="142"/>
      <c r="L95" s="140"/>
      <c r="M95" s="140"/>
    </row>
    <row r="96" spans="1:13" x14ac:dyDescent="0.35">
      <c r="A96" s="78">
        <v>42615</v>
      </c>
      <c r="B96" s="79" t="s">
        <v>736</v>
      </c>
      <c r="C96" s="79"/>
      <c r="D96" s="79">
        <v>2</v>
      </c>
      <c r="E96" s="79">
        <f t="shared" si="11"/>
        <v>242</v>
      </c>
      <c r="F96" s="52"/>
      <c r="G96" s="52">
        <f t="shared" si="12"/>
        <v>12.467935618389527</v>
      </c>
      <c r="H96" s="52"/>
      <c r="I96" s="52">
        <f t="shared" si="7"/>
        <v>24.935871236779054</v>
      </c>
      <c r="J96" s="80">
        <f t="shared" si="13"/>
        <v>3017.2404196502657</v>
      </c>
      <c r="K96" s="142"/>
      <c r="L96" s="140"/>
      <c r="M96" s="140"/>
    </row>
    <row r="97" spans="1:13" x14ac:dyDescent="0.35">
      <c r="A97" s="78">
        <v>42618</v>
      </c>
      <c r="B97" s="79" t="s">
        <v>737</v>
      </c>
      <c r="C97" s="79"/>
      <c r="D97" s="79">
        <v>1</v>
      </c>
      <c r="E97" s="79">
        <f t="shared" si="11"/>
        <v>241</v>
      </c>
      <c r="F97" s="52"/>
      <c r="G97" s="52">
        <f t="shared" si="12"/>
        <v>12.467935618389527</v>
      </c>
      <c r="H97" s="52"/>
      <c r="I97" s="52">
        <f t="shared" si="7"/>
        <v>12.467935618389527</v>
      </c>
      <c r="J97" s="80">
        <f t="shared" si="13"/>
        <v>3004.772484031876</v>
      </c>
      <c r="K97" s="142"/>
      <c r="L97" s="140"/>
      <c r="M97" s="140"/>
    </row>
    <row r="98" spans="1:13" x14ac:dyDescent="0.35">
      <c r="A98" s="78">
        <v>42620</v>
      </c>
      <c r="B98" s="79" t="s">
        <v>738</v>
      </c>
      <c r="C98" s="79"/>
      <c r="D98" s="79">
        <v>2</v>
      </c>
      <c r="E98" s="79">
        <f t="shared" si="11"/>
        <v>239</v>
      </c>
      <c r="F98" s="52"/>
      <c r="G98" s="52">
        <f t="shared" si="12"/>
        <v>12.467935618389527</v>
      </c>
      <c r="H98" s="52"/>
      <c r="I98" s="52">
        <f t="shared" si="7"/>
        <v>24.935871236779054</v>
      </c>
      <c r="J98" s="80">
        <f t="shared" si="13"/>
        <v>2979.8366127950972</v>
      </c>
      <c r="K98" s="142"/>
      <c r="L98" s="140"/>
      <c r="M98" s="140"/>
    </row>
    <row r="99" spans="1:13" x14ac:dyDescent="0.35">
      <c r="A99" s="78">
        <v>42622</v>
      </c>
      <c r="B99" s="79" t="s">
        <v>739</v>
      </c>
      <c r="C99" s="79"/>
      <c r="D99" s="79">
        <v>1</v>
      </c>
      <c r="E99" s="79">
        <f t="shared" si="11"/>
        <v>238</v>
      </c>
      <c r="F99" s="52"/>
      <c r="G99" s="52">
        <f t="shared" si="12"/>
        <v>12.467935618389529</v>
      </c>
      <c r="H99" s="52"/>
      <c r="I99" s="52">
        <f t="shared" si="7"/>
        <v>12.467935618389529</v>
      </c>
      <c r="J99" s="80">
        <f t="shared" si="13"/>
        <v>2967.3686771767075</v>
      </c>
      <c r="K99" s="142"/>
      <c r="L99" s="140"/>
      <c r="M99" s="140"/>
    </row>
    <row r="100" spans="1:13" x14ac:dyDescent="0.35">
      <c r="A100" s="78">
        <v>42623</v>
      </c>
      <c r="B100" s="79" t="s">
        <v>740</v>
      </c>
      <c r="C100" s="79"/>
      <c r="D100" s="79">
        <v>1</v>
      </c>
      <c r="E100" s="79">
        <f t="shared" si="11"/>
        <v>237</v>
      </c>
      <c r="F100" s="52"/>
      <c r="G100" s="52">
        <f t="shared" si="12"/>
        <v>12.467935618389527</v>
      </c>
      <c r="H100" s="52"/>
      <c r="I100" s="52">
        <f t="shared" si="7"/>
        <v>12.467935618389527</v>
      </c>
      <c r="J100" s="80">
        <f t="shared" si="13"/>
        <v>2954.9007415583178</v>
      </c>
      <c r="K100" s="142"/>
      <c r="L100" s="140"/>
      <c r="M100" s="140"/>
    </row>
    <row r="101" spans="1:13" x14ac:dyDescent="0.35">
      <c r="A101" s="78">
        <v>42625</v>
      </c>
      <c r="B101" s="79" t="s">
        <v>741</v>
      </c>
      <c r="C101" s="79"/>
      <c r="D101" s="79">
        <v>2</v>
      </c>
      <c r="E101" s="79">
        <f t="shared" si="11"/>
        <v>235</v>
      </c>
      <c r="F101" s="52"/>
      <c r="G101" s="52">
        <f t="shared" si="12"/>
        <v>12.467935618389527</v>
      </c>
      <c r="H101" s="52"/>
      <c r="I101" s="52">
        <f t="shared" si="7"/>
        <v>24.935871236779054</v>
      </c>
      <c r="J101" s="80">
        <f t="shared" si="13"/>
        <v>2929.9648703215389</v>
      </c>
      <c r="K101" s="142"/>
      <c r="L101" s="140"/>
      <c r="M101" s="140"/>
    </row>
    <row r="102" spans="1:13" x14ac:dyDescent="0.35">
      <c r="A102" s="124">
        <v>42625</v>
      </c>
      <c r="B102" s="125" t="s">
        <v>742</v>
      </c>
      <c r="C102" s="125"/>
      <c r="D102" s="125">
        <v>1</v>
      </c>
      <c r="E102" s="125">
        <f t="shared" si="11"/>
        <v>234</v>
      </c>
      <c r="F102" s="126"/>
      <c r="G102" s="126">
        <f t="shared" si="12"/>
        <v>12.467935618389527</v>
      </c>
      <c r="H102" s="126"/>
      <c r="I102" s="126">
        <f t="shared" si="7"/>
        <v>12.467935618389527</v>
      </c>
      <c r="J102" s="127">
        <f t="shared" si="13"/>
        <v>2917.4969347031492</v>
      </c>
      <c r="K102" s="142">
        <f>SUM(I95:I102)</f>
        <v>174.55109865745339</v>
      </c>
      <c r="L102" s="160"/>
      <c r="M102" s="143">
        <v>42628</v>
      </c>
    </row>
    <row r="103" spans="1:13" x14ac:dyDescent="0.35">
      <c r="A103" s="78">
        <v>42634</v>
      </c>
      <c r="B103" s="79" t="s">
        <v>743</v>
      </c>
      <c r="C103" s="79"/>
      <c r="D103" s="79">
        <v>2</v>
      </c>
      <c r="E103" s="79">
        <f t="shared" si="11"/>
        <v>232</v>
      </c>
      <c r="F103" s="52"/>
      <c r="G103" s="52">
        <f t="shared" si="12"/>
        <v>12.467935618389527</v>
      </c>
      <c r="H103" s="52"/>
      <c r="I103" s="52">
        <f t="shared" si="7"/>
        <v>24.935871236779054</v>
      </c>
      <c r="J103" s="80">
        <f t="shared" si="13"/>
        <v>2892.5610634663703</v>
      </c>
      <c r="K103" s="142"/>
      <c r="L103" s="140"/>
      <c r="M103" s="140"/>
    </row>
    <row r="104" spans="1:13" x14ac:dyDescent="0.35">
      <c r="A104" s="78">
        <v>42635</v>
      </c>
      <c r="B104" s="79" t="s">
        <v>744</v>
      </c>
      <c r="C104" s="79"/>
      <c r="D104" s="79">
        <v>1</v>
      </c>
      <c r="E104" s="79">
        <f t="shared" si="11"/>
        <v>231</v>
      </c>
      <c r="F104" s="52"/>
      <c r="G104" s="52">
        <f t="shared" si="12"/>
        <v>12.467935618389527</v>
      </c>
      <c r="H104" s="52"/>
      <c r="I104" s="52">
        <f t="shared" si="7"/>
        <v>12.467935618389527</v>
      </c>
      <c r="J104" s="80">
        <f t="shared" si="13"/>
        <v>2880.0931278479807</v>
      </c>
      <c r="K104" s="142"/>
      <c r="L104" s="140"/>
      <c r="M104" s="140"/>
    </row>
    <row r="105" spans="1:13" x14ac:dyDescent="0.35">
      <c r="A105" s="78">
        <v>42635</v>
      </c>
      <c r="B105" s="79" t="s">
        <v>745</v>
      </c>
      <c r="C105" s="79"/>
      <c r="D105" s="79">
        <v>5</v>
      </c>
      <c r="E105" s="79">
        <f t="shared" si="11"/>
        <v>226</v>
      </c>
      <c r="F105" s="52"/>
      <c r="G105" s="52">
        <f t="shared" si="12"/>
        <v>12.467935618389527</v>
      </c>
      <c r="H105" s="52"/>
      <c r="I105" s="52">
        <f t="shared" si="7"/>
        <v>62.339678091947633</v>
      </c>
      <c r="J105" s="80">
        <f t="shared" si="13"/>
        <v>2817.7534497560332</v>
      </c>
      <c r="K105" s="142"/>
      <c r="L105" s="140"/>
      <c r="M105" s="140"/>
    </row>
    <row r="106" spans="1:13" x14ac:dyDescent="0.35">
      <c r="A106" s="124">
        <v>42639</v>
      </c>
      <c r="B106" s="125" t="s">
        <v>746</v>
      </c>
      <c r="C106" s="125"/>
      <c r="D106" s="125">
        <v>9</v>
      </c>
      <c r="E106" s="125">
        <f t="shared" si="11"/>
        <v>217</v>
      </c>
      <c r="F106" s="126"/>
      <c r="G106" s="126">
        <f t="shared" si="12"/>
        <v>12.467935618389527</v>
      </c>
      <c r="H106" s="126"/>
      <c r="I106" s="126">
        <f t="shared" si="7"/>
        <v>112.21142056550575</v>
      </c>
      <c r="J106" s="127">
        <f t="shared" si="13"/>
        <v>2705.5420291905275</v>
      </c>
      <c r="K106" s="142">
        <f>SUM(I103:I106)</f>
        <v>211.95490551262196</v>
      </c>
      <c r="L106" s="142">
        <f>SUM(K102:K106)</f>
        <v>386.50600417007536</v>
      </c>
      <c r="M106" s="143">
        <v>42643</v>
      </c>
    </row>
    <row r="107" spans="1:13" x14ac:dyDescent="0.35">
      <c r="A107" s="78">
        <v>42646</v>
      </c>
      <c r="B107" s="79" t="s">
        <v>747</v>
      </c>
      <c r="C107" s="79">
        <v>92</v>
      </c>
      <c r="D107" s="79"/>
      <c r="E107" s="79">
        <f>+E106+C107</f>
        <v>309</v>
      </c>
      <c r="F107" s="52">
        <f>+H107/C107</f>
        <v>12.149928260869565</v>
      </c>
      <c r="G107" s="52"/>
      <c r="H107" s="52">
        <f>1284.82*0.87</f>
        <v>1117.7934</v>
      </c>
      <c r="I107" s="52"/>
      <c r="J107" s="80">
        <f>+J106+H107</f>
        <v>3823.3354291905275</v>
      </c>
      <c r="K107" s="142"/>
      <c r="L107" s="144"/>
      <c r="M107" s="140"/>
    </row>
    <row r="108" spans="1:13" x14ac:dyDescent="0.35">
      <c r="A108" s="308">
        <v>42710</v>
      </c>
      <c r="B108" s="309" t="s">
        <v>748</v>
      </c>
      <c r="C108" s="309">
        <v>92</v>
      </c>
      <c r="D108" s="309"/>
      <c r="E108" s="309">
        <f>+E107+C108</f>
        <v>401</v>
      </c>
      <c r="F108" s="128">
        <f>+H108/C108</f>
        <v>12.149928260869565</v>
      </c>
      <c r="G108" s="128"/>
      <c r="H108" s="128">
        <f>1284.82*0.87</f>
        <v>1117.7934</v>
      </c>
      <c r="I108" s="128"/>
      <c r="J108" s="129">
        <f>+J107+H108</f>
        <v>4941.1288291905275</v>
      </c>
      <c r="K108" s="310"/>
      <c r="L108" s="310"/>
      <c r="M108" s="311"/>
    </row>
    <row r="109" spans="1:13" x14ac:dyDescent="0.35">
      <c r="A109" s="124">
        <v>42723</v>
      </c>
      <c r="B109" s="125" t="s">
        <v>749</v>
      </c>
      <c r="C109" s="125"/>
      <c r="D109" s="125">
        <v>4</v>
      </c>
      <c r="E109" s="125">
        <f>+E108-D109</f>
        <v>397</v>
      </c>
      <c r="F109" s="126"/>
      <c r="G109" s="126">
        <f>+J108/E108</f>
        <v>12.322017030400318</v>
      </c>
      <c r="H109" s="126"/>
      <c r="I109" s="126">
        <f t="shared" si="7"/>
        <v>49.28806812160127</v>
      </c>
      <c r="J109" s="127">
        <f>+J108-I109:I110</f>
        <v>4891.8407610689264</v>
      </c>
      <c r="K109" s="142">
        <f>SUM(I109)</f>
        <v>49.28806812160127</v>
      </c>
      <c r="L109" s="312">
        <f>SUM(K109)</f>
        <v>49.28806812160127</v>
      </c>
      <c r="M109" s="143">
        <v>42735</v>
      </c>
    </row>
    <row r="110" spans="1:13" ht="15" thickBot="1" x14ac:dyDescent="0.4">
      <c r="A110" s="218"/>
      <c r="B110" s="219"/>
      <c r="C110" s="219">
        <f>SUM(C11:C109)</f>
        <v>631</v>
      </c>
      <c r="D110" s="219">
        <f t="shared" ref="D110" si="14">SUM(D11:D109)</f>
        <v>234</v>
      </c>
      <c r="E110" s="219"/>
      <c r="F110" s="220"/>
      <c r="G110" s="221"/>
      <c r="H110" s="220">
        <f t="shared" ref="H110:I110" si="15">SUM(H11:H109)</f>
        <v>7935.7736000000004</v>
      </c>
      <c r="I110" s="220">
        <f t="shared" si="15"/>
        <v>3043.9376215397701</v>
      </c>
      <c r="J110" s="255"/>
      <c r="K110" s="142"/>
      <c r="L110" s="230">
        <f>SUM(L37:L109)</f>
        <v>3043.9376215397679</v>
      </c>
      <c r="M110" s="140"/>
    </row>
    <row r="111" spans="1:13" x14ac:dyDescent="0.35">
      <c r="A111" s="313"/>
      <c r="B111" s="140"/>
      <c r="C111" s="140"/>
      <c r="D111" s="140"/>
      <c r="E111" s="140"/>
      <c r="F111" s="144"/>
      <c r="G111" s="310"/>
      <c r="H111" s="144"/>
      <c r="I111" s="144"/>
      <c r="J111" s="144"/>
      <c r="K111" s="142"/>
      <c r="L111" s="140"/>
      <c r="M111" s="140"/>
    </row>
    <row r="112" spans="1:13" x14ac:dyDescent="0.35">
      <c r="A112" s="313"/>
      <c r="B112" s="140"/>
      <c r="C112" s="140"/>
      <c r="D112" s="140"/>
      <c r="E112" s="140"/>
      <c r="F112" s="144"/>
      <c r="G112" s="310"/>
      <c r="H112" s="144"/>
      <c r="I112" s="144"/>
      <c r="J112" s="144"/>
      <c r="K112" s="142"/>
      <c r="L112" s="140"/>
      <c r="M112" s="140"/>
    </row>
    <row r="113" spans="1:13" x14ac:dyDescent="0.35">
      <c r="A113" s="313" t="s">
        <v>750</v>
      </c>
      <c r="B113" s="311"/>
      <c r="C113" s="322"/>
      <c r="D113" s="322"/>
      <c r="E113" s="322"/>
      <c r="F113" s="322"/>
      <c r="G113" s="322"/>
      <c r="H113" s="322"/>
      <c r="I113" s="322"/>
      <c r="J113" s="322"/>
      <c r="K113" s="142"/>
      <c r="L113" s="140"/>
      <c r="M113" s="140"/>
    </row>
    <row r="114" spans="1:13" x14ac:dyDescent="0.35">
      <c r="A114" s="313"/>
      <c r="B114" s="311"/>
      <c r="C114" s="322"/>
      <c r="D114" s="322"/>
      <c r="E114" s="322"/>
      <c r="F114" s="322"/>
      <c r="G114" s="322"/>
      <c r="H114" s="322"/>
      <c r="I114" s="322"/>
      <c r="J114" s="322"/>
      <c r="K114" s="142"/>
      <c r="L114" s="140"/>
      <c r="M114" s="140"/>
    </row>
    <row r="115" spans="1:13" x14ac:dyDescent="0.35">
      <c r="A115" s="313" t="s">
        <v>642</v>
      </c>
      <c r="B115" s="311"/>
      <c r="C115" s="322"/>
      <c r="D115" s="322"/>
      <c r="E115" s="322"/>
      <c r="F115" s="322"/>
      <c r="G115" s="322"/>
      <c r="H115" s="322"/>
      <c r="I115" s="322"/>
      <c r="J115" s="323">
        <f>+E109*F108</f>
        <v>4823.5215195652172</v>
      </c>
      <c r="K115" s="142"/>
      <c r="L115" s="140"/>
      <c r="M115" s="140"/>
    </row>
    <row r="116" spans="1:13" x14ac:dyDescent="0.35">
      <c r="A116" s="313" t="s">
        <v>640</v>
      </c>
      <c r="B116" s="311"/>
      <c r="C116" s="322"/>
      <c r="D116" s="322"/>
      <c r="E116" s="322"/>
      <c r="F116" s="322"/>
      <c r="G116" s="322"/>
      <c r="H116" s="322"/>
      <c r="I116" s="322"/>
      <c r="J116" s="324">
        <f>+J109</f>
        <v>4891.8407610689264</v>
      </c>
      <c r="K116" s="142"/>
      <c r="L116" s="140"/>
      <c r="M116" s="140"/>
    </row>
    <row r="117" spans="1:13" x14ac:dyDescent="0.35">
      <c r="A117" s="313"/>
      <c r="B117" s="311" t="s">
        <v>641</v>
      </c>
      <c r="C117" s="322"/>
      <c r="D117" s="322"/>
      <c r="E117" s="322"/>
      <c r="F117" s="322"/>
      <c r="G117" s="322"/>
      <c r="H117" s="322"/>
      <c r="I117" s="322"/>
      <c r="J117" s="323">
        <f>+J115-J116</f>
        <v>-68.319241503709236</v>
      </c>
      <c r="K117" s="142"/>
      <c r="L117" s="140"/>
      <c r="M117" s="140"/>
    </row>
  </sheetData>
  <mergeCells count="5">
    <mergeCell ref="A5:I5"/>
    <mergeCell ref="A6:J6"/>
    <mergeCell ref="C9:E9"/>
    <mergeCell ref="F9:G9"/>
    <mergeCell ref="H9:J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249977111117893"/>
  </sheetPr>
  <dimension ref="A1:N66"/>
  <sheetViews>
    <sheetView topLeftCell="A16" workbookViewId="0">
      <selection sqref="A1:N41"/>
    </sheetView>
  </sheetViews>
  <sheetFormatPr baseColWidth="10" defaultRowHeight="14.5" x14ac:dyDescent="0.35"/>
  <cols>
    <col min="2" max="2" width="22.6328125" customWidth="1"/>
    <col min="11" max="11" width="12.08984375" customWidth="1"/>
    <col min="12" max="14" width="10.6328125" customWidth="1"/>
  </cols>
  <sheetData>
    <row r="1" spans="1:14" x14ac:dyDescent="0.35">
      <c r="A1" s="1" t="s">
        <v>0</v>
      </c>
      <c r="B1" s="2"/>
      <c r="C1" s="35"/>
      <c r="D1" s="35"/>
      <c r="E1" s="35"/>
      <c r="F1" s="35"/>
      <c r="G1" s="35"/>
      <c r="H1" s="36" t="s">
        <v>1</v>
      </c>
      <c r="I1" s="35"/>
      <c r="J1" s="35"/>
      <c r="K1" s="37"/>
      <c r="L1" s="140"/>
      <c r="M1" s="140"/>
      <c r="N1" s="140"/>
    </row>
    <row r="2" spans="1:14" x14ac:dyDescent="0.35">
      <c r="A2" s="6" t="s">
        <v>2</v>
      </c>
      <c r="B2" s="7"/>
      <c r="C2" s="38"/>
      <c r="D2" s="141"/>
      <c r="E2" s="141"/>
      <c r="F2" s="141"/>
      <c r="G2" s="38"/>
      <c r="H2" s="39" t="s">
        <v>489</v>
      </c>
      <c r="I2" s="38"/>
      <c r="J2" s="38"/>
      <c r="K2" s="40"/>
      <c r="L2" s="140"/>
      <c r="M2" s="140"/>
      <c r="N2" s="140"/>
    </row>
    <row r="3" spans="1:14" x14ac:dyDescent="0.35">
      <c r="A3" s="11" t="s">
        <v>4</v>
      </c>
      <c r="B3" s="12"/>
      <c r="C3" s="38"/>
      <c r="D3" s="141"/>
      <c r="E3" s="141"/>
      <c r="F3" s="141"/>
      <c r="G3" s="38"/>
      <c r="H3" s="39" t="s">
        <v>5</v>
      </c>
      <c r="I3" s="38"/>
      <c r="J3" s="38"/>
      <c r="K3" s="40"/>
      <c r="L3" s="140"/>
      <c r="M3" s="140"/>
      <c r="N3" s="140"/>
    </row>
    <row r="4" spans="1:14" x14ac:dyDescent="0.35">
      <c r="A4" s="15"/>
      <c r="B4" s="38"/>
      <c r="C4" s="38"/>
      <c r="D4" s="275" t="s">
        <v>6</v>
      </c>
      <c r="E4" s="275"/>
      <c r="F4" s="275"/>
      <c r="G4" s="275"/>
      <c r="H4" s="275"/>
      <c r="I4" s="38"/>
      <c r="J4" s="38"/>
      <c r="K4" s="40"/>
      <c r="L4" s="140"/>
      <c r="M4" s="140"/>
      <c r="N4" s="140"/>
    </row>
    <row r="5" spans="1:14" x14ac:dyDescent="0.35">
      <c r="A5" s="15"/>
      <c r="B5" s="41"/>
      <c r="C5" s="38"/>
      <c r="D5" s="281" t="s">
        <v>64</v>
      </c>
      <c r="E5" s="281"/>
      <c r="F5" s="281"/>
      <c r="G5" s="281"/>
      <c r="H5" s="38"/>
      <c r="I5" s="38"/>
      <c r="J5" s="38"/>
      <c r="K5" s="40"/>
      <c r="L5" s="140"/>
      <c r="M5" s="140"/>
      <c r="N5" s="140"/>
    </row>
    <row r="6" spans="1:14" x14ac:dyDescent="0.35">
      <c r="A6" s="15"/>
      <c r="B6" s="41"/>
      <c r="C6" s="38"/>
      <c r="D6" s="282" t="s">
        <v>7</v>
      </c>
      <c r="E6" s="282"/>
      <c r="F6" s="282"/>
      <c r="G6" s="282"/>
      <c r="H6" s="38"/>
      <c r="I6" s="38"/>
      <c r="J6" s="38"/>
      <c r="K6" s="40"/>
      <c r="L6" s="140"/>
      <c r="M6" s="140"/>
      <c r="N6" s="140"/>
    </row>
    <row r="7" spans="1:14" x14ac:dyDescent="0.35">
      <c r="A7" s="16" t="s">
        <v>8</v>
      </c>
      <c r="B7" s="42" t="s">
        <v>9</v>
      </c>
      <c r="C7" s="276" t="s">
        <v>10</v>
      </c>
      <c r="D7" s="276"/>
      <c r="E7" s="277"/>
      <c r="F7" s="278" t="s">
        <v>11</v>
      </c>
      <c r="G7" s="278"/>
      <c r="H7" s="279" t="s">
        <v>12</v>
      </c>
      <c r="I7" s="280"/>
      <c r="J7" s="280"/>
      <c r="K7" s="166" t="s">
        <v>13</v>
      </c>
      <c r="L7" s="140"/>
      <c r="M7" s="140"/>
      <c r="N7" s="140"/>
    </row>
    <row r="8" spans="1:14" x14ac:dyDescent="0.35">
      <c r="A8" s="18"/>
      <c r="B8" s="43"/>
      <c r="C8" s="43" t="s">
        <v>14</v>
      </c>
      <c r="D8" s="44" t="s">
        <v>15</v>
      </c>
      <c r="E8" s="45" t="s">
        <v>16</v>
      </c>
      <c r="F8" s="46" t="s">
        <v>17</v>
      </c>
      <c r="G8" s="46" t="s">
        <v>18</v>
      </c>
      <c r="H8" s="44" t="s">
        <v>19</v>
      </c>
      <c r="I8" s="47" t="s">
        <v>20</v>
      </c>
      <c r="J8" s="48" t="s">
        <v>21</v>
      </c>
      <c r="K8" s="193"/>
      <c r="L8" s="140"/>
      <c r="M8" s="140"/>
      <c r="N8" s="140"/>
    </row>
    <row r="9" spans="1:14" x14ac:dyDescent="0.35">
      <c r="A9" s="25">
        <v>42371</v>
      </c>
      <c r="B9" s="81" t="s">
        <v>29</v>
      </c>
      <c r="C9" s="60">
        <v>3313.01</v>
      </c>
      <c r="D9" s="82"/>
      <c r="E9" s="83">
        <f>+C9</f>
        <v>3313.01</v>
      </c>
      <c r="F9" s="51">
        <f>+H9/C9</f>
        <v>25.858204472669868</v>
      </c>
      <c r="G9" s="51"/>
      <c r="H9" s="52">
        <v>85668.49</v>
      </c>
      <c r="I9" s="84"/>
      <c r="J9" s="84">
        <f>+H9</f>
        <v>85668.49</v>
      </c>
      <c r="K9" s="85"/>
      <c r="L9" s="140"/>
      <c r="M9" s="140"/>
      <c r="N9" s="140"/>
    </row>
    <row r="10" spans="1:14" x14ac:dyDescent="0.35">
      <c r="A10" s="49">
        <v>42397</v>
      </c>
      <c r="B10" s="31" t="s">
        <v>107</v>
      </c>
      <c r="C10" s="62"/>
      <c r="D10" s="86">
        <f>(12*4.25+4*4+6*2+22*2.75)*1.05+10</f>
        <v>156.47499999999999</v>
      </c>
      <c r="E10" s="87">
        <f>+E9-D10</f>
        <v>3156.5350000000003</v>
      </c>
      <c r="F10" s="58"/>
      <c r="G10" s="51">
        <f>+H9/E9</f>
        <v>25.858204472669868</v>
      </c>
      <c r="H10" s="58"/>
      <c r="I10" s="82">
        <f>D10*G10</f>
        <v>4046.1625448610175</v>
      </c>
      <c r="J10" s="84">
        <f>+J9-I10</f>
        <v>81622.327455138991</v>
      </c>
      <c r="K10" s="88"/>
      <c r="L10" s="140"/>
      <c r="M10" s="140"/>
      <c r="N10" s="140"/>
    </row>
    <row r="11" spans="1:14" x14ac:dyDescent="0.35">
      <c r="A11" s="49">
        <v>42397</v>
      </c>
      <c r="B11" s="31" t="s">
        <v>109</v>
      </c>
      <c r="C11" s="62"/>
      <c r="D11" s="86">
        <f>(13*5.25+3.25+3.5+4*2+4*1.5+4*1.25+4*0.75)*1.05+4</f>
        <v>105.85000000000001</v>
      </c>
      <c r="E11" s="87">
        <f t="shared" ref="E11:E25" si="0">+E10-D11</f>
        <v>3050.6850000000004</v>
      </c>
      <c r="F11" s="58"/>
      <c r="G11" s="51">
        <f>+J10/E10</f>
        <v>25.858204472669868</v>
      </c>
      <c r="H11" s="58"/>
      <c r="I11" s="82">
        <f t="shared" ref="I11" si="1">D11*G11</f>
        <v>2737.0909434321056</v>
      </c>
      <c r="J11" s="84">
        <f t="shared" ref="J11" si="2">+J10-I11</f>
        <v>78885.236511706884</v>
      </c>
      <c r="K11" s="88"/>
      <c r="L11" s="140"/>
      <c r="M11" s="140"/>
      <c r="N11" s="140"/>
    </row>
    <row r="12" spans="1:14" x14ac:dyDescent="0.35">
      <c r="A12" s="49">
        <v>42398</v>
      </c>
      <c r="B12" s="31" t="s">
        <v>112</v>
      </c>
      <c r="C12" s="62"/>
      <c r="D12" s="86">
        <f>(11*4.25+5)*1.05+2</f>
        <v>56.337500000000006</v>
      </c>
      <c r="E12" s="87">
        <f t="shared" si="0"/>
        <v>2994.3475000000003</v>
      </c>
      <c r="F12" s="58"/>
      <c r="G12" s="51">
        <f t="shared" ref="G12:G25" si="3">+J11/E11</f>
        <v>25.858204472669868</v>
      </c>
      <c r="H12" s="58"/>
      <c r="I12" s="82">
        <f t="shared" ref="I12:I25" si="4">D12*G12</f>
        <v>1456.7865944790387</v>
      </c>
      <c r="J12" s="84">
        <f t="shared" ref="J12:J25" si="5">+J11-I12</f>
        <v>77428.449917227845</v>
      </c>
      <c r="K12" s="88"/>
      <c r="L12" s="140"/>
      <c r="M12" s="140"/>
      <c r="N12" s="140"/>
    </row>
    <row r="13" spans="1:14" x14ac:dyDescent="0.35">
      <c r="A13" s="49">
        <v>42399</v>
      </c>
      <c r="B13" s="31" t="s">
        <v>116</v>
      </c>
      <c r="C13" s="62"/>
      <c r="D13" s="86">
        <f>(20*3.25+4*2+4*2.75+4*1.75+4*0.75)*1.05+7</f>
        <v>105.7</v>
      </c>
      <c r="E13" s="87">
        <f t="shared" si="0"/>
        <v>2888.6475000000005</v>
      </c>
      <c r="F13" s="58"/>
      <c r="G13" s="51">
        <f t="shared" si="3"/>
        <v>25.858204472669868</v>
      </c>
      <c r="H13" s="58"/>
      <c r="I13" s="82">
        <f t="shared" si="4"/>
        <v>2733.2122127612051</v>
      </c>
      <c r="J13" s="84">
        <f t="shared" si="5"/>
        <v>74695.237704466635</v>
      </c>
      <c r="K13" s="88"/>
      <c r="L13" s="140"/>
      <c r="M13" s="140"/>
      <c r="N13" s="140"/>
    </row>
    <row r="14" spans="1:14" x14ac:dyDescent="0.35">
      <c r="A14" s="119">
        <v>42399</v>
      </c>
      <c r="B14" s="107" t="s">
        <v>118</v>
      </c>
      <c r="C14" s="122"/>
      <c r="D14" s="130">
        <f>(3+2)*1.05</f>
        <v>5.25</v>
      </c>
      <c r="E14" s="131">
        <f t="shared" si="0"/>
        <v>2883.3975000000005</v>
      </c>
      <c r="F14" s="117"/>
      <c r="G14" s="122">
        <f t="shared" si="3"/>
        <v>25.858204472669865</v>
      </c>
      <c r="H14" s="117"/>
      <c r="I14" s="132">
        <f t="shared" si="4"/>
        <v>135.75557348151679</v>
      </c>
      <c r="J14" s="132">
        <f t="shared" si="5"/>
        <v>74559.482130985125</v>
      </c>
      <c r="K14" s="133"/>
      <c r="L14" s="142">
        <f>SUM(I10:I14)</f>
        <v>11109.007869014884</v>
      </c>
      <c r="M14" s="142">
        <f>SUM(L14)</f>
        <v>11109.007869014884</v>
      </c>
      <c r="N14" s="143">
        <v>42400</v>
      </c>
    </row>
    <row r="15" spans="1:14" x14ac:dyDescent="0.35">
      <c r="A15" s="49">
        <v>42401</v>
      </c>
      <c r="B15" s="31" t="s">
        <v>385</v>
      </c>
      <c r="C15" s="62"/>
      <c r="D15" s="86">
        <v>0</v>
      </c>
      <c r="E15" s="87">
        <f t="shared" si="0"/>
        <v>2883.3975000000005</v>
      </c>
      <c r="F15" s="58"/>
      <c r="G15" s="51">
        <f t="shared" si="3"/>
        <v>25.858204472669868</v>
      </c>
      <c r="H15" s="58"/>
      <c r="I15" s="82">
        <f t="shared" si="4"/>
        <v>0</v>
      </c>
      <c r="J15" s="84">
        <f t="shared" si="5"/>
        <v>74559.482130985125</v>
      </c>
      <c r="K15" s="88"/>
      <c r="L15" s="140"/>
      <c r="M15" s="140"/>
      <c r="N15" s="140"/>
    </row>
    <row r="16" spans="1:14" x14ac:dyDescent="0.35">
      <c r="A16" s="49">
        <v>42401</v>
      </c>
      <c r="B16" s="31" t="s">
        <v>120</v>
      </c>
      <c r="C16" s="62"/>
      <c r="D16" s="86">
        <f>(2*4.5+3*3.5+8*3.25+5*3+3*2+3*1.25+3*2.75+2*0.5+2*2.5+3*1.5+2*0.75+2*2.25+2*1.75+2*1+3.75)*1.05+12</f>
        <v>121.46250000000001</v>
      </c>
      <c r="E16" s="87">
        <f>+E15-D16</f>
        <v>2761.9350000000004</v>
      </c>
      <c r="F16" s="58"/>
      <c r="G16" s="51">
        <f t="shared" si="3"/>
        <v>25.858204472669868</v>
      </c>
      <c r="H16" s="58"/>
      <c r="I16" s="82">
        <f t="shared" si="4"/>
        <v>3140.8021607616643</v>
      </c>
      <c r="J16" s="84">
        <f>+J15-I16</f>
        <v>71418.679970223457</v>
      </c>
      <c r="K16" s="88"/>
      <c r="L16" s="140"/>
      <c r="M16" s="140"/>
      <c r="N16" s="140"/>
    </row>
    <row r="17" spans="1:14" x14ac:dyDescent="0.35">
      <c r="A17" s="49">
        <v>42402</v>
      </c>
      <c r="B17" s="31" t="s">
        <v>122</v>
      </c>
      <c r="C17" s="62"/>
      <c r="D17" s="86">
        <f>(9*1.75)*1.05+2</f>
        <v>18.537500000000001</v>
      </c>
      <c r="E17" s="87">
        <f t="shared" si="0"/>
        <v>2743.3975000000005</v>
      </c>
      <c r="F17" s="58"/>
      <c r="G17" s="51">
        <f t="shared" si="3"/>
        <v>25.858204472669865</v>
      </c>
      <c r="H17" s="58"/>
      <c r="I17" s="82">
        <f t="shared" si="4"/>
        <v>479.34646541211765</v>
      </c>
      <c r="J17" s="84">
        <f t="shared" si="5"/>
        <v>70939.333504811337</v>
      </c>
      <c r="K17" s="88"/>
      <c r="L17" s="140"/>
      <c r="M17" s="140"/>
      <c r="N17" s="140"/>
    </row>
    <row r="18" spans="1:14" x14ac:dyDescent="0.35">
      <c r="A18" s="49">
        <v>42406</v>
      </c>
      <c r="B18" s="31" t="s">
        <v>126</v>
      </c>
      <c r="C18" s="62"/>
      <c r="D18" s="86">
        <f>(2*2+1.75+2*2.5+1)*1.05+0.5</f>
        <v>12.8375</v>
      </c>
      <c r="E18" s="87">
        <f t="shared" si="0"/>
        <v>2730.5600000000004</v>
      </c>
      <c r="F18" s="58"/>
      <c r="G18" s="51">
        <f t="shared" si="3"/>
        <v>25.858204472669865</v>
      </c>
      <c r="H18" s="58"/>
      <c r="I18" s="82">
        <f t="shared" si="4"/>
        <v>331.9546999178994</v>
      </c>
      <c r="J18" s="84">
        <f t="shared" si="5"/>
        <v>70607.378804893437</v>
      </c>
      <c r="K18" s="88"/>
      <c r="L18" s="140"/>
      <c r="M18" s="140"/>
      <c r="N18" s="140"/>
    </row>
    <row r="19" spans="1:14" x14ac:dyDescent="0.35">
      <c r="A19" s="49">
        <v>42406</v>
      </c>
      <c r="B19" s="31" t="s">
        <v>128</v>
      </c>
      <c r="C19" s="62"/>
      <c r="D19" s="86">
        <f>(3*5)*1.05</f>
        <v>15.75</v>
      </c>
      <c r="E19" s="87">
        <f t="shared" si="0"/>
        <v>2714.8100000000004</v>
      </c>
      <c r="F19" s="58"/>
      <c r="G19" s="51">
        <f t="shared" si="3"/>
        <v>25.858204472669865</v>
      </c>
      <c r="H19" s="58"/>
      <c r="I19" s="82">
        <f t="shared" si="4"/>
        <v>407.26672044455034</v>
      </c>
      <c r="J19" s="84">
        <f t="shared" si="5"/>
        <v>70200.112084448891</v>
      </c>
      <c r="K19" s="88"/>
      <c r="L19" s="140"/>
      <c r="M19" s="140"/>
      <c r="N19" s="140"/>
    </row>
    <row r="20" spans="1:14" x14ac:dyDescent="0.35">
      <c r="A20" s="49">
        <v>42413</v>
      </c>
      <c r="B20" s="31" t="s">
        <v>142</v>
      </c>
      <c r="C20" s="62"/>
      <c r="D20" s="86">
        <v>1</v>
      </c>
      <c r="E20" s="87">
        <f t="shared" si="0"/>
        <v>2713.8100000000004</v>
      </c>
      <c r="F20" s="58"/>
      <c r="G20" s="51">
        <f t="shared" si="3"/>
        <v>25.858204472669865</v>
      </c>
      <c r="H20" s="58"/>
      <c r="I20" s="82">
        <f t="shared" si="4"/>
        <v>25.858204472669865</v>
      </c>
      <c r="J20" s="84">
        <f t="shared" si="5"/>
        <v>70174.253879976226</v>
      </c>
      <c r="K20" s="88"/>
      <c r="L20" s="140"/>
      <c r="M20" s="140"/>
      <c r="N20" s="140"/>
    </row>
    <row r="21" spans="1:14" x14ac:dyDescent="0.35">
      <c r="A21" s="49">
        <v>42413</v>
      </c>
      <c r="B21" s="31" t="s">
        <v>143</v>
      </c>
      <c r="C21" s="62"/>
      <c r="D21" s="86">
        <f>(17*5)*1.05</f>
        <v>89.25</v>
      </c>
      <c r="E21" s="87">
        <f t="shared" si="0"/>
        <v>2624.5600000000004</v>
      </c>
      <c r="F21" s="58"/>
      <c r="G21" s="51">
        <f t="shared" si="3"/>
        <v>25.858204472669868</v>
      </c>
      <c r="H21" s="58"/>
      <c r="I21" s="82">
        <f t="shared" si="4"/>
        <v>2307.8447491857855</v>
      </c>
      <c r="J21" s="84">
        <f t="shared" si="5"/>
        <v>67866.409130790445</v>
      </c>
      <c r="K21" s="88"/>
      <c r="L21" s="140"/>
      <c r="M21" s="140"/>
      <c r="N21" s="140"/>
    </row>
    <row r="22" spans="1:14" x14ac:dyDescent="0.35">
      <c r="A22" s="49">
        <v>42415</v>
      </c>
      <c r="B22" s="31" t="s">
        <v>145</v>
      </c>
      <c r="C22" s="62"/>
      <c r="D22" s="86">
        <f>(7*1)*1.05+2</f>
        <v>9.3500000000000014</v>
      </c>
      <c r="E22" s="87">
        <f t="shared" si="0"/>
        <v>2615.2100000000005</v>
      </c>
      <c r="F22" s="58"/>
      <c r="G22" s="51">
        <f t="shared" si="3"/>
        <v>25.858204472669872</v>
      </c>
      <c r="H22" s="58"/>
      <c r="I22" s="82">
        <f t="shared" si="4"/>
        <v>241.77421181946335</v>
      </c>
      <c r="J22" s="84">
        <f t="shared" si="5"/>
        <v>67624.634918970987</v>
      </c>
      <c r="K22" s="88"/>
      <c r="L22" s="140"/>
      <c r="M22" s="140"/>
      <c r="N22" s="140"/>
    </row>
    <row r="23" spans="1:14" x14ac:dyDescent="0.35">
      <c r="A23" s="49">
        <v>42415</v>
      </c>
      <c r="B23" s="31" t="s">
        <v>147</v>
      </c>
      <c r="C23" s="62"/>
      <c r="D23" s="86">
        <f>(6*5.75+2*6.25+2*5)*1.05</f>
        <v>59.85</v>
      </c>
      <c r="E23" s="87">
        <f t="shared" si="0"/>
        <v>2555.3600000000006</v>
      </c>
      <c r="F23" s="58"/>
      <c r="G23" s="51">
        <f t="shared" si="3"/>
        <v>25.858204472669872</v>
      </c>
      <c r="H23" s="58"/>
      <c r="I23" s="82">
        <f t="shared" si="4"/>
        <v>1547.6135376892919</v>
      </c>
      <c r="J23" s="84">
        <f t="shared" si="5"/>
        <v>66077.021381281695</v>
      </c>
      <c r="K23" s="88"/>
      <c r="L23" s="140"/>
      <c r="M23" s="140"/>
      <c r="N23" s="140"/>
    </row>
    <row r="24" spans="1:14" x14ac:dyDescent="0.35">
      <c r="A24" s="119">
        <v>42415</v>
      </c>
      <c r="B24" s="107" t="s">
        <v>148</v>
      </c>
      <c r="C24" s="122"/>
      <c r="D24" s="130">
        <f>(9*1.75)*1.05+1</f>
        <v>17.537500000000001</v>
      </c>
      <c r="E24" s="131">
        <f t="shared" si="0"/>
        <v>2537.8225000000007</v>
      </c>
      <c r="F24" s="117"/>
      <c r="G24" s="122">
        <f t="shared" si="3"/>
        <v>25.858204472669872</v>
      </c>
      <c r="H24" s="117"/>
      <c r="I24" s="132">
        <f t="shared" si="4"/>
        <v>453.48826093944791</v>
      </c>
      <c r="J24" s="132">
        <f t="shared" si="5"/>
        <v>65623.533120342254</v>
      </c>
      <c r="K24" s="133"/>
      <c r="L24" s="142">
        <f>SUM(I15:I24)</f>
        <v>8935.9490106428912</v>
      </c>
      <c r="M24" s="142">
        <f>SUM(L24)</f>
        <v>8935.9490106428912</v>
      </c>
      <c r="N24" s="143">
        <v>42415</v>
      </c>
    </row>
    <row r="25" spans="1:14" x14ac:dyDescent="0.35">
      <c r="A25" s="119">
        <v>42439</v>
      </c>
      <c r="B25" s="107" t="s">
        <v>204</v>
      </c>
      <c r="C25" s="122"/>
      <c r="D25" s="130">
        <v>2</v>
      </c>
      <c r="E25" s="131">
        <f t="shared" si="0"/>
        <v>2535.8225000000007</v>
      </c>
      <c r="F25" s="117"/>
      <c r="G25" s="122">
        <f t="shared" si="3"/>
        <v>25.858204472669872</v>
      </c>
      <c r="H25" s="117"/>
      <c r="I25" s="132">
        <f t="shared" si="4"/>
        <v>51.716408945339744</v>
      </c>
      <c r="J25" s="132">
        <f t="shared" si="5"/>
        <v>65571.81671139691</v>
      </c>
      <c r="K25" s="133"/>
      <c r="L25" s="142">
        <f>SUM(I25)</f>
        <v>51.716408945339744</v>
      </c>
      <c r="M25" s="142">
        <f>SUM(L25)</f>
        <v>51.716408945339744</v>
      </c>
      <c r="N25" s="143">
        <v>42444</v>
      </c>
    </row>
    <row r="26" spans="1:14" x14ac:dyDescent="0.35">
      <c r="A26" s="119">
        <v>42468</v>
      </c>
      <c r="B26" s="107" t="s">
        <v>268</v>
      </c>
      <c r="C26" s="122"/>
      <c r="D26" s="130">
        <f>(40*6.85+5.56+3.98+2.41+5.73+4.15+2.57)*1.05+9</f>
        <v>322.32000000000005</v>
      </c>
      <c r="E26" s="131">
        <f t="shared" ref="E26:E35" si="6">+E25-D26</f>
        <v>2213.5025000000005</v>
      </c>
      <c r="F26" s="117"/>
      <c r="G26" s="122">
        <f t="shared" ref="G26:G35" si="7">+J25/E25</f>
        <v>25.858204472669872</v>
      </c>
      <c r="H26" s="117"/>
      <c r="I26" s="132">
        <f t="shared" ref="I26:I35" si="8">D26*G26</f>
        <v>8334.6164656309538</v>
      </c>
      <c r="J26" s="132">
        <f t="shared" ref="J26:J35" si="9">+J25-I26</f>
        <v>57237.200245765955</v>
      </c>
      <c r="K26" s="133"/>
      <c r="L26" s="142">
        <f>SUM(I26)</f>
        <v>8334.6164656309538</v>
      </c>
      <c r="M26" s="142">
        <f>SUM(L26)</f>
        <v>8334.6164656309538</v>
      </c>
      <c r="N26" s="143">
        <v>42475</v>
      </c>
    </row>
    <row r="27" spans="1:14" x14ac:dyDescent="0.35">
      <c r="A27" s="119">
        <v>42510</v>
      </c>
      <c r="B27" s="107" t="s">
        <v>347</v>
      </c>
      <c r="C27" s="122"/>
      <c r="D27" s="130">
        <v>0.6</v>
      </c>
      <c r="E27" s="131">
        <f t="shared" si="6"/>
        <v>2212.9025000000006</v>
      </c>
      <c r="F27" s="117"/>
      <c r="G27" s="122">
        <f t="shared" si="7"/>
        <v>25.858204472669872</v>
      </c>
      <c r="H27" s="117"/>
      <c r="I27" s="132">
        <f t="shared" si="8"/>
        <v>15.514922683601922</v>
      </c>
      <c r="J27" s="132">
        <f t="shared" si="9"/>
        <v>57221.685323082354</v>
      </c>
      <c r="K27" s="133"/>
      <c r="L27" s="142">
        <f>SUM(I27)</f>
        <v>15.514922683601922</v>
      </c>
      <c r="M27" s="142">
        <f>SUM(L27)</f>
        <v>15.514922683601922</v>
      </c>
      <c r="N27" s="143">
        <v>42521</v>
      </c>
    </row>
    <row r="28" spans="1:14" x14ac:dyDescent="0.35">
      <c r="A28" s="119">
        <v>42524</v>
      </c>
      <c r="B28" s="107" t="s">
        <v>378</v>
      </c>
      <c r="C28" s="122"/>
      <c r="D28" s="130">
        <f>(14*5.75+9*6+4.5+3+6.5+7+7.25+2*7.75+6.25+5+3.5+1.75)*1.05</f>
        <v>204.48750000000001</v>
      </c>
      <c r="E28" s="131">
        <f t="shared" si="6"/>
        <v>2008.4150000000006</v>
      </c>
      <c r="F28" s="117"/>
      <c r="G28" s="122">
        <f t="shared" si="7"/>
        <v>25.858204472669872</v>
      </c>
      <c r="H28" s="117"/>
      <c r="I28" s="132">
        <f t="shared" si="8"/>
        <v>5287.6795871050808</v>
      </c>
      <c r="J28" s="132">
        <f t="shared" si="9"/>
        <v>51934.005735977276</v>
      </c>
      <c r="K28" s="133"/>
      <c r="L28" s="142">
        <f>SUM(I28)</f>
        <v>5287.6795871050808</v>
      </c>
      <c r="M28" s="142">
        <f>SUM(L28)</f>
        <v>5287.6795871050808</v>
      </c>
      <c r="N28" s="143">
        <v>42536</v>
      </c>
    </row>
    <row r="29" spans="1:14" x14ac:dyDescent="0.35">
      <c r="A29" s="49">
        <v>42558</v>
      </c>
      <c r="B29" s="31" t="s">
        <v>440</v>
      </c>
      <c r="C29" s="62"/>
      <c r="D29" s="86">
        <f>+(28*2.75)*1.05</f>
        <v>80.850000000000009</v>
      </c>
      <c r="E29" s="87">
        <f t="shared" si="6"/>
        <v>1927.5650000000007</v>
      </c>
      <c r="F29" s="58"/>
      <c r="G29" s="51">
        <f t="shared" si="7"/>
        <v>25.858204472669872</v>
      </c>
      <c r="H29" s="58"/>
      <c r="I29" s="82">
        <f t="shared" si="8"/>
        <v>2090.6358316153592</v>
      </c>
      <c r="J29" s="84">
        <f t="shared" si="9"/>
        <v>49843.36990436192</v>
      </c>
      <c r="K29" s="88"/>
      <c r="L29" s="144"/>
      <c r="M29" s="142"/>
      <c r="N29" s="140"/>
    </row>
    <row r="30" spans="1:14" s="112" customFormat="1" x14ac:dyDescent="0.35">
      <c r="A30" s="119">
        <v>42566</v>
      </c>
      <c r="B30" s="107" t="s">
        <v>449</v>
      </c>
      <c r="C30" s="122"/>
      <c r="D30" s="130">
        <f>(14*5.75)*1.05</f>
        <v>84.525000000000006</v>
      </c>
      <c r="E30" s="131">
        <f t="shared" si="6"/>
        <v>1843.0400000000006</v>
      </c>
      <c r="F30" s="117"/>
      <c r="G30" s="122">
        <f t="shared" si="7"/>
        <v>25.858204472669872</v>
      </c>
      <c r="H30" s="117"/>
      <c r="I30" s="132">
        <f t="shared" si="8"/>
        <v>2185.6647330524211</v>
      </c>
      <c r="J30" s="132">
        <f t="shared" si="9"/>
        <v>47657.705171309499</v>
      </c>
      <c r="K30" s="133"/>
      <c r="L30" s="142">
        <f>SUM(I29:I30)</f>
        <v>4276.3005646677802</v>
      </c>
      <c r="M30" s="142">
        <f>SUM(L30)</f>
        <v>4276.3005646677802</v>
      </c>
      <c r="N30" s="143">
        <v>42566</v>
      </c>
    </row>
    <row r="31" spans="1:14" x14ac:dyDescent="0.35">
      <c r="A31" s="49">
        <v>42583</v>
      </c>
      <c r="B31" s="31" t="s">
        <v>458</v>
      </c>
      <c r="C31" s="62"/>
      <c r="D31" s="86">
        <f>+(90*7.5)*1.05+18</f>
        <v>726.75</v>
      </c>
      <c r="E31" s="87">
        <f t="shared" si="6"/>
        <v>1116.2900000000006</v>
      </c>
      <c r="F31" s="58"/>
      <c r="G31" s="51">
        <f t="shared" si="7"/>
        <v>25.858204472669872</v>
      </c>
      <c r="H31" s="58"/>
      <c r="I31" s="82">
        <f t="shared" si="8"/>
        <v>18792.45010051283</v>
      </c>
      <c r="J31" s="84">
        <f t="shared" si="9"/>
        <v>28865.255070796669</v>
      </c>
      <c r="K31" s="88"/>
      <c r="L31" s="140"/>
      <c r="M31" s="140"/>
      <c r="N31" s="140"/>
    </row>
    <row r="32" spans="1:14" s="112" customFormat="1" x14ac:dyDescent="0.35">
      <c r="A32" s="119">
        <v>42587</v>
      </c>
      <c r="B32" s="107" t="s">
        <v>461</v>
      </c>
      <c r="C32" s="122"/>
      <c r="D32" s="130">
        <f>+(6*3)*1.05</f>
        <v>18.900000000000002</v>
      </c>
      <c r="E32" s="131">
        <f t="shared" si="6"/>
        <v>1097.3900000000006</v>
      </c>
      <c r="F32" s="117"/>
      <c r="G32" s="122">
        <f t="shared" si="7"/>
        <v>25.858204472669872</v>
      </c>
      <c r="H32" s="117"/>
      <c r="I32" s="132">
        <f t="shared" si="8"/>
        <v>488.72006453346063</v>
      </c>
      <c r="J32" s="132">
        <f t="shared" si="9"/>
        <v>28376.53500626321</v>
      </c>
      <c r="K32" s="133"/>
      <c r="L32" s="142">
        <f>SUM(I31:I32)</f>
        <v>19281.170165046289</v>
      </c>
      <c r="M32" s="142"/>
      <c r="N32" s="143">
        <v>42597</v>
      </c>
    </row>
    <row r="33" spans="1:14" s="112" customFormat="1" x14ac:dyDescent="0.35">
      <c r="A33" s="119">
        <v>42601</v>
      </c>
      <c r="B33" s="107" t="s">
        <v>472</v>
      </c>
      <c r="C33" s="122"/>
      <c r="D33" s="130">
        <f>(36*1)*1.05</f>
        <v>37.800000000000004</v>
      </c>
      <c r="E33" s="131">
        <f t="shared" si="6"/>
        <v>1059.5900000000006</v>
      </c>
      <c r="F33" s="117"/>
      <c r="G33" s="122">
        <f t="shared" si="7"/>
        <v>25.858204472669875</v>
      </c>
      <c r="H33" s="117"/>
      <c r="I33" s="132">
        <f t="shared" si="8"/>
        <v>977.44012906692137</v>
      </c>
      <c r="J33" s="132">
        <f t="shared" si="9"/>
        <v>27399.094877196287</v>
      </c>
      <c r="K33" s="133"/>
      <c r="L33" s="142">
        <f>SUM(I33)</f>
        <v>977.44012906692137</v>
      </c>
      <c r="M33" s="142">
        <f>SUM(L32:L33)</f>
        <v>20258.610294113212</v>
      </c>
      <c r="N33" s="143">
        <v>42613</v>
      </c>
    </row>
    <row r="34" spans="1:14" x14ac:dyDescent="0.35">
      <c r="A34" s="49">
        <v>42632</v>
      </c>
      <c r="B34" s="31" t="s">
        <v>497</v>
      </c>
      <c r="C34" s="62"/>
      <c r="D34" s="86">
        <f>(10*5+4*4.5+7*4.75)*1.05+6.26</f>
        <v>112.57250000000001</v>
      </c>
      <c r="E34" s="87">
        <f t="shared" si="6"/>
        <v>947.01750000000061</v>
      </c>
      <c r="F34" s="58"/>
      <c r="G34" s="51">
        <f t="shared" si="7"/>
        <v>25.858204472669872</v>
      </c>
      <c r="H34" s="58"/>
      <c r="I34" s="82">
        <f t="shared" si="8"/>
        <v>2910.9227229996291</v>
      </c>
      <c r="J34" s="84">
        <f t="shared" si="9"/>
        <v>24488.172154196658</v>
      </c>
      <c r="K34" s="88"/>
      <c r="L34" s="134"/>
      <c r="M34" s="134"/>
    </row>
    <row r="35" spans="1:14" s="112" customFormat="1" x14ac:dyDescent="0.35">
      <c r="A35" s="119">
        <v>42634</v>
      </c>
      <c r="B35" s="107" t="s">
        <v>509</v>
      </c>
      <c r="C35" s="122"/>
      <c r="D35" s="130">
        <f>(5*7+2*5+0.5+5*4.75+10*0.75)*1.05+4+2</f>
        <v>86.587500000000006</v>
      </c>
      <c r="E35" s="131">
        <f t="shared" si="6"/>
        <v>860.43000000000063</v>
      </c>
      <c r="F35" s="117"/>
      <c r="G35" s="122">
        <f t="shared" si="7"/>
        <v>25.858204472669875</v>
      </c>
      <c r="H35" s="117"/>
      <c r="I35" s="132">
        <f t="shared" si="8"/>
        <v>2238.997279777303</v>
      </c>
      <c r="J35" s="132">
        <f t="shared" si="9"/>
        <v>22249.174874419354</v>
      </c>
      <c r="K35" s="133"/>
      <c r="L35" s="142">
        <f>SUM(I34:I35)</f>
        <v>5149.9200027769321</v>
      </c>
      <c r="M35" s="142">
        <f>SUM(L35)</f>
        <v>5149.9200027769321</v>
      </c>
      <c r="N35" s="143">
        <v>42643</v>
      </c>
    </row>
    <row r="36" spans="1:14" ht="15" thickBot="1" x14ac:dyDescent="0.4">
      <c r="A36" s="209"/>
      <c r="B36" s="169" t="s">
        <v>638</v>
      </c>
      <c r="C36" s="213">
        <f>SUM(C9:C35)</f>
        <v>3313.01</v>
      </c>
      <c r="D36" s="213">
        <f>SUM(D9:D35)</f>
        <v>2452.5800000000008</v>
      </c>
      <c r="E36" s="227"/>
      <c r="F36" s="198"/>
      <c r="G36" s="212"/>
      <c r="H36" s="213">
        <f t="shared" ref="H36:I36" si="10">SUM(H9:H35)</f>
        <v>85668.49</v>
      </c>
      <c r="I36" s="213">
        <f t="shared" si="10"/>
        <v>63419.315125580659</v>
      </c>
      <c r="J36" s="228"/>
      <c r="K36" s="229"/>
      <c r="M36" s="230">
        <f>SUM(M14:M35)</f>
        <v>63419.315125580666</v>
      </c>
    </row>
    <row r="37" spans="1:14" s="8" customFormat="1" x14ac:dyDescent="0.35">
      <c r="A37" s="203"/>
      <c r="B37" s="39"/>
      <c r="C37" s="208"/>
      <c r="D37" s="223"/>
      <c r="E37" s="224"/>
      <c r="F37" s="189"/>
      <c r="G37" s="207"/>
      <c r="H37" s="189"/>
      <c r="I37" s="225"/>
      <c r="J37" s="226"/>
      <c r="K37" s="208"/>
      <c r="L37" s="76"/>
      <c r="M37" s="76"/>
    </row>
    <row r="38" spans="1:14" s="8" customFormat="1" x14ac:dyDescent="0.35">
      <c r="A38" s="174" t="s">
        <v>639</v>
      </c>
      <c r="B38" s="39"/>
      <c r="C38" s="38"/>
      <c r="D38" s="38"/>
      <c r="E38" s="38"/>
      <c r="F38" s="38"/>
      <c r="G38" s="140"/>
      <c r="H38" s="140"/>
      <c r="I38" s="140"/>
      <c r="J38" s="140"/>
      <c r="K38" s="208"/>
    </row>
    <row r="39" spans="1:14" s="8" customFormat="1" x14ac:dyDescent="0.35">
      <c r="A39" s="174" t="s">
        <v>642</v>
      </c>
      <c r="B39" s="39"/>
      <c r="C39" s="38"/>
      <c r="D39" s="38"/>
      <c r="E39" s="38"/>
      <c r="F39" s="38"/>
      <c r="G39" s="140"/>
      <c r="H39" s="140"/>
      <c r="I39" s="140"/>
      <c r="J39" s="28">
        <f>+E35*F9</f>
        <v>22249.17487441935</v>
      </c>
      <c r="K39" s="208"/>
    </row>
    <row r="40" spans="1:14" s="8" customFormat="1" x14ac:dyDescent="0.35">
      <c r="A40" s="174" t="s">
        <v>640</v>
      </c>
      <c r="B40" s="39"/>
      <c r="C40" s="38"/>
      <c r="D40" s="38"/>
      <c r="E40" s="38"/>
      <c r="F40" s="38"/>
      <c r="G40" s="140"/>
      <c r="H40" s="140"/>
      <c r="I40" s="140"/>
      <c r="J40" s="175">
        <f>+J35</f>
        <v>22249.174874419354</v>
      </c>
      <c r="K40" s="208"/>
    </row>
    <row r="41" spans="1:14" s="8" customFormat="1" ht="15" thickBot="1" x14ac:dyDescent="0.4">
      <c r="A41" s="174"/>
      <c r="B41" s="39" t="s">
        <v>641</v>
      </c>
      <c r="C41" s="38"/>
      <c r="D41" s="38"/>
      <c r="E41" s="38"/>
      <c r="F41" s="38"/>
      <c r="G41" s="140"/>
      <c r="H41" s="140"/>
      <c r="I41" s="140"/>
      <c r="J41" s="202">
        <f>+J39-J40</f>
        <v>0</v>
      </c>
      <c r="K41" s="208"/>
    </row>
    <row r="42" spans="1:14" s="8" customFormat="1" ht="15" thickTop="1" x14ac:dyDescent="0.35">
      <c r="A42" s="174"/>
      <c r="B42" s="38"/>
      <c r="C42" s="216"/>
      <c r="D42" s="216"/>
      <c r="E42" s="216"/>
      <c r="F42" s="216"/>
      <c r="G42" s="217"/>
      <c r="H42" s="217"/>
      <c r="I42" s="217"/>
      <c r="J42" s="217"/>
      <c r="K42" s="208"/>
    </row>
    <row r="43" spans="1:14" s="8" customFormat="1" x14ac:dyDescent="0.35">
      <c r="A43" s="203"/>
      <c r="B43" s="39"/>
      <c r="C43" s="208"/>
      <c r="D43" s="223"/>
      <c r="E43" s="224"/>
      <c r="F43" s="189"/>
      <c r="G43" s="207"/>
      <c r="H43" s="189"/>
      <c r="I43" s="225"/>
      <c r="J43" s="226"/>
      <c r="K43" s="208"/>
    </row>
    <row r="44" spans="1:14" s="8" customFormat="1" x14ac:dyDescent="0.35">
      <c r="A44" s="203"/>
      <c r="B44" s="39"/>
      <c r="C44" s="208"/>
      <c r="D44" s="223"/>
      <c r="E44" s="224"/>
      <c r="F44" s="189"/>
      <c r="G44" s="207"/>
      <c r="H44" s="189"/>
      <c r="I44" s="225"/>
      <c r="J44" s="226"/>
      <c r="K44" s="208"/>
    </row>
    <row r="45" spans="1:14" s="8" customFormat="1" x14ac:dyDescent="0.35">
      <c r="A45" s="203"/>
      <c r="B45" s="39"/>
      <c r="C45" s="208"/>
      <c r="D45" s="223"/>
      <c r="E45" s="224"/>
      <c r="F45" s="189"/>
      <c r="G45" s="207"/>
      <c r="H45" s="189"/>
      <c r="I45" s="225"/>
      <c r="J45" s="226"/>
      <c r="K45" s="208"/>
    </row>
    <row r="46" spans="1:14" s="8" customFormat="1" x14ac:dyDescent="0.35">
      <c r="A46" s="203"/>
      <c r="B46" s="39"/>
      <c r="C46" s="208"/>
      <c r="D46" s="223"/>
      <c r="E46" s="224"/>
      <c r="F46" s="189"/>
      <c r="G46" s="207"/>
      <c r="H46" s="189"/>
      <c r="I46" s="225"/>
      <c r="J46" s="226"/>
      <c r="K46" s="208"/>
    </row>
    <row r="47" spans="1:14" s="8" customFormat="1" x14ac:dyDescent="0.35">
      <c r="A47" s="203"/>
      <c r="B47" s="39"/>
      <c r="C47" s="208"/>
      <c r="D47" s="223"/>
      <c r="E47" s="224"/>
      <c r="F47" s="189"/>
      <c r="G47" s="207"/>
      <c r="H47" s="189"/>
      <c r="I47" s="225"/>
      <c r="J47" s="226"/>
      <c r="K47" s="208"/>
    </row>
    <row r="48" spans="1:14" s="8" customFormat="1" x14ac:dyDescent="0.35">
      <c r="A48" s="203"/>
      <c r="B48" s="39"/>
      <c r="C48" s="208"/>
      <c r="D48" s="223"/>
      <c r="E48" s="224"/>
      <c r="F48" s="189"/>
      <c r="G48" s="207"/>
      <c r="H48" s="189"/>
      <c r="I48" s="225"/>
      <c r="J48" s="226"/>
      <c r="K48" s="208"/>
    </row>
    <row r="49" spans="1:11" s="8" customFormat="1" x14ac:dyDescent="0.35">
      <c r="A49" s="203"/>
      <c r="B49" s="39"/>
      <c r="C49" s="208"/>
      <c r="D49" s="223"/>
      <c r="E49" s="224"/>
      <c r="F49" s="189"/>
      <c r="G49" s="207"/>
      <c r="H49" s="189"/>
      <c r="I49" s="225"/>
      <c r="J49" s="226"/>
      <c r="K49" s="208"/>
    </row>
    <row r="50" spans="1:11" s="8" customFormat="1" x14ac:dyDescent="0.35">
      <c r="A50" s="203"/>
      <c r="B50" s="39"/>
      <c r="C50" s="208"/>
      <c r="D50" s="223"/>
      <c r="E50" s="224"/>
      <c r="F50" s="189"/>
      <c r="G50" s="207"/>
      <c r="H50" s="189"/>
      <c r="I50" s="225"/>
      <c r="J50" s="226"/>
      <c r="K50" s="208"/>
    </row>
    <row r="51" spans="1:11" s="8" customFormat="1" x14ac:dyDescent="0.35">
      <c r="A51" s="203"/>
      <c r="B51" s="39"/>
      <c r="C51" s="208"/>
      <c r="D51" s="223"/>
      <c r="E51" s="224"/>
      <c r="F51" s="189"/>
      <c r="G51" s="207"/>
      <c r="H51" s="189"/>
      <c r="I51" s="225"/>
      <c r="J51" s="226"/>
      <c r="K51" s="208"/>
    </row>
    <row r="52" spans="1:11" s="8" customFormat="1" x14ac:dyDescent="0.35">
      <c r="A52" s="203"/>
      <c r="B52" s="39"/>
      <c r="C52" s="208"/>
      <c r="D52" s="223"/>
      <c r="E52" s="224"/>
      <c r="F52" s="189"/>
      <c r="G52" s="207"/>
      <c r="H52" s="189"/>
      <c r="I52" s="225"/>
      <c r="J52" s="226"/>
      <c r="K52" s="208"/>
    </row>
    <row r="53" spans="1:11" s="8" customFormat="1" x14ac:dyDescent="0.35">
      <c r="A53" s="203"/>
      <c r="B53" s="39"/>
      <c r="C53" s="208"/>
      <c r="D53" s="223"/>
      <c r="E53" s="224"/>
      <c r="F53" s="189"/>
      <c r="G53" s="207"/>
      <c r="H53" s="189"/>
      <c r="I53" s="225"/>
      <c r="J53" s="226"/>
      <c r="K53" s="208"/>
    </row>
    <row r="54" spans="1:11" s="8" customFormat="1" x14ac:dyDescent="0.35">
      <c r="A54" s="203"/>
      <c r="B54" s="39"/>
      <c r="C54" s="208"/>
      <c r="D54" s="223"/>
      <c r="E54" s="224"/>
      <c r="F54" s="189"/>
      <c r="G54" s="207"/>
      <c r="H54" s="189"/>
      <c r="I54" s="225"/>
      <c r="J54" s="226"/>
      <c r="K54" s="208"/>
    </row>
    <row r="55" spans="1:11" s="8" customFormat="1" x14ac:dyDescent="0.35">
      <c r="A55" s="203"/>
      <c r="B55" s="39"/>
      <c r="C55" s="208"/>
      <c r="D55" s="223"/>
      <c r="E55" s="224"/>
      <c r="F55" s="189"/>
      <c r="G55" s="207"/>
      <c r="H55" s="189"/>
      <c r="I55" s="225"/>
      <c r="J55" s="226"/>
      <c r="K55" s="208"/>
    </row>
    <row r="56" spans="1:11" s="8" customFormat="1" x14ac:dyDescent="0.35">
      <c r="A56" s="203"/>
      <c r="B56" s="39"/>
      <c r="C56" s="208"/>
      <c r="D56" s="223"/>
      <c r="E56" s="224"/>
      <c r="F56" s="189"/>
      <c r="G56" s="207"/>
      <c r="H56" s="189"/>
      <c r="I56" s="225"/>
      <c r="J56" s="226"/>
      <c r="K56" s="208"/>
    </row>
    <row r="57" spans="1:11" s="8" customFormat="1" x14ac:dyDescent="0.35">
      <c r="A57" s="203"/>
      <c r="B57" s="39"/>
      <c r="C57" s="208"/>
      <c r="D57" s="223"/>
      <c r="E57" s="224"/>
      <c r="F57" s="189"/>
      <c r="G57" s="207"/>
      <c r="H57" s="189"/>
      <c r="I57" s="225"/>
      <c r="J57" s="226"/>
      <c r="K57" s="208"/>
    </row>
    <row r="58" spans="1:11" s="8" customFormat="1" x14ac:dyDescent="0.35">
      <c r="A58" s="203"/>
      <c r="B58" s="39"/>
      <c r="C58" s="208"/>
      <c r="D58" s="223"/>
      <c r="E58" s="224"/>
      <c r="F58" s="189"/>
      <c r="G58" s="207"/>
      <c r="H58" s="189"/>
      <c r="I58" s="225"/>
      <c r="J58" s="226"/>
      <c r="K58" s="208"/>
    </row>
    <row r="59" spans="1:11" s="8" customFormat="1" x14ac:dyDescent="0.35">
      <c r="A59" s="203"/>
      <c r="B59" s="39"/>
      <c r="C59" s="208"/>
      <c r="D59" s="223"/>
      <c r="E59" s="224"/>
      <c r="F59" s="189"/>
      <c r="G59" s="207"/>
      <c r="H59" s="189"/>
      <c r="I59" s="225"/>
      <c r="J59" s="226"/>
      <c r="K59" s="208"/>
    </row>
    <row r="60" spans="1:11" s="8" customFormat="1" x14ac:dyDescent="0.35">
      <c r="A60" s="203"/>
      <c r="B60" s="39"/>
      <c r="C60" s="208"/>
      <c r="D60" s="223"/>
      <c r="E60" s="224"/>
      <c r="F60" s="189"/>
      <c r="G60" s="207"/>
      <c r="H60" s="189"/>
      <c r="I60" s="225"/>
      <c r="J60" s="226"/>
      <c r="K60" s="208"/>
    </row>
    <row r="61" spans="1:11" s="8" customFormat="1" x14ac:dyDescent="0.35">
      <c r="A61" s="203"/>
      <c r="B61" s="39"/>
      <c r="C61" s="208"/>
      <c r="D61" s="223"/>
      <c r="E61" s="224"/>
      <c r="F61" s="189"/>
      <c r="G61" s="207"/>
      <c r="H61" s="189"/>
      <c r="I61" s="225"/>
      <c r="J61" s="226"/>
      <c r="K61" s="208"/>
    </row>
    <row r="62" spans="1:11" s="8" customFormat="1" x14ac:dyDescent="0.35">
      <c r="A62" s="203"/>
      <c r="B62" s="39"/>
      <c r="C62" s="208"/>
      <c r="D62" s="223"/>
      <c r="E62" s="224"/>
      <c r="F62" s="189"/>
      <c r="G62" s="207"/>
      <c r="H62" s="189"/>
      <c r="I62" s="225"/>
      <c r="J62" s="226"/>
      <c r="K62" s="208"/>
    </row>
    <row r="63" spans="1:11" s="8" customFormat="1" x14ac:dyDescent="0.35">
      <c r="A63" s="203"/>
      <c r="B63" s="39"/>
      <c r="C63" s="208"/>
      <c r="D63" s="223"/>
      <c r="E63" s="224"/>
      <c r="F63" s="189"/>
      <c r="G63" s="207"/>
      <c r="H63" s="189"/>
      <c r="I63" s="225"/>
      <c r="J63" s="226"/>
      <c r="K63" s="208"/>
    </row>
    <row r="64" spans="1:11" s="8" customFormat="1" x14ac:dyDescent="0.35">
      <c r="A64" s="203"/>
      <c r="B64" s="39"/>
      <c r="C64" s="208"/>
      <c r="D64" s="223"/>
      <c r="E64" s="224"/>
      <c r="F64" s="189"/>
      <c r="G64" s="207"/>
      <c r="H64" s="189"/>
      <c r="I64" s="225"/>
      <c r="J64" s="226"/>
      <c r="K64" s="208"/>
    </row>
    <row r="65" s="8" customFormat="1" x14ac:dyDescent="0.35"/>
    <row r="66" s="8" customFormat="1" x14ac:dyDescent="0.35"/>
  </sheetData>
  <mergeCells count="6">
    <mergeCell ref="D4:H4"/>
    <mergeCell ref="C7:E7"/>
    <mergeCell ref="F7:G7"/>
    <mergeCell ref="H7:J7"/>
    <mergeCell ref="D5:G5"/>
    <mergeCell ref="D6:G6"/>
  </mergeCells>
  <pageMargins left="0.70866141732283472" right="0.70866141732283472" top="0.74803149606299213" bottom="0.74803149606299213" header="0.31496062992125984" footer="0.31496062992125984"/>
  <pageSetup scale="7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XFD63"/>
  <sheetViews>
    <sheetView topLeftCell="A4" workbookViewId="0">
      <selection activeCell="K7" sqref="K7"/>
    </sheetView>
  </sheetViews>
  <sheetFormatPr baseColWidth="10" defaultRowHeight="14.5" x14ac:dyDescent="0.35"/>
  <cols>
    <col min="2" max="2" width="27.54296875" bestFit="1" customWidth="1"/>
    <col min="12" max="14" width="10.81640625" customWidth="1"/>
  </cols>
  <sheetData>
    <row r="1" spans="1:14" x14ac:dyDescent="0.35">
      <c r="A1" s="1" t="s">
        <v>0</v>
      </c>
      <c r="B1" s="2"/>
      <c r="C1" s="35"/>
      <c r="D1" s="35"/>
      <c r="E1" s="35"/>
      <c r="F1" s="35"/>
      <c r="G1" s="35"/>
      <c r="H1" s="36" t="s">
        <v>1</v>
      </c>
      <c r="I1" s="35"/>
      <c r="J1" s="35"/>
      <c r="K1" s="37"/>
      <c r="L1" s="140"/>
      <c r="M1" s="140"/>
      <c r="N1" s="140"/>
    </row>
    <row r="2" spans="1:14" x14ac:dyDescent="0.35">
      <c r="A2" s="6" t="s">
        <v>2</v>
      </c>
      <c r="B2" s="7"/>
      <c r="C2" s="38"/>
      <c r="D2" s="141"/>
      <c r="E2" s="141"/>
      <c r="F2" s="141"/>
      <c r="G2" s="38"/>
      <c r="H2" s="39" t="s">
        <v>648</v>
      </c>
      <c r="I2" s="38"/>
      <c r="J2" s="38"/>
      <c r="K2" s="40"/>
      <c r="L2" s="140"/>
      <c r="M2" s="140"/>
      <c r="N2" s="140"/>
    </row>
    <row r="3" spans="1:14" x14ac:dyDescent="0.35">
      <c r="A3" s="11" t="s">
        <v>4</v>
      </c>
      <c r="B3" s="12"/>
      <c r="C3" s="38"/>
      <c r="D3" s="141"/>
      <c r="E3" s="141"/>
      <c r="F3" s="141"/>
      <c r="G3" s="38"/>
      <c r="H3" s="39" t="s">
        <v>5</v>
      </c>
      <c r="I3" s="38"/>
      <c r="J3" s="38"/>
      <c r="K3" s="40"/>
      <c r="L3" s="140"/>
      <c r="M3" s="140"/>
      <c r="N3" s="140"/>
    </row>
    <row r="4" spans="1:14" x14ac:dyDescent="0.35">
      <c r="A4" s="15"/>
      <c r="B4" s="38"/>
      <c r="C4" s="38"/>
      <c r="D4" s="275" t="s">
        <v>6</v>
      </c>
      <c r="E4" s="275"/>
      <c r="F4" s="275"/>
      <c r="G4" s="275"/>
      <c r="H4" s="275"/>
      <c r="I4" s="38"/>
      <c r="J4" s="38"/>
      <c r="K4" s="40"/>
      <c r="L4" s="140"/>
      <c r="M4" s="140"/>
      <c r="N4" s="140"/>
    </row>
    <row r="5" spans="1:14" x14ac:dyDescent="0.35">
      <c r="A5" s="15"/>
      <c r="B5" s="41"/>
      <c r="C5" s="38"/>
      <c r="D5" s="281" t="s">
        <v>64</v>
      </c>
      <c r="E5" s="281"/>
      <c r="F5" s="281"/>
      <c r="G5" s="281"/>
      <c r="H5" s="38"/>
      <c r="I5" s="38"/>
      <c r="J5" s="38"/>
      <c r="K5" s="40"/>
      <c r="L5" s="140"/>
      <c r="M5" s="140"/>
      <c r="N5" s="140"/>
    </row>
    <row r="6" spans="1:14" x14ac:dyDescent="0.35">
      <c r="A6" s="15"/>
      <c r="B6" s="41"/>
      <c r="C6" s="38"/>
      <c r="D6" s="282" t="s">
        <v>7</v>
      </c>
      <c r="E6" s="282"/>
      <c r="F6" s="282"/>
      <c r="G6" s="282"/>
      <c r="H6" s="38"/>
      <c r="I6" s="38"/>
      <c r="J6" s="38"/>
      <c r="K6" s="40"/>
      <c r="L6" s="140"/>
      <c r="M6" s="140"/>
      <c r="N6" s="140"/>
    </row>
    <row r="7" spans="1:14" x14ac:dyDescent="0.35">
      <c r="A7" s="16" t="s">
        <v>8</v>
      </c>
      <c r="B7" s="42" t="s">
        <v>9</v>
      </c>
      <c r="C7" s="276" t="s">
        <v>10</v>
      </c>
      <c r="D7" s="276"/>
      <c r="E7" s="277"/>
      <c r="F7" s="278" t="s">
        <v>11</v>
      </c>
      <c r="G7" s="278"/>
      <c r="H7" s="279" t="s">
        <v>12</v>
      </c>
      <c r="I7" s="280"/>
      <c r="J7" s="280"/>
      <c r="K7" s="166" t="s">
        <v>13</v>
      </c>
      <c r="L7" s="140"/>
      <c r="M7" s="140"/>
      <c r="N7" s="140"/>
    </row>
    <row r="8" spans="1:14" x14ac:dyDescent="0.35">
      <c r="A8" s="18"/>
      <c r="B8" s="43"/>
      <c r="C8" s="43" t="s">
        <v>14</v>
      </c>
      <c r="D8" s="44" t="s">
        <v>15</v>
      </c>
      <c r="E8" s="45" t="s">
        <v>16</v>
      </c>
      <c r="F8" s="46" t="s">
        <v>17</v>
      </c>
      <c r="G8" s="46" t="s">
        <v>18</v>
      </c>
      <c r="H8" s="44" t="s">
        <v>19</v>
      </c>
      <c r="I8" s="47" t="s">
        <v>20</v>
      </c>
      <c r="J8" s="48" t="s">
        <v>21</v>
      </c>
      <c r="K8" s="193"/>
      <c r="L8" s="140"/>
      <c r="M8" s="140"/>
      <c r="N8" s="140"/>
    </row>
    <row r="9" spans="1:14" x14ac:dyDescent="0.35">
      <c r="A9" s="25">
        <v>42371</v>
      </c>
      <c r="B9" s="81" t="s">
        <v>29</v>
      </c>
      <c r="C9" s="60">
        <f>+[1]blanco!$E$61</f>
        <v>1175.2600000000016</v>
      </c>
      <c r="D9" s="51"/>
      <c r="E9" s="89">
        <f>+C9</f>
        <v>1175.2600000000016</v>
      </c>
      <c r="F9" s="51">
        <f>+H9/C9</f>
        <v>25.772445489168042</v>
      </c>
      <c r="G9" s="51"/>
      <c r="H9" s="52">
        <f>+[1]blanco!$J$61</f>
        <v>30289.324285599676</v>
      </c>
      <c r="I9" s="62"/>
      <c r="J9" s="62">
        <f>+H9</f>
        <v>30289.324285599676</v>
      </c>
      <c r="K9" s="53"/>
      <c r="L9" s="140"/>
      <c r="M9" s="140"/>
      <c r="N9" s="140"/>
    </row>
    <row r="10" spans="1:14" x14ac:dyDescent="0.35">
      <c r="A10" s="90">
        <v>42371</v>
      </c>
      <c r="B10" s="55" t="s">
        <v>36</v>
      </c>
      <c r="C10" s="91"/>
      <c r="D10" s="58">
        <f>4.7</f>
        <v>4.7</v>
      </c>
      <c r="E10" s="92">
        <f>+E9-D10</f>
        <v>1170.5600000000015</v>
      </c>
      <c r="F10" s="58"/>
      <c r="G10" s="58">
        <f>+J9/E9</f>
        <v>25.772445489168042</v>
      </c>
      <c r="H10" s="58"/>
      <c r="I10" s="58">
        <f>+D10*G10</f>
        <v>121.13049379908981</v>
      </c>
      <c r="J10" s="91">
        <f>+J9-I10</f>
        <v>30168.193791800586</v>
      </c>
      <c r="K10" s="93"/>
      <c r="L10" s="140"/>
      <c r="M10" s="140"/>
      <c r="N10" s="140"/>
    </row>
    <row r="11" spans="1:14" x14ac:dyDescent="0.35">
      <c r="A11" s="90">
        <v>42371</v>
      </c>
      <c r="B11" s="55" t="s">
        <v>38</v>
      </c>
      <c r="C11" s="91"/>
      <c r="D11" s="58">
        <v>0</v>
      </c>
      <c r="E11" s="92">
        <f t="shared" ref="E11:E25" si="0">+E10-D11</f>
        <v>1170.5600000000015</v>
      </c>
      <c r="F11" s="58"/>
      <c r="G11" s="58">
        <f t="shared" ref="G11:G25" si="1">+J10/E10</f>
        <v>25.772445489168046</v>
      </c>
      <c r="H11" s="58"/>
      <c r="I11" s="58">
        <f t="shared" ref="I11:I25" si="2">+D11*G11</f>
        <v>0</v>
      </c>
      <c r="J11" s="91">
        <f t="shared" ref="J11:J25" si="3">+J10-I11</f>
        <v>30168.193791800586</v>
      </c>
      <c r="K11" s="93"/>
      <c r="L11" s="140"/>
      <c r="M11" s="140"/>
      <c r="N11" s="140"/>
    </row>
    <row r="12" spans="1:14" x14ac:dyDescent="0.35">
      <c r="A12" s="90">
        <v>42373</v>
      </c>
      <c r="B12" s="55" t="s">
        <v>41</v>
      </c>
      <c r="C12" s="91"/>
      <c r="D12" s="58">
        <f>9*6.1+5*4.64</f>
        <v>78.099999999999994</v>
      </c>
      <c r="E12" s="92">
        <f t="shared" si="0"/>
        <v>1092.4600000000016</v>
      </c>
      <c r="F12" s="58"/>
      <c r="G12" s="58">
        <f t="shared" si="1"/>
        <v>25.772445489168046</v>
      </c>
      <c r="H12" s="58"/>
      <c r="I12" s="58">
        <f t="shared" si="2"/>
        <v>2012.8279927040242</v>
      </c>
      <c r="J12" s="91">
        <f t="shared" si="3"/>
        <v>28155.365799096562</v>
      </c>
      <c r="K12" s="93"/>
      <c r="L12" s="140"/>
      <c r="M12" s="140"/>
      <c r="N12" s="140"/>
    </row>
    <row r="13" spans="1:14" x14ac:dyDescent="0.35">
      <c r="A13" s="90">
        <v>42376</v>
      </c>
      <c r="B13" s="55" t="s">
        <v>47</v>
      </c>
      <c r="C13" s="91"/>
      <c r="D13" s="58">
        <f>9*6.5</f>
        <v>58.5</v>
      </c>
      <c r="E13" s="92">
        <f t="shared" si="0"/>
        <v>1033.9600000000016</v>
      </c>
      <c r="F13" s="58"/>
      <c r="G13" s="58">
        <f t="shared" si="1"/>
        <v>25.772445489168042</v>
      </c>
      <c r="H13" s="58"/>
      <c r="I13" s="58">
        <f t="shared" si="2"/>
        <v>1507.6880611163306</v>
      </c>
      <c r="J13" s="91">
        <f t="shared" si="3"/>
        <v>26647.67773798023</v>
      </c>
      <c r="K13" s="93"/>
      <c r="L13" s="140"/>
      <c r="M13" s="140"/>
      <c r="N13" s="140"/>
    </row>
    <row r="14" spans="1:14" x14ac:dyDescent="0.35">
      <c r="A14" s="90">
        <v>42377</v>
      </c>
      <c r="B14" s="55" t="s">
        <v>54</v>
      </c>
      <c r="C14" s="91"/>
      <c r="D14" s="58">
        <f>27*5.6</f>
        <v>151.19999999999999</v>
      </c>
      <c r="E14" s="92">
        <f t="shared" si="0"/>
        <v>882.76000000000158</v>
      </c>
      <c r="F14" s="58"/>
      <c r="G14" s="58">
        <f t="shared" si="1"/>
        <v>25.772445489168042</v>
      </c>
      <c r="H14" s="58"/>
      <c r="I14" s="58">
        <f t="shared" si="2"/>
        <v>3896.7937579622076</v>
      </c>
      <c r="J14" s="91">
        <f t="shared" si="3"/>
        <v>22750.883980018021</v>
      </c>
      <c r="K14" s="93"/>
      <c r="L14" s="140"/>
      <c r="M14" s="140"/>
      <c r="N14" s="140"/>
    </row>
    <row r="15" spans="1:14" x14ac:dyDescent="0.35">
      <c r="A15" s="90">
        <v>42381</v>
      </c>
      <c r="B15" s="55" t="s">
        <v>67</v>
      </c>
      <c r="C15" s="91"/>
      <c r="D15" s="58">
        <f>10*2.5</f>
        <v>25</v>
      </c>
      <c r="E15" s="92">
        <f t="shared" si="0"/>
        <v>857.76000000000158</v>
      </c>
      <c r="F15" s="58"/>
      <c r="G15" s="58">
        <f t="shared" si="1"/>
        <v>25.772445489168042</v>
      </c>
      <c r="H15" s="58"/>
      <c r="I15" s="58">
        <f t="shared" si="2"/>
        <v>644.31113722920111</v>
      </c>
      <c r="J15" s="91">
        <f t="shared" si="3"/>
        <v>22106.572842788821</v>
      </c>
      <c r="K15" s="93"/>
      <c r="L15" s="140"/>
      <c r="M15" s="140"/>
      <c r="N15" s="140"/>
    </row>
    <row r="16" spans="1:14" x14ac:dyDescent="0.35">
      <c r="A16" s="90">
        <v>42383</v>
      </c>
      <c r="B16" s="55" t="s">
        <v>72</v>
      </c>
      <c r="C16" s="91"/>
      <c r="D16" s="58">
        <f>6*3</f>
        <v>18</v>
      </c>
      <c r="E16" s="92">
        <f t="shared" si="0"/>
        <v>839.76000000000158</v>
      </c>
      <c r="F16" s="58"/>
      <c r="G16" s="58">
        <f t="shared" si="1"/>
        <v>25.772445489168042</v>
      </c>
      <c r="H16" s="58"/>
      <c r="I16" s="58">
        <f t="shared" si="2"/>
        <v>463.90401880502475</v>
      </c>
      <c r="J16" s="91">
        <f t="shared" si="3"/>
        <v>21642.668823983797</v>
      </c>
      <c r="K16" s="93"/>
      <c r="L16" s="140"/>
      <c r="M16" s="140"/>
      <c r="N16" s="140"/>
    </row>
    <row r="17" spans="1:14 16384:16384" x14ac:dyDescent="0.35">
      <c r="A17" s="135">
        <v>42383</v>
      </c>
      <c r="B17" s="115" t="s">
        <v>73</v>
      </c>
      <c r="C17" s="117"/>
      <c r="D17" s="117">
        <f>6*2.19</f>
        <v>13.14</v>
      </c>
      <c r="E17" s="136">
        <f t="shared" si="0"/>
        <v>826.6200000000016</v>
      </c>
      <c r="F17" s="117"/>
      <c r="G17" s="117">
        <f t="shared" si="1"/>
        <v>25.772445489168042</v>
      </c>
      <c r="H17" s="117"/>
      <c r="I17" s="117">
        <f t="shared" si="2"/>
        <v>338.6499337276681</v>
      </c>
      <c r="J17" s="117">
        <f t="shared" si="3"/>
        <v>21304.018890256128</v>
      </c>
      <c r="K17" s="137"/>
      <c r="L17" s="142">
        <f>SUM(I10:I17)</f>
        <v>8985.3053953435447</v>
      </c>
      <c r="M17" s="160"/>
      <c r="N17" s="143">
        <v>42384</v>
      </c>
    </row>
    <row r="18" spans="1:14 16384:16384" x14ac:dyDescent="0.35">
      <c r="A18" s="135">
        <v>42395</v>
      </c>
      <c r="B18" s="115" t="s">
        <v>104</v>
      </c>
      <c r="C18" s="117"/>
      <c r="D18" s="117">
        <f>17*1.68</f>
        <v>28.56</v>
      </c>
      <c r="E18" s="136">
        <f t="shared" si="0"/>
        <v>798.06000000000165</v>
      </c>
      <c r="F18" s="117"/>
      <c r="G18" s="117">
        <f t="shared" si="1"/>
        <v>25.772445489168042</v>
      </c>
      <c r="H18" s="117"/>
      <c r="I18" s="117">
        <f t="shared" si="2"/>
        <v>736.06104317063921</v>
      </c>
      <c r="J18" s="117">
        <f t="shared" si="3"/>
        <v>20567.957847085487</v>
      </c>
      <c r="K18" s="137"/>
      <c r="L18" s="142">
        <f>SUM(I18)</f>
        <v>736.06104317063921</v>
      </c>
      <c r="M18" s="142">
        <f>SUM(L17:L18)</f>
        <v>9721.3664385141838</v>
      </c>
      <c r="N18" s="143">
        <v>42400</v>
      </c>
    </row>
    <row r="19" spans="1:14 16384:16384" x14ac:dyDescent="0.35">
      <c r="A19" s="90">
        <v>42410</v>
      </c>
      <c r="B19" s="55" t="s">
        <v>136</v>
      </c>
      <c r="C19" s="91"/>
      <c r="D19" s="58">
        <f>8*1.8+3*1.37</f>
        <v>18.510000000000002</v>
      </c>
      <c r="E19" s="92">
        <f t="shared" si="0"/>
        <v>779.55000000000166</v>
      </c>
      <c r="F19" s="58"/>
      <c r="G19" s="58">
        <f t="shared" si="1"/>
        <v>25.772445489168039</v>
      </c>
      <c r="H19" s="58"/>
      <c r="I19" s="58">
        <f t="shared" si="2"/>
        <v>477.04796600450044</v>
      </c>
      <c r="J19" s="91">
        <f t="shared" si="3"/>
        <v>20090.909881080985</v>
      </c>
      <c r="K19" s="93"/>
      <c r="L19" s="140"/>
      <c r="M19" s="140"/>
      <c r="N19" s="140"/>
    </row>
    <row r="20" spans="1:14 16384:16384" x14ac:dyDescent="0.35">
      <c r="A20" s="135">
        <v>42412</v>
      </c>
      <c r="B20" s="115" t="s">
        <v>140</v>
      </c>
      <c r="C20" s="117"/>
      <c r="D20" s="117">
        <f>3.5</f>
        <v>3.5</v>
      </c>
      <c r="E20" s="136">
        <f t="shared" si="0"/>
        <v>776.05000000000166</v>
      </c>
      <c r="F20" s="117"/>
      <c r="G20" s="117">
        <f t="shared" si="1"/>
        <v>25.772445489168035</v>
      </c>
      <c r="H20" s="117"/>
      <c r="I20" s="117">
        <f t="shared" si="2"/>
        <v>90.203559212088123</v>
      </c>
      <c r="J20" s="117">
        <f t="shared" si="3"/>
        <v>20000.706321868896</v>
      </c>
      <c r="K20" s="137"/>
      <c r="L20" s="142">
        <f>SUM(I19:I20)</f>
        <v>567.25152521658856</v>
      </c>
      <c r="M20" s="142">
        <f>SUM(L20)</f>
        <v>567.25152521658856</v>
      </c>
      <c r="N20" s="143">
        <v>42415</v>
      </c>
    </row>
    <row r="21" spans="1:14 16384:16384" x14ac:dyDescent="0.35">
      <c r="A21" s="135">
        <v>42476</v>
      </c>
      <c r="B21" s="115" t="s">
        <v>277</v>
      </c>
      <c r="C21" s="117"/>
      <c r="D21" s="117">
        <v>4</v>
      </c>
      <c r="E21" s="136">
        <f t="shared" si="0"/>
        <v>772.05000000000166</v>
      </c>
      <c r="F21" s="117"/>
      <c r="G21" s="117">
        <f t="shared" si="1"/>
        <v>25.772445489168035</v>
      </c>
      <c r="H21" s="117"/>
      <c r="I21" s="117">
        <f t="shared" si="2"/>
        <v>103.08978195667214</v>
      </c>
      <c r="J21" s="117">
        <f t="shared" si="3"/>
        <v>19897.616539912226</v>
      </c>
      <c r="K21" s="137"/>
      <c r="L21" s="142">
        <f>SUM(I21)</f>
        <v>103.08978195667214</v>
      </c>
      <c r="M21" s="142">
        <f>SUM(L21)</f>
        <v>103.08978195667214</v>
      </c>
      <c r="N21" s="143">
        <v>42490</v>
      </c>
    </row>
    <row r="22" spans="1:14 16384:16384" s="112" customFormat="1" x14ac:dyDescent="0.35">
      <c r="A22" s="135">
        <v>42552</v>
      </c>
      <c r="B22" s="115" t="s">
        <v>432</v>
      </c>
      <c r="C22" s="117"/>
      <c r="D22" s="117">
        <f>7*6.9+3*8.5+3*5.8+2*8.7+8*3.5</f>
        <v>136.60000000000002</v>
      </c>
      <c r="E22" s="136">
        <f t="shared" si="0"/>
        <v>635.45000000000164</v>
      </c>
      <c r="F22" s="117"/>
      <c r="G22" s="117">
        <f t="shared" si="1"/>
        <v>25.772445489168035</v>
      </c>
      <c r="H22" s="117"/>
      <c r="I22" s="117">
        <f t="shared" si="2"/>
        <v>3520.516053820354</v>
      </c>
      <c r="J22" s="117">
        <f t="shared" si="3"/>
        <v>16377.100486091871</v>
      </c>
      <c r="K22" s="137"/>
      <c r="L22" s="142">
        <f>SUM(I22)</f>
        <v>3520.516053820354</v>
      </c>
      <c r="M22" s="142">
        <f>SUM(L22)</f>
        <v>3520.516053820354</v>
      </c>
      <c r="N22" s="143">
        <v>42566</v>
      </c>
      <c r="XFD22" s="123">
        <f>SUM(D22:XFC22)</f>
        <v>70302.471093042099</v>
      </c>
    </row>
    <row r="23" spans="1:14 16384:16384" x14ac:dyDescent="0.35">
      <c r="A23" s="90">
        <v>42619</v>
      </c>
      <c r="B23" s="55" t="s">
        <v>491</v>
      </c>
      <c r="C23" s="91"/>
      <c r="D23" s="58">
        <f>18*3.05</f>
        <v>54.9</v>
      </c>
      <c r="E23" s="92">
        <f t="shared" si="0"/>
        <v>580.55000000000166</v>
      </c>
      <c r="F23" s="58"/>
      <c r="G23" s="58">
        <f t="shared" si="1"/>
        <v>25.772445489168035</v>
      </c>
      <c r="H23" s="58"/>
      <c r="I23" s="58">
        <f t="shared" si="2"/>
        <v>1414.9072573553251</v>
      </c>
      <c r="J23" s="91">
        <f t="shared" si="3"/>
        <v>14962.193228736545</v>
      </c>
      <c r="K23" s="93"/>
      <c r="L23" s="144"/>
      <c r="M23" s="144"/>
      <c r="N23" s="140"/>
    </row>
    <row r="24" spans="1:14 16384:16384" s="112" customFormat="1" x14ac:dyDescent="0.35">
      <c r="A24" s="135">
        <v>42625</v>
      </c>
      <c r="B24" s="115" t="s">
        <v>493</v>
      </c>
      <c r="C24" s="117"/>
      <c r="D24" s="117">
        <f>2*2.4</f>
        <v>4.8</v>
      </c>
      <c r="E24" s="136">
        <f t="shared" si="0"/>
        <v>575.75000000000171</v>
      </c>
      <c r="F24" s="117"/>
      <c r="G24" s="117">
        <f t="shared" si="1"/>
        <v>25.772445489168035</v>
      </c>
      <c r="H24" s="117"/>
      <c r="I24" s="117">
        <f t="shared" si="2"/>
        <v>123.70773834800656</v>
      </c>
      <c r="J24" s="117">
        <f t="shared" si="3"/>
        <v>14838.485490388539</v>
      </c>
      <c r="K24" s="137"/>
      <c r="L24" s="142">
        <f>SUM(I23:I24)</f>
        <v>1538.6149957033317</v>
      </c>
      <c r="M24" s="142">
        <f>SUM(L24)</f>
        <v>1538.6149957033317</v>
      </c>
      <c r="N24" s="143">
        <v>42628</v>
      </c>
    </row>
    <row r="25" spans="1:14 16384:16384" s="112" customFormat="1" x14ac:dyDescent="0.35">
      <c r="A25" s="135">
        <v>42704</v>
      </c>
      <c r="B25" s="115" t="s">
        <v>582</v>
      </c>
      <c r="C25" s="117"/>
      <c r="D25" s="117">
        <f>10*6.85</f>
        <v>68.5</v>
      </c>
      <c r="E25" s="136">
        <f t="shared" si="0"/>
        <v>507.25000000000171</v>
      </c>
      <c r="F25" s="117"/>
      <c r="G25" s="117">
        <f t="shared" si="1"/>
        <v>25.772445489168032</v>
      </c>
      <c r="H25" s="117"/>
      <c r="I25" s="117">
        <f t="shared" si="2"/>
        <v>1765.4125160080102</v>
      </c>
      <c r="J25" s="117">
        <f t="shared" si="3"/>
        <v>13073.072974380528</v>
      </c>
      <c r="K25" s="137"/>
      <c r="L25" s="142">
        <f>SUM(I25)</f>
        <v>1765.4125160080102</v>
      </c>
      <c r="M25" s="142">
        <f>SUM(L25)</f>
        <v>1765.4125160080102</v>
      </c>
      <c r="N25" s="143">
        <v>42704</v>
      </c>
    </row>
    <row r="26" spans="1:14 16384:16384" ht="15" thickBot="1" x14ac:dyDescent="0.4">
      <c r="A26" s="233"/>
      <c r="B26" s="195" t="s">
        <v>638</v>
      </c>
      <c r="C26" s="234">
        <f>SUM(C9:C25)</f>
        <v>1175.2600000000016</v>
      </c>
      <c r="D26" s="234">
        <f>SUM(D9:D25)</f>
        <v>668.00999999999988</v>
      </c>
      <c r="E26" s="235"/>
      <c r="F26" s="198"/>
      <c r="G26" s="198"/>
      <c r="H26" s="234">
        <f t="shared" ref="H26:I26" si="4">SUM(H9:H25)</f>
        <v>30289.324285599676</v>
      </c>
      <c r="I26" s="234">
        <f t="shared" si="4"/>
        <v>17216.251311219141</v>
      </c>
      <c r="J26" s="234"/>
      <c r="K26" s="236"/>
      <c r="L26" s="140"/>
      <c r="M26" s="230">
        <f>SUM(M18:M25)</f>
        <v>17216.251311219141</v>
      </c>
      <c r="N26" s="140"/>
    </row>
    <row r="27" spans="1:14 16384:16384" s="8" customFormat="1" x14ac:dyDescent="0.35">
      <c r="A27" s="184"/>
      <c r="B27" s="185"/>
      <c r="C27" s="231"/>
      <c r="D27" s="189"/>
      <c r="E27" s="232"/>
      <c r="F27" s="189"/>
      <c r="G27" s="189"/>
      <c r="H27" s="189"/>
      <c r="I27" s="189"/>
      <c r="J27" s="231"/>
      <c r="K27" s="186"/>
      <c r="L27" s="38"/>
      <c r="M27" s="38"/>
      <c r="N27" s="38"/>
    </row>
    <row r="28" spans="1:14 16384:16384" s="8" customFormat="1" x14ac:dyDescent="0.35">
      <c r="A28" s="174" t="s">
        <v>639</v>
      </c>
      <c r="B28" s="39"/>
      <c r="C28" s="38"/>
      <c r="D28" s="38"/>
      <c r="E28" s="38"/>
      <c r="F28" s="38"/>
      <c r="G28" s="140"/>
      <c r="H28" s="140"/>
      <c r="I28" s="140"/>
      <c r="J28" s="140"/>
      <c r="K28" s="186"/>
      <c r="L28" s="38"/>
      <c r="M28" s="38"/>
      <c r="N28" s="38"/>
    </row>
    <row r="29" spans="1:14 16384:16384" s="8" customFormat="1" x14ac:dyDescent="0.35">
      <c r="A29" s="174" t="s">
        <v>642</v>
      </c>
      <c r="B29" s="39"/>
      <c r="C29" s="38"/>
      <c r="D29" s="38"/>
      <c r="E29" s="38"/>
      <c r="F29" s="38"/>
      <c r="G29" s="140"/>
      <c r="H29" s="140"/>
      <c r="I29" s="140"/>
      <c r="J29" s="28">
        <f>+E25*F9</f>
        <v>13073.072974380533</v>
      </c>
      <c r="K29" s="186"/>
      <c r="L29" s="38"/>
      <c r="M29" s="38"/>
      <c r="N29" s="38"/>
    </row>
    <row r="30" spans="1:14 16384:16384" s="8" customFormat="1" x14ac:dyDescent="0.35">
      <c r="A30" s="174" t="s">
        <v>640</v>
      </c>
      <c r="B30" s="39"/>
      <c r="C30" s="38"/>
      <c r="D30" s="38"/>
      <c r="E30" s="38"/>
      <c r="F30" s="38"/>
      <c r="G30" s="140"/>
      <c r="H30" s="140"/>
      <c r="I30" s="140"/>
      <c r="J30" s="175">
        <f>+J25</f>
        <v>13073.072974380528</v>
      </c>
      <c r="K30" s="186"/>
      <c r="L30" s="38"/>
      <c r="M30" s="38"/>
      <c r="N30" s="38"/>
    </row>
    <row r="31" spans="1:14 16384:16384" s="8" customFormat="1" ht="15" thickBot="1" x14ac:dyDescent="0.4">
      <c r="A31" s="174"/>
      <c r="B31" s="39" t="s">
        <v>641</v>
      </c>
      <c r="C31" s="38"/>
      <c r="D31" s="38"/>
      <c r="E31" s="38"/>
      <c r="F31" s="38"/>
      <c r="G31" s="140"/>
      <c r="H31" s="140"/>
      <c r="I31" s="140"/>
      <c r="J31" s="202">
        <f>+J29-J30</f>
        <v>0</v>
      </c>
      <c r="K31" s="186"/>
      <c r="L31" s="38"/>
      <c r="M31" s="38"/>
      <c r="N31" s="38"/>
    </row>
    <row r="32" spans="1:14 16384:16384" s="8" customFormat="1" ht="15" thickTop="1" x14ac:dyDescent="0.35">
      <c r="A32" s="184"/>
      <c r="B32" s="185"/>
      <c r="C32" s="231"/>
      <c r="D32" s="189"/>
      <c r="E32" s="232"/>
      <c r="F32" s="189"/>
      <c r="G32" s="189"/>
      <c r="H32" s="189"/>
      <c r="I32" s="189"/>
      <c r="J32" s="231"/>
      <c r="K32" s="186"/>
      <c r="L32" s="38"/>
      <c r="M32" s="38"/>
      <c r="N32" s="38"/>
    </row>
    <row r="33" spans="1:14" s="8" customFormat="1" x14ac:dyDescent="0.35">
      <c r="A33" s="184"/>
      <c r="B33" s="185"/>
      <c r="C33" s="231"/>
      <c r="D33" s="189"/>
      <c r="E33" s="232"/>
      <c r="F33" s="189"/>
      <c r="G33" s="189"/>
      <c r="H33" s="189"/>
      <c r="I33" s="189"/>
      <c r="J33" s="231"/>
      <c r="K33" s="186"/>
      <c r="L33" s="38"/>
      <c r="M33" s="38"/>
      <c r="N33" s="38"/>
    </row>
    <row r="34" spans="1:14" s="8" customFormat="1" x14ac:dyDescent="0.35">
      <c r="A34" s="184"/>
      <c r="B34" s="185"/>
      <c r="C34" s="231"/>
      <c r="D34" s="189"/>
      <c r="E34" s="232"/>
      <c r="F34" s="189"/>
      <c r="G34" s="189"/>
      <c r="H34" s="189"/>
      <c r="I34" s="189"/>
      <c r="J34" s="231"/>
      <c r="K34" s="186"/>
      <c r="L34" s="38"/>
      <c r="M34" s="38"/>
      <c r="N34" s="38"/>
    </row>
    <row r="35" spans="1:14" s="8" customFormat="1" x14ac:dyDescent="0.35">
      <c r="A35" s="184"/>
      <c r="B35" s="185"/>
      <c r="C35" s="231"/>
      <c r="D35" s="189"/>
      <c r="E35" s="232"/>
      <c r="F35" s="189"/>
      <c r="G35" s="189"/>
      <c r="H35" s="189"/>
      <c r="I35" s="189"/>
      <c r="J35" s="231"/>
      <c r="K35" s="186"/>
      <c r="L35" s="38"/>
      <c r="M35" s="38"/>
      <c r="N35" s="38"/>
    </row>
    <row r="36" spans="1:14" s="8" customFormat="1" x14ac:dyDescent="0.35">
      <c r="A36" s="184"/>
      <c r="B36" s="185"/>
      <c r="C36" s="231"/>
      <c r="D36" s="189"/>
      <c r="E36" s="232"/>
      <c r="F36" s="189"/>
      <c r="G36" s="189"/>
      <c r="H36" s="189"/>
      <c r="I36" s="189"/>
      <c r="J36" s="231"/>
      <c r="K36" s="186"/>
      <c r="L36" s="38"/>
      <c r="M36" s="38"/>
      <c r="N36" s="38"/>
    </row>
    <row r="37" spans="1:14" s="8" customFormat="1" x14ac:dyDescent="0.35">
      <c r="A37" s="184"/>
      <c r="B37" s="185"/>
      <c r="C37" s="231"/>
      <c r="D37" s="189"/>
      <c r="E37" s="232"/>
      <c r="F37" s="189"/>
      <c r="G37" s="189"/>
      <c r="H37" s="189"/>
      <c r="I37" s="189"/>
      <c r="J37" s="231"/>
      <c r="K37" s="186"/>
      <c r="L37" s="38"/>
      <c r="M37" s="38"/>
      <c r="N37" s="38"/>
    </row>
    <row r="38" spans="1:14" s="8" customFormat="1" x14ac:dyDescent="0.35">
      <c r="A38" s="184"/>
      <c r="B38" s="185"/>
      <c r="C38" s="231"/>
      <c r="D38" s="189"/>
      <c r="E38" s="232"/>
      <c r="F38" s="189"/>
      <c r="G38" s="189"/>
      <c r="H38" s="189"/>
      <c r="I38" s="189"/>
      <c r="J38" s="231"/>
      <c r="K38" s="186"/>
      <c r="L38" s="38"/>
      <c r="M38" s="38"/>
      <c r="N38" s="38"/>
    </row>
    <row r="39" spans="1:14" s="8" customFormat="1" x14ac:dyDescent="0.35">
      <c r="A39" s="184"/>
      <c r="B39" s="185"/>
      <c r="C39" s="231"/>
      <c r="D39" s="189"/>
      <c r="E39" s="232"/>
      <c r="F39" s="189"/>
      <c r="G39" s="189"/>
      <c r="H39" s="189"/>
      <c r="I39" s="189"/>
      <c r="J39" s="231"/>
      <c r="K39" s="186"/>
    </row>
    <row r="40" spans="1:14" s="8" customFormat="1" x14ac:dyDescent="0.35">
      <c r="A40" s="184"/>
      <c r="B40" s="185"/>
      <c r="C40" s="231"/>
      <c r="D40" s="189"/>
      <c r="E40" s="232"/>
      <c r="F40" s="189"/>
      <c r="G40" s="189"/>
      <c r="H40" s="189"/>
      <c r="I40" s="189"/>
      <c r="J40" s="231"/>
      <c r="K40" s="186"/>
    </row>
    <row r="41" spans="1:14" s="8" customFormat="1" x14ac:dyDescent="0.35">
      <c r="A41" s="184"/>
      <c r="B41" s="185"/>
      <c r="C41" s="231"/>
      <c r="D41" s="189"/>
      <c r="E41" s="232"/>
      <c r="F41" s="189"/>
      <c r="G41" s="189"/>
      <c r="H41" s="189"/>
      <c r="I41" s="189"/>
      <c r="J41" s="231"/>
      <c r="K41" s="186"/>
    </row>
    <row r="42" spans="1:14" s="8" customFormat="1" x14ac:dyDescent="0.35">
      <c r="A42" s="184"/>
      <c r="B42" s="185"/>
      <c r="C42" s="231"/>
      <c r="D42" s="189"/>
      <c r="E42" s="232"/>
      <c r="F42" s="189"/>
      <c r="G42" s="189"/>
      <c r="H42" s="189"/>
      <c r="I42" s="189"/>
      <c r="J42" s="231"/>
      <c r="K42" s="186"/>
    </row>
    <row r="43" spans="1:14" s="8" customFormat="1" x14ac:dyDescent="0.35">
      <c r="A43" s="184"/>
      <c r="B43" s="185"/>
      <c r="C43" s="231"/>
      <c r="D43" s="189"/>
      <c r="E43" s="232"/>
      <c r="F43" s="189"/>
      <c r="G43" s="189"/>
      <c r="H43" s="189"/>
      <c r="I43" s="189"/>
      <c r="J43" s="231"/>
      <c r="K43" s="186"/>
    </row>
    <row r="44" spans="1:14" s="8" customFormat="1" x14ac:dyDescent="0.35">
      <c r="A44" s="184"/>
      <c r="B44" s="185"/>
      <c r="C44" s="231"/>
      <c r="D44" s="189"/>
      <c r="E44" s="232"/>
      <c r="F44" s="189"/>
      <c r="G44" s="189"/>
      <c r="H44" s="189"/>
      <c r="I44" s="189"/>
      <c r="J44" s="231"/>
      <c r="K44" s="186"/>
    </row>
    <row r="45" spans="1:14" s="8" customFormat="1" x14ac:dyDescent="0.35">
      <c r="A45" s="184"/>
      <c r="B45" s="185"/>
      <c r="C45" s="231"/>
      <c r="D45" s="189"/>
      <c r="E45" s="232"/>
      <c r="F45" s="189"/>
      <c r="G45" s="189"/>
      <c r="H45" s="189"/>
      <c r="I45" s="189"/>
      <c r="J45" s="231"/>
      <c r="K45" s="186"/>
    </row>
    <row r="46" spans="1:14" s="8" customFormat="1" x14ac:dyDescent="0.35"/>
    <row r="47" spans="1:14" s="8" customFormat="1" x14ac:dyDescent="0.35"/>
    <row r="48" spans="1:14" s="8" customFormat="1" x14ac:dyDescent="0.35"/>
    <row r="49" s="8" customFormat="1" x14ac:dyDescent="0.35"/>
    <row r="50" s="8" customFormat="1" x14ac:dyDescent="0.35"/>
    <row r="51" s="8" customFormat="1" x14ac:dyDescent="0.35"/>
    <row r="52" s="8" customFormat="1" x14ac:dyDescent="0.35"/>
    <row r="53" s="8" customFormat="1" x14ac:dyDescent="0.35"/>
    <row r="54" s="8" customFormat="1" x14ac:dyDescent="0.35"/>
    <row r="55" s="8" customFormat="1" x14ac:dyDescent="0.35"/>
    <row r="56" s="8" customFormat="1" x14ac:dyDescent="0.35"/>
    <row r="57" s="8" customFormat="1" x14ac:dyDescent="0.35"/>
    <row r="58" s="8" customFormat="1" x14ac:dyDescent="0.35"/>
    <row r="59" s="8" customFormat="1" x14ac:dyDescent="0.35"/>
    <row r="60" s="8" customFormat="1" x14ac:dyDescent="0.35"/>
    <row r="61" s="8" customFormat="1" x14ac:dyDescent="0.35"/>
    <row r="62" s="8" customFormat="1" x14ac:dyDescent="0.35"/>
    <row r="63" s="8" customFormat="1" x14ac:dyDescent="0.35"/>
  </sheetData>
  <mergeCells count="6">
    <mergeCell ref="D4:H4"/>
    <mergeCell ref="C7:E7"/>
    <mergeCell ref="F7:G7"/>
    <mergeCell ref="H7:J7"/>
    <mergeCell ref="D5:G5"/>
    <mergeCell ref="D6:G6"/>
  </mergeCells>
  <pageMargins left="0.70866141732283472" right="0.70866141732283472" top="0.74803149606299213" bottom="0.74803149606299213" header="0.31496062992125984" footer="0.31496062992125984"/>
  <pageSetup scale="7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9"/>
  <sheetViews>
    <sheetView workbookViewId="0">
      <selection sqref="A1:N35"/>
    </sheetView>
  </sheetViews>
  <sheetFormatPr baseColWidth="10" defaultRowHeight="14.5" x14ac:dyDescent="0.35"/>
  <cols>
    <col min="2" max="2" width="29.54296875" customWidth="1"/>
    <col min="12" max="14" width="10.81640625" customWidth="1"/>
  </cols>
  <sheetData>
    <row r="1" spans="1:14" x14ac:dyDescent="0.35">
      <c r="A1" s="1" t="s">
        <v>0</v>
      </c>
      <c r="B1" s="2"/>
      <c r="C1" s="35"/>
      <c r="D1" s="35"/>
      <c r="E1" s="35"/>
      <c r="F1" s="35"/>
      <c r="G1" s="35"/>
      <c r="H1" s="36" t="s">
        <v>1</v>
      </c>
      <c r="I1" s="35"/>
      <c r="J1" s="35"/>
      <c r="K1" s="37"/>
      <c r="L1" s="140"/>
      <c r="M1" s="140"/>
      <c r="N1" s="140"/>
    </row>
    <row r="2" spans="1:14" x14ac:dyDescent="0.35">
      <c r="A2" s="6" t="s">
        <v>2</v>
      </c>
      <c r="B2" s="7"/>
      <c r="C2" s="38"/>
      <c r="D2" s="38"/>
      <c r="E2" s="38"/>
      <c r="F2" s="38"/>
      <c r="G2" s="38"/>
      <c r="H2" s="39" t="s">
        <v>30</v>
      </c>
      <c r="I2" s="38"/>
      <c r="J2" s="38"/>
      <c r="K2" s="40"/>
      <c r="L2" s="140"/>
      <c r="M2" s="140"/>
      <c r="N2" s="140"/>
    </row>
    <row r="3" spans="1:14" x14ac:dyDescent="0.35">
      <c r="A3" s="11" t="s">
        <v>4</v>
      </c>
      <c r="B3" s="12"/>
      <c r="C3" s="38"/>
      <c r="D3" s="38"/>
      <c r="E3" s="38"/>
      <c r="F3" s="38"/>
      <c r="G3" s="38"/>
      <c r="H3" s="39" t="s">
        <v>5</v>
      </c>
      <c r="I3" s="38"/>
      <c r="J3" s="38"/>
      <c r="K3" s="40"/>
      <c r="L3" s="140"/>
      <c r="M3" s="140"/>
      <c r="N3" s="140"/>
    </row>
    <row r="4" spans="1:14" x14ac:dyDescent="0.35">
      <c r="A4" s="15"/>
      <c r="B4" s="38"/>
      <c r="C4" s="38"/>
      <c r="D4" s="275" t="s">
        <v>6</v>
      </c>
      <c r="E4" s="275"/>
      <c r="F4" s="275"/>
      <c r="G4" s="275"/>
      <c r="H4" s="275"/>
      <c r="I4" s="38"/>
      <c r="J4" s="38"/>
      <c r="K4" s="40"/>
      <c r="L4" s="140"/>
      <c r="M4" s="140"/>
      <c r="N4" s="140"/>
    </row>
    <row r="5" spans="1:14" x14ac:dyDescent="0.35">
      <c r="A5" s="15"/>
      <c r="B5" s="41"/>
      <c r="C5" s="38"/>
      <c r="D5" s="281" t="s">
        <v>64</v>
      </c>
      <c r="E5" s="281"/>
      <c r="F5" s="281"/>
      <c r="G5" s="281"/>
      <c r="H5" s="38"/>
      <c r="I5" s="38"/>
      <c r="J5" s="38"/>
      <c r="K5" s="40"/>
      <c r="L5" s="140"/>
      <c r="M5" s="140"/>
      <c r="N5" s="140"/>
    </row>
    <row r="6" spans="1:14" x14ac:dyDescent="0.35">
      <c r="A6" s="15"/>
      <c r="B6" s="41"/>
      <c r="C6" s="38"/>
      <c r="D6" s="282" t="s">
        <v>7</v>
      </c>
      <c r="E6" s="282"/>
      <c r="F6" s="282"/>
      <c r="G6" s="282"/>
      <c r="H6" s="38"/>
      <c r="I6" s="38"/>
      <c r="J6" s="38"/>
      <c r="K6" s="40"/>
      <c r="L6" s="140"/>
      <c r="M6" s="140"/>
      <c r="N6" s="140"/>
    </row>
    <row r="7" spans="1:14" x14ac:dyDescent="0.35">
      <c r="A7" s="16" t="s">
        <v>8</v>
      </c>
      <c r="B7" s="42" t="s">
        <v>9</v>
      </c>
      <c r="C7" s="276" t="s">
        <v>10</v>
      </c>
      <c r="D7" s="276"/>
      <c r="E7" s="277"/>
      <c r="F7" s="278" t="s">
        <v>11</v>
      </c>
      <c r="G7" s="278"/>
      <c r="H7" s="279" t="s">
        <v>12</v>
      </c>
      <c r="I7" s="280"/>
      <c r="J7" s="280"/>
      <c r="K7" s="166" t="s">
        <v>13</v>
      </c>
      <c r="L7" s="140"/>
      <c r="M7" s="140"/>
      <c r="N7" s="140"/>
    </row>
    <row r="8" spans="1:14" x14ac:dyDescent="0.35">
      <c r="A8" s="18"/>
      <c r="B8" s="43"/>
      <c r="C8" s="43" t="s">
        <v>14</v>
      </c>
      <c r="D8" s="44" t="s">
        <v>15</v>
      </c>
      <c r="E8" s="45" t="s">
        <v>16</v>
      </c>
      <c r="F8" s="46" t="s">
        <v>17</v>
      </c>
      <c r="G8" s="46" t="s">
        <v>18</v>
      </c>
      <c r="H8" s="44" t="s">
        <v>19</v>
      </c>
      <c r="I8" s="47" t="s">
        <v>20</v>
      </c>
      <c r="J8" s="48" t="s">
        <v>21</v>
      </c>
      <c r="K8" s="193"/>
      <c r="L8" s="140"/>
      <c r="M8" s="140"/>
      <c r="N8" s="140"/>
    </row>
    <row r="9" spans="1:14" x14ac:dyDescent="0.35">
      <c r="A9" s="25">
        <v>42371</v>
      </c>
      <c r="B9" s="81" t="s">
        <v>22</v>
      </c>
      <c r="C9" s="60">
        <f>+[1]galva.!$E$61</f>
        <v>4219.2</v>
      </c>
      <c r="D9" s="51"/>
      <c r="E9" s="89">
        <f>+C9</f>
        <v>4219.2</v>
      </c>
      <c r="F9" s="51">
        <f>+H9/C9</f>
        <v>19.821282789189926</v>
      </c>
      <c r="G9" s="51"/>
      <c r="H9" s="52">
        <f>+[1]galva.!$J$61</f>
        <v>83629.956344150138</v>
      </c>
      <c r="I9" s="62"/>
      <c r="J9" s="62">
        <f>+H9</f>
        <v>83629.956344150138</v>
      </c>
      <c r="K9" s="53"/>
      <c r="L9" s="140"/>
      <c r="M9" s="140"/>
      <c r="N9" s="140"/>
    </row>
    <row r="10" spans="1:14" x14ac:dyDescent="0.35">
      <c r="A10" s="25">
        <v>42374</v>
      </c>
      <c r="B10" s="31" t="s">
        <v>44</v>
      </c>
      <c r="C10" s="62"/>
      <c r="D10" s="62">
        <f>10*3</f>
        <v>30</v>
      </c>
      <c r="E10" s="61">
        <f>+E9-D10</f>
        <v>4189.2</v>
      </c>
      <c r="F10" s="58"/>
      <c r="G10" s="51">
        <f>+J9/E9</f>
        <v>19.821282789189926</v>
      </c>
      <c r="H10" s="58"/>
      <c r="I10" s="51">
        <f>+D10*G10</f>
        <v>594.63848367569778</v>
      </c>
      <c r="J10" s="62">
        <f>+J9-I10</f>
        <v>83035.317860474446</v>
      </c>
      <c r="K10" s="34"/>
      <c r="L10" s="140"/>
      <c r="M10" s="140"/>
      <c r="N10" s="140"/>
    </row>
    <row r="11" spans="1:14" x14ac:dyDescent="0.35">
      <c r="A11" s="106">
        <v>42383</v>
      </c>
      <c r="B11" s="107" t="s">
        <v>76</v>
      </c>
      <c r="C11" s="122"/>
      <c r="D11" s="122">
        <f>6*3</f>
        <v>18</v>
      </c>
      <c r="E11" s="121">
        <f t="shared" ref="E11:E28" si="0">+E10-D11</f>
        <v>4171.2</v>
      </c>
      <c r="F11" s="117"/>
      <c r="G11" s="122">
        <f t="shared" ref="G11:G28" si="1">+J10/E10</f>
        <v>19.821282789189929</v>
      </c>
      <c r="H11" s="117"/>
      <c r="I11" s="122">
        <f t="shared" ref="I11:I28" si="2">+D11*G11</f>
        <v>356.78309020541872</v>
      </c>
      <c r="J11" s="122">
        <f t="shared" ref="J11:J28" si="3">+J10-I11</f>
        <v>82678.534770269034</v>
      </c>
      <c r="K11" s="111"/>
      <c r="L11" s="142">
        <f>SUM(I10:I11)</f>
        <v>951.4215738811165</v>
      </c>
      <c r="M11" s="160"/>
      <c r="N11" s="143">
        <v>42384</v>
      </c>
    </row>
    <row r="12" spans="1:14" x14ac:dyDescent="0.35">
      <c r="A12" s="25">
        <v>42387</v>
      </c>
      <c r="B12" s="31" t="s">
        <v>84</v>
      </c>
      <c r="C12" s="62"/>
      <c r="D12" s="62">
        <f>10*3</f>
        <v>30</v>
      </c>
      <c r="E12" s="61">
        <f t="shared" si="0"/>
        <v>4141.2</v>
      </c>
      <c r="F12" s="58"/>
      <c r="G12" s="51">
        <f t="shared" si="1"/>
        <v>19.821282789189929</v>
      </c>
      <c r="H12" s="58"/>
      <c r="I12" s="51">
        <f t="shared" si="2"/>
        <v>594.6384836756979</v>
      </c>
      <c r="J12" s="62">
        <f t="shared" si="3"/>
        <v>82083.896286593343</v>
      </c>
      <c r="K12" s="34"/>
      <c r="L12" s="140"/>
      <c r="M12" s="140"/>
      <c r="N12" s="140"/>
    </row>
    <row r="13" spans="1:14" x14ac:dyDescent="0.35">
      <c r="A13" s="25">
        <v>42387</v>
      </c>
      <c r="B13" s="31" t="s">
        <v>85</v>
      </c>
      <c r="C13" s="62"/>
      <c r="D13" s="62">
        <f>10*3</f>
        <v>30</v>
      </c>
      <c r="E13" s="61">
        <f t="shared" si="0"/>
        <v>4111.2</v>
      </c>
      <c r="F13" s="58"/>
      <c r="G13" s="51">
        <f t="shared" si="1"/>
        <v>19.821282789189933</v>
      </c>
      <c r="H13" s="58"/>
      <c r="I13" s="51">
        <f t="shared" si="2"/>
        <v>594.63848367569801</v>
      </c>
      <c r="J13" s="62">
        <f t="shared" si="3"/>
        <v>81489.257802917651</v>
      </c>
      <c r="K13" s="34"/>
      <c r="L13" s="140"/>
      <c r="M13" s="140"/>
      <c r="N13" s="140"/>
    </row>
    <row r="14" spans="1:14" x14ac:dyDescent="0.35">
      <c r="A14" s="25">
        <v>42387</v>
      </c>
      <c r="B14" s="31" t="s">
        <v>86</v>
      </c>
      <c r="C14" s="62"/>
      <c r="D14" s="62">
        <f>6*3</f>
        <v>18</v>
      </c>
      <c r="E14" s="61">
        <f t="shared" si="0"/>
        <v>4093.2</v>
      </c>
      <c r="F14" s="58"/>
      <c r="G14" s="51">
        <f t="shared" si="1"/>
        <v>19.821282789189933</v>
      </c>
      <c r="H14" s="58"/>
      <c r="I14" s="51">
        <f t="shared" si="2"/>
        <v>356.78309020541877</v>
      </c>
      <c r="J14" s="62">
        <f t="shared" si="3"/>
        <v>81132.474712712239</v>
      </c>
      <c r="K14" s="34"/>
      <c r="L14" s="140"/>
      <c r="M14" s="140"/>
      <c r="N14" s="140"/>
    </row>
    <row r="15" spans="1:14" x14ac:dyDescent="0.35">
      <c r="A15" s="106">
        <v>42390</v>
      </c>
      <c r="B15" s="107" t="s">
        <v>94</v>
      </c>
      <c r="C15" s="122"/>
      <c r="D15" s="122">
        <f>18*3</f>
        <v>54</v>
      </c>
      <c r="E15" s="121">
        <f t="shared" si="0"/>
        <v>4039.2</v>
      </c>
      <c r="F15" s="117"/>
      <c r="G15" s="122">
        <f t="shared" si="1"/>
        <v>19.821282789189937</v>
      </c>
      <c r="H15" s="117"/>
      <c r="I15" s="122">
        <f t="shared" si="2"/>
        <v>1070.3492706162565</v>
      </c>
      <c r="J15" s="122">
        <f t="shared" si="3"/>
        <v>80062.125442095989</v>
      </c>
      <c r="K15" s="111"/>
      <c r="L15" s="142">
        <f>SUM(I12:I15)</f>
        <v>2616.4093281730711</v>
      </c>
      <c r="M15" s="142">
        <f>SUM(L11:L15)</f>
        <v>3567.8309020541874</v>
      </c>
      <c r="N15" s="143">
        <v>42400</v>
      </c>
    </row>
    <row r="16" spans="1:14" x14ac:dyDescent="0.35">
      <c r="A16" s="25">
        <v>42406</v>
      </c>
      <c r="B16" s="31" t="s">
        <v>127</v>
      </c>
      <c r="C16" s="62"/>
      <c r="D16" s="62">
        <f>140*3</f>
        <v>420</v>
      </c>
      <c r="E16" s="61">
        <f t="shared" si="0"/>
        <v>3619.2</v>
      </c>
      <c r="F16" s="58"/>
      <c r="G16" s="51">
        <f t="shared" si="1"/>
        <v>19.821282789189937</v>
      </c>
      <c r="H16" s="58"/>
      <c r="I16" s="51">
        <f t="shared" si="2"/>
        <v>8324.9387714597742</v>
      </c>
      <c r="J16" s="62">
        <f t="shared" si="3"/>
        <v>71737.18667063622</v>
      </c>
      <c r="K16" s="34"/>
      <c r="L16" s="140"/>
      <c r="M16" s="140"/>
      <c r="N16" s="140"/>
    </row>
    <row r="17" spans="1:14" x14ac:dyDescent="0.35">
      <c r="A17" s="106">
        <v>42410</v>
      </c>
      <c r="B17" s="107" t="s">
        <v>132</v>
      </c>
      <c r="C17" s="122"/>
      <c r="D17" s="122">
        <f>70*3</f>
        <v>210</v>
      </c>
      <c r="E17" s="121">
        <f t="shared" si="0"/>
        <v>3409.2</v>
      </c>
      <c r="F17" s="117"/>
      <c r="G17" s="122">
        <f t="shared" si="1"/>
        <v>19.821282789189937</v>
      </c>
      <c r="H17" s="117"/>
      <c r="I17" s="122">
        <f t="shared" si="2"/>
        <v>4162.4693857298871</v>
      </c>
      <c r="J17" s="122">
        <f t="shared" si="3"/>
        <v>67574.717284906335</v>
      </c>
      <c r="K17" s="111"/>
      <c r="L17" s="142">
        <f>SUM(I16:I17)</f>
        <v>12487.40815718966</v>
      </c>
      <c r="M17" s="160"/>
      <c r="N17" s="143">
        <v>42415</v>
      </c>
    </row>
    <row r="18" spans="1:14" x14ac:dyDescent="0.35">
      <c r="A18" s="25">
        <v>42420</v>
      </c>
      <c r="B18" s="31" t="s">
        <v>157</v>
      </c>
      <c r="C18" s="62"/>
      <c r="D18" s="62">
        <f>3*3</f>
        <v>9</v>
      </c>
      <c r="E18" s="61">
        <f t="shared" si="0"/>
        <v>3400.2</v>
      </c>
      <c r="F18" s="58"/>
      <c r="G18" s="51">
        <f t="shared" si="1"/>
        <v>19.82128278918994</v>
      </c>
      <c r="H18" s="58"/>
      <c r="I18" s="51">
        <f t="shared" si="2"/>
        <v>178.39154510270947</v>
      </c>
      <c r="J18" s="62">
        <f t="shared" si="3"/>
        <v>67396.325739803622</v>
      </c>
      <c r="K18" s="34"/>
      <c r="L18" s="140"/>
      <c r="M18" s="140"/>
      <c r="N18" s="140"/>
    </row>
    <row r="19" spans="1:14" x14ac:dyDescent="0.35">
      <c r="A19" s="106">
        <v>42429</v>
      </c>
      <c r="B19" s="107" t="s">
        <v>181</v>
      </c>
      <c r="C19" s="122"/>
      <c r="D19" s="122">
        <f>30*3</f>
        <v>90</v>
      </c>
      <c r="E19" s="121">
        <f t="shared" si="0"/>
        <v>3310.2</v>
      </c>
      <c r="F19" s="117"/>
      <c r="G19" s="122">
        <f t="shared" si="1"/>
        <v>19.821282789189937</v>
      </c>
      <c r="H19" s="117"/>
      <c r="I19" s="122">
        <f t="shared" si="2"/>
        <v>1783.9154510270944</v>
      </c>
      <c r="J19" s="122">
        <f t="shared" si="3"/>
        <v>65612.410288776533</v>
      </c>
      <c r="K19" s="111"/>
      <c r="L19" s="142">
        <f>SUM(I18:I19)</f>
        <v>1962.3069961298038</v>
      </c>
      <c r="M19" s="142">
        <f>SUM(L17:L19)</f>
        <v>14449.715153319465</v>
      </c>
      <c r="N19" s="143">
        <v>42429</v>
      </c>
    </row>
    <row r="20" spans="1:14" x14ac:dyDescent="0.35">
      <c r="A20" s="25">
        <v>42448</v>
      </c>
      <c r="B20" s="31" t="s">
        <v>222</v>
      </c>
      <c r="C20" s="62"/>
      <c r="D20" s="62">
        <f>2*3</f>
        <v>6</v>
      </c>
      <c r="E20" s="61">
        <f t="shared" si="0"/>
        <v>3304.2</v>
      </c>
      <c r="F20" s="58"/>
      <c r="G20" s="51">
        <f t="shared" si="1"/>
        <v>19.82128278918994</v>
      </c>
      <c r="H20" s="58"/>
      <c r="I20" s="51">
        <f t="shared" si="2"/>
        <v>118.92769673513965</v>
      </c>
      <c r="J20" s="62">
        <f t="shared" si="3"/>
        <v>65493.482592041393</v>
      </c>
      <c r="K20" s="34"/>
      <c r="L20" s="140"/>
      <c r="M20" s="140"/>
      <c r="N20" s="140"/>
    </row>
    <row r="21" spans="1:14" x14ac:dyDescent="0.35">
      <c r="A21" s="106">
        <v>42453</v>
      </c>
      <c r="B21" s="107" t="s">
        <v>232</v>
      </c>
      <c r="C21" s="122"/>
      <c r="D21" s="122">
        <f>2*3</f>
        <v>6</v>
      </c>
      <c r="E21" s="121">
        <f t="shared" si="0"/>
        <v>3298.2</v>
      </c>
      <c r="F21" s="117"/>
      <c r="G21" s="122">
        <f t="shared" si="1"/>
        <v>19.82128278918994</v>
      </c>
      <c r="H21" s="117"/>
      <c r="I21" s="122">
        <f t="shared" si="2"/>
        <v>118.92769673513965</v>
      </c>
      <c r="J21" s="122">
        <f t="shared" si="3"/>
        <v>65374.554895306253</v>
      </c>
      <c r="K21" s="111"/>
      <c r="L21" s="142">
        <f>SUM(I20:I21)</f>
        <v>237.8553934702793</v>
      </c>
      <c r="M21" s="142">
        <f>SUM(L21)</f>
        <v>237.8553934702793</v>
      </c>
      <c r="N21" s="143">
        <v>42460</v>
      </c>
    </row>
    <row r="22" spans="1:14" x14ac:dyDescent="0.35">
      <c r="A22" s="25">
        <v>42482</v>
      </c>
      <c r="B22" s="31" t="s">
        <v>290</v>
      </c>
      <c r="C22" s="62"/>
      <c r="D22" s="62">
        <f>94*3</f>
        <v>282</v>
      </c>
      <c r="E22" s="61">
        <f t="shared" si="0"/>
        <v>3016.2</v>
      </c>
      <c r="F22" s="58"/>
      <c r="G22" s="51">
        <f t="shared" si="1"/>
        <v>19.82128278918994</v>
      </c>
      <c r="H22" s="58"/>
      <c r="I22" s="51">
        <f t="shared" si="2"/>
        <v>5589.6017465515633</v>
      </c>
      <c r="J22" s="62">
        <f t="shared" si="3"/>
        <v>59784.953148754692</v>
      </c>
      <c r="K22" s="34"/>
      <c r="L22" s="140"/>
      <c r="M22" s="140"/>
      <c r="N22" s="140"/>
    </row>
    <row r="23" spans="1:14" x14ac:dyDescent="0.35">
      <c r="A23" s="106">
        <v>42483</v>
      </c>
      <c r="B23" s="107" t="s">
        <v>289</v>
      </c>
      <c r="C23" s="122"/>
      <c r="D23" s="122">
        <f>4*3</f>
        <v>12</v>
      </c>
      <c r="E23" s="121">
        <f t="shared" si="0"/>
        <v>3004.2</v>
      </c>
      <c r="F23" s="117"/>
      <c r="G23" s="122">
        <f t="shared" si="1"/>
        <v>19.82128278918994</v>
      </c>
      <c r="H23" s="117"/>
      <c r="I23" s="122">
        <f t="shared" si="2"/>
        <v>237.8553934702793</v>
      </c>
      <c r="J23" s="122">
        <f t="shared" si="3"/>
        <v>59547.097755284412</v>
      </c>
      <c r="K23" s="111"/>
      <c r="L23" s="142">
        <f>SUM(I22:I23)</f>
        <v>5827.4571400218429</v>
      </c>
      <c r="M23" s="142">
        <f>SUM(L23)</f>
        <v>5827.4571400218429</v>
      </c>
      <c r="N23" s="143">
        <v>42490</v>
      </c>
    </row>
    <row r="24" spans="1:14" x14ac:dyDescent="0.35">
      <c r="A24" s="106">
        <v>42522</v>
      </c>
      <c r="B24" s="107" t="s">
        <v>369</v>
      </c>
      <c r="C24" s="122"/>
      <c r="D24" s="122">
        <f>4*3</f>
        <v>12</v>
      </c>
      <c r="E24" s="121">
        <f t="shared" si="0"/>
        <v>2992.2</v>
      </c>
      <c r="F24" s="117"/>
      <c r="G24" s="122">
        <f t="shared" si="1"/>
        <v>19.82128278918994</v>
      </c>
      <c r="H24" s="117"/>
      <c r="I24" s="122">
        <f t="shared" si="2"/>
        <v>237.8553934702793</v>
      </c>
      <c r="J24" s="122">
        <f t="shared" si="3"/>
        <v>59309.242361814133</v>
      </c>
      <c r="K24" s="111"/>
      <c r="L24" s="142">
        <f>SUM(I24)</f>
        <v>237.8553934702793</v>
      </c>
      <c r="M24" s="142">
        <f>SUM(L24)</f>
        <v>237.8553934702793</v>
      </c>
      <c r="N24" s="143">
        <v>42536</v>
      </c>
    </row>
    <row r="25" spans="1:14" s="112" customFormat="1" x14ac:dyDescent="0.35">
      <c r="A25" s="106">
        <v>42585</v>
      </c>
      <c r="B25" s="107" t="s">
        <v>459</v>
      </c>
      <c r="C25" s="122"/>
      <c r="D25" s="122">
        <f>6*3</f>
        <v>18</v>
      </c>
      <c r="E25" s="121">
        <f t="shared" si="0"/>
        <v>2974.2</v>
      </c>
      <c r="F25" s="117"/>
      <c r="G25" s="122">
        <f t="shared" si="1"/>
        <v>19.82128278918994</v>
      </c>
      <c r="H25" s="117"/>
      <c r="I25" s="122">
        <f t="shared" si="2"/>
        <v>356.78309020541894</v>
      </c>
      <c r="J25" s="122">
        <f t="shared" si="3"/>
        <v>58952.459271608714</v>
      </c>
      <c r="K25" s="111"/>
      <c r="L25" s="142">
        <f>SUM(I25)</f>
        <v>356.78309020541894</v>
      </c>
      <c r="M25" s="142">
        <f>SUM(L25)</f>
        <v>356.78309020541894</v>
      </c>
      <c r="N25" s="143">
        <v>42597</v>
      </c>
    </row>
    <row r="26" spans="1:14" x14ac:dyDescent="0.35">
      <c r="A26" s="25">
        <v>42633</v>
      </c>
      <c r="B26" s="31" t="s">
        <v>499</v>
      </c>
      <c r="C26" s="62"/>
      <c r="D26" s="62">
        <f>2*3</f>
        <v>6</v>
      </c>
      <c r="E26" s="61">
        <f t="shared" si="0"/>
        <v>2968.2</v>
      </c>
      <c r="F26" s="58"/>
      <c r="G26" s="51">
        <f t="shared" si="1"/>
        <v>19.82128278918994</v>
      </c>
      <c r="H26" s="58"/>
      <c r="I26" s="51">
        <f t="shared" si="2"/>
        <v>118.92769673513965</v>
      </c>
      <c r="J26" s="62">
        <f t="shared" si="3"/>
        <v>58833.531574873574</v>
      </c>
      <c r="K26" s="34"/>
      <c r="L26" s="144"/>
      <c r="M26" s="144"/>
      <c r="N26" s="140"/>
    </row>
    <row r="27" spans="1:14" x14ac:dyDescent="0.35">
      <c r="A27" s="25">
        <v>42634</v>
      </c>
      <c r="B27" s="31" t="s">
        <v>502</v>
      </c>
      <c r="C27" s="62"/>
      <c r="D27" s="62">
        <f>3*3</f>
        <v>9</v>
      </c>
      <c r="E27" s="61">
        <f t="shared" si="0"/>
        <v>2959.2</v>
      </c>
      <c r="F27" s="58"/>
      <c r="G27" s="51">
        <f t="shared" si="1"/>
        <v>19.82128278918994</v>
      </c>
      <c r="H27" s="58"/>
      <c r="I27" s="51">
        <f t="shared" si="2"/>
        <v>178.39154510270947</v>
      </c>
      <c r="J27" s="62">
        <f t="shared" si="3"/>
        <v>58655.140029770868</v>
      </c>
      <c r="K27" s="34"/>
      <c r="L27" s="140"/>
      <c r="M27" s="140"/>
      <c r="N27" s="140"/>
    </row>
    <row r="28" spans="1:14" s="112" customFormat="1" x14ac:dyDescent="0.35">
      <c r="A28" s="106">
        <v>42636</v>
      </c>
      <c r="B28" s="107" t="s">
        <v>507</v>
      </c>
      <c r="C28" s="122"/>
      <c r="D28" s="122">
        <f>3*3</f>
        <v>9</v>
      </c>
      <c r="E28" s="121">
        <f t="shared" si="0"/>
        <v>2950.2</v>
      </c>
      <c r="F28" s="117"/>
      <c r="G28" s="122">
        <f t="shared" si="1"/>
        <v>19.82128278918994</v>
      </c>
      <c r="H28" s="117"/>
      <c r="I28" s="122">
        <f t="shared" si="2"/>
        <v>178.39154510270947</v>
      </c>
      <c r="J28" s="122">
        <f t="shared" si="3"/>
        <v>58476.748484668162</v>
      </c>
      <c r="K28" s="111"/>
      <c r="L28" s="142">
        <f>SUM(I26:I28)</f>
        <v>475.71078694055859</v>
      </c>
      <c r="M28" s="142">
        <f>SUM(L28)</f>
        <v>475.71078694055859</v>
      </c>
      <c r="N28" s="160" t="s">
        <v>549</v>
      </c>
    </row>
    <row r="29" spans="1:14" ht="15" thickBot="1" x14ac:dyDescent="0.4">
      <c r="A29" s="238"/>
      <c r="B29" s="169" t="s">
        <v>638</v>
      </c>
      <c r="C29" s="213">
        <f>SUM(C9:C28)</f>
        <v>4219.2</v>
      </c>
      <c r="D29" s="213">
        <f>SUM(D9:D28)</f>
        <v>1269</v>
      </c>
      <c r="E29" s="211"/>
      <c r="F29" s="198"/>
      <c r="G29" s="212"/>
      <c r="H29" s="213">
        <f t="shared" ref="H29:I29" si="4">SUM(H9:H28)</f>
        <v>83629.956344150138</v>
      </c>
      <c r="I29" s="213">
        <f t="shared" si="4"/>
        <v>25153.207859482034</v>
      </c>
      <c r="J29" s="213"/>
      <c r="K29" s="239"/>
      <c r="L29" s="144"/>
      <c r="M29" s="230">
        <f>SUM(M15:M28)</f>
        <v>25153.207859482034</v>
      </c>
      <c r="N29" s="140"/>
    </row>
    <row r="30" spans="1:14" s="8" customFormat="1" x14ac:dyDescent="0.35">
      <c r="A30" s="203"/>
      <c r="B30" s="39"/>
      <c r="C30" s="208"/>
      <c r="D30" s="208"/>
      <c r="E30" s="206"/>
      <c r="F30" s="189"/>
      <c r="G30" s="207"/>
      <c r="H30" s="189"/>
      <c r="I30" s="207"/>
      <c r="J30" s="208"/>
      <c r="K30" s="204"/>
      <c r="L30" s="38"/>
      <c r="M30" s="38"/>
      <c r="N30" s="38"/>
    </row>
    <row r="31" spans="1:14" s="8" customFormat="1" x14ac:dyDescent="0.35">
      <c r="A31" s="203"/>
      <c r="B31" s="39"/>
      <c r="C31" s="208"/>
      <c r="D31" s="208"/>
      <c r="E31" s="206"/>
      <c r="F31" s="189"/>
      <c r="G31" s="207"/>
      <c r="H31" s="189"/>
      <c r="I31" s="207"/>
      <c r="J31" s="208"/>
      <c r="K31" s="204"/>
      <c r="L31" s="38"/>
      <c r="M31" s="38"/>
      <c r="N31" s="38"/>
    </row>
    <row r="32" spans="1:14" s="8" customFormat="1" x14ac:dyDescent="0.35">
      <c r="A32" s="174" t="s">
        <v>639</v>
      </c>
      <c r="B32" s="39"/>
      <c r="C32" s="38"/>
      <c r="D32" s="38"/>
      <c r="E32" s="38"/>
      <c r="F32" s="38"/>
      <c r="G32" s="140"/>
      <c r="H32" s="140"/>
      <c r="I32" s="140"/>
      <c r="J32" s="140"/>
      <c r="K32" s="204"/>
      <c r="L32" s="38"/>
      <c r="M32" s="38"/>
      <c r="N32" s="38"/>
    </row>
    <row r="33" spans="1:14" s="8" customFormat="1" x14ac:dyDescent="0.35">
      <c r="A33" s="174" t="s">
        <v>642</v>
      </c>
      <c r="B33" s="39"/>
      <c r="C33" s="38"/>
      <c r="D33" s="38"/>
      <c r="E33" s="38"/>
      <c r="F33" s="38"/>
      <c r="G33" s="140"/>
      <c r="H33" s="140"/>
      <c r="I33" s="140"/>
      <c r="J33" s="28">
        <f>+E28*F9</f>
        <v>58476.748484668118</v>
      </c>
      <c r="K33" s="204"/>
      <c r="L33" s="38"/>
      <c r="M33" s="38"/>
      <c r="N33" s="38"/>
    </row>
    <row r="34" spans="1:14" s="8" customFormat="1" x14ac:dyDescent="0.35">
      <c r="A34" s="174" t="s">
        <v>640</v>
      </c>
      <c r="B34" s="39"/>
      <c r="C34" s="38"/>
      <c r="D34" s="38"/>
      <c r="E34" s="38"/>
      <c r="F34" s="38"/>
      <c r="G34" s="140"/>
      <c r="H34" s="140"/>
      <c r="I34" s="140"/>
      <c r="J34" s="175">
        <f>+J28</f>
        <v>58476.748484668162</v>
      </c>
      <c r="K34" s="204"/>
      <c r="L34" s="38"/>
      <c r="M34" s="38"/>
      <c r="N34" s="38"/>
    </row>
    <row r="35" spans="1:14" s="8" customFormat="1" ht="15" thickBot="1" x14ac:dyDescent="0.4">
      <c r="A35" s="174"/>
      <c r="B35" s="39" t="s">
        <v>641</v>
      </c>
      <c r="C35" s="38"/>
      <c r="D35" s="38"/>
      <c r="E35" s="38"/>
      <c r="F35" s="38"/>
      <c r="G35" s="140"/>
      <c r="H35" s="140"/>
      <c r="I35" s="140"/>
      <c r="J35" s="202">
        <f>+J33-J34</f>
        <v>0</v>
      </c>
      <c r="K35" s="204"/>
      <c r="L35" s="38"/>
      <c r="M35" s="38"/>
      <c r="N35" s="38"/>
    </row>
    <row r="36" spans="1:14" s="8" customFormat="1" ht="15" thickTop="1" x14ac:dyDescent="0.35">
      <c r="A36" s="184"/>
      <c r="B36" s="185"/>
      <c r="C36" s="231"/>
      <c r="D36" s="189"/>
      <c r="E36" s="232"/>
      <c r="F36" s="189"/>
      <c r="G36" s="189"/>
      <c r="H36" s="189"/>
      <c r="I36" s="189"/>
      <c r="J36" s="231"/>
      <c r="K36" s="204"/>
      <c r="L36" s="38"/>
      <c r="M36" s="38"/>
      <c r="N36" s="38"/>
    </row>
    <row r="37" spans="1:14" s="8" customFormat="1" x14ac:dyDescent="0.35">
      <c r="A37" s="203"/>
      <c r="B37" s="39"/>
      <c r="C37" s="208"/>
      <c r="D37" s="208"/>
      <c r="E37" s="206"/>
      <c r="F37" s="189"/>
      <c r="G37" s="237"/>
      <c r="H37" s="189"/>
      <c r="I37" s="207"/>
      <c r="J37" s="208"/>
      <c r="K37" s="204"/>
    </row>
    <row r="38" spans="1:14" s="8" customFormat="1" x14ac:dyDescent="0.35">
      <c r="A38" s="203"/>
      <c r="B38" s="39"/>
      <c r="C38" s="208"/>
      <c r="D38" s="208"/>
      <c r="E38" s="206"/>
      <c r="F38" s="189"/>
      <c r="G38" s="237"/>
      <c r="H38" s="189"/>
      <c r="I38" s="207"/>
      <c r="J38" s="208"/>
      <c r="K38" s="204"/>
    </row>
    <row r="39" spans="1:14" s="8" customFormat="1" x14ac:dyDescent="0.35">
      <c r="A39" s="203"/>
      <c r="B39" s="39"/>
      <c r="C39" s="208"/>
      <c r="D39" s="208"/>
      <c r="E39" s="206"/>
      <c r="F39" s="189"/>
      <c r="G39" s="237"/>
      <c r="H39" s="189"/>
      <c r="I39" s="207"/>
      <c r="J39" s="208"/>
      <c r="K39" s="204"/>
    </row>
    <row r="40" spans="1:14" s="8" customFormat="1" x14ac:dyDescent="0.35">
      <c r="A40" s="203"/>
      <c r="B40" s="39"/>
      <c r="C40" s="208"/>
      <c r="D40" s="208"/>
      <c r="E40" s="206"/>
      <c r="F40" s="189"/>
      <c r="G40" s="237"/>
      <c r="H40" s="189"/>
      <c r="I40" s="207"/>
      <c r="J40" s="208"/>
      <c r="K40" s="204"/>
    </row>
    <row r="41" spans="1:14" s="8" customFormat="1" x14ac:dyDescent="0.35">
      <c r="A41" s="203"/>
      <c r="B41" s="39"/>
      <c r="C41" s="208"/>
      <c r="D41" s="208"/>
      <c r="E41" s="206"/>
      <c r="F41" s="189"/>
      <c r="G41" s="237"/>
      <c r="H41" s="189"/>
      <c r="I41" s="207"/>
      <c r="J41" s="208"/>
      <c r="K41" s="204"/>
    </row>
    <row r="42" spans="1:14" s="8" customFormat="1" x14ac:dyDescent="0.35">
      <c r="A42" s="203"/>
      <c r="B42" s="39"/>
      <c r="C42" s="208"/>
      <c r="D42" s="208"/>
      <c r="E42" s="206"/>
      <c r="F42" s="189"/>
      <c r="G42" s="237"/>
      <c r="H42" s="189"/>
      <c r="I42" s="207"/>
      <c r="J42" s="208"/>
      <c r="K42" s="204"/>
    </row>
    <row r="43" spans="1:14" s="8" customFormat="1" x14ac:dyDescent="0.35">
      <c r="A43" s="203"/>
      <c r="B43" s="39"/>
      <c r="C43" s="208"/>
      <c r="D43" s="208"/>
      <c r="E43" s="206"/>
      <c r="F43" s="189"/>
      <c r="G43" s="237"/>
      <c r="H43" s="189"/>
      <c r="I43" s="207"/>
      <c r="J43" s="208"/>
      <c r="K43" s="204"/>
    </row>
    <row r="44" spans="1:14" s="8" customFormat="1" x14ac:dyDescent="0.35">
      <c r="A44" s="203"/>
      <c r="B44" s="39"/>
      <c r="C44" s="208"/>
      <c r="D44" s="208"/>
      <c r="E44" s="206"/>
      <c r="F44" s="189"/>
      <c r="G44" s="237"/>
      <c r="H44" s="189"/>
      <c r="I44" s="207"/>
      <c r="J44" s="208"/>
      <c r="K44" s="204"/>
    </row>
    <row r="45" spans="1:14" s="8" customFormat="1" x14ac:dyDescent="0.35">
      <c r="A45" s="203"/>
      <c r="B45" s="39"/>
      <c r="C45" s="208"/>
      <c r="D45" s="208"/>
      <c r="E45" s="206"/>
      <c r="F45" s="189"/>
      <c r="G45" s="237"/>
      <c r="H45" s="189"/>
      <c r="I45" s="207"/>
      <c r="J45" s="208"/>
      <c r="K45" s="204"/>
    </row>
    <row r="46" spans="1:14" s="8" customFormat="1" x14ac:dyDescent="0.35"/>
    <row r="47" spans="1:14" s="8" customFormat="1" x14ac:dyDescent="0.35"/>
    <row r="48" spans="1:14" s="8" customFormat="1" x14ac:dyDescent="0.35"/>
    <row r="49" s="8" customFormat="1" x14ac:dyDescent="0.35"/>
  </sheetData>
  <mergeCells count="6">
    <mergeCell ref="D4:H4"/>
    <mergeCell ref="C7:E7"/>
    <mergeCell ref="F7:G7"/>
    <mergeCell ref="H7:J7"/>
    <mergeCell ref="D5:G5"/>
    <mergeCell ref="D6:G6"/>
  </mergeCells>
  <pageMargins left="0.70866141732283472" right="0.70866141732283472" top="0.74803149606299213" bottom="0.74803149606299213" header="0.31496062992125984" footer="0.31496062992125984"/>
  <pageSetup scale="65" orientation="landscape" horizontalDpi="4294967293" verticalDpi="0" r:id="rId1"/>
  <ignoredErrors>
    <ignoredError sqref="D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9</vt:i4>
      </vt:variant>
    </vt:vector>
  </HeadingPairs>
  <TitlesOfParts>
    <vt:vector size="21" baseType="lpstr">
      <vt:lpstr>zinz nº28</vt:lpstr>
      <vt:lpstr>bluenº28</vt:lpstr>
      <vt:lpstr>RAL nº28</vt:lpstr>
      <vt:lpstr>Gan j-60</vt:lpstr>
      <vt:lpstr>clavos</vt:lpstr>
      <vt:lpstr>clavos 2</vt:lpstr>
      <vt:lpstr>RAL Nº26</vt:lpstr>
      <vt:lpstr>Blanco</vt:lpstr>
      <vt:lpstr>Galvan</vt:lpstr>
      <vt:lpstr>TIR 6.3-76.2</vt:lpstr>
      <vt:lpstr>TER6.3-63.5</vt:lpstr>
      <vt:lpstr>juntas de goma</vt:lpstr>
      <vt:lpstr>bluenº28!Área_de_impresión</vt:lpstr>
      <vt:lpstr>clavos!Área_de_impresión</vt:lpstr>
      <vt:lpstr>Galvan!Área_de_impresión</vt:lpstr>
      <vt:lpstr>'Gan j-60'!Área_de_impresión</vt:lpstr>
      <vt:lpstr>'RAL Nº26'!Área_de_impresión</vt:lpstr>
      <vt:lpstr>'RAL nº28'!Área_de_impresión</vt:lpstr>
      <vt:lpstr>'TER6.3-63.5'!Área_de_impresión</vt:lpstr>
      <vt:lpstr>'TIR 6.3-76.2'!Área_de_impresión</vt:lpstr>
      <vt:lpstr>'zinz nº28'!Área_de_impresión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2023-12-06T20:08:47Z</dcterms:modified>
</cp:coreProperties>
</file>