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0A25E094-0920-40A2-87E6-BDBD5FF35ECE}" xr6:coauthVersionLast="47" xr6:coauthVersionMax="47" xr10:uidLastSave="{00000000-0000-0000-0000-000000000000}"/>
  <bookViews>
    <workbookView xWindow="-110" yWindow="-110" windowWidth="22780" windowHeight="14540" firstSheet="1" activeTab="3" xr2:uid="{00000000-000D-0000-FFFF-FFFF00000000}"/>
  </bookViews>
  <sheets>
    <sheet name="Blue-2019" sheetId="1" r:id="rId1"/>
    <sheet name="Ral-28-2009" sheetId="2" r:id="rId2"/>
    <sheet name="Ral-28-3003" sheetId="3" r:id="rId3"/>
    <sheet name="Clavos" sheetId="12" r:id="rId4"/>
    <sheet name="Ral-26-2009" sheetId="4" r:id="rId5"/>
    <sheet name="Zinc-28" sheetId="5" r:id="rId6"/>
    <sheet name="Zin-26" sheetId="6" r:id="rId7"/>
    <sheet name="Galva-28" sheetId="7" r:id="rId8"/>
    <sheet name="Tiraf63x76.2" sheetId="8" r:id="rId9"/>
    <sheet name="Tiraf63x63.5" sheetId="9" r:id="rId10"/>
    <sheet name="Ral28 3002" sheetId="10" r:id="rId11"/>
    <sheet name="Juntas de goma" sheetId="11" r:id="rId12"/>
  </sheets>
  <externalReferences>
    <externalReference r:id="rId13"/>
  </externalReferences>
  <definedNames>
    <definedName name="_xlnm.Print_Area" localSheetId="0">'Blue-2019'!$A$1:$N$32</definedName>
    <definedName name="_xlnm.Print_Area" localSheetId="7">'Galva-28'!$A$1:$N$27</definedName>
    <definedName name="_xlnm.Print_Area" localSheetId="4">'Ral-26-2009'!$A$1:$N$59</definedName>
    <definedName name="_xlnm.Print_Area" localSheetId="10">'Ral28 3002'!$A$1:$N$43</definedName>
    <definedName name="_xlnm.Print_Area" localSheetId="1">'Ral-28-2009'!$A$1:$N$114</definedName>
    <definedName name="_xlnm.Print_Area" localSheetId="2">'Ral-28-3003'!$A$1:$N$112</definedName>
    <definedName name="_xlnm.Print_Area" localSheetId="9">Tiraf63x63.5!$A$1:$N$77</definedName>
    <definedName name="_xlnm.Print_Area" localSheetId="8">Tiraf63x76.2!$A$1:$N$93</definedName>
    <definedName name="_xlnm.Print_Area" localSheetId="6">'Zin-26'!$A$1:$N$57</definedName>
    <definedName name="_xlnm.Print_Area" localSheetId="5">'Zinc-28'!$A$1:$N$347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 s="1"/>
  <c r="F36" i="1"/>
  <c r="F37" i="1" s="1"/>
  <c r="F136" i="5" l="1"/>
  <c r="J11" i="11" l="1"/>
  <c r="J18" i="11" s="1"/>
  <c r="F11" i="11"/>
  <c r="E11" i="11"/>
  <c r="J17" i="11" l="1"/>
  <c r="J19" i="11" s="1"/>
  <c r="H36" i="10" l="1"/>
  <c r="C36" i="10"/>
  <c r="D72" i="9"/>
  <c r="C72" i="9"/>
  <c r="H88" i="8"/>
  <c r="C88" i="8"/>
  <c r="D88" i="8"/>
  <c r="H52" i="6"/>
  <c r="C52" i="6"/>
  <c r="C338" i="5"/>
  <c r="C52" i="4" l="1"/>
  <c r="H107" i="3" l="1"/>
  <c r="C107" i="3"/>
  <c r="C109" i="2"/>
  <c r="C26" i="1"/>
  <c r="D102" i="3" l="1"/>
  <c r="D50" i="4" l="1"/>
  <c r="D24" i="10"/>
  <c r="D82" i="2" l="1"/>
  <c r="D76" i="2"/>
  <c r="D55" i="2" l="1"/>
  <c r="D223" i="5"/>
  <c r="D48" i="3"/>
  <c r="D35" i="10"/>
  <c r="D34" i="10"/>
  <c r="D32" i="10"/>
  <c r="D336" i="5"/>
  <c r="D334" i="5"/>
  <c r="D333" i="5"/>
  <c r="D332" i="5"/>
  <c r="D25" i="1"/>
  <c r="D331" i="5"/>
  <c r="D31" i="10"/>
  <c r="D107" i="2"/>
  <c r="D24" i="1" l="1"/>
  <c r="D51" i="6"/>
  <c r="D329" i="5"/>
  <c r="D108" i="2"/>
  <c r="D106" i="2"/>
  <c r="D105" i="2"/>
  <c r="D104" i="2"/>
  <c r="D30" i="10"/>
  <c r="D328" i="5"/>
  <c r="D103" i="2"/>
  <c r="D326" i="5"/>
  <c r="D102" i="2"/>
  <c r="D29" i="10"/>
  <c r="D50" i="6"/>
  <c r="D325" i="5"/>
  <c r="D324" i="5"/>
  <c r="D323" i="5"/>
  <c r="D322" i="5"/>
  <c r="D321" i="5"/>
  <c r="D320" i="5"/>
  <c r="D317" i="5"/>
  <c r="F83" i="3"/>
  <c r="F44" i="4"/>
  <c r="D27" i="10" l="1"/>
  <c r="D319" i="5"/>
  <c r="D26" i="10"/>
  <c r="D318" i="5"/>
  <c r="D106" i="3"/>
  <c r="D316" i="5"/>
  <c r="D315" i="5"/>
  <c r="D105" i="3"/>
  <c r="D104" i="3"/>
  <c r="D314" i="5"/>
  <c r="D103" i="3"/>
  <c r="D101" i="2"/>
  <c r="D51" i="4"/>
  <c r="D313" i="5"/>
  <c r="D312" i="5"/>
  <c r="D101" i="3"/>
  <c r="D99" i="2"/>
  <c r="D100" i="3"/>
  <c r="D97" i="2"/>
  <c r="D25" i="10"/>
  <c r="D310" i="5"/>
  <c r="D309" i="5" l="1"/>
  <c r="D308" i="5"/>
  <c r="D49" i="6"/>
  <c r="D96" i="2"/>
  <c r="D93" i="2"/>
  <c r="D307" i="5"/>
  <c r="D99" i="3"/>
  <c r="D98" i="3"/>
  <c r="D97" i="3"/>
  <c r="D92" i="2"/>
  <c r="D306" i="5"/>
  <c r="D91" i="2"/>
  <c r="D89" i="2"/>
  <c r="D305" i="5"/>
  <c r="D96" i="3"/>
  <c r="D88" i="2"/>
  <c r="D304" i="5"/>
  <c r="D87" i="2"/>
  <c r="D303" i="5"/>
  <c r="D48" i="6"/>
  <c r="D302" i="5"/>
  <c r="D49" i="4"/>
  <c r="D95" i="3"/>
  <c r="D47" i="6"/>
  <c r="D23" i="10" l="1"/>
  <c r="D48" i="4"/>
  <c r="D22" i="10"/>
  <c r="D86" i="2"/>
  <c r="D46" i="4"/>
  <c r="D301" i="5"/>
  <c r="D300" i="5"/>
  <c r="D21" i="10"/>
  <c r="D94" i="3"/>
  <c r="D85" i="2" l="1"/>
  <c r="D298" i="5"/>
  <c r="D93" i="3"/>
  <c r="D45" i="4"/>
  <c r="D20" i="10"/>
  <c r="D22" i="1"/>
  <c r="D297" i="5"/>
  <c r="D92" i="3"/>
  <c r="D83" i="2"/>
  <c r="D91" i="3"/>
  <c r="D19" i="10"/>
  <c r="D45" i="6"/>
  <c r="D44" i="6"/>
  <c r="D90" i="3"/>
  <c r="D18" i="10"/>
  <c r="D17" i="10"/>
  <c r="D294" i="5"/>
  <c r="D293" i="5"/>
  <c r="D43" i="6"/>
  <c r="D292" i="5"/>
  <c r="D80" i="2" l="1"/>
  <c r="C21" i="7"/>
  <c r="D79" i="2"/>
  <c r="D289" i="5"/>
  <c r="D288" i="5"/>
  <c r="D78" i="2"/>
  <c r="D89" i="3"/>
  <c r="D42" i="6"/>
  <c r="D286" i="5"/>
  <c r="D285" i="5"/>
  <c r="D88" i="3"/>
  <c r="D77" i="2"/>
  <c r="D283" i="5"/>
  <c r="D282" i="5"/>
  <c r="D281" i="5"/>
  <c r="D21" i="1" l="1"/>
  <c r="D280" i="5"/>
  <c r="D279" i="5"/>
  <c r="D16" i="10"/>
  <c r="D87" i="3"/>
  <c r="D20" i="1"/>
  <c r="D15" i="10"/>
  <c r="D14" i="10"/>
  <c r="D278" i="5"/>
  <c r="D277" i="5"/>
  <c r="D19" i="1"/>
  <c r="D276" i="5"/>
  <c r="D73" i="2"/>
  <c r="D275" i="5"/>
  <c r="D13" i="10"/>
  <c r="D12" i="10"/>
  <c r="D11" i="10"/>
  <c r="D72" i="2"/>
  <c r="D71" i="2"/>
  <c r="D274" i="5"/>
  <c r="D10" i="10"/>
  <c r="J9" i="10"/>
  <c r="E9" i="10"/>
  <c r="D273" i="5"/>
  <c r="D41" i="6"/>
  <c r="D70" i="2"/>
  <c r="D271" i="5"/>
  <c r="D86" i="3"/>
  <c r="D270" i="5"/>
  <c r="D269" i="5"/>
  <c r="D268" i="5"/>
  <c r="D36" i="10" l="1"/>
  <c r="G10" i="10"/>
  <c r="I10" i="10" s="1"/>
  <c r="E10" i="10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F9" i="10"/>
  <c r="D17" i="1"/>
  <c r="D40" i="6"/>
  <c r="D266" i="5"/>
  <c r="D84" i="3"/>
  <c r="D66" i="2"/>
  <c r="D65" i="2"/>
  <c r="D265" i="5"/>
  <c r="D64" i="2"/>
  <c r="D264" i="5"/>
  <c r="D263" i="5"/>
  <c r="D262" i="5"/>
  <c r="D82" i="3"/>
  <c r="D39" i="6"/>
  <c r="D261" i="5"/>
  <c r="D260" i="5"/>
  <c r="D15" i="1"/>
  <c r="J40" i="10" l="1"/>
  <c r="J10" i="10"/>
  <c r="G11" i="10" s="1"/>
  <c r="I11" i="10" s="1"/>
  <c r="J11" i="10" s="1"/>
  <c r="G12" i="10" s="1"/>
  <c r="I12" i="10" s="1"/>
  <c r="J12" i="10" s="1"/>
  <c r="G13" i="10" s="1"/>
  <c r="I13" i="10" s="1"/>
  <c r="J13" i="10" s="1"/>
  <c r="G14" i="10" s="1"/>
  <c r="I14" i="10" s="1"/>
  <c r="J14" i="10" s="1"/>
  <c r="G15" i="10" s="1"/>
  <c r="I15" i="10" s="1"/>
  <c r="J15" i="10" s="1"/>
  <c r="G16" i="10" s="1"/>
  <c r="I16" i="10" s="1"/>
  <c r="J16" i="10" s="1"/>
  <c r="G17" i="10" s="1"/>
  <c r="I17" i="10" s="1"/>
  <c r="J17" i="10" s="1"/>
  <c r="G18" i="10" s="1"/>
  <c r="I18" i="10" s="1"/>
  <c r="J18" i="10" s="1"/>
  <c r="G19" i="10" s="1"/>
  <c r="I19" i="10" s="1"/>
  <c r="D259" i="5"/>
  <c r="D81" i="3"/>
  <c r="D38" i="6"/>
  <c r="D63" i="2"/>
  <c r="D62" i="2"/>
  <c r="D61" i="2"/>
  <c r="D80" i="3"/>
  <c r="D258" i="5"/>
  <c r="D60" i="2"/>
  <c r="D257" i="5"/>
  <c r="D256" i="5"/>
  <c r="D255" i="5"/>
  <c r="D14" i="1"/>
  <c r="D78" i="3"/>
  <c r="D254" i="5"/>
  <c r="D253" i="5"/>
  <c r="D252" i="5"/>
  <c r="J19" i="10" l="1"/>
  <c r="G20" i="10" s="1"/>
  <c r="I20" i="10" s="1"/>
  <c r="L18" i="10"/>
  <c r="D251" i="5"/>
  <c r="D76" i="3"/>
  <c r="D248" i="5"/>
  <c r="D247" i="5"/>
  <c r="D59" i="2"/>
  <c r="D246" i="5"/>
  <c r="D245" i="5"/>
  <c r="D244" i="5"/>
  <c r="D243" i="5"/>
  <c r="D242" i="5"/>
  <c r="D241" i="5"/>
  <c r="D19" i="7"/>
  <c r="D75" i="3"/>
  <c r="D240" i="5"/>
  <c r="D74" i="3"/>
  <c r="D18" i="7"/>
  <c r="D17" i="7"/>
  <c r="D239" i="5"/>
  <c r="D16" i="7"/>
  <c r="D73" i="3"/>
  <c r="D58" i="2"/>
  <c r="J20" i="10" l="1"/>
  <c r="G21" i="10" s="1"/>
  <c r="I21" i="10" s="1"/>
  <c r="D57" i="2"/>
  <c r="D72" i="3"/>
  <c r="D71" i="3"/>
  <c r="D56" i="2"/>
  <c r="D238" i="5"/>
  <c r="D69" i="3"/>
  <c r="D237" i="5"/>
  <c r="D236" i="5"/>
  <c r="D235" i="5"/>
  <c r="J21" i="10" l="1"/>
  <c r="G22" i="10" s="1"/>
  <c r="I22" i="10" s="1"/>
  <c r="D36" i="6"/>
  <c r="D233" i="5"/>
  <c r="D232" i="5"/>
  <c r="D231" i="5"/>
  <c r="D42" i="4"/>
  <c r="D230" i="5"/>
  <c r="D229" i="5"/>
  <c r="D53" i="2"/>
  <c r="D228" i="5"/>
  <c r="D227" i="5"/>
  <c r="D226" i="5"/>
  <c r="D225" i="5"/>
  <c r="J22" i="10" l="1"/>
  <c r="G23" i="10" s="1"/>
  <c r="I23" i="10" s="1"/>
  <c r="D224" i="5"/>
  <c r="D68" i="3"/>
  <c r="D221" i="5"/>
  <c r="D50" i="2"/>
  <c r="D49" i="2"/>
  <c r="D35" i="6"/>
  <c r="D220" i="5"/>
  <c r="D219" i="5"/>
  <c r="D218" i="5"/>
  <c r="D216" i="5"/>
  <c r="D215" i="5"/>
  <c r="D214" i="5"/>
  <c r="J23" i="10" l="1"/>
  <c r="G24" i="10" s="1"/>
  <c r="I24" i="10" s="1"/>
  <c r="L23" i="10"/>
  <c r="M23" i="10" s="1"/>
  <c r="D33" i="6"/>
  <c r="D13" i="1"/>
  <c r="D213" i="5"/>
  <c r="D211" i="5"/>
  <c r="D210" i="5"/>
  <c r="D48" i="2"/>
  <c r="D47" i="2"/>
  <c r="D209" i="5"/>
  <c r="D208" i="5"/>
  <c r="D206" i="5"/>
  <c r="D205" i="5"/>
  <c r="D67" i="3"/>
  <c r="D204" i="5"/>
  <c r="D203" i="5"/>
  <c r="D202" i="5"/>
  <c r="J24" i="10" l="1"/>
  <c r="G25" i="10" s="1"/>
  <c r="I25" i="10" s="1"/>
  <c r="L24" i="10"/>
  <c r="D40" i="4"/>
  <c r="D201" i="5"/>
  <c r="D65" i="3"/>
  <c r="D63" i="3"/>
  <c r="D199" i="5"/>
  <c r="D32" i="6"/>
  <c r="D198" i="5"/>
  <c r="D62" i="3"/>
  <c r="D61" i="3"/>
  <c r="D46" i="2"/>
  <c r="D197" i="5"/>
  <c r="D196" i="5"/>
  <c r="D195" i="5"/>
  <c r="D194" i="5"/>
  <c r="D39" i="4"/>
  <c r="D192" i="5"/>
  <c r="D191" i="5"/>
  <c r="D190" i="5"/>
  <c r="D38" i="4"/>
  <c r="D31" i="6"/>
  <c r="D30" i="6"/>
  <c r="D60" i="3"/>
  <c r="J25" i="10" l="1"/>
  <c r="G26" i="10" s="1"/>
  <c r="I26" i="10" s="1"/>
  <c r="J26" i="10" s="1"/>
  <c r="G27" i="10" s="1"/>
  <c r="I27" i="10" s="1"/>
  <c r="J27" i="10" s="1"/>
  <c r="G28" i="10" s="1"/>
  <c r="L27" i="10" l="1"/>
  <c r="M27" i="10" s="1"/>
  <c r="I28" i="10"/>
  <c r="D164" i="5"/>
  <c r="D46" i="3"/>
  <c r="D123" i="5"/>
  <c r="D41" i="3"/>
  <c r="D15" i="6"/>
  <c r="J28" i="10" l="1"/>
  <c r="G29" i="10" s="1"/>
  <c r="I29" i="10" s="1"/>
  <c r="J29" i="10" s="1"/>
  <c r="D36" i="3"/>
  <c r="D31" i="3"/>
  <c r="D14" i="6"/>
  <c r="D13" i="6"/>
  <c r="G30" i="10" l="1"/>
  <c r="I30" i="10" s="1"/>
  <c r="J30" i="10" s="1"/>
  <c r="D59" i="3"/>
  <c r="D189" i="5"/>
  <c r="D37" i="4"/>
  <c r="D36" i="4"/>
  <c r="D35" i="4"/>
  <c r="D58" i="3"/>
  <c r="D187" i="5"/>
  <c r="D186" i="5"/>
  <c r="D57" i="3"/>
  <c r="D184" i="5"/>
  <c r="D183" i="5"/>
  <c r="G31" i="10" l="1"/>
  <c r="I31" i="10" s="1"/>
  <c r="J31" i="10" s="1"/>
  <c r="D182" i="5"/>
  <c r="D56" i="3"/>
  <c r="D181" i="5"/>
  <c r="D180" i="5"/>
  <c r="D178" i="5"/>
  <c r="D177" i="5"/>
  <c r="D176" i="5"/>
  <c r="L31" i="10" l="1"/>
  <c r="G32" i="10"/>
  <c r="I32" i="10" s="1"/>
  <c r="D173" i="5"/>
  <c r="D55" i="3"/>
  <c r="D54" i="3"/>
  <c r="D53" i="3"/>
  <c r="D52" i="3"/>
  <c r="D51" i="3"/>
  <c r="D34" i="4"/>
  <c r="D172" i="5"/>
  <c r="D171" i="5"/>
  <c r="D170" i="5"/>
  <c r="D43" i="2"/>
  <c r="D50" i="3"/>
  <c r="D49" i="3"/>
  <c r="D29" i="6"/>
  <c r="D169" i="5"/>
  <c r="D168" i="5"/>
  <c r="D167" i="5"/>
  <c r="D32" i="4"/>
  <c r="D166" i="5"/>
  <c r="D47" i="3"/>
  <c r="D165" i="5"/>
  <c r="J32" i="10" l="1"/>
  <c r="G33" i="10"/>
  <c r="I33" i="10" s="1"/>
  <c r="J33" i="10" s="1"/>
  <c r="D163" i="5"/>
  <c r="D12" i="1"/>
  <c r="D41" i="2"/>
  <c r="D162" i="5"/>
  <c r="D161" i="5"/>
  <c r="D160" i="5"/>
  <c r="D158" i="5"/>
  <c r="D157" i="5"/>
  <c r="D156" i="5"/>
  <c r="D30" i="4"/>
  <c r="D155" i="5"/>
  <c r="D154" i="5"/>
  <c r="G34" i="10" l="1"/>
  <c r="I34" i="10" s="1"/>
  <c r="J34" i="10" s="1"/>
  <c r="F9" i="6"/>
  <c r="J9" i="6"/>
  <c r="E9" i="6"/>
  <c r="J9" i="3"/>
  <c r="F9" i="3" s="1"/>
  <c r="E9" i="3"/>
  <c r="G10" i="3" s="1"/>
  <c r="G10" i="6" l="1"/>
  <c r="G35" i="10"/>
  <c r="I35" i="10" s="1"/>
  <c r="D153" i="5"/>
  <c r="D29" i="4"/>
  <c r="D152" i="5"/>
  <c r="D151" i="5"/>
  <c r="D27" i="6"/>
  <c r="D26" i="6"/>
  <c r="D149" i="5"/>
  <c r="D11" i="1"/>
  <c r="D40" i="2"/>
  <c r="D148" i="5"/>
  <c r="D45" i="3"/>
  <c r="D38" i="2"/>
  <c r="D146" i="5"/>
  <c r="D145" i="5"/>
  <c r="D44" i="3"/>
  <c r="D144" i="5"/>
  <c r="J35" i="10" l="1"/>
  <c r="J41" i="10" s="1"/>
  <c r="I36" i="10"/>
  <c r="L35" i="10"/>
  <c r="M35" i="10" s="1"/>
  <c r="M36" i="10" s="1"/>
  <c r="D15" i="7"/>
  <c r="D27" i="4"/>
  <c r="D26" i="4"/>
  <c r="D25" i="4"/>
  <c r="D25" i="6"/>
  <c r="D24" i="4"/>
  <c r="D24" i="6"/>
  <c r="D143" i="5"/>
  <c r="D141" i="5"/>
  <c r="D37" i="2"/>
  <c r="D23" i="4"/>
  <c r="D36" i="2"/>
  <c r="D140" i="5"/>
  <c r="D35" i="2"/>
  <c r="D21" i="6"/>
  <c r="D139" i="5"/>
  <c r="D34" i="2"/>
  <c r="D138" i="5"/>
  <c r="D137" i="5"/>
  <c r="D10" i="1"/>
  <c r="D26" i="1" s="1"/>
  <c r="D33" i="2"/>
  <c r="D32" i="2"/>
  <c r="D135" i="5" l="1"/>
  <c r="D22" i="4"/>
  <c r="D134" i="5"/>
  <c r="D132" i="5"/>
  <c r="D19" i="6"/>
  <c r="D30" i="2"/>
  <c r="D131" i="5"/>
  <c r="D130" i="5"/>
  <c r="D29" i="2"/>
  <c r="D129" i="5"/>
  <c r="D128" i="5"/>
  <c r="D127" i="5"/>
  <c r="D18" i="6"/>
  <c r="D17" i="6"/>
  <c r="D126" i="5"/>
  <c r="D125" i="5"/>
  <c r="D124" i="5"/>
  <c r="D16" i="6"/>
  <c r="D122" i="5"/>
  <c r="D121" i="5"/>
  <c r="D28" i="2"/>
  <c r="D119" i="5"/>
  <c r="D27" i="2"/>
  <c r="D118" i="5"/>
  <c r="D117" i="5"/>
  <c r="D116" i="5"/>
  <c r="D40" i="3"/>
  <c r="D39" i="3"/>
  <c r="D115" i="5"/>
  <c r="D21" i="4"/>
  <c r="D113" i="5"/>
  <c r="D26" i="2"/>
  <c r="D112" i="5"/>
  <c r="D111" i="5"/>
  <c r="D37" i="3"/>
  <c r="D24" i="2"/>
  <c r="D14" i="7"/>
  <c r="D23" i="2"/>
  <c r="D35" i="3"/>
  <c r="D19" i="4"/>
  <c r="D22" i="2"/>
  <c r="D21" i="2"/>
  <c r="D18" i="4"/>
  <c r="D109" i="5"/>
  <c r="D34" i="3"/>
  <c r="D108" i="5"/>
  <c r="D107" i="5"/>
  <c r="D106" i="5"/>
  <c r="D103" i="5"/>
  <c r="D102" i="5"/>
  <c r="D20" i="2"/>
  <c r="D101" i="5"/>
  <c r="D13" i="7"/>
  <c r="D100" i="5"/>
  <c r="D98" i="5" l="1"/>
  <c r="D97" i="5"/>
  <c r="D96" i="5"/>
  <c r="D95" i="5"/>
  <c r="D94" i="5"/>
  <c r="D93" i="5"/>
  <c r="D92" i="5"/>
  <c r="D91" i="5"/>
  <c r="D33" i="3"/>
  <c r="D90" i="5"/>
  <c r="D89" i="5"/>
  <c r="D88" i="5"/>
  <c r="D87" i="5"/>
  <c r="D86" i="5"/>
  <c r="D84" i="5" l="1"/>
  <c r="D82" i="5"/>
  <c r="D32" i="3"/>
  <c r="D79" i="5" l="1"/>
  <c r="D78" i="5"/>
  <c r="D77" i="5"/>
  <c r="D76" i="5"/>
  <c r="D15" i="4"/>
  <c r="D14" i="4"/>
  <c r="D75" i="5"/>
  <c r="D74" i="5"/>
  <c r="D13" i="4"/>
  <c r="D72" i="5"/>
  <c r="D71" i="5"/>
  <c r="D70" i="5"/>
  <c r="D69" i="5"/>
  <c r="D68" i="5"/>
  <c r="D19" i="2"/>
  <c r="D67" i="5"/>
  <c r="D30" i="3"/>
  <c r="D66" i="5"/>
  <c r="D12" i="7"/>
  <c r="D63" i="5"/>
  <c r="D62" i="5"/>
  <c r="D28" i="3"/>
  <c r="D27" i="3"/>
  <c r="D26" i="3"/>
  <c r="D25" i="3"/>
  <c r="D24" i="3"/>
  <c r="D61" i="5"/>
  <c r="D60" i="5"/>
  <c r="D59" i="5"/>
  <c r="D58" i="5"/>
  <c r="D18" i="2"/>
  <c r="D10" i="6"/>
  <c r="D52" i="6" s="1"/>
  <c r="D23" i="3"/>
  <c r="D12" i="4"/>
  <c r="D56" i="5"/>
  <c r="D11" i="7"/>
  <c r="I10" i="6" l="1"/>
  <c r="E10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J54" i="6" s="1"/>
  <c r="D55" i="5"/>
  <c r="D54" i="5"/>
  <c r="D53" i="5"/>
  <c r="D52" i="5"/>
  <c r="D51" i="5"/>
  <c r="D50" i="5"/>
  <c r="D48" i="5"/>
  <c r="D47" i="5"/>
  <c r="D46" i="5"/>
  <c r="D45" i="5"/>
  <c r="L10" i="6" l="1"/>
  <c r="M10" i="6" s="1"/>
  <c r="J10" i="6"/>
  <c r="G11" i="6" s="1"/>
  <c r="I11" i="6" s="1"/>
  <c r="D22" i="3"/>
  <c r="D17" i="2"/>
  <c r="D43" i="5"/>
  <c r="D21" i="3"/>
  <c r="D42" i="5"/>
  <c r="D20" i="3"/>
  <c r="D41" i="5"/>
  <c r="D40" i="5"/>
  <c r="D19" i="3"/>
  <c r="D11" i="4"/>
  <c r="D18" i="3"/>
  <c r="D39" i="5"/>
  <c r="D38" i="5"/>
  <c r="D37" i="5"/>
  <c r="D36" i="5"/>
  <c r="D17" i="3"/>
  <c r="D16" i="3"/>
  <c r="D15" i="3"/>
  <c r="D14" i="3"/>
  <c r="D13" i="3"/>
  <c r="D34" i="5"/>
  <c r="D33" i="5"/>
  <c r="D16" i="2"/>
  <c r="D32" i="5"/>
  <c r="D31" i="5"/>
  <c r="D30" i="5"/>
  <c r="D28" i="5"/>
  <c r="D15" i="2"/>
  <c r="D27" i="5"/>
  <c r="D13" i="2"/>
  <c r="D12" i="2"/>
  <c r="D26" i="5"/>
  <c r="D25" i="5"/>
  <c r="D24" i="5"/>
  <c r="D23" i="5"/>
  <c r="D12" i="3"/>
  <c r="D22" i="5"/>
  <c r="D10" i="3"/>
  <c r="D107" i="3" s="1"/>
  <c r="D11" i="2"/>
  <c r="D21" i="5"/>
  <c r="D20" i="5"/>
  <c r="D19" i="5"/>
  <c r="D10" i="7"/>
  <c r="D21" i="7" s="1"/>
  <c r="D10" i="4"/>
  <c r="D18" i="5"/>
  <c r="D17" i="5"/>
  <c r="D16" i="5"/>
  <c r="D14" i="5"/>
  <c r="D13" i="5"/>
  <c r="D12" i="5"/>
  <c r="D11" i="5"/>
  <c r="D10" i="5"/>
  <c r="H9" i="9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9" i="8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J9" i="8"/>
  <c r="H9" i="7"/>
  <c r="E9" i="7"/>
  <c r="H338" i="5"/>
  <c r="E9" i="5"/>
  <c r="E10" i="5" s="1"/>
  <c r="E11" i="5" s="1"/>
  <c r="H9" i="4"/>
  <c r="E9" i="4"/>
  <c r="E10" i="4" s="1"/>
  <c r="H9" i="2"/>
  <c r="H109" i="2" s="1"/>
  <c r="E9" i="2"/>
  <c r="E10" i="2" s="1"/>
  <c r="H9" i="1"/>
  <c r="H26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12" i="5" l="1"/>
  <c r="D52" i="4"/>
  <c r="J9" i="4"/>
  <c r="H52" i="4"/>
  <c r="J9" i="9"/>
  <c r="H72" i="9"/>
  <c r="E24" i="1"/>
  <c r="E25" i="1" s="1"/>
  <c r="D338" i="5"/>
  <c r="J9" i="7"/>
  <c r="G10" i="7" s="1"/>
  <c r="I10" i="7" s="1"/>
  <c r="H21" i="7"/>
  <c r="D109" i="2"/>
  <c r="J11" i="6"/>
  <c r="G12" i="6" s="1"/>
  <c r="I12" i="6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10" i="7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F9" i="9"/>
  <c r="F9" i="5"/>
  <c r="I10" i="3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11" i="2"/>
  <c r="E12" i="2" s="1"/>
  <c r="E13" i="2" s="1"/>
  <c r="E14" i="2" s="1"/>
  <c r="E15" i="2" s="1"/>
  <c r="E16" i="2" s="1"/>
  <c r="E17" i="2" s="1"/>
  <c r="E18" i="2" s="1"/>
  <c r="E19" i="2" s="1"/>
  <c r="E11" i="4"/>
  <c r="E12" i="4" s="1"/>
  <c r="E13" i="4" s="1"/>
  <c r="E14" i="4" s="1"/>
  <c r="E15" i="4" s="1"/>
  <c r="E30" i="8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F9" i="7"/>
  <c r="F9" i="1"/>
  <c r="F9" i="2"/>
  <c r="F9" i="8"/>
  <c r="G10" i="4"/>
  <c r="I10" i="4" s="1"/>
  <c r="G10" i="9"/>
  <c r="I10" i="9" s="1"/>
  <c r="G10" i="8"/>
  <c r="I10" i="8" s="1"/>
  <c r="J9" i="2"/>
  <c r="J9" i="1"/>
  <c r="F9" i="4"/>
  <c r="J9" i="5"/>
  <c r="E31" i="9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J29" i="1" l="1"/>
  <c r="J25" i="7"/>
  <c r="J90" i="8"/>
  <c r="J12" i="6"/>
  <c r="G13" i="6" s="1"/>
  <c r="I13" i="6" s="1"/>
  <c r="J10" i="3"/>
  <c r="L12" i="6"/>
  <c r="E31" i="5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G10" i="1"/>
  <c r="I10" i="1" s="1"/>
  <c r="L10" i="1" s="1"/>
  <c r="M10" i="1" s="1"/>
  <c r="J10" i="8"/>
  <c r="G11" i="8" s="1"/>
  <c r="I11" i="8" s="1"/>
  <c r="J11" i="8" s="1"/>
  <c r="G12" i="8" s="1"/>
  <c r="I12" i="8" s="1"/>
  <c r="J12" i="8" s="1"/>
  <c r="G13" i="8" s="1"/>
  <c r="I13" i="8" s="1"/>
  <c r="J13" i="8" s="1"/>
  <c r="J10" i="7"/>
  <c r="G11" i="7" s="1"/>
  <c r="I11" i="7" s="1"/>
  <c r="L10" i="7"/>
  <c r="E56" i="9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J75" i="9" s="1"/>
  <c r="J10" i="9"/>
  <c r="G11" i="9" s="1"/>
  <c r="I11" i="9" s="1"/>
  <c r="J11" i="9" s="1"/>
  <c r="G12" i="9" s="1"/>
  <c r="I12" i="9" s="1"/>
  <c r="J12" i="9" s="1"/>
  <c r="G13" i="9" s="1"/>
  <c r="I13" i="9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J10" i="4"/>
  <c r="G11" i="4" s="1"/>
  <c r="I11" i="4" s="1"/>
  <c r="L10" i="4"/>
  <c r="E36" i="3"/>
  <c r="E37" i="3" s="1"/>
  <c r="E38" i="3" s="1"/>
  <c r="E39" i="3" s="1"/>
  <c r="E40" i="3" s="1"/>
  <c r="E16" i="4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G11" i="3"/>
  <c r="I11" i="3" s="1"/>
  <c r="G10" i="2"/>
  <c r="I10" i="2" s="1"/>
  <c r="G10" i="5"/>
  <c r="I10" i="5" s="1"/>
  <c r="J10" i="1" l="1"/>
  <c r="J13" i="6"/>
  <c r="G14" i="6" s="1"/>
  <c r="I14" i="6" s="1"/>
  <c r="J14" i="6" s="1"/>
  <c r="G15" i="6" s="1"/>
  <c r="I15" i="6" s="1"/>
  <c r="E33" i="4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J13" i="9"/>
  <c r="G14" i="9" s="1"/>
  <c r="I14" i="9" s="1"/>
  <c r="L13" i="9"/>
  <c r="J11" i="3"/>
  <c r="G12" i="3" s="1"/>
  <c r="I12" i="3" s="1"/>
  <c r="J12" i="3" s="1"/>
  <c r="G13" i="3" s="1"/>
  <c r="I13" i="3" s="1"/>
  <c r="E41" i="3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J11" i="7"/>
  <c r="G12" i="7" s="1"/>
  <c r="I12" i="7" s="1"/>
  <c r="L11" i="7"/>
  <c r="M11" i="7" s="1"/>
  <c r="E30" i="2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J111" i="2" s="1"/>
  <c r="J10" i="2"/>
  <c r="G11" i="2" s="1"/>
  <c r="I11" i="2" s="1"/>
  <c r="J11" i="2" s="1"/>
  <c r="G12" i="2" s="1"/>
  <c r="I12" i="2" s="1"/>
  <c r="J12" i="2" s="1"/>
  <c r="G13" i="2" s="1"/>
  <c r="I13" i="2" s="1"/>
  <c r="J13" i="2" s="1"/>
  <c r="G14" i="2" s="1"/>
  <c r="I14" i="2" s="1"/>
  <c r="J10" i="5"/>
  <c r="G11" i="5" s="1"/>
  <c r="I11" i="5" s="1"/>
  <c r="J11" i="5" s="1"/>
  <c r="G12" i="5" s="1"/>
  <c r="I12" i="5" s="1"/>
  <c r="J12" i="5" s="1"/>
  <c r="G13" i="5" s="1"/>
  <c r="I13" i="5" s="1"/>
  <c r="J13" i="5" s="1"/>
  <c r="G14" i="5" s="1"/>
  <c r="I14" i="5" s="1"/>
  <c r="J14" i="5" s="1"/>
  <c r="J11" i="4"/>
  <c r="G12" i="4" s="1"/>
  <c r="I12" i="4" s="1"/>
  <c r="J12" i="4" s="1"/>
  <c r="G13" i="4" s="1"/>
  <c r="I13" i="4" s="1"/>
  <c r="E73" i="5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G14" i="8"/>
  <c r="I14" i="8" s="1"/>
  <c r="J14" i="8" s="1"/>
  <c r="L12" i="3" l="1"/>
  <c r="G11" i="1"/>
  <c r="I11" i="1" s="1"/>
  <c r="J11" i="1" s="1"/>
  <c r="G12" i="1" s="1"/>
  <c r="I12" i="1" s="1"/>
  <c r="J15" i="6"/>
  <c r="G16" i="6" s="1"/>
  <c r="I16" i="6" s="1"/>
  <c r="L14" i="6"/>
  <c r="M14" i="6" s="1"/>
  <c r="E69" i="3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J110" i="3" s="1"/>
  <c r="E45" i="4"/>
  <c r="E46" i="4" s="1"/>
  <c r="E47" i="4" s="1"/>
  <c r="E48" i="4" s="1"/>
  <c r="E49" i="4" s="1"/>
  <c r="E50" i="4" s="1"/>
  <c r="E51" i="4" s="1"/>
  <c r="J57" i="4" s="1"/>
  <c r="L11" i="1"/>
  <c r="J13" i="3"/>
  <c r="G14" i="3" s="1"/>
  <c r="I14" i="3" s="1"/>
  <c r="J14" i="3" s="1"/>
  <c r="G15" i="3" s="1"/>
  <c r="I15" i="3" s="1"/>
  <c r="J15" i="3" s="1"/>
  <c r="G16" i="3" s="1"/>
  <c r="I16" i="3" s="1"/>
  <c r="J16" i="3" s="1"/>
  <c r="G17" i="3" s="1"/>
  <c r="I17" i="3" s="1"/>
  <c r="J17" i="3" s="1"/>
  <c r="G18" i="3" s="1"/>
  <c r="I18" i="3" s="1"/>
  <c r="J18" i="3" s="1"/>
  <c r="G19" i="3" s="1"/>
  <c r="I19" i="3" s="1"/>
  <c r="J19" i="3" s="1"/>
  <c r="G20" i="3" s="1"/>
  <c r="I20" i="3" s="1"/>
  <c r="J20" i="3" s="1"/>
  <c r="G21" i="3" s="1"/>
  <c r="I21" i="3" s="1"/>
  <c r="J21" i="3" s="1"/>
  <c r="G22" i="3" s="1"/>
  <c r="I22" i="3" s="1"/>
  <c r="J22" i="3" s="1"/>
  <c r="G23" i="3" s="1"/>
  <c r="I23" i="3" s="1"/>
  <c r="J23" i="3" s="1"/>
  <c r="J12" i="7"/>
  <c r="G13" i="7" s="1"/>
  <c r="I13" i="7" s="1"/>
  <c r="L12" i="7"/>
  <c r="M12" i="7" s="1"/>
  <c r="J14" i="9"/>
  <c r="G15" i="9" s="1"/>
  <c r="I15" i="9" s="1"/>
  <c r="J15" i="9" s="1"/>
  <c r="J14" i="2"/>
  <c r="G15" i="2" s="1"/>
  <c r="I15" i="2" s="1"/>
  <c r="J15" i="2" s="1"/>
  <c r="L13" i="2"/>
  <c r="J13" i="4"/>
  <c r="G14" i="4" s="1"/>
  <c r="I14" i="4" s="1"/>
  <c r="J14" i="4" s="1"/>
  <c r="G15" i="4" s="1"/>
  <c r="I15" i="4" s="1"/>
  <c r="J15" i="4" s="1"/>
  <c r="G16" i="4" s="1"/>
  <c r="I16" i="4" s="1"/>
  <c r="L12" i="4"/>
  <c r="M12" i="4" s="1"/>
  <c r="E123" i="5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J342" i="5" s="1"/>
  <c r="G15" i="8"/>
  <c r="I15" i="8" s="1"/>
  <c r="G15" i="5"/>
  <c r="I15" i="5" s="1"/>
  <c r="J15" i="5" s="1"/>
  <c r="J16" i="6" l="1"/>
  <c r="G17" i="6" s="1"/>
  <c r="I17" i="6" s="1"/>
  <c r="J17" i="6" s="1"/>
  <c r="G18" i="6" s="1"/>
  <c r="I18" i="6" s="1"/>
  <c r="J18" i="6" s="1"/>
  <c r="G19" i="6" s="1"/>
  <c r="I19" i="6" s="1"/>
  <c r="J19" i="6" s="1"/>
  <c r="G20" i="6" s="1"/>
  <c r="I20" i="6" s="1"/>
  <c r="J12" i="1"/>
  <c r="L23" i="3"/>
  <c r="M23" i="3" s="1"/>
  <c r="L12" i="1"/>
  <c r="M12" i="1" s="1"/>
  <c r="L15" i="4"/>
  <c r="M15" i="4" s="1"/>
  <c r="J15" i="8"/>
  <c r="G16" i="8" s="1"/>
  <c r="I16" i="8" s="1"/>
  <c r="J13" i="7"/>
  <c r="G14" i="7" s="1"/>
  <c r="I14" i="7" s="1"/>
  <c r="L13" i="7"/>
  <c r="J42" i="10"/>
  <c r="J16" i="4"/>
  <c r="G24" i="3"/>
  <c r="I24" i="3" s="1"/>
  <c r="G16" i="9"/>
  <c r="I16" i="9" s="1"/>
  <c r="J16" i="9" s="1"/>
  <c r="G16" i="2"/>
  <c r="I16" i="2" s="1"/>
  <c r="G16" i="5"/>
  <c r="I16" i="5" s="1"/>
  <c r="J16" i="5" s="1"/>
  <c r="J20" i="6" l="1"/>
  <c r="G21" i="6" s="1"/>
  <c r="I21" i="6" s="1"/>
  <c r="J21" i="6" s="1"/>
  <c r="G22" i="6" s="1"/>
  <c r="I22" i="6" s="1"/>
  <c r="J22" i="6" s="1"/>
  <c r="G23" i="6" s="1"/>
  <c r="I23" i="6" s="1"/>
  <c r="J23" i="6" s="1"/>
  <c r="G24" i="6" s="1"/>
  <c r="I24" i="6" s="1"/>
  <c r="J24" i="6" s="1"/>
  <c r="G25" i="6" s="1"/>
  <c r="I25" i="6" s="1"/>
  <c r="J25" i="6" s="1"/>
  <c r="G26" i="6" s="1"/>
  <c r="I26" i="6" s="1"/>
  <c r="J26" i="6" s="1"/>
  <c r="G27" i="6" s="1"/>
  <c r="I27" i="6" s="1"/>
  <c r="J27" i="6" s="1"/>
  <c r="G28" i="6" s="1"/>
  <c r="I28" i="6" s="1"/>
  <c r="L19" i="6"/>
  <c r="J16" i="8"/>
  <c r="G17" i="8" s="1"/>
  <c r="I17" i="8" s="1"/>
  <c r="G13" i="1"/>
  <c r="I13" i="1" s="1"/>
  <c r="L28" i="6"/>
  <c r="L13" i="1"/>
  <c r="M13" i="1" s="1"/>
  <c r="J24" i="3"/>
  <c r="G25" i="3" s="1"/>
  <c r="I25" i="3" s="1"/>
  <c r="J25" i="3" s="1"/>
  <c r="J14" i="7"/>
  <c r="G15" i="7" s="1"/>
  <c r="I15" i="7" s="1"/>
  <c r="J15" i="7" s="1"/>
  <c r="G16" i="7" s="1"/>
  <c r="I16" i="7" s="1"/>
  <c r="L16" i="9"/>
  <c r="M16" i="9" s="1"/>
  <c r="J16" i="2"/>
  <c r="G17" i="2" s="1"/>
  <c r="I17" i="2" s="1"/>
  <c r="J17" i="2" s="1"/>
  <c r="G17" i="9"/>
  <c r="I17" i="9" s="1"/>
  <c r="G17" i="5"/>
  <c r="I17" i="5" s="1"/>
  <c r="J28" i="6" l="1"/>
  <c r="G29" i="6" s="1"/>
  <c r="I29" i="6" s="1"/>
  <c r="L27" i="6"/>
  <c r="L23" i="6"/>
  <c r="M23" i="6" s="1"/>
  <c r="J16" i="7"/>
  <c r="G17" i="7" s="1"/>
  <c r="I17" i="7" s="1"/>
  <c r="J17" i="7" s="1"/>
  <c r="G18" i="7" s="1"/>
  <c r="I18" i="7" s="1"/>
  <c r="J18" i="7" s="1"/>
  <c r="L15" i="7"/>
  <c r="M15" i="7" s="1"/>
  <c r="M28" i="6"/>
  <c r="J17" i="5"/>
  <c r="J13" i="1"/>
  <c r="J29" i="6"/>
  <c r="G30" i="6" s="1"/>
  <c r="I30" i="6" s="1"/>
  <c r="L29" i="6"/>
  <c r="J17" i="8"/>
  <c r="G18" i="8" s="1"/>
  <c r="I18" i="8" s="1"/>
  <c r="L17" i="8"/>
  <c r="J17" i="9"/>
  <c r="G18" i="9" s="1"/>
  <c r="I18" i="9" s="1"/>
  <c r="J18" i="9" s="1"/>
  <c r="G26" i="3"/>
  <c r="I26" i="3" s="1"/>
  <c r="G17" i="4"/>
  <c r="I17" i="4" s="1"/>
  <c r="G18" i="2"/>
  <c r="I18" i="2" s="1"/>
  <c r="G18" i="5"/>
  <c r="I18" i="5" s="1"/>
  <c r="G14" i="1" l="1"/>
  <c r="I14" i="1" s="1"/>
  <c r="J30" i="6"/>
  <c r="G31" i="6" s="1"/>
  <c r="I31" i="6" s="1"/>
  <c r="J31" i="6" s="1"/>
  <c r="G32" i="6" s="1"/>
  <c r="I32" i="6" s="1"/>
  <c r="J26" i="3"/>
  <c r="G27" i="3" s="1"/>
  <c r="I27" i="3" s="1"/>
  <c r="J27" i="3" s="1"/>
  <c r="J18" i="8"/>
  <c r="G19" i="8" s="1"/>
  <c r="I19" i="8" s="1"/>
  <c r="J19" i="8" s="1"/>
  <c r="L18" i="9"/>
  <c r="J18" i="2"/>
  <c r="G19" i="2" s="1"/>
  <c r="I19" i="2" s="1"/>
  <c r="L18" i="2"/>
  <c r="M18" i="2" s="1"/>
  <c r="J18" i="5"/>
  <c r="G19" i="5" s="1"/>
  <c r="I19" i="5" s="1"/>
  <c r="J19" i="5" s="1"/>
  <c r="J17" i="4"/>
  <c r="G18" i="4" s="1"/>
  <c r="I18" i="4" s="1"/>
  <c r="L17" i="4"/>
  <c r="G19" i="7"/>
  <c r="I19" i="7" s="1"/>
  <c r="J19" i="7" s="1"/>
  <c r="G19" i="9"/>
  <c r="I19" i="9" s="1"/>
  <c r="L31" i="6" l="1"/>
  <c r="M31" i="6" s="1"/>
  <c r="L19" i="7"/>
  <c r="M19" i="7" s="1"/>
  <c r="J14" i="1"/>
  <c r="J32" i="6"/>
  <c r="G33" i="6" s="1"/>
  <c r="I33" i="6" s="1"/>
  <c r="L32" i="6"/>
  <c r="J19" i="9"/>
  <c r="G20" i="9" s="1"/>
  <c r="I20" i="9" s="1"/>
  <c r="J20" i="9" s="1"/>
  <c r="J19" i="2"/>
  <c r="G20" i="2" s="1"/>
  <c r="I20" i="2" s="1"/>
  <c r="L19" i="2"/>
  <c r="M19" i="2" s="1"/>
  <c r="J18" i="4"/>
  <c r="G19" i="4" s="1"/>
  <c r="I19" i="4" s="1"/>
  <c r="J19" i="4" s="1"/>
  <c r="G28" i="3"/>
  <c r="I28" i="3" s="1"/>
  <c r="J28" i="3" s="1"/>
  <c r="G29" i="3" s="1"/>
  <c r="I29" i="3" s="1"/>
  <c r="J29" i="3" s="1"/>
  <c r="G30" i="3" s="1"/>
  <c r="I30" i="3" s="1"/>
  <c r="J30" i="3" s="1"/>
  <c r="G31" i="3" s="1"/>
  <c r="I31" i="3" s="1"/>
  <c r="G20" i="7"/>
  <c r="I20" i="7" s="1"/>
  <c r="G20" i="8"/>
  <c r="I20" i="8" s="1"/>
  <c r="J20" i="8" s="1"/>
  <c r="G20" i="5"/>
  <c r="I20" i="5" s="1"/>
  <c r="J20" i="5" s="1"/>
  <c r="J20" i="7" l="1"/>
  <c r="J26" i="7" s="1"/>
  <c r="L20" i="7"/>
  <c r="M20" i="7" s="1"/>
  <c r="M21" i="7"/>
  <c r="I21" i="7"/>
  <c r="G15" i="1"/>
  <c r="I15" i="1" s="1"/>
  <c r="L15" i="1" s="1"/>
  <c r="J33" i="6"/>
  <c r="G34" i="6" s="1"/>
  <c r="I34" i="6" s="1"/>
  <c r="J34" i="6" s="1"/>
  <c r="G35" i="6" s="1"/>
  <c r="I35" i="6" s="1"/>
  <c r="J31" i="3"/>
  <c r="G32" i="3" s="1"/>
  <c r="I32" i="3" s="1"/>
  <c r="J32" i="3" s="1"/>
  <c r="G33" i="3" s="1"/>
  <c r="I33" i="3" s="1"/>
  <c r="J33" i="3" s="1"/>
  <c r="G34" i="3" s="1"/>
  <c r="I34" i="3" s="1"/>
  <c r="L30" i="3"/>
  <c r="J20" i="2"/>
  <c r="L20" i="2"/>
  <c r="G20" i="4"/>
  <c r="I20" i="4" s="1"/>
  <c r="G21" i="9"/>
  <c r="I21" i="9" s="1"/>
  <c r="J21" i="9" s="1"/>
  <c r="G21" i="8"/>
  <c r="I21" i="8" s="1"/>
  <c r="J21" i="8" s="1"/>
  <c r="G21" i="5"/>
  <c r="I21" i="5" s="1"/>
  <c r="J21" i="5" s="1"/>
  <c r="L34" i="6" l="1"/>
  <c r="M34" i="6" s="1"/>
  <c r="J15" i="1"/>
  <c r="L33" i="3"/>
  <c r="M33" i="3" s="1"/>
  <c r="J35" i="6"/>
  <c r="G36" i="6" s="1"/>
  <c r="I36" i="6" s="1"/>
  <c r="J36" i="6" s="1"/>
  <c r="G37" i="6" s="1"/>
  <c r="I37" i="6" s="1"/>
  <c r="J37" i="6" s="1"/>
  <c r="G38" i="6" s="1"/>
  <c r="I38" i="6" s="1"/>
  <c r="J34" i="3"/>
  <c r="G35" i="3" s="1"/>
  <c r="I35" i="3" s="1"/>
  <c r="J35" i="3" s="1"/>
  <c r="G36" i="3" s="1"/>
  <c r="I36" i="3" s="1"/>
  <c r="J36" i="3" s="1"/>
  <c r="G37" i="3" s="1"/>
  <c r="I37" i="3" s="1"/>
  <c r="J37" i="3" s="1"/>
  <c r="G38" i="3" s="1"/>
  <c r="I38" i="3" s="1"/>
  <c r="J38" i="3" s="1"/>
  <c r="G39" i="3" s="1"/>
  <c r="I39" i="3" s="1"/>
  <c r="J39" i="3" s="1"/>
  <c r="G40" i="3" s="1"/>
  <c r="I40" i="3" s="1"/>
  <c r="J40" i="3" s="1"/>
  <c r="J20" i="4"/>
  <c r="G21" i="4" s="1"/>
  <c r="I21" i="4" s="1"/>
  <c r="J21" i="4" s="1"/>
  <c r="G22" i="4" s="1"/>
  <c r="I22" i="4" s="1"/>
  <c r="G22" i="9"/>
  <c r="I22" i="9" s="1"/>
  <c r="J22" i="9" s="1"/>
  <c r="G21" i="2"/>
  <c r="I21" i="2" s="1"/>
  <c r="G22" i="8"/>
  <c r="I22" i="8" s="1"/>
  <c r="J22" i="8" s="1"/>
  <c r="G22" i="5"/>
  <c r="I22" i="5" s="1"/>
  <c r="J22" i="5" s="1"/>
  <c r="J38" i="6" l="1"/>
  <c r="G39" i="6" s="1"/>
  <c r="I39" i="6" s="1"/>
  <c r="J39" i="6" s="1"/>
  <c r="G40" i="6" s="1"/>
  <c r="I40" i="6" s="1"/>
  <c r="G16" i="1"/>
  <c r="I16" i="1" s="1"/>
  <c r="L37" i="6"/>
  <c r="M37" i="6" s="1"/>
  <c r="L40" i="3"/>
  <c r="M40" i="3" s="1"/>
  <c r="G41" i="3"/>
  <c r="I41" i="3" s="1"/>
  <c r="J21" i="2"/>
  <c r="G22" i="2" s="1"/>
  <c r="I22" i="2" s="1"/>
  <c r="J22" i="2" s="1"/>
  <c r="L21" i="4"/>
  <c r="M21" i="4" s="1"/>
  <c r="J22" i="4"/>
  <c r="G23" i="9"/>
  <c r="I23" i="9" s="1"/>
  <c r="J23" i="9" s="1"/>
  <c r="G23" i="8"/>
  <c r="I23" i="8" s="1"/>
  <c r="J23" i="8" s="1"/>
  <c r="G23" i="5"/>
  <c r="I23" i="5" s="1"/>
  <c r="J23" i="5" s="1"/>
  <c r="L39" i="6" l="1"/>
  <c r="J40" i="6"/>
  <c r="G41" i="6" s="1"/>
  <c r="I41" i="6" s="1"/>
  <c r="J41" i="6" s="1"/>
  <c r="G42" i="6" s="1"/>
  <c r="I42" i="6" s="1"/>
  <c r="L41" i="6"/>
  <c r="M41" i="6" s="1"/>
  <c r="J16" i="1"/>
  <c r="J41" i="3"/>
  <c r="G42" i="3" s="1"/>
  <c r="I42" i="3" s="1"/>
  <c r="L41" i="3"/>
  <c r="G23" i="4"/>
  <c r="I23" i="4" s="1"/>
  <c r="L23" i="4" s="1"/>
  <c r="M23" i="4" s="1"/>
  <c r="G24" i="9"/>
  <c r="I24" i="9" s="1"/>
  <c r="G23" i="2"/>
  <c r="I23" i="2" s="1"/>
  <c r="J23" i="2" s="1"/>
  <c r="G24" i="8"/>
  <c r="I24" i="8" s="1"/>
  <c r="J24" i="8" s="1"/>
  <c r="G24" i="5"/>
  <c r="I24" i="5" s="1"/>
  <c r="J24" i="5" s="1"/>
  <c r="J42" i="6" l="1"/>
  <c r="G43" i="6" s="1"/>
  <c r="I43" i="6" s="1"/>
  <c r="J43" i="6" s="1"/>
  <c r="G44" i="6" s="1"/>
  <c r="I44" i="6" s="1"/>
  <c r="G17" i="1"/>
  <c r="I17" i="1" s="1"/>
  <c r="J23" i="4"/>
  <c r="G24" i="4" s="1"/>
  <c r="I24" i="4" s="1"/>
  <c r="J42" i="3"/>
  <c r="G43" i="3" s="1"/>
  <c r="I43" i="3" s="1"/>
  <c r="J43" i="3" s="1"/>
  <c r="G44" i="3" s="1"/>
  <c r="I44" i="3" s="1"/>
  <c r="J24" i="9"/>
  <c r="G25" i="9" s="1"/>
  <c r="I25" i="9" s="1"/>
  <c r="L24" i="9"/>
  <c r="M24" i="9" s="1"/>
  <c r="J24" i="4"/>
  <c r="G25" i="4" s="1"/>
  <c r="I25" i="4" s="1"/>
  <c r="J25" i="4" s="1"/>
  <c r="G24" i="2"/>
  <c r="I24" i="2" s="1"/>
  <c r="G25" i="8"/>
  <c r="I25" i="8" s="1"/>
  <c r="J25" i="8" s="1"/>
  <c r="G25" i="5"/>
  <c r="I25" i="5" s="1"/>
  <c r="J25" i="5" s="1"/>
  <c r="L43" i="6" l="1"/>
  <c r="J44" i="6"/>
  <c r="G45" i="6" s="1"/>
  <c r="I45" i="6" s="1"/>
  <c r="J45" i="6" s="1"/>
  <c r="G46" i="6" s="1"/>
  <c r="I46" i="6" s="1"/>
  <c r="J46" i="6" s="1"/>
  <c r="G47" i="6" s="1"/>
  <c r="I47" i="6" s="1"/>
  <c r="J47" i="6" s="1"/>
  <c r="G48" i="6" s="1"/>
  <c r="I48" i="6" s="1"/>
  <c r="J17" i="1"/>
  <c r="L43" i="3"/>
  <c r="M43" i="3" s="1"/>
  <c r="J44" i="3"/>
  <c r="G45" i="3" s="1"/>
  <c r="I45" i="3" s="1"/>
  <c r="J45" i="3" s="1"/>
  <c r="G46" i="3" s="1"/>
  <c r="I46" i="3" s="1"/>
  <c r="J25" i="9"/>
  <c r="G26" i="9" s="1"/>
  <c r="I26" i="9" s="1"/>
  <c r="L25" i="9"/>
  <c r="J24" i="2"/>
  <c r="G25" i="2" s="1"/>
  <c r="I25" i="2" s="1"/>
  <c r="G26" i="4"/>
  <c r="I26" i="4" s="1"/>
  <c r="G26" i="8"/>
  <c r="I26" i="8" s="1"/>
  <c r="J26" i="8" s="1"/>
  <c r="G26" i="5"/>
  <c r="I26" i="5" s="1"/>
  <c r="J26" i="5" s="1"/>
  <c r="J48" i="6" l="1"/>
  <c r="G49" i="6" s="1"/>
  <c r="I49" i="6" s="1"/>
  <c r="L48" i="6"/>
  <c r="L47" i="6"/>
  <c r="M47" i="6" s="1"/>
  <c r="G18" i="1"/>
  <c r="I18" i="1" s="1"/>
  <c r="L45" i="3"/>
  <c r="J46" i="3"/>
  <c r="G47" i="3" s="1"/>
  <c r="I47" i="3" s="1"/>
  <c r="J47" i="3" s="1"/>
  <c r="J26" i="9"/>
  <c r="G27" i="9" s="1"/>
  <c r="I27" i="9" s="1"/>
  <c r="J27" i="9" s="1"/>
  <c r="J25" i="2"/>
  <c r="G26" i="2" s="1"/>
  <c r="I26" i="2" s="1"/>
  <c r="J26" i="4"/>
  <c r="G27" i="8"/>
  <c r="I27" i="8" s="1"/>
  <c r="G27" i="5"/>
  <c r="I27" i="5" s="1"/>
  <c r="J49" i="6" l="1"/>
  <c r="G50" i="6" s="1"/>
  <c r="I50" i="6" s="1"/>
  <c r="L49" i="6"/>
  <c r="M49" i="6" s="1"/>
  <c r="L47" i="3"/>
  <c r="M47" i="3" s="1"/>
  <c r="L18" i="1"/>
  <c r="M18" i="1" s="1"/>
  <c r="J18" i="1"/>
  <c r="G48" i="3"/>
  <c r="I48" i="3" s="1"/>
  <c r="J48" i="3"/>
  <c r="G49" i="3" s="1"/>
  <c r="I49" i="3" s="1"/>
  <c r="J49" i="3" s="1"/>
  <c r="G50" i="3" s="1"/>
  <c r="I50" i="3" s="1"/>
  <c r="J50" i="3" s="1"/>
  <c r="G51" i="3" s="1"/>
  <c r="I51" i="3" s="1"/>
  <c r="J51" i="3" s="1"/>
  <c r="G52" i="3" s="1"/>
  <c r="I52" i="3" s="1"/>
  <c r="J52" i="3" s="1"/>
  <c r="G53" i="3" s="1"/>
  <c r="I53" i="3" s="1"/>
  <c r="J53" i="3" s="1"/>
  <c r="G54" i="3" s="1"/>
  <c r="I54" i="3" s="1"/>
  <c r="J54" i="3" s="1"/>
  <c r="J27" i="8"/>
  <c r="G28" i="8" s="1"/>
  <c r="I28" i="8" s="1"/>
  <c r="L27" i="8"/>
  <c r="M27" i="8" s="1"/>
  <c r="J26" i="2"/>
  <c r="G27" i="2" s="1"/>
  <c r="I27" i="2" s="1"/>
  <c r="L26" i="2"/>
  <c r="M26" i="2" s="1"/>
  <c r="J27" i="5"/>
  <c r="G28" i="5" s="1"/>
  <c r="I28" i="5" s="1"/>
  <c r="L27" i="5"/>
  <c r="G27" i="4"/>
  <c r="I27" i="4" s="1"/>
  <c r="G28" i="9"/>
  <c r="I28" i="9" s="1"/>
  <c r="J28" i="9" s="1"/>
  <c r="J50" i="6" l="1"/>
  <c r="G51" i="6" s="1"/>
  <c r="I51" i="6" s="1"/>
  <c r="L51" i="6" s="1"/>
  <c r="M51" i="6" s="1"/>
  <c r="M52" i="6" s="1"/>
  <c r="G19" i="1"/>
  <c r="I19" i="1" s="1"/>
  <c r="G55" i="3"/>
  <c r="I55" i="3" s="1"/>
  <c r="J55" i="3" s="1"/>
  <c r="G56" i="3" s="1"/>
  <c r="I56" i="3" s="1"/>
  <c r="J28" i="8"/>
  <c r="G29" i="8" s="1"/>
  <c r="I29" i="8" s="1"/>
  <c r="J29" i="8" s="1"/>
  <c r="G30" i="8" s="1"/>
  <c r="I30" i="8" s="1"/>
  <c r="J30" i="8" s="1"/>
  <c r="G31" i="8" s="1"/>
  <c r="I31" i="8" s="1"/>
  <c r="J31" i="8" s="1"/>
  <c r="G32" i="8" s="1"/>
  <c r="I32" i="8" s="1"/>
  <c r="J32" i="8" s="1"/>
  <c r="G33" i="8" s="1"/>
  <c r="I33" i="8" s="1"/>
  <c r="J33" i="8" s="1"/>
  <c r="G34" i="8" s="1"/>
  <c r="I34" i="8" s="1"/>
  <c r="J27" i="2"/>
  <c r="G28" i="2" s="1"/>
  <c r="I28" i="2" s="1"/>
  <c r="J28" i="5"/>
  <c r="G29" i="5" s="1"/>
  <c r="I29" i="5" s="1"/>
  <c r="J29" i="5" s="1"/>
  <c r="J27" i="4"/>
  <c r="G28" i="4" s="1"/>
  <c r="I28" i="4" s="1"/>
  <c r="J28" i="4" s="1"/>
  <c r="G29" i="4" s="1"/>
  <c r="I29" i="4" s="1"/>
  <c r="J29" i="4" s="1"/>
  <c r="G30" i="4" s="1"/>
  <c r="I30" i="4" s="1"/>
  <c r="G29" i="9"/>
  <c r="I29" i="9" s="1"/>
  <c r="J29" i="9" s="1"/>
  <c r="J51" i="6" l="1"/>
  <c r="J55" i="6" s="1"/>
  <c r="J56" i="6" s="1"/>
  <c r="I52" i="6"/>
  <c r="J19" i="1"/>
  <c r="L29" i="9"/>
  <c r="M29" i="9" s="1"/>
  <c r="J56" i="3"/>
  <c r="G57" i="3" s="1"/>
  <c r="I57" i="3" s="1"/>
  <c r="L56" i="3"/>
  <c r="J34" i="8"/>
  <c r="G35" i="8" s="1"/>
  <c r="I35" i="8" s="1"/>
  <c r="J35" i="8" s="1"/>
  <c r="G36" i="8" s="1"/>
  <c r="I36" i="8" s="1"/>
  <c r="J36" i="8" s="1"/>
  <c r="G37" i="8" s="1"/>
  <c r="I37" i="8" s="1"/>
  <c r="L33" i="8"/>
  <c r="J28" i="2"/>
  <c r="G29" i="2" s="1"/>
  <c r="I29" i="2" s="1"/>
  <c r="J29" i="2" s="1"/>
  <c r="J30" i="4"/>
  <c r="L29" i="4"/>
  <c r="J27" i="7"/>
  <c r="G30" i="9"/>
  <c r="I30" i="9" s="1"/>
  <c r="G30" i="5"/>
  <c r="I30" i="5" s="1"/>
  <c r="J30" i="5" s="1"/>
  <c r="G20" i="1" l="1"/>
  <c r="I20" i="1" s="1"/>
  <c r="J57" i="3"/>
  <c r="L36" i="8"/>
  <c r="M36" i="8" s="1"/>
  <c r="G58" i="3"/>
  <c r="I58" i="3" s="1"/>
  <c r="J58" i="3" s="1"/>
  <c r="J37" i="8"/>
  <c r="G38" i="8" s="1"/>
  <c r="I38" i="8" s="1"/>
  <c r="J38" i="8" s="1"/>
  <c r="G39" i="8" s="1"/>
  <c r="I39" i="8" s="1"/>
  <c r="J39" i="8" s="1"/>
  <c r="G40" i="8" s="1"/>
  <c r="I40" i="8" s="1"/>
  <c r="J40" i="8" s="1"/>
  <c r="G41" i="8" s="1"/>
  <c r="I41" i="8" s="1"/>
  <c r="J41" i="8" s="1"/>
  <c r="G42" i="8" s="1"/>
  <c r="I42" i="8" s="1"/>
  <c r="J30" i="9"/>
  <c r="G31" i="9" s="1"/>
  <c r="I31" i="9" s="1"/>
  <c r="L30" i="9"/>
  <c r="G31" i="4"/>
  <c r="I31" i="4" s="1"/>
  <c r="J31" i="4" s="1"/>
  <c r="G32" i="4" s="1"/>
  <c r="I32" i="4" s="1"/>
  <c r="J32" i="4" s="1"/>
  <c r="G33" i="4" s="1"/>
  <c r="I33" i="4" s="1"/>
  <c r="G30" i="2"/>
  <c r="I30" i="2" s="1"/>
  <c r="J30" i="2" s="1"/>
  <c r="G31" i="2" s="1"/>
  <c r="I31" i="2" s="1"/>
  <c r="G31" i="5"/>
  <c r="I31" i="5" s="1"/>
  <c r="J31" i="5" s="1"/>
  <c r="G32" i="5" s="1"/>
  <c r="I32" i="5" s="1"/>
  <c r="J32" i="5" s="1"/>
  <c r="G33" i="5" s="1"/>
  <c r="I33" i="5" s="1"/>
  <c r="J33" i="5" s="1"/>
  <c r="G34" i="5" s="1"/>
  <c r="I34" i="5" s="1"/>
  <c r="J34" i="5" s="1"/>
  <c r="G35" i="5" s="1"/>
  <c r="I35" i="5" s="1"/>
  <c r="J35" i="5" s="1"/>
  <c r="G36" i="5" s="1"/>
  <c r="I36" i="5" s="1"/>
  <c r="J36" i="5" s="1"/>
  <c r="G37" i="5" s="1"/>
  <c r="I37" i="5" s="1"/>
  <c r="J37" i="5" s="1"/>
  <c r="G38" i="5" s="1"/>
  <c r="I38" i="5" s="1"/>
  <c r="J38" i="5" s="1"/>
  <c r="G39" i="5" s="1"/>
  <c r="I39" i="5" s="1"/>
  <c r="J39" i="5" s="1"/>
  <c r="G40" i="5" s="1"/>
  <c r="I40" i="5" s="1"/>
  <c r="J40" i="5" s="1"/>
  <c r="G41" i="5" s="1"/>
  <c r="I41" i="5" s="1"/>
  <c r="J41" i="5" s="1"/>
  <c r="G42" i="5" s="1"/>
  <c r="I42" i="5" s="1"/>
  <c r="J42" i="5" s="1"/>
  <c r="G43" i="5" s="1"/>
  <c r="I43" i="5" s="1"/>
  <c r="J43" i="5" s="1"/>
  <c r="G44" i="5" s="1"/>
  <c r="I44" i="5" s="1"/>
  <c r="J44" i="5" s="1"/>
  <c r="G45" i="5" s="1"/>
  <c r="I45" i="5" s="1"/>
  <c r="J45" i="5" s="1"/>
  <c r="G46" i="5" s="1"/>
  <c r="I46" i="5" s="1"/>
  <c r="J46" i="5" s="1"/>
  <c r="G47" i="5" s="1"/>
  <c r="I47" i="5" s="1"/>
  <c r="J47" i="5" s="1"/>
  <c r="G48" i="5" s="1"/>
  <c r="I48" i="5" s="1"/>
  <c r="J48" i="5" s="1"/>
  <c r="G49" i="5" s="1"/>
  <c r="I49" i="5" s="1"/>
  <c r="J49" i="5" s="1"/>
  <c r="G50" i="5" s="1"/>
  <c r="I50" i="5" s="1"/>
  <c r="J50" i="5" s="1"/>
  <c r="G51" i="5" s="1"/>
  <c r="I51" i="5" s="1"/>
  <c r="J51" i="5" s="1"/>
  <c r="G52" i="5" s="1"/>
  <c r="I52" i="5" s="1"/>
  <c r="J52" i="5" s="1"/>
  <c r="J20" i="1" l="1"/>
  <c r="J33" i="4"/>
  <c r="L41" i="8"/>
  <c r="G59" i="3"/>
  <c r="I59" i="3" s="1"/>
  <c r="J59" i="3" s="1"/>
  <c r="G60" i="3" s="1"/>
  <c r="I60" i="3" s="1"/>
  <c r="J60" i="3" s="1"/>
  <c r="J42" i="8"/>
  <c r="G43" i="8" s="1"/>
  <c r="I43" i="8" s="1"/>
  <c r="L42" i="8"/>
  <c r="J31" i="9"/>
  <c r="G32" i="9" s="1"/>
  <c r="I32" i="9" s="1"/>
  <c r="J32" i="9" s="1"/>
  <c r="G33" i="9" s="1"/>
  <c r="I33" i="9" s="1"/>
  <c r="J33" i="9" s="1"/>
  <c r="G34" i="9" s="1"/>
  <c r="I34" i="9" s="1"/>
  <c r="J34" i="9" s="1"/>
  <c r="G35" i="9" s="1"/>
  <c r="I35" i="9" s="1"/>
  <c r="J31" i="2"/>
  <c r="G32" i="2" s="1"/>
  <c r="I32" i="2" s="1"/>
  <c r="J32" i="2" s="1"/>
  <c r="G33" i="2" s="1"/>
  <c r="I33" i="2" s="1"/>
  <c r="J33" i="2" s="1"/>
  <c r="G34" i="2" s="1"/>
  <c r="I34" i="2" s="1"/>
  <c r="J34" i="2" s="1"/>
  <c r="G35" i="2" s="1"/>
  <c r="I35" i="2" s="1"/>
  <c r="J35" i="2" s="1"/>
  <c r="G36" i="2" s="1"/>
  <c r="I36" i="2" s="1"/>
  <c r="J36" i="2" s="1"/>
  <c r="G37" i="2" s="1"/>
  <c r="I37" i="2" s="1"/>
  <c r="J37" i="2" s="1"/>
  <c r="G38" i="2" s="1"/>
  <c r="I38" i="2" s="1"/>
  <c r="L30" i="2"/>
  <c r="L32" i="4"/>
  <c r="M32" i="4" s="1"/>
  <c r="G53" i="5"/>
  <c r="I53" i="5" s="1"/>
  <c r="J53" i="5" s="1"/>
  <c r="M42" i="8" l="1"/>
  <c r="G21" i="1"/>
  <c r="I21" i="1" s="1"/>
  <c r="G34" i="4"/>
  <c r="I34" i="4" s="1"/>
  <c r="L34" i="4" s="1"/>
  <c r="J34" i="4"/>
  <c r="G35" i="4" s="1"/>
  <c r="I35" i="4" s="1"/>
  <c r="J35" i="4" s="1"/>
  <c r="G36" i="4" s="1"/>
  <c r="I36" i="4" s="1"/>
  <c r="J36" i="4" s="1"/>
  <c r="L34" i="9"/>
  <c r="M34" i="9" s="1"/>
  <c r="G61" i="3"/>
  <c r="I61" i="3" s="1"/>
  <c r="J61" i="3" s="1"/>
  <c r="G62" i="3" s="1"/>
  <c r="I62" i="3" s="1"/>
  <c r="L60" i="3"/>
  <c r="M60" i="3" s="1"/>
  <c r="J43" i="8"/>
  <c r="G44" i="8" s="1"/>
  <c r="I44" i="8" s="1"/>
  <c r="J44" i="8" s="1"/>
  <c r="G45" i="8" s="1"/>
  <c r="I45" i="8" s="1"/>
  <c r="J45" i="8" s="1"/>
  <c r="G46" i="8" s="1"/>
  <c r="I46" i="8" s="1"/>
  <c r="J46" i="8" s="1"/>
  <c r="G47" i="8" s="1"/>
  <c r="I47" i="8" s="1"/>
  <c r="J47" i="8" s="1"/>
  <c r="G48" i="8" s="1"/>
  <c r="I48" i="8" s="1"/>
  <c r="J48" i="8" s="1"/>
  <c r="G49" i="8" s="1"/>
  <c r="I49" i="8" s="1"/>
  <c r="J49" i="8" s="1"/>
  <c r="G50" i="8" s="1"/>
  <c r="I50" i="8" s="1"/>
  <c r="J50" i="8" s="1"/>
  <c r="G51" i="8" s="1"/>
  <c r="I51" i="8" s="1"/>
  <c r="J35" i="9"/>
  <c r="G36" i="9" s="1"/>
  <c r="I36" i="9" s="1"/>
  <c r="L35" i="9"/>
  <c r="L37" i="2"/>
  <c r="M37" i="2" s="1"/>
  <c r="J38" i="2"/>
  <c r="G39" i="2" s="1"/>
  <c r="I39" i="2" s="1"/>
  <c r="J39" i="2" s="1"/>
  <c r="G40" i="2" s="1"/>
  <c r="I40" i="2" s="1"/>
  <c r="J40" i="2" s="1"/>
  <c r="G41" i="2" s="1"/>
  <c r="I41" i="2" s="1"/>
  <c r="G54" i="5"/>
  <c r="I54" i="5" s="1"/>
  <c r="J54" i="5" s="1"/>
  <c r="L21" i="1" l="1"/>
  <c r="J21" i="1"/>
  <c r="G37" i="4"/>
  <c r="I37" i="4" s="1"/>
  <c r="J37" i="4"/>
  <c r="J62" i="3"/>
  <c r="G63" i="3" s="1"/>
  <c r="I63" i="3" s="1"/>
  <c r="J63" i="3" s="1"/>
  <c r="G64" i="3" s="1"/>
  <c r="I64" i="3" s="1"/>
  <c r="J64" i="3" s="1"/>
  <c r="G65" i="3" s="1"/>
  <c r="I65" i="3" s="1"/>
  <c r="J65" i="3" s="1"/>
  <c r="G66" i="3" s="1"/>
  <c r="I66" i="3" s="1"/>
  <c r="J51" i="8"/>
  <c r="G52" i="8" s="1"/>
  <c r="I52" i="8" s="1"/>
  <c r="J52" i="8" s="1"/>
  <c r="G53" i="8" s="1"/>
  <c r="I53" i="8" s="1"/>
  <c r="L50" i="8"/>
  <c r="J36" i="9"/>
  <c r="G37" i="9" s="1"/>
  <c r="I37" i="9" s="1"/>
  <c r="J37" i="9" s="1"/>
  <c r="G38" i="9" s="1"/>
  <c r="I38" i="9" s="1"/>
  <c r="L40" i="2"/>
  <c r="J41" i="2"/>
  <c r="G42" i="2" s="1"/>
  <c r="I42" i="2" s="1"/>
  <c r="J42" i="2" s="1"/>
  <c r="G43" i="2" s="1"/>
  <c r="I43" i="2" s="1"/>
  <c r="G55" i="5"/>
  <c r="I55" i="5" s="1"/>
  <c r="J55" i="5" s="1"/>
  <c r="L37" i="9" l="1"/>
  <c r="M37" i="9" s="1"/>
  <c r="J53" i="8"/>
  <c r="G54" i="8" s="1"/>
  <c r="I54" i="8" s="1"/>
  <c r="J54" i="8" s="1"/>
  <c r="G55" i="8" s="1"/>
  <c r="I55" i="8" s="1"/>
  <c r="G22" i="1"/>
  <c r="I22" i="1" s="1"/>
  <c r="L22" i="1" s="1"/>
  <c r="M22" i="1" s="1"/>
  <c r="G38" i="4"/>
  <c r="I38" i="4" s="1"/>
  <c r="L38" i="4" s="1"/>
  <c r="M38" i="4" s="1"/>
  <c r="M52" i="8"/>
  <c r="L52" i="8"/>
  <c r="J66" i="3"/>
  <c r="G67" i="3" s="1"/>
  <c r="I67" i="3" s="1"/>
  <c r="J67" i="3" s="1"/>
  <c r="G68" i="3" s="1"/>
  <c r="I68" i="3" s="1"/>
  <c r="L68" i="3" s="1"/>
  <c r="L65" i="3"/>
  <c r="XFD65" i="3" s="1"/>
  <c r="L42" i="2"/>
  <c r="J38" i="9"/>
  <c r="G39" i="9" s="1"/>
  <c r="I39" i="9" s="1"/>
  <c r="L38" i="9"/>
  <c r="M38" i="9" s="1"/>
  <c r="J43" i="2"/>
  <c r="G44" i="2" s="1"/>
  <c r="I44" i="2" s="1"/>
  <c r="L43" i="2"/>
  <c r="M42" i="2"/>
  <c r="G56" i="5"/>
  <c r="I56" i="5" s="1"/>
  <c r="J56" i="5" s="1"/>
  <c r="J55" i="8" l="1"/>
  <c r="G56" i="8" s="1"/>
  <c r="I56" i="8" s="1"/>
  <c r="L67" i="3"/>
  <c r="L55" i="8"/>
  <c r="J22" i="1"/>
  <c r="J38" i="4"/>
  <c r="G39" i="4" s="1"/>
  <c r="I39" i="4" s="1"/>
  <c r="M67" i="3"/>
  <c r="J68" i="3"/>
  <c r="G69" i="3" s="1"/>
  <c r="I69" i="3" s="1"/>
  <c r="M56" i="8"/>
  <c r="J56" i="8"/>
  <c r="G57" i="8" s="1"/>
  <c r="I57" i="8" s="1"/>
  <c r="L56" i="8"/>
  <c r="J39" i="9"/>
  <c r="G40" i="9" s="1"/>
  <c r="I40" i="9" s="1"/>
  <c r="L39" i="9"/>
  <c r="J44" i="2"/>
  <c r="G45" i="2" s="1"/>
  <c r="I45" i="2" s="1"/>
  <c r="L44" i="2"/>
  <c r="M44" i="2" s="1"/>
  <c r="G57" i="5"/>
  <c r="I57" i="5" s="1"/>
  <c r="J57" i="5" s="1"/>
  <c r="J69" i="3" l="1"/>
  <c r="G23" i="1"/>
  <c r="I23" i="1" s="1"/>
  <c r="L23" i="1" s="1"/>
  <c r="M23" i="1" s="1"/>
  <c r="J39" i="4"/>
  <c r="G40" i="4" s="1"/>
  <c r="I40" i="4" s="1"/>
  <c r="J40" i="4" s="1"/>
  <c r="J57" i="8"/>
  <c r="G58" i="8" s="1"/>
  <c r="I58" i="8" s="1"/>
  <c r="L57" i="8"/>
  <c r="J40" i="9"/>
  <c r="G41" i="9" s="1"/>
  <c r="I41" i="9" s="1"/>
  <c r="J41" i="9" s="1"/>
  <c r="G42" i="9" s="1"/>
  <c r="I42" i="9" s="1"/>
  <c r="J45" i="2"/>
  <c r="G46" i="2" s="1"/>
  <c r="I46" i="2" s="1"/>
  <c r="J46" i="2" s="1"/>
  <c r="G47" i="2" s="1"/>
  <c r="I47" i="2" s="1"/>
  <c r="G58" i="5"/>
  <c r="I58" i="5" s="1"/>
  <c r="L58" i="5" s="1"/>
  <c r="M58" i="5" s="1"/>
  <c r="J23" i="1" l="1"/>
  <c r="L40" i="4"/>
  <c r="M40" i="4" s="1"/>
  <c r="G41" i="4"/>
  <c r="I41" i="4" s="1"/>
  <c r="J41" i="4"/>
  <c r="L46" i="2"/>
  <c r="J58" i="8"/>
  <c r="G59" i="8" s="1"/>
  <c r="I59" i="8" s="1"/>
  <c r="J58" i="5"/>
  <c r="G59" i="5" s="1"/>
  <c r="I59" i="5" s="1"/>
  <c r="L41" i="9"/>
  <c r="M41" i="9" s="1"/>
  <c r="J42" i="9"/>
  <c r="G43" i="9" s="1"/>
  <c r="I43" i="9" s="1"/>
  <c r="L42" i="9"/>
  <c r="J47" i="2"/>
  <c r="G48" i="2" s="1"/>
  <c r="I48" i="2" s="1"/>
  <c r="J48" i="2" s="1"/>
  <c r="G49" i="2" s="1"/>
  <c r="I49" i="2" s="1"/>
  <c r="G70" i="3"/>
  <c r="I70" i="3" s="1"/>
  <c r="J43" i="9" l="1"/>
  <c r="G44" i="9" s="1"/>
  <c r="I44" i="9" s="1"/>
  <c r="L43" i="9"/>
  <c r="M43" i="9" s="1"/>
  <c r="J70" i="3"/>
  <c r="G71" i="3" s="1"/>
  <c r="I71" i="3" s="1"/>
  <c r="J71" i="3" s="1"/>
  <c r="G24" i="1"/>
  <c r="I24" i="1" s="1"/>
  <c r="L24" i="1" s="1"/>
  <c r="G42" i="4"/>
  <c r="I42" i="4" s="1"/>
  <c r="L42" i="4" s="1"/>
  <c r="M42" i="4" s="1"/>
  <c r="L48" i="2"/>
  <c r="M48" i="2" s="1"/>
  <c r="J59" i="5"/>
  <c r="G60" i="5" s="1"/>
  <c r="I60" i="5" s="1"/>
  <c r="J60" i="5" s="1"/>
  <c r="G61" i="5" s="1"/>
  <c r="I61" i="5" s="1"/>
  <c r="J61" i="5" s="1"/>
  <c r="G62" i="5" s="1"/>
  <c r="I62" i="5" s="1"/>
  <c r="J62" i="5" s="1"/>
  <c r="G63" i="5" s="1"/>
  <c r="I63" i="5" s="1"/>
  <c r="J63" i="5" s="1"/>
  <c r="G64" i="5" s="1"/>
  <c r="I64" i="5" s="1"/>
  <c r="J64" i="5" s="1"/>
  <c r="G65" i="5" s="1"/>
  <c r="I65" i="5" s="1"/>
  <c r="J65" i="5" s="1"/>
  <c r="G66" i="5" s="1"/>
  <c r="I66" i="5" s="1"/>
  <c r="J66" i="5" s="1"/>
  <c r="G67" i="5" s="1"/>
  <c r="I67" i="5" s="1"/>
  <c r="J67" i="5" s="1"/>
  <c r="G68" i="5" s="1"/>
  <c r="I68" i="5" s="1"/>
  <c r="J68" i="5" s="1"/>
  <c r="G69" i="5" s="1"/>
  <c r="I69" i="5" s="1"/>
  <c r="J69" i="5" s="1"/>
  <c r="G70" i="5" s="1"/>
  <c r="I70" i="5" s="1"/>
  <c r="J70" i="5" s="1"/>
  <c r="G71" i="5" s="1"/>
  <c r="I71" i="5" s="1"/>
  <c r="J71" i="5" s="1"/>
  <c r="G72" i="5" s="1"/>
  <c r="I72" i="5" s="1"/>
  <c r="J72" i="5" s="1"/>
  <c r="G73" i="5" s="1"/>
  <c r="I73" i="5" s="1"/>
  <c r="J73" i="5" s="1"/>
  <c r="G74" i="5" s="1"/>
  <c r="I74" i="5" s="1"/>
  <c r="J74" i="5" s="1"/>
  <c r="G75" i="5" s="1"/>
  <c r="I75" i="5" s="1"/>
  <c r="J75" i="5" s="1"/>
  <c r="G76" i="5" s="1"/>
  <c r="I76" i="5" s="1"/>
  <c r="J76" i="5" s="1"/>
  <c r="G77" i="5" s="1"/>
  <c r="I77" i="5" s="1"/>
  <c r="J77" i="5" s="1"/>
  <c r="G78" i="5" s="1"/>
  <c r="I78" i="5" s="1"/>
  <c r="J59" i="8"/>
  <c r="G60" i="8" s="1"/>
  <c r="I60" i="8" s="1"/>
  <c r="J60" i="8" s="1"/>
  <c r="J49" i="2"/>
  <c r="G50" i="2" s="1"/>
  <c r="I50" i="2" s="1"/>
  <c r="J50" i="2" s="1"/>
  <c r="G51" i="2" s="1"/>
  <c r="I51" i="2" s="1"/>
  <c r="J51" i="2" s="1"/>
  <c r="G52" i="2" s="1"/>
  <c r="I52" i="2" s="1"/>
  <c r="J52" i="2" s="1"/>
  <c r="G53" i="2" s="1"/>
  <c r="I53" i="2" s="1"/>
  <c r="J53" i="2" s="1"/>
  <c r="G54" i="2" s="1"/>
  <c r="I54" i="2" s="1"/>
  <c r="J54" i="2" s="1"/>
  <c r="J44" i="9" l="1"/>
  <c r="G45" i="9" s="1"/>
  <c r="I45" i="9" s="1"/>
  <c r="L44" i="9"/>
  <c r="J24" i="1"/>
  <c r="J42" i="4"/>
  <c r="G43" i="4" s="1"/>
  <c r="I43" i="4" s="1"/>
  <c r="J43" i="4" s="1"/>
  <c r="J44" i="4" s="1"/>
  <c r="G55" i="2"/>
  <c r="L54" i="2"/>
  <c r="J78" i="5"/>
  <c r="G79" i="5" s="1"/>
  <c r="I79" i="5" s="1"/>
  <c r="J79" i="5" s="1"/>
  <c r="G80" i="5" s="1"/>
  <c r="I80" i="5" s="1"/>
  <c r="J80" i="5" s="1"/>
  <c r="G81" i="5" s="1"/>
  <c r="I81" i="5" s="1"/>
  <c r="J81" i="5" s="1"/>
  <c r="G82" i="5" s="1"/>
  <c r="I82" i="5" s="1"/>
  <c r="J82" i="5" s="1"/>
  <c r="G83" i="5" s="1"/>
  <c r="I83" i="5" s="1"/>
  <c r="J83" i="5" s="1"/>
  <c r="G84" i="5" s="1"/>
  <c r="I84" i="5" s="1"/>
  <c r="J84" i="5" s="1"/>
  <c r="L77" i="5"/>
  <c r="G72" i="3"/>
  <c r="I72" i="3" s="1"/>
  <c r="J72" i="3" s="1"/>
  <c r="G61" i="8"/>
  <c r="I61" i="8" s="1"/>
  <c r="G45" i="4" l="1"/>
  <c r="I45" i="4" s="1"/>
  <c r="J45" i="4"/>
  <c r="G46" i="4" s="1"/>
  <c r="I46" i="4" s="1"/>
  <c r="J46" i="4" s="1"/>
  <c r="G47" i="4" s="1"/>
  <c r="I47" i="4" s="1"/>
  <c r="J47" i="4" s="1"/>
  <c r="G48" i="4" s="1"/>
  <c r="I48" i="4" s="1"/>
  <c r="J48" i="4" s="1"/>
  <c r="J45" i="9"/>
  <c r="G46" i="9" s="1"/>
  <c r="I46" i="9" s="1"/>
  <c r="J46" i="9" s="1"/>
  <c r="G47" i="9" s="1"/>
  <c r="I47" i="9" s="1"/>
  <c r="I55" i="2"/>
  <c r="G25" i="1"/>
  <c r="I25" i="1" s="1"/>
  <c r="J61" i="8"/>
  <c r="G62" i="8" s="1"/>
  <c r="I62" i="8" s="1"/>
  <c r="G85" i="5"/>
  <c r="I85" i="5" s="1"/>
  <c r="J85" i="5" s="1"/>
  <c r="G73" i="3"/>
  <c r="I73" i="3" s="1"/>
  <c r="J73" i="3" s="1"/>
  <c r="L46" i="9" l="1"/>
  <c r="M46" i="9" s="1"/>
  <c r="J47" i="9"/>
  <c r="G48" i="9" s="1"/>
  <c r="I48" i="9" s="1"/>
  <c r="J48" i="9" s="1"/>
  <c r="G49" i="9" s="1"/>
  <c r="I49" i="9" s="1"/>
  <c r="J49" i="9" s="1"/>
  <c r="G50" i="9" s="1"/>
  <c r="I50" i="9" s="1"/>
  <c r="J50" i="9" s="1"/>
  <c r="G51" i="9" s="1"/>
  <c r="I51" i="9" s="1"/>
  <c r="J51" i="9" s="1"/>
  <c r="G52" i="9" s="1"/>
  <c r="I52" i="9" s="1"/>
  <c r="J52" i="9" s="1"/>
  <c r="G53" i="9" s="1"/>
  <c r="I53" i="9" s="1"/>
  <c r="J53" i="9" s="1"/>
  <c r="G54" i="9" s="1"/>
  <c r="I54" i="9" s="1"/>
  <c r="J54" i="9" s="1"/>
  <c r="G55" i="9" s="1"/>
  <c r="I55" i="9" s="1"/>
  <c r="G49" i="4"/>
  <c r="I49" i="4" s="1"/>
  <c r="L49" i="4" s="1"/>
  <c r="J49" i="4"/>
  <c r="L48" i="4"/>
  <c r="M48" i="4" s="1"/>
  <c r="J55" i="2"/>
  <c r="G56" i="2" s="1"/>
  <c r="I56" i="2" s="1"/>
  <c r="J56" i="2" s="1"/>
  <c r="G57" i="2" s="1"/>
  <c r="I57" i="2" s="1"/>
  <c r="J57" i="2" s="1"/>
  <c r="G58" i="2" s="1"/>
  <c r="L25" i="1"/>
  <c r="M25" i="1" s="1"/>
  <c r="M26" i="1" s="1"/>
  <c r="I26" i="1"/>
  <c r="J25" i="1"/>
  <c r="J30" i="1" s="1"/>
  <c r="J31" i="1" s="1"/>
  <c r="J62" i="8"/>
  <c r="G63" i="8" s="1"/>
  <c r="I63" i="8" s="1"/>
  <c r="L62" i="8"/>
  <c r="M62" i="8" s="1"/>
  <c r="G86" i="5"/>
  <c r="I86" i="5" s="1"/>
  <c r="J86" i="5" s="1"/>
  <c r="G87" i="5" s="1"/>
  <c r="I87" i="5" s="1"/>
  <c r="J87" i="5" s="1"/>
  <c r="G88" i="5" s="1"/>
  <c r="I88" i="5" s="1"/>
  <c r="J88" i="5" s="1"/>
  <c r="G89" i="5" s="1"/>
  <c r="I89" i="5" s="1"/>
  <c r="J89" i="5" s="1"/>
  <c r="G90" i="5" s="1"/>
  <c r="I90" i="5" s="1"/>
  <c r="J90" i="5" s="1"/>
  <c r="G91" i="5" s="1"/>
  <c r="I91" i="5" s="1"/>
  <c r="J91" i="5" s="1"/>
  <c r="G92" i="5" s="1"/>
  <c r="I92" i="5" s="1"/>
  <c r="J92" i="5" s="1"/>
  <c r="G93" i="5" s="1"/>
  <c r="I93" i="5" s="1"/>
  <c r="J93" i="5" s="1"/>
  <c r="G74" i="3"/>
  <c r="I74" i="3" s="1"/>
  <c r="G50" i="4" l="1"/>
  <c r="I50" i="4" s="1"/>
  <c r="J50" i="4" s="1"/>
  <c r="L54" i="9"/>
  <c r="J55" i="9"/>
  <c r="G56" i="9" s="1"/>
  <c r="I56" i="9" s="1"/>
  <c r="J56" i="9" s="1"/>
  <c r="G57" i="9" s="1"/>
  <c r="I57" i="9" s="1"/>
  <c r="J57" i="9" s="1"/>
  <c r="G58" i="9" s="1"/>
  <c r="I58" i="9" s="1"/>
  <c r="J58" i="9" s="1"/>
  <c r="G59" i="9" s="1"/>
  <c r="I59" i="9" s="1"/>
  <c r="J74" i="3"/>
  <c r="G75" i="3" s="1"/>
  <c r="I75" i="3" s="1"/>
  <c r="J75" i="3" s="1"/>
  <c r="I58" i="2"/>
  <c r="J58" i="2" s="1"/>
  <c r="J63" i="8"/>
  <c r="G64" i="8" s="1"/>
  <c r="I64" i="8" s="1"/>
  <c r="G94" i="5"/>
  <c r="I94" i="5" s="1"/>
  <c r="L94" i="5" s="1"/>
  <c r="M94" i="5" s="1"/>
  <c r="L58" i="9" l="1"/>
  <c r="M58" i="9" s="1"/>
  <c r="G51" i="4"/>
  <c r="I51" i="4" s="1"/>
  <c r="I52" i="4" s="1"/>
  <c r="J59" i="9"/>
  <c r="G60" i="9" s="1"/>
  <c r="I60" i="9" s="1"/>
  <c r="J60" i="9" s="1"/>
  <c r="G61" i="9" s="1"/>
  <c r="I61" i="9" s="1"/>
  <c r="J61" i="9" s="1"/>
  <c r="G62" i="9" s="1"/>
  <c r="I62" i="9" s="1"/>
  <c r="L51" i="4"/>
  <c r="M51" i="4" s="1"/>
  <c r="M52" i="4" s="1"/>
  <c r="G59" i="2"/>
  <c r="J64" i="8"/>
  <c r="G65" i="8" s="1"/>
  <c r="I65" i="8" s="1"/>
  <c r="J65" i="8" s="1"/>
  <c r="J94" i="5"/>
  <c r="G95" i="5" s="1"/>
  <c r="I95" i="5" s="1"/>
  <c r="J95" i="5" s="1"/>
  <c r="G96" i="5" s="1"/>
  <c r="I96" i="5" s="1"/>
  <c r="J96" i="5" s="1"/>
  <c r="G97" i="5" s="1"/>
  <c r="I97" i="5" s="1"/>
  <c r="J97" i="5" s="1"/>
  <c r="G98" i="5" s="1"/>
  <c r="I98" i="5" s="1"/>
  <c r="J98" i="5" s="1"/>
  <c r="G99" i="5" s="1"/>
  <c r="I99" i="5" s="1"/>
  <c r="J99" i="5" s="1"/>
  <c r="G100" i="5" s="1"/>
  <c r="I100" i="5" s="1"/>
  <c r="J100" i="5" s="1"/>
  <c r="G101" i="5" s="1"/>
  <c r="I101" i="5" s="1"/>
  <c r="J101" i="5" s="1"/>
  <c r="G102" i="5" s="1"/>
  <c r="I102" i="5" s="1"/>
  <c r="J102" i="5" s="1"/>
  <c r="G103" i="5" s="1"/>
  <c r="I103" i="5" s="1"/>
  <c r="J103" i="5" s="1"/>
  <c r="G104" i="5" s="1"/>
  <c r="I104" i="5" s="1"/>
  <c r="J104" i="5" s="1"/>
  <c r="G105" i="5" s="1"/>
  <c r="I105" i="5" s="1"/>
  <c r="J105" i="5" s="1"/>
  <c r="G106" i="5" s="1"/>
  <c r="I106" i="5" s="1"/>
  <c r="J106" i="5" s="1"/>
  <c r="G107" i="5" s="1"/>
  <c r="I107" i="5" s="1"/>
  <c r="J107" i="5" s="1"/>
  <c r="G108" i="5" s="1"/>
  <c r="I108" i="5" s="1"/>
  <c r="J108" i="5" s="1"/>
  <c r="J62" i="9" l="1"/>
  <c r="G63" i="9" s="1"/>
  <c r="I63" i="9" s="1"/>
  <c r="J63" i="9" s="1"/>
  <c r="G64" i="9" s="1"/>
  <c r="I64" i="9" s="1"/>
  <c r="J51" i="4"/>
  <c r="J58" i="4" s="1"/>
  <c r="J59" i="4" s="1"/>
  <c r="L61" i="9"/>
  <c r="I59" i="2"/>
  <c r="L65" i="8"/>
  <c r="G109" i="5"/>
  <c r="I109" i="5" s="1"/>
  <c r="J109" i="5" s="1"/>
  <c r="G66" i="8"/>
  <c r="I66" i="8" s="1"/>
  <c r="J59" i="2" l="1"/>
  <c r="G60" i="2" s="1"/>
  <c r="L59" i="2"/>
  <c r="M59" i="2" s="1"/>
  <c r="M63" i="9"/>
  <c r="L63" i="9"/>
  <c r="J64" i="9"/>
  <c r="G65" i="9" s="1"/>
  <c r="I65" i="9" s="1"/>
  <c r="J65" i="9" s="1"/>
  <c r="I60" i="2"/>
  <c r="J66" i="8"/>
  <c r="G67" i="8" s="1"/>
  <c r="I67" i="8" s="1"/>
  <c r="L66" i="8"/>
  <c r="M66" i="8" s="1"/>
  <c r="G66" i="9"/>
  <c r="I66" i="9" s="1"/>
  <c r="J66" i="9" s="1"/>
  <c r="L109" i="5"/>
  <c r="G76" i="3"/>
  <c r="I76" i="3" s="1"/>
  <c r="J76" i="3" s="1"/>
  <c r="G77" i="3" s="1"/>
  <c r="I77" i="3" s="1"/>
  <c r="G110" i="5"/>
  <c r="I110" i="5" s="1"/>
  <c r="J60" i="2" l="1"/>
  <c r="J77" i="3"/>
  <c r="G78" i="3" s="1"/>
  <c r="I78" i="3" s="1"/>
  <c r="L77" i="3"/>
  <c r="M77" i="3" s="1"/>
  <c r="G61" i="2"/>
  <c r="J67" i="8"/>
  <c r="G68" i="8" s="1"/>
  <c r="I68" i="8" s="1"/>
  <c r="L67" i="8"/>
  <c r="G67" i="9"/>
  <c r="I67" i="9" s="1"/>
  <c r="J67" i="9" s="1"/>
  <c r="J110" i="5"/>
  <c r="G111" i="5" s="1"/>
  <c r="I111" i="5" s="1"/>
  <c r="J111" i="5" s="1"/>
  <c r="L67" i="9" l="1"/>
  <c r="J68" i="8"/>
  <c r="J78" i="3"/>
  <c r="G79" i="3" s="1"/>
  <c r="I79" i="3" s="1"/>
  <c r="J79" i="3" s="1"/>
  <c r="G80" i="3" s="1"/>
  <c r="I80" i="3" s="1"/>
  <c r="J80" i="3" s="1"/>
  <c r="G81" i="3" s="1"/>
  <c r="I81" i="3" s="1"/>
  <c r="J81" i="3" s="1"/>
  <c r="G82" i="3" s="1"/>
  <c r="I82" i="3" s="1"/>
  <c r="J82" i="3" s="1"/>
  <c r="I61" i="2"/>
  <c r="G68" i="9"/>
  <c r="I68" i="9" s="1"/>
  <c r="G112" i="5"/>
  <c r="I112" i="5" s="1"/>
  <c r="G69" i="8"/>
  <c r="I69" i="8" s="1"/>
  <c r="J69" i="8" s="1"/>
  <c r="J68" i="9" l="1"/>
  <c r="J61" i="2"/>
  <c r="G62" i="2" s="1"/>
  <c r="L82" i="3"/>
  <c r="J83" i="3"/>
  <c r="G84" i="3" s="1"/>
  <c r="I84" i="3" s="1"/>
  <c r="G69" i="9"/>
  <c r="I69" i="9" s="1"/>
  <c r="J69" i="9" s="1"/>
  <c r="J112" i="5"/>
  <c r="G113" i="5" s="1"/>
  <c r="I113" i="5" s="1"/>
  <c r="J113" i="5" s="1"/>
  <c r="G70" i="8"/>
  <c r="I70" i="8" s="1"/>
  <c r="J70" i="8" s="1"/>
  <c r="J84" i="3" l="1"/>
  <c r="G85" i="3" s="1"/>
  <c r="I85" i="3" s="1"/>
  <c r="J85" i="3" s="1"/>
  <c r="G86" i="3" s="1"/>
  <c r="I86" i="3" s="1"/>
  <c r="J86" i="3" s="1"/>
  <c r="G87" i="3" s="1"/>
  <c r="I87" i="3" s="1"/>
  <c r="I62" i="2"/>
  <c r="G70" i="9"/>
  <c r="I70" i="9" s="1"/>
  <c r="J70" i="9" s="1"/>
  <c r="G114" i="5"/>
  <c r="I114" i="5" s="1"/>
  <c r="J114" i="5" s="1"/>
  <c r="G71" i="8"/>
  <c r="I71" i="8" s="1"/>
  <c r="J62" i="2" l="1"/>
  <c r="L71" i="9"/>
  <c r="M71" i="9" s="1"/>
  <c r="M72" i="9" s="1"/>
  <c r="J71" i="8"/>
  <c r="G72" i="8" s="1"/>
  <c r="I72" i="8" s="1"/>
  <c r="L71" i="8"/>
  <c r="M71" i="8" s="1"/>
  <c r="J87" i="3"/>
  <c r="G88" i="3" s="1"/>
  <c r="I88" i="3" s="1"/>
  <c r="J88" i="3" s="1"/>
  <c r="G89" i="3" s="1"/>
  <c r="I89" i="3" s="1"/>
  <c r="J89" i="3" s="1"/>
  <c r="G90" i="3" s="1"/>
  <c r="I90" i="3" s="1"/>
  <c r="L86" i="3"/>
  <c r="M86" i="3" s="1"/>
  <c r="G63" i="2"/>
  <c r="G71" i="9"/>
  <c r="I71" i="9" s="1"/>
  <c r="G115" i="5"/>
  <c r="I115" i="5" s="1"/>
  <c r="J115" i="5" s="1"/>
  <c r="J71" i="9" l="1"/>
  <c r="J76" i="9" s="1"/>
  <c r="J77" i="9" s="1"/>
  <c r="I72" i="9"/>
  <c r="J72" i="8"/>
  <c r="G73" i="8" s="1"/>
  <c r="I73" i="8" s="1"/>
  <c r="L72" i="8"/>
  <c r="L89" i="3"/>
  <c r="J90" i="3"/>
  <c r="G91" i="3" s="1"/>
  <c r="I91" i="3" s="1"/>
  <c r="J91" i="3" s="1"/>
  <c r="G92" i="3" s="1"/>
  <c r="I92" i="3" s="1"/>
  <c r="J92" i="3" s="1"/>
  <c r="G93" i="3" s="1"/>
  <c r="I93" i="3" s="1"/>
  <c r="J93" i="3" s="1"/>
  <c r="G94" i="3" s="1"/>
  <c r="I94" i="3" s="1"/>
  <c r="J94" i="3" s="1"/>
  <c r="G95" i="3" s="1"/>
  <c r="I95" i="3" s="1"/>
  <c r="I63" i="2"/>
  <c r="G116" i="5"/>
  <c r="I116" i="5" s="1"/>
  <c r="J116" i="5" s="1"/>
  <c r="J63" i="2" l="1"/>
  <c r="G64" i="2" s="1"/>
  <c r="J73" i="8"/>
  <c r="G74" i="8" s="1"/>
  <c r="I74" i="8" s="1"/>
  <c r="L94" i="3"/>
  <c r="M94" i="3" s="1"/>
  <c r="J95" i="3"/>
  <c r="G96" i="3" s="1"/>
  <c r="I96" i="3" s="1"/>
  <c r="J96" i="3" s="1"/>
  <c r="G97" i="3" s="1"/>
  <c r="I97" i="3" s="1"/>
  <c r="J97" i="3" s="1"/>
  <c r="G98" i="3" s="1"/>
  <c r="I98" i="3" s="1"/>
  <c r="J98" i="3" s="1"/>
  <c r="G99" i="3" s="1"/>
  <c r="I99" i="3" s="1"/>
  <c r="J99" i="3" s="1"/>
  <c r="G100" i="3" s="1"/>
  <c r="I100" i="3" s="1"/>
  <c r="G117" i="5"/>
  <c r="I117" i="5" s="1"/>
  <c r="J117" i="5" s="1"/>
  <c r="J74" i="8" l="1"/>
  <c r="G75" i="8" s="1"/>
  <c r="I75" i="8" s="1"/>
  <c r="L99" i="3"/>
  <c r="J100" i="3"/>
  <c r="G101" i="3" s="1"/>
  <c r="I101" i="3" s="1"/>
  <c r="J101" i="3" s="1"/>
  <c r="G102" i="3" s="1"/>
  <c r="I102" i="3" s="1"/>
  <c r="J102" i="3" s="1"/>
  <c r="G103" i="3" s="1"/>
  <c r="I103" i="3" s="1"/>
  <c r="J103" i="3" s="1"/>
  <c r="G104" i="3" s="1"/>
  <c r="I104" i="3" s="1"/>
  <c r="J104" i="3" s="1"/>
  <c r="G105" i="3" s="1"/>
  <c r="I105" i="3" s="1"/>
  <c r="J105" i="3" s="1"/>
  <c r="G106" i="3" s="1"/>
  <c r="I106" i="3" s="1"/>
  <c r="I64" i="2"/>
  <c r="L64" i="2" s="1"/>
  <c r="G118" i="5"/>
  <c r="I118" i="5" s="1"/>
  <c r="J75" i="8" l="1"/>
  <c r="G76" i="8" s="1"/>
  <c r="I76" i="8" s="1"/>
  <c r="L106" i="3"/>
  <c r="M106" i="3" s="1"/>
  <c r="M107" i="3" s="1"/>
  <c r="J106" i="3"/>
  <c r="J111" i="3" s="1"/>
  <c r="J112" i="3" s="1"/>
  <c r="I107" i="3"/>
  <c r="J64" i="2"/>
  <c r="J118" i="5"/>
  <c r="G119" i="5" s="1"/>
  <c r="I119" i="5" s="1"/>
  <c r="L118" i="5"/>
  <c r="M118" i="5" s="1"/>
  <c r="J76" i="8" l="1"/>
  <c r="L76" i="8"/>
  <c r="M76" i="8" s="1"/>
  <c r="G65" i="2"/>
  <c r="J119" i="5"/>
  <c r="G120" i="5" s="1"/>
  <c r="I120" i="5" s="1"/>
  <c r="J120" i="5" s="1"/>
  <c r="G77" i="8"/>
  <c r="I77" i="8" s="1"/>
  <c r="J77" i="8" l="1"/>
  <c r="L77" i="8"/>
  <c r="I65" i="2"/>
  <c r="G121" i="5"/>
  <c r="I121" i="5" s="1"/>
  <c r="G78" i="8"/>
  <c r="I78" i="8" s="1"/>
  <c r="J78" i="8" l="1"/>
  <c r="J65" i="2"/>
  <c r="J121" i="5"/>
  <c r="G122" i="5" s="1"/>
  <c r="I122" i="5" s="1"/>
  <c r="J122" i="5" s="1"/>
  <c r="G123" i="5" s="1"/>
  <c r="I123" i="5" s="1"/>
  <c r="J123" i="5" s="1"/>
  <c r="G124" i="5" s="1"/>
  <c r="I124" i="5" s="1"/>
  <c r="J124" i="5" s="1"/>
  <c r="G79" i="8"/>
  <c r="I79" i="8" s="1"/>
  <c r="J79" i="8" s="1"/>
  <c r="G80" i="8" s="1"/>
  <c r="I80" i="8" s="1"/>
  <c r="J80" i="8" s="1"/>
  <c r="G66" i="2" l="1"/>
  <c r="G81" i="8"/>
  <c r="I81" i="8" s="1"/>
  <c r="J81" i="8" s="1"/>
  <c r="I66" i="2" l="1"/>
  <c r="G82" i="8"/>
  <c r="I82" i="8" s="1"/>
  <c r="J82" i="8" s="1"/>
  <c r="G125" i="5"/>
  <c r="I125" i="5" s="1"/>
  <c r="J66" i="2" l="1"/>
  <c r="G83" i="8"/>
  <c r="I83" i="8" s="1"/>
  <c r="J125" i="5"/>
  <c r="G126" i="5" s="1"/>
  <c r="I126" i="5" s="1"/>
  <c r="J126" i="5" s="1"/>
  <c r="J83" i="8" l="1"/>
  <c r="G84" i="8" s="1"/>
  <c r="I84" i="8" s="1"/>
  <c r="J84" i="8" s="1"/>
  <c r="G67" i="2"/>
  <c r="G127" i="5"/>
  <c r="I127" i="5" s="1"/>
  <c r="J127" i="5" s="1"/>
  <c r="L84" i="8" l="1"/>
  <c r="M84" i="8" s="1"/>
  <c r="I67" i="2"/>
  <c r="G85" i="8"/>
  <c r="I85" i="8" s="1"/>
  <c r="G128" i="5"/>
  <c r="I128" i="5" s="1"/>
  <c r="J128" i="5" s="1"/>
  <c r="J85" i="8" l="1"/>
  <c r="L85" i="8"/>
  <c r="M85" i="8" s="1"/>
  <c r="J67" i="2"/>
  <c r="G86" i="8"/>
  <c r="I86" i="8" s="1"/>
  <c r="G129" i="5"/>
  <c r="I129" i="5" s="1"/>
  <c r="J129" i="5" s="1"/>
  <c r="J86" i="8" l="1"/>
  <c r="L86" i="8"/>
  <c r="G68" i="2"/>
  <c r="G87" i="8"/>
  <c r="I87" i="8" s="1"/>
  <c r="M87" i="8" s="1"/>
  <c r="M88" i="8" s="1"/>
  <c r="G130" i="5"/>
  <c r="I130" i="5" s="1"/>
  <c r="J130" i="5" s="1"/>
  <c r="J87" i="8" l="1"/>
  <c r="J91" i="8" s="1"/>
  <c r="J92" i="8" s="1"/>
  <c r="L87" i="8"/>
  <c r="I88" i="8"/>
  <c r="I68" i="2"/>
  <c r="G131" i="5"/>
  <c r="I131" i="5" s="1"/>
  <c r="J131" i="5" s="1"/>
  <c r="J68" i="2" l="1"/>
  <c r="G132" i="5"/>
  <c r="I132" i="5" s="1"/>
  <c r="J132" i="5" s="1"/>
  <c r="G69" i="2" l="1"/>
  <c r="G133" i="5"/>
  <c r="I133" i="5" s="1"/>
  <c r="J133" i="5" s="1"/>
  <c r="I69" i="2" l="1"/>
  <c r="J69" i="2" s="1"/>
  <c r="G134" i="5"/>
  <c r="I134" i="5" s="1"/>
  <c r="G70" i="2" l="1"/>
  <c r="J134" i="5"/>
  <c r="G135" i="5" s="1"/>
  <c r="I135" i="5" s="1"/>
  <c r="L134" i="5"/>
  <c r="I70" i="2" l="1"/>
  <c r="J135" i="5"/>
  <c r="J70" i="2" l="1"/>
  <c r="G71" i="2" s="1"/>
  <c r="L70" i="2"/>
  <c r="M70" i="2" s="1"/>
  <c r="J136" i="5"/>
  <c r="G137" i="5" s="1"/>
  <c r="I137" i="5" s="1"/>
  <c r="J137" i="5" s="1"/>
  <c r="G138" i="5" s="1"/>
  <c r="I138" i="5" s="1"/>
  <c r="J138" i="5" s="1"/>
  <c r="G139" i="5" l="1"/>
  <c r="I139" i="5" s="1"/>
  <c r="J139" i="5"/>
  <c r="I71" i="2"/>
  <c r="J71" i="2" l="1"/>
  <c r="G140" i="5"/>
  <c r="I140" i="5" s="1"/>
  <c r="J140" i="5" s="1"/>
  <c r="G72" i="2"/>
  <c r="G141" i="5" l="1"/>
  <c r="I141" i="5" s="1"/>
  <c r="J141" i="5" s="1"/>
  <c r="I72" i="2"/>
  <c r="J72" i="2" l="1"/>
  <c r="G73" i="2" s="1"/>
  <c r="G142" i="5"/>
  <c r="I142" i="5" s="1"/>
  <c r="J142" i="5" s="1"/>
  <c r="G143" i="5" l="1"/>
  <c r="I143" i="5" s="1"/>
  <c r="J143" i="5" s="1"/>
  <c r="I73" i="2"/>
  <c r="J73" i="2" l="1"/>
  <c r="G144" i="5"/>
  <c r="I144" i="5" s="1"/>
  <c r="J144" i="5" s="1"/>
  <c r="G74" i="2"/>
  <c r="L143" i="5"/>
  <c r="M143" i="5" s="1"/>
  <c r="G145" i="5" l="1"/>
  <c r="I145" i="5" s="1"/>
  <c r="J145" i="5" s="1"/>
  <c r="I74" i="2"/>
  <c r="J74" i="2" l="1"/>
  <c r="G146" i="5"/>
  <c r="I146" i="5" s="1"/>
  <c r="J146" i="5" s="1"/>
  <c r="G75" i="2"/>
  <c r="G147" i="5" l="1"/>
  <c r="I147" i="5" s="1"/>
  <c r="J147" i="5" s="1"/>
  <c r="I75" i="2"/>
  <c r="J75" i="2" l="1"/>
  <c r="G148" i="5"/>
  <c r="I148" i="5" s="1"/>
  <c r="J148" i="5" s="1"/>
  <c r="G76" i="2"/>
  <c r="G149" i="5" l="1"/>
  <c r="I149" i="5" s="1"/>
  <c r="J149" i="5" s="1"/>
  <c r="G150" i="5" s="1"/>
  <c r="I150" i="5" s="1"/>
  <c r="J150" i="5" s="1"/>
  <c r="I76" i="2"/>
  <c r="J76" i="2" s="1"/>
  <c r="G151" i="5" l="1"/>
  <c r="I151" i="5" s="1"/>
  <c r="J151" i="5" s="1"/>
  <c r="G77" i="2"/>
  <c r="G152" i="5" l="1"/>
  <c r="I152" i="5" s="1"/>
  <c r="J152" i="5" s="1"/>
  <c r="I77" i="2"/>
  <c r="J77" i="2" s="1"/>
  <c r="G153" i="5" l="1"/>
  <c r="I153" i="5" s="1"/>
  <c r="J153" i="5" s="1"/>
  <c r="G78" i="2"/>
  <c r="G154" i="5" l="1"/>
  <c r="I154" i="5" s="1"/>
  <c r="J154" i="5" s="1"/>
  <c r="I78" i="2"/>
  <c r="J78" i="2" s="1"/>
  <c r="L152" i="5"/>
  <c r="G155" i="5" l="1"/>
  <c r="I155" i="5" s="1"/>
  <c r="J155" i="5" s="1"/>
  <c r="G79" i="2"/>
  <c r="G156" i="5" l="1"/>
  <c r="I156" i="5" s="1"/>
  <c r="J156" i="5" s="1"/>
  <c r="I79" i="2"/>
  <c r="J79" i="2" s="1"/>
  <c r="G157" i="5" l="1"/>
  <c r="I157" i="5" s="1"/>
  <c r="J157" i="5" s="1"/>
  <c r="G80" i="2"/>
  <c r="G158" i="5" l="1"/>
  <c r="I158" i="5" s="1"/>
  <c r="J158" i="5" s="1"/>
  <c r="I80" i="2"/>
  <c r="J80" i="2" s="1"/>
  <c r="G159" i="5" l="1"/>
  <c r="I159" i="5" s="1"/>
  <c r="J159" i="5" s="1"/>
  <c r="G81" i="2"/>
  <c r="I81" i="2" s="1"/>
  <c r="J81" i="2" l="1"/>
  <c r="L81" i="2"/>
  <c r="G160" i="5"/>
  <c r="I160" i="5" s="1"/>
  <c r="J160" i="5" s="1"/>
  <c r="G82" i="2"/>
  <c r="G161" i="5" l="1"/>
  <c r="I161" i="5" s="1"/>
  <c r="J161" i="5" s="1"/>
  <c r="I82" i="2"/>
  <c r="J82" i="2" l="1"/>
  <c r="G162" i="5"/>
  <c r="I162" i="5" s="1"/>
  <c r="J162" i="5" s="1"/>
  <c r="G83" i="2"/>
  <c r="G163" i="5" l="1"/>
  <c r="I163" i="5" s="1"/>
  <c r="J163" i="5"/>
  <c r="I83" i="2"/>
  <c r="J83" i="2" l="1"/>
  <c r="G164" i="5"/>
  <c r="I164" i="5" s="1"/>
  <c r="J164" i="5" s="1"/>
  <c r="G84" i="2"/>
  <c r="I84" i="2" s="1"/>
  <c r="J84" i="2" s="1"/>
  <c r="G165" i="5" l="1"/>
  <c r="I165" i="5" s="1"/>
  <c r="J165" i="5" s="1"/>
  <c r="G85" i="2"/>
  <c r="I85" i="2" s="1"/>
  <c r="J85" i="2" s="1"/>
  <c r="G166" i="5" l="1"/>
  <c r="I166" i="5" s="1"/>
  <c r="L166" i="5" s="1"/>
  <c r="M166" i="5" s="1"/>
  <c r="J166" i="5"/>
  <c r="G86" i="2"/>
  <c r="G167" i="5" l="1"/>
  <c r="I167" i="5" s="1"/>
  <c r="J167" i="5"/>
  <c r="I86" i="2"/>
  <c r="J86" i="2" l="1"/>
  <c r="L86" i="2"/>
  <c r="M86" i="2" s="1"/>
  <c r="G168" i="5"/>
  <c r="I168" i="5" s="1"/>
  <c r="J168" i="5" s="1"/>
  <c r="G87" i="2"/>
  <c r="G169" i="5" l="1"/>
  <c r="I169" i="5" s="1"/>
  <c r="J169" i="5"/>
  <c r="I87" i="2"/>
  <c r="J87" i="2" l="1"/>
  <c r="G170" i="5"/>
  <c r="I170" i="5" s="1"/>
  <c r="J170" i="5" s="1"/>
  <c r="G88" i="2"/>
  <c r="G171" i="5" l="1"/>
  <c r="I171" i="5" s="1"/>
  <c r="J171" i="5" s="1"/>
  <c r="I88" i="2"/>
  <c r="J88" i="2" l="1"/>
  <c r="G172" i="5"/>
  <c r="I172" i="5" s="1"/>
  <c r="J172" i="5" s="1"/>
  <c r="G89" i="2"/>
  <c r="I89" i="2" s="1"/>
  <c r="J89" i="2" s="1"/>
  <c r="G173" i="5" l="1"/>
  <c r="I173" i="5" s="1"/>
  <c r="J173" i="5" s="1"/>
  <c r="G90" i="2"/>
  <c r="I90" i="2" s="1"/>
  <c r="J90" i="2" s="1"/>
  <c r="G103" i="2"/>
  <c r="I103" i="2" s="1"/>
  <c r="G174" i="5" l="1"/>
  <c r="I174" i="5" s="1"/>
  <c r="J174" i="5" s="1"/>
  <c r="G91" i="2"/>
  <c r="I91" i="2" s="1"/>
  <c r="J91" i="2" s="1"/>
  <c r="G104" i="2"/>
  <c r="I104" i="2" s="1"/>
  <c r="G175" i="5" l="1"/>
  <c r="I175" i="5" s="1"/>
  <c r="J175" i="5" s="1"/>
  <c r="G105" i="2"/>
  <c r="I105" i="2" s="1"/>
  <c r="G92" i="2"/>
  <c r="I92" i="2" s="1"/>
  <c r="J92" i="2" s="1"/>
  <c r="L92" i="2" l="1"/>
  <c r="G176" i="5"/>
  <c r="I176" i="5" s="1"/>
  <c r="J176" i="5"/>
  <c r="G106" i="2"/>
  <c r="I106" i="2" s="1"/>
  <c r="G93" i="2"/>
  <c r="I93" i="2" s="1"/>
  <c r="J93" i="2" l="1"/>
  <c r="G177" i="5"/>
  <c r="I177" i="5" s="1"/>
  <c r="J177" i="5" s="1"/>
  <c r="G94" i="2"/>
  <c r="I94" i="2" s="1"/>
  <c r="J94" i="2" s="1"/>
  <c r="G107" i="2"/>
  <c r="I107" i="2" s="1"/>
  <c r="G178" i="5" l="1"/>
  <c r="I178" i="5" s="1"/>
  <c r="J178" i="5"/>
  <c r="G108" i="2"/>
  <c r="I108" i="2" s="1"/>
  <c r="G95" i="2"/>
  <c r="G179" i="5" l="1"/>
  <c r="I179" i="5" s="1"/>
  <c r="J179" i="5"/>
  <c r="I95" i="2"/>
  <c r="J95" i="2" l="1"/>
  <c r="G180" i="5"/>
  <c r="I180" i="5" s="1"/>
  <c r="J180" i="5"/>
  <c r="G96" i="2"/>
  <c r="G181" i="5" l="1"/>
  <c r="I181" i="5" s="1"/>
  <c r="J181" i="5"/>
  <c r="I96" i="2"/>
  <c r="G182" i="5" l="1"/>
  <c r="I182" i="5" s="1"/>
  <c r="J182" i="5"/>
  <c r="G183" i="5" s="1"/>
  <c r="I183" i="5" s="1"/>
  <c r="J96" i="2"/>
  <c r="J183" i="5" l="1"/>
  <c r="G184" i="5" s="1"/>
  <c r="I184" i="5" s="1"/>
  <c r="L183" i="5"/>
  <c r="G97" i="2"/>
  <c r="J184" i="5" l="1"/>
  <c r="G185" i="5" s="1"/>
  <c r="I185" i="5" s="1"/>
  <c r="J185" i="5" s="1"/>
  <c r="G186" i="5" s="1"/>
  <c r="I186" i="5" s="1"/>
  <c r="J186" i="5" s="1"/>
  <c r="G187" i="5" s="1"/>
  <c r="I187" i="5" s="1"/>
  <c r="J187" i="5" s="1"/>
  <c r="G188" i="5" s="1"/>
  <c r="I188" i="5" s="1"/>
  <c r="J188" i="5" s="1"/>
  <c r="G189" i="5" s="1"/>
  <c r="I189" i="5" s="1"/>
  <c r="J189" i="5" s="1"/>
  <c r="G190" i="5" s="1"/>
  <c r="I97" i="2"/>
  <c r="I190" i="5" l="1"/>
  <c r="J190" i="5" s="1"/>
  <c r="G191" i="5" s="1"/>
  <c r="I191" i="5" s="1"/>
  <c r="J97" i="2"/>
  <c r="L190" i="5" l="1"/>
  <c r="M190" i="5" s="1"/>
  <c r="XFD190" i="5"/>
  <c r="J191" i="5"/>
  <c r="G192" i="5" s="1"/>
  <c r="I192" i="5" s="1"/>
  <c r="J192" i="5" s="1"/>
  <c r="G193" i="5" s="1"/>
  <c r="I193" i="5" s="1"/>
  <c r="J193" i="5" s="1"/>
  <c r="G194" i="5" s="1"/>
  <c r="I194" i="5" s="1"/>
  <c r="J194" i="5" s="1"/>
  <c r="G98" i="2"/>
  <c r="G195" i="5" l="1"/>
  <c r="I195" i="5" s="1"/>
  <c r="I98" i="2"/>
  <c r="J195" i="5" l="1"/>
  <c r="J98" i="2"/>
  <c r="G196" i="5" l="1"/>
  <c r="I196" i="5" s="1"/>
  <c r="G99" i="2"/>
  <c r="J196" i="5" l="1"/>
  <c r="I99" i="2"/>
  <c r="J99" i="2" s="1"/>
  <c r="G197" i="5" l="1"/>
  <c r="I197" i="5" s="1"/>
  <c r="J197" i="5" s="1"/>
  <c r="G198" i="5" s="1"/>
  <c r="I198" i="5" s="1"/>
  <c r="J198" i="5" s="1"/>
  <c r="G100" i="2"/>
  <c r="G199" i="5" l="1"/>
  <c r="I199" i="5" s="1"/>
  <c r="J199" i="5" s="1"/>
  <c r="I100" i="2"/>
  <c r="J100" i="2" s="1"/>
  <c r="G200" i="5" l="1"/>
  <c r="I200" i="5" s="1"/>
  <c r="J200" i="5" s="1"/>
  <c r="G201" i="5" s="1"/>
  <c r="I201" i="5" s="1"/>
  <c r="G101" i="2"/>
  <c r="I101" i="2" s="1"/>
  <c r="J101" i="2" l="1"/>
  <c r="L101" i="2"/>
  <c r="M101" i="2" s="1"/>
  <c r="J201" i="5"/>
  <c r="L201" i="5"/>
  <c r="G102" i="2"/>
  <c r="I102" i="2" s="1"/>
  <c r="I109" i="2" l="1"/>
  <c r="L108" i="2"/>
  <c r="M108" i="2" s="1"/>
  <c r="M109" i="2" s="1"/>
  <c r="G202" i="5"/>
  <c r="I202" i="5" s="1"/>
  <c r="J102" i="2"/>
  <c r="J103" i="2" s="1"/>
  <c r="J104" i="2" s="1"/>
  <c r="J105" i="2" s="1"/>
  <c r="J106" i="2" s="1"/>
  <c r="J107" i="2" s="1"/>
  <c r="J108" i="2" s="1"/>
  <c r="J112" i="2" s="1"/>
  <c r="J113" i="2" s="1"/>
  <c r="J202" i="5" l="1"/>
  <c r="G203" i="5" l="1"/>
  <c r="I203" i="5" s="1"/>
  <c r="J203" i="5" l="1"/>
  <c r="G204" i="5" s="1"/>
  <c r="I204" i="5" s="1"/>
  <c r="J204" i="5" s="1"/>
  <c r="G205" i="5" l="1"/>
  <c r="I205" i="5" s="1"/>
  <c r="J205" i="5" s="1"/>
  <c r="G206" i="5" l="1"/>
  <c r="I206" i="5" s="1"/>
  <c r="J206" i="5" s="1"/>
  <c r="G207" i="5" s="1"/>
  <c r="I207" i="5" s="1"/>
  <c r="J207" i="5" s="1"/>
  <c r="G208" i="5" l="1"/>
  <c r="I208" i="5" s="1"/>
  <c r="J208" i="5" s="1"/>
  <c r="G209" i="5" l="1"/>
  <c r="I209" i="5" s="1"/>
  <c r="J209" i="5" s="1"/>
  <c r="G210" i="5" s="1"/>
  <c r="I210" i="5" s="1"/>
  <c r="J210" i="5" s="1"/>
  <c r="G211" i="5" l="1"/>
  <c r="I211" i="5" s="1"/>
  <c r="J211" i="5" s="1"/>
  <c r="G212" i="5" l="1"/>
  <c r="I212" i="5" s="1"/>
  <c r="J212" i="5" s="1"/>
  <c r="G213" i="5" s="1"/>
  <c r="I213" i="5" s="1"/>
  <c r="J213" i="5" s="1"/>
  <c r="G214" i="5" s="1"/>
  <c r="I214" i="5" s="1"/>
  <c r="J214" i="5" s="1"/>
  <c r="G215" i="5" l="1"/>
  <c r="I215" i="5" s="1"/>
  <c r="J215" i="5" s="1"/>
  <c r="G216" i="5" s="1"/>
  <c r="I216" i="5" s="1"/>
  <c r="J216" i="5" s="1"/>
  <c r="G217" i="5" s="1"/>
  <c r="I217" i="5" s="1"/>
  <c r="J217" i="5" s="1"/>
  <c r="G218" i="5" l="1"/>
  <c r="I218" i="5" s="1"/>
  <c r="J218" i="5" s="1"/>
  <c r="G219" i="5" l="1"/>
  <c r="I219" i="5" s="1"/>
  <c r="L219" i="5" s="1"/>
  <c r="M219" i="5" s="1"/>
  <c r="J219" i="5" l="1"/>
  <c r="G220" i="5" s="1"/>
  <c r="I220" i="5" s="1"/>
  <c r="J220" i="5" l="1"/>
  <c r="G221" i="5" s="1"/>
  <c r="I221" i="5" s="1"/>
  <c r="J221" i="5" s="1"/>
  <c r="G222" i="5" s="1"/>
  <c r="I222" i="5" s="1"/>
  <c r="J222" i="5" s="1"/>
  <c r="G223" i="5" s="1"/>
  <c r="I223" i="5" s="1"/>
  <c r="J223" i="5" s="1"/>
  <c r="G224" i="5" l="1"/>
  <c r="I224" i="5" s="1"/>
  <c r="J224" i="5" s="1"/>
  <c r="G225" i="5" s="1"/>
  <c r="I225" i="5" s="1"/>
  <c r="J225" i="5" l="1"/>
  <c r="G226" i="5" s="1"/>
  <c r="I226" i="5" s="1"/>
  <c r="J226" i="5" s="1"/>
  <c r="G227" i="5" s="1"/>
  <c r="I227" i="5" s="1"/>
  <c r="J227" i="5" s="1"/>
  <c r="G228" i="5" s="1"/>
  <c r="I228" i="5" s="1"/>
  <c r="J228" i="5" s="1"/>
  <c r="G229" i="5" l="1"/>
  <c r="I229" i="5" s="1"/>
  <c r="J229" i="5" l="1"/>
  <c r="G230" i="5" s="1"/>
  <c r="I230" i="5" s="1"/>
  <c r="J230" i="5" s="1"/>
  <c r="G231" i="5" l="1"/>
  <c r="I231" i="5" s="1"/>
  <c r="J231" i="5" s="1"/>
  <c r="G232" i="5" s="1"/>
  <c r="I232" i="5" s="1"/>
  <c r="J232" i="5" s="1"/>
  <c r="G233" i="5" l="1"/>
  <c r="I233" i="5" s="1"/>
  <c r="J233" i="5" s="1"/>
  <c r="G234" i="5" s="1"/>
  <c r="I234" i="5" s="1"/>
  <c r="J234" i="5" s="1"/>
  <c r="G235" i="5" s="1"/>
  <c r="I235" i="5" s="1"/>
  <c r="J235" i="5" s="1"/>
  <c r="G236" i="5" l="1"/>
  <c r="I236" i="5" s="1"/>
  <c r="L236" i="5" s="1"/>
  <c r="J236" i="5" l="1"/>
  <c r="G237" i="5" s="1"/>
  <c r="I237" i="5" s="1"/>
  <c r="J237" i="5" l="1"/>
  <c r="G238" i="5" s="1"/>
  <c r="I238" i="5" s="1"/>
  <c r="J238" i="5" s="1"/>
  <c r="G239" i="5" s="1"/>
  <c r="I239" i="5" s="1"/>
  <c r="J239" i="5" s="1"/>
  <c r="G240" i="5" l="1"/>
  <c r="I240" i="5" s="1"/>
  <c r="J240" i="5" s="1"/>
  <c r="G241" i="5" s="1"/>
  <c r="I241" i="5" s="1"/>
  <c r="J241" i="5" l="1"/>
  <c r="G242" i="5" l="1"/>
  <c r="I242" i="5" s="1"/>
  <c r="J242" i="5" l="1"/>
  <c r="G243" i="5" s="1"/>
  <c r="I243" i="5" s="1"/>
  <c r="J243" i="5" s="1"/>
  <c r="G244" i="5" s="1"/>
  <c r="I244" i="5" s="1"/>
  <c r="J244" i="5" s="1"/>
  <c r="G245" i="5" l="1"/>
  <c r="I245" i="5" s="1"/>
  <c r="J245" i="5" s="1"/>
  <c r="G246" i="5" s="1"/>
  <c r="I246" i="5" s="1"/>
  <c r="J246" i="5" s="1"/>
  <c r="G247" i="5" l="1"/>
  <c r="I247" i="5" s="1"/>
  <c r="J247" i="5" s="1"/>
  <c r="G248" i="5" s="1"/>
  <c r="I248" i="5" s="1"/>
  <c r="J248" i="5" s="1"/>
  <c r="G249" i="5" l="1"/>
  <c r="I249" i="5" s="1"/>
  <c r="J249" i="5" s="1"/>
  <c r="G250" i="5" s="1"/>
  <c r="I250" i="5" s="1"/>
  <c r="J250" i="5" s="1"/>
  <c r="G251" i="5" l="1"/>
  <c r="I251" i="5" s="1"/>
  <c r="L251" i="5" s="1"/>
  <c r="M251" i="5" s="1"/>
  <c r="J251" i="5" l="1"/>
  <c r="G252" i="5" s="1"/>
  <c r="I252" i="5" s="1"/>
  <c r="J252" i="5" l="1"/>
  <c r="G253" i="5" s="1"/>
  <c r="I253" i="5" s="1"/>
  <c r="J253" i="5" s="1"/>
  <c r="G254" i="5" l="1"/>
  <c r="I254" i="5" s="1"/>
  <c r="J254" i="5" s="1"/>
  <c r="G255" i="5" l="1"/>
  <c r="I255" i="5" s="1"/>
  <c r="J255" i="5" s="1"/>
  <c r="G256" i="5" s="1"/>
  <c r="I256" i="5" s="1"/>
  <c r="J256" i="5" s="1"/>
  <c r="G257" i="5" l="1"/>
  <c r="I257" i="5" s="1"/>
  <c r="J257" i="5" s="1"/>
  <c r="G258" i="5" s="1"/>
  <c r="I258" i="5" s="1"/>
  <c r="J258" i="5" s="1"/>
  <c r="G259" i="5" s="1"/>
  <c r="I259" i="5" s="1"/>
  <c r="J259" i="5" s="1"/>
  <c r="G260" i="5" l="1"/>
  <c r="I260" i="5" s="1"/>
  <c r="J260" i="5" s="1"/>
  <c r="G261" i="5" s="1"/>
  <c r="I261" i="5" s="1"/>
  <c r="J261" i="5" s="1"/>
  <c r="G262" i="5" s="1"/>
  <c r="I262" i="5" s="1"/>
  <c r="J262" i="5" s="1"/>
  <c r="G263" i="5" l="1"/>
  <c r="I263" i="5" s="1"/>
  <c r="J263" i="5" s="1"/>
  <c r="G264" i="5" s="1"/>
  <c r="I264" i="5" s="1"/>
  <c r="J264" i="5" l="1"/>
  <c r="G265" i="5" s="1"/>
  <c r="I265" i="5" s="1"/>
  <c r="L264" i="5"/>
  <c r="J265" i="5" l="1"/>
  <c r="G266" i="5" s="1"/>
  <c r="I266" i="5" s="1"/>
  <c r="J266" i="5" s="1"/>
  <c r="G267" i="5" l="1"/>
  <c r="I267" i="5" s="1"/>
  <c r="J267" i="5" s="1"/>
  <c r="G268" i="5" s="1"/>
  <c r="I268" i="5" s="1"/>
  <c r="J268" i="5" s="1"/>
  <c r="G269" i="5" s="1"/>
  <c r="I269" i="5" s="1"/>
  <c r="J269" i="5" s="1"/>
  <c r="G270" i="5" l="1"/>
  <c r="I270" i="5" s="1"/>
  <c r="J270" i="5" s="1"/>
  <c r="G271" i="5" s="1"/>
  <c r="I271" i="5" s="1"/>
  <c r="J271" i="5" s="1"/>
  <c r="G272" i="5" s="1"/>
  <c r="I272" i="5" s="1"/>
  <c r="J272" i="5" s="1"/>
  <c r="G273" i="5" s="1"/>
  <c r="I273" i="5" s="1"/>
  <c r="J273" i="5" s="1"/>
  <c r="L273" i="5" l="1"/>
  <c r="M273" i="5" s="1"/>
  <c r="G274" i="5"/>
  <c r="I274" i="5" s="1"/>
  <c r="J274" i="5" s="1"/>
  <c r="G275" i="5" s="1"/>
  <c r="I275" i="5" s="1"/>
  <c r="J275" i="5" s="1"/>
  <c r="G276" i="5" l="1"/>
  <c r="I276" i="5" s="1"/>
  <c r="J276" i="5" s="1"/>
  <c r="G277" i="5" s="1"/>
  <c r="I277" i="5" s="1"/>
  <c r="J277" i="5" s="1"/>
  <c r="G278" i="5" s="1"/>
  <c r="I278" i="5" s="1"/>
  <c r="J278" i="5" s="1"/>
  <c r="G279" i="5" s="1"/>
  <c r="I279" i="5" s="1"/>
  <c r="J279" i="5" s="1"/>
  <c r="G280" i="5" s="1"/>
  <c r="I280" i="5" s="1"/>
  <c r="J280" i="5" s="1"/>
  <c r="G281" i="5" s="1"/>
  <c r="I281" i="5" s="1"/>
  <c r="J281" i="5" s="1"/>
  <c r="G282" i="5" s="1"/>
  <c r="I282" i="5" s="1"/>
  <c r="J282" i="5" s="1"/>
  <c r="G283" i="5" l="1"/>
  <c r="I283" i="5" s="1"/>
  <c r="J283" i="5" s="1"/>
  <c r="G284" i="5" s="1"/>
  <c r="I284" i="5" s="1"/>
  <c r="J284" i="5" s="1"/>
  <c r="G285" i="5" l="1"/>
  <c r="I285" i="5" s="1"/>
  <c r="J285" i="5" s="1"/>
  <c r="G286" i="5" l="1"/>
  <c r="I286" i="5" s="1"/>
  <c r="J286" i="5" s="1"/>
  <c r="G287" i="5" s="1"/>
  <c r="I287" i="5" s="1"/>
  <c r="J287" i="5" s="1"/>
  <c r="G288" i="5" l="1"/>
  <c r="I288" i="5" s="1"/>
  <c r="J288" i="5" s="1"/>
  <c r="G289" i="5" s="1"/>
  <c r="I289" i="5" s="1"/>
  <c r="J289" i="5" s="1"/>
  <c r="G290" i="5" l="1"/>
  <c r="I290" i="5" s="1"/>
  <c r="J290" i="5" s="1"/>
  <c r="G291" i="5" s="1"/>
  <c r="I291" i="5" s="1"/>
  <c r="J291" i="5" s="1"/>
  <c r="G292" i="5" l="1"/>
  <c r="I292" i="5" s="1"/>
  <c r="J292" i="5" s="1"/>
  <c r="G293" i="5" s="1"/>
  <c r="I293" i="5" s="1"/>
  <c r="J293" i="5" s="1"/>
  <c r="G294" i="5" l="1"/>
  <c r="I294" i="5" s="1"/>
  <c r="L294" i="5" s="1"/>
  <c r="J294" i="5" l="1"/>
  <c r="G295" i="5" s="1"/>
  <c r="I295" i="5" s="1"/>
  <c r="J295" i="5" l="1"/>
  <c r="G296" i="5" s="1"/>
  <c r="I296" i="5" s="1"/>
  <c r="J296" i="5" l="1"/>
  <c r="G297" i="5" s="1"/>
  <c r="I297" i="5" s="1"/>
  <c r="J297" i="5" l="1"/>
  <c r="G298" i="5" s="1"/>
  <c r="I298" i="5" s="1"/>
  <c r="J298" i="5" s="1"/>
  <c r="G299" i="5" s="1"/>
  <c r="I299" i="5" s="1"/>
  <c r="J299" i="5" s="1"/>
  <c r="G300" i="5" l="1"/>
  <c r="I300" i="5" s="1"/>
  <c r="J300" i="5" s="1"/>
  <c r="G301" i="5" l="1"/>
  <c r="I301" i="5" s="1"/>
  <c r="L301" i="5" s="1"/>
  <c r="M301" i="5" s="1"/>
  <c r="J301" i="5" l="1"/>
  <c r="G302" i="5" l="1"/>
  <c r="I302" i="5" s="1"/>
  <c r="J302" i="5" s="1"/>
  <c r="G303" i="5" l="1"/>
  <c r="I303" i="5" s="1"/>
  <c r="J303" i="5" s="1"/>
  <c r="G304" i="5" l="1"/>
  <c r="I304" i="5" s="1"/>
  <c r="J304" i="5" s="1"/>
  <c r="G305" i="5" s="1"/>
  <c r="I305" i="5" s="1"/>
  <c r="J305" i="5" l="1"/>
  <c r="G306" i="5" l="1"/>
  <c r="I306" i="5" s="1"/>
  <c r="L306" i="5" l="1"/>
  <c r="J306" i="5"/>
  <c r="G307" i="5" l="1"/>
  <c r="I307" i="5" s="1"/>
  <c r="J307" i="5" s="1"/>
  <c r="G308" i="5" l="1"/>
  <c r="I308" i="5" s="1"/>
  <c r="J308" i="5" s="1"/>
  <c r="G309" i="5" l="1"/>
  <c r="I309" i="5" s="1"/>
  <c r="J309" i="5" s="1"/>
  <c r="G310" i="5" s="1"/>
  <c r="I310" i="5" s="1"/>
  <c r="J310" i="5" s="1"/>
  <c r="G311" i="5" s="1"/>
  <c r="I311" i="5" s="1"/>
  <c r="J311" i="5" s="1"/>
  <c r="G312" i="5" s="1"/>
  <c r="I312" i="5" s="1"/>
  <c r="J312" i="5" s="1"/>
  <c r="G313" i="5" s="1"/>
  <c r="I313" i="5" s="1"/>
  <c r="J313" i="5" s="1"/>
  <c r="G314" i="5" s="1"/>
  <c r="I314" i="5" s="1"/>
  <c r="J314" i="5" s="1"/>
  <c r="G315" i="5" s="1"/>
  <c r="I315" i="5" s="1"/>
  <c r="J315" i="5" s="1"/>
  <c r="G316" i="5" s="1"/>
  <c r="I316" i="5" s="1"/>
  <c r="J316" i="5" s="1"/>
  <c r="G317" i="5" s="1"/>
  <c r="I317" i="5" s="1"/>
  <c r="J317" i="5" s="1"/>
  <c r="G318" i="5" s="1"/>
  <c r="I318" i="5" s="1"/>
  <c r="J318" i="5" s="1"/>
  <c r="G319" i="5" s="1"/>
  <c r="I319" i="5" s="1"/>
  <c r="J319" i="5" s="1"/>
  <c r="G320" i="5" s="1"/>
  <c r="I320" i="5" s="1"/>
  <c r="J320" i="5" s="1"/>
  <c r="G321" i="5" s="1"/>
  <c r="I321" i="5" s="1"/>
  <c r="J321" i="5" s="1"/>
  <c r="G322" i="5" s="1"/>
  <c r="I322" i="5" s="1"/>
  <c r="J322" i="5" s="1"/>
  <c r="G323" i="5" l="1"/>
  <c r="I323" i="5" s="1"/>
  <c r="L323" i="5" s="1"/>
  <c r="M323" i="5" s="1"/>
  <c r="J323" i="5" l="1"/>
  <c r="G324" i="5" s="1"/>
  <c r="I324" i="5" s="1"/>
  <c r="J324" i="5" l="1"/>
  <c r="G325" i="5"/>
  <c r="I325" i="5" s="1"/>
  <c r="J325" i="5" s="1"/>
  <c r="G326" i="5" l="1"/>
  <c r="I326" i="5" s="1"/>
  <c r="J326" i="5" s="1"/>
  <c r="G327" i="5" s="1"/>
  <c r="I327" i="5" s="1"/>
  <c r="J327" i="5" s="1"/>
  <c r="G328" i="5" s="1"/>
  <c r="I328" i="5" s="1"/>
  <c r="J328" i="5" s="1"/>
  <c r="G329" i="5" s="1"/>
  <c r="I329" i="5" s="1"/>
  <c r="J329" i="5" s="1"/>
  <c r="G330" i="5" s="1"/>
  <c r="I330" i="5" s="1"/>
  <c r="J330" i="5" s="1"/>
  <c r="G331" i="5" l="1"/>
  <c r="I331" i="5" s="1"/>
  <c r="L331" i="5" s="1"/>
  <c r="J331" i="5" l="1"/>
  <c r="G332" i="5" s="1"/>
  <c r="I332" i="5" s="1"/>
  <c r="J332" i="5" l="1"/>
  <c r="G333" i="5" s="1"/>
  <c r="I333" i="5" s="1"/>
  <c r="J333" i="5" s="1"/>
  <c r="G334" i="5" l="1"/>
  <c r="I334" i="5" s="1"/>
  <c r="J334" i="5"/>
  <c r="G335" i="5" s="1"/>
  <c r="I335" i="5" s="1"/>
  <c r="J335" i="5" s="1"/>
  <c r="G336" i="5" s="1"/>
  <c r="I336" i="5" s="1"/>
  <c r="J336" i="5" s="1"/>
  <c r="G337" i="5" l="1"/>
  <c r="I337" i="5" s="1"/>
  <c r="I338" i="5" s="1"/>
  <c r="J337" i="5" l="1"/>
  <c r="J343" i="5" s="1"/>
  <c r="J344" i="5" s="1"/>
  <c r="H35" i="1" s="1"/>
  <c r="H39" i="1"/>
  <c r="F41" i="1" s="1"/>
  <c r="F42" i="1" s="1"/>
  <c r="H37" i="1"/>
  <c r="L337" i="5"/>
  <c r="M337" i="5" s="1"/>
  <c r="M338" i="5" s="1"/>
  <c r="H34" i="1" l="1"/>
  <c r="H32" i="1"/>
  <c r="E35" i="1" s="1"/>
  <c r="E36" i="1" s="1"/>
  <c r="E38" i="1" s="1"/>
  <c r="E40" i="1" s="1"/>
</calcChain>
</file>

<file path=xl/sharedStrings.xml><?xml version="1.0" encoding="utf-8"?>
<sst xmlns="http://schemas.openxmlformats.org/spreadsheetml/2006/main" count="1286" uniqueCount="994">
  <si>
    <t>FELIX DELGADILLO MEJIA</t>
  </si>
  <si>
    <t>Metodo:Promedio Ponderado</t>
  </si>
  <si>
    <t>NIT  358900018</t>
  </si>
  <si>
    <t>Mercaderia:Planchas Galvanizada Cortadas</t>
  </si>
  <si>
    <t>Cochabamba - Bolivia</t>
  </si>
  <si>
    <t>Unidad de Medida:Metros lineales</t>
  </si>
  <si>
    <t>KARDEX  FISICO VALORADO</t>
  </si>
  <si>
    <t xml:space="preserve">               (Expresado en bolivianos)</t>
  </si>
  <si>
    <t>FECHA</t>
  </si>
  <si>
    <t>DETALLE</t>
  </si>
  <si>
    <t>KARDEX FISICO</t>
  </si>
  <si>
    <t>COSTO UNITARIO</t>
  </si>
  <si>
    <t>KARDEX VALORADO</t>
  </si>
  <si>
    <t>ENTRADA</t>
  </si>
  <si>
    <t>SALIDA</t>
  </si>
  <si>
    <t xml:space="preserve">SALDO </t>
  </si>
  <si>
    <t>ADQ.</t>
  </si>
  <si>
    <t>PROM.</t>
  </si>
  <si>
    <t>DEBE</t>
  </si>
  <si>
    <t>HABER</t>
  </si>
  <si>
    <t>SALDO</t>
  </si>
  <si>
    <t>OBSERVACIONES</t>
  </si>
  <si>
    <t xml:space="preserve">Inventario Inicial </t>
  </si>
  <si>
    <t>VALORACIÓN INVENTARIO FINAL, PRECIO DE LAS FACTURAS DE COMPRAS (ULTIMAS COMPRAS) Art..9 del D.S. 24051</t>
  </si>
  <si>
    <t>INVENTARIO FINAL AL COSTO HISTORICO</t>
  </si>
  <si>
    <t>AJUSTE</t>
  </si>
  <si>
    <t xml:space="preserve">                Practicado al 31 diciembre 2019</t>
  </si>
  <si>
    <t>Mercaderia:SEA BLUE - 0.35mm</t>
  </si>
  <si>
    <t>Mercaderia:Plancha 0.35*1000mm RAL2009</t>
  </si>
  <si>
    <t>Mercaderia:Plancha 0.35*1000mm RAL3003</t>
  </si>
  <si>
    <t>Mercaderia:Planchas 0.40*1000mm RAL2009</t>
  </si>
  <si>
    <t>Mercaderia:Planchas 0.35*1000mm</t>
  </si>
  <si>
    <t>Mercaderia:Planchas 0.40*1000mm</t>
  </si>
  <si>
    <t>Mercaderia:Tirafondos 63*76.2 c/junta de goma</t>
  </si>
  <si>
    <t>Mercaderia:Titafondos 63*63.5 c/ junta de goma</t>
  </si>
  <si>
    <t>Calamina 0.35*1000mm  F- 1860</t>
  </si>
  <si>
    <t>Venta Tirafondos 63*76.2 c/gomas F- 1861</t>
  </si>
  <si>
    <t>Calamina 0.35*1000mm  F- 1862</t>
  </si>
  <si>
    <t>Calamina 0.35*1000mm  F- 1863</t>
  </si>
  <si>
    <t>Calamina 0.35*1000mm  F- 1864</t>
  </si>
  <si>
    <t>Venta Calamina  0.35*1000mm RAL2009 F- 1865</t>
  </si>
  <si>
    <t>Calamina 0.35*1000mm  F- 1866</t>
  </si>
  <si>
    <t>Calamina 0.35*1000mm  F- 1867</t>
  </si>
  <si>
    <t>Calamina 0.35*1000mm  F- 1868</t>
  </si>
  <si>
    <t>Venta tirafondos 63*63.5 c/gomas F- 1868</t>
  </si>
  <si>
    <t>Venta Tirafondos 63*76.2 c/gomas F- 1869</t>
  </si>
  <si>
    <t>Venta Tirafondos 63*76.2 c/gomas F- 1870</t>
  </si>
  <si>
    <t>Calamina 0.35*1000mm  F- 1871</t>
  </si>
  <si>
    <t>Venta tirafondos 63*63.5 c/gomas F- 1872</t>
  </si>
  <si>
    <t>Calamina 0.35*1000mm  F- 1873</t>
  </si>
  <si>
    <t>Venta Calamina 0.40*1000mm RAL2009 F- 1874</t>
  </si>
  <si>
    <t>Venta Tirafondos 63*76.2 c/gomas F- 1874</t>
  </si>
  <si>
    <t>Venta Calamina Galvanizada F- 1875</t>
  </si>
  <si>
    <t>Venta Tirafondos 63*76.2 c/gomas F- 1876</t>
  </si>
  <si>
    <t>Venta Tirafondos 63*76.2 c/gomas F- 1877</t>
  </si>
  <si>
    <t>Calamina 0.35*1000mm  F- 1878</t>
  </si>
  <si>
    <t>Calamina 0.35*1000mm  F- 1879</t>
  </si>
  <si>
    <t>Venta tirafondos 63*63.5 c/gomas F- 1880</t>
  </si>
  <si>
    <t>Venta tirafondos 63*63.5 c/gomas F- 1881</t>
  </si>
  <si>
    <t>Calamina 0.35*1000mm  F- 1882</t>
  </si>
  <si>
    <t>Venta Tirafondos 63*76.2 c/gomas F- 1883</t>
  </si>
  <si>
    <t>Venta Calamina  0.35*1000mm RAL2009 F- 1884</t>
  </si>
  <si>
    <t>Venta Calamina  0.35*1000mm RAL3003 F- 1885</t>
  </si>
  <si>
    <t>Calamina 0.35*1000mm  F- 1886</t>
  </si>
  <si>
    <t>Venta Calamina  0.35*1000mm RAL3003 F- 1887</t>
  </si>
  <si>
    <t>Venta Calamina  0.35*1000mm RAL3003 F- 1888</t>
  </si>
  <si>
    <t>Venta Tirafondos 63*76.2 c/gomas F- 1888</t>
  </si>
  <si>
    <t>Calamina 0.35*1000mm  F- 1889</t>
  </si>
  <si>
    <t>Calamina 0.35*1000mm  F- 1890</t>
  </si>
  <si>
    <t>Calamina 0.35*1000mm  F- 1891</t>
  </si>
  <si>
    <t>Calamina 0.35*1000mm  F- 1892</t>
  </si>
  <si>
    <t>Venta Calamina  0.35*1000mm RAL2009 F- 1893</t>
  </si>
  <si>
    <t>Venta Calamina  0.35*1000mm RAL2009 F- 1894</t>
  </si>
  <si>
    <t>Calamina 0.35*1000mm  F- 1895</t>
  </si>
  <si>
    <t>Venta Tirafondos 63*76.2 c/gomas F- 1896</t>
  </si>
  <si>
    <t>ANULADA F- 1897</t>
  </si>
  <si>
    <t>Venta Calamina  0.35*1000mm RAL2009 F- 1898</t>
  </si>
  <si>
    <t>Venta Tirafondos 63*76.2 c/gomas F- 1899</t>
  </si>
  <si>
    <t>Calamina 0.35*1000mm  F- 1900</t>
  </si>
  <si>
    <t>Calamina 0.35*1000mm  F- 1901</t>
  </si>
  <si>
    <t>Calamina 0.35*1000mm  F- 1902</t>
  </si>
  <si>
    <t>Calamina 0.35*1000mm  F- 1903</t>
  </si>
  <si>
    <t>Calamina 0.35*1000mm  F- 1904</t>
  </si>
  <si>
    <t>Venta Calamina  0.35*1000mm RAL2009 F- 1905</t>
  </si>
  <si>
    <t>Calamina 0.35*1000mm  F- 1906</t>
  </si>
  <si>
    <t>Venta Tirafondos 63*76.2 c/gomas F- 1906</t>
  </si>
  <si>
    <t>Calamina 0.35*1000mm  F- 1907</t>
  </si>
  <si>
    <t>Venta Calamina  0.35*1000mm RAL3003 F- 1908</t>
  </si>
  <si>
    <t>Venta Calamina  0.35*1000mm RAL3003 F- 1909</t>
  </si>
  <si>
    <t>Venta Calamina  0.35*1000mm RAL3003 F- 1910</t>
  </si>
  <si>
    <t>Venta Calamina  0.35*1000mm RAL3003 F- 1911</t>
  </si>
  <si>
    <t>Venta Calamina  0.35*1000mm RAL3003 F- 1912</t>
  </si>
  <si>
    <t>ANULADA  F- 1913</t>
  </si>
  <si>
    <t>Calamina 0.35*1000mm  F- 1914</t>
  </si>
  <si>
    <t>Venta tirafondos 63*63.5 c/gomas F- 1915</t>
  </si>
  <si>
    <t>Calamina 0.35*1000mm  F- 1916</t>
  </si>
  <si>
    <t>Venta Tirafondos 63*76.2 c/gomas F- 1917</t>
  </si>
  <si>
    <t>Calamina 0.35*1000mm  F- 1918</t>
  </si>
  <si>
    <t>Venta tirafondos 63*63.5 c/gomas F- 1819</t>
  </si>
  <si>
    <t>Calamina 0.35*1000mm  F- 1919</t>
  </si>
  <si>
    <t>Venta Tirafondos 63*76.2 c/gomas F- 1920</t>
  </si>
  <si>
    <t>Venta Tirafondos 63*76.2 c/gomas F- 1921</t>
  </si>
  <si>
    <t>Venta Tirafondos 63*76.2 c/gomas F- 1922</t>
  </si>
  <si>
    <t>Venta Calamina  0.35*1000mm RAL3003 F- 1923</t>
  </si>
  <si>
    <t>Venta Calamina 0.40*1000mm RAL2009 F- 1924</t>
  </si>
  <si>
    <t>Venta Tirafondos 63*76.2 c/gomas F- 1925</t>
  </si>
  <si>
    <t>Venta Calamina  0.35*1000mm RAL3003 F- 1926</t>
  </si>
  <si>
    <t>Venta Tirafondos 63*76.2 c/gomas F- 1927</t>
  </si>
  <si>
    <t>Calamina 0.35*1000mm  F- 1928</t>
  </si>
  <si>
    <t>Calamina 0.35*1000mm  F- 1929</t>
  </si>
  <si>
    <t>Venta Calamina  0.35*1000mm RAL3003 F- 1930</t>
  </si>
  <si>
    <t>Calamina 0.35*1000mm  F- 1931</t>
  </si>
  <si>
    <t>Venta Calamina  0.35*1000mm RAL3003 F- 1932</t>
  </si>
  <si>
    <t>Calamina 0.35*1000mm  F- 1933</t>
  </si>
  <si>
    <t>Venta Calamina  0.35*1000mm RAL2009 F- 1934</t>
  </si>
  <si>
    <t>Venta Calamina  0.35*1000mm RAL3003 F- 1935</t>
  </si>
  <si>
    <t>ANULADA F- 1936</t>
  </si>
  <si>
    <t>Calamina 0.35*1000mm  F- 1937</t>
  </si>
  <si>
    <t>Calamina 0.35*1000mm  F- 1938</t>
  </si>
  <si>
    <t>Calamina 0.35*1000mm  F- 1939</t>
  </si>
  <si>
    <t>Venta Tirafondos 63*76.2 c/gomas F- 1939</t>
  </si>
  <si>
    <t>Calamina 0.35*1000mm  F- 1940</t>
  </si>
  <si>
    <t>ANULADA  F- 1941</t>
  </si>
  <si>
    <t>Calamina 0.35*1000mm  F- 1942</t>
  </si>
  <si>
    <t>Calamina 0.35*1000mm  F- 1943</t>
  </si>
  <si>
    <t>Calamina 0.35*1000mm  F- 1944</t>
  </si>
  <si>
    <t>Calamina 0.35*1000mm  F- 1945</t>
  </si>
  <si>
    <t>Calamina 0.35*1000mm  F- 1946</t>
  </si>
  <si>
    <t>Calamina 0.35*1000mm  F- 1947</t>
  </si>
  <si>
    <t>Venta Calamina Galvanizada F- 1848</t>
  </si>
  <si>
    <t>Calamina 0.35*1000mm  F- 1949</t>
  </si>
  <si>
    <t>Venta Calamina 0.40*1000mm RAL2009 F- 1950</t>
  </si>
  <si>
    <t xml:space="preserve">NO UTILIZADA  F-1951-2000 </t>
  </si>
  <si>
    <t>Venta tirafondos 63*63.5 c/gomas F- 2001</t>
  </si>
  <si>
    <t>Venta Calamina  0.35*1000mm RAL3003 F- 2002</t>
  </si>
  <si>
    <t>Calamina 0.40*1000mm  F- 2003</t>
  </si>
  <si>
    <t>Venta Calamina  0.35*1000mm RAL2009 F- 2004</t>
  </si>
  <si>
    <t>Calamina 0.35*1000mm  F- 2005</t>
  </si>
  <si>
    <t>Calamina 0.35*1000mm  F- 2006</t>
  </si>
  <si>
    <t>Calamina 0.35*1000mm  F- 2007</t>
  </si>
  <si>
    <t>Calamina 0.35*1000mm  F- 2008</t>
  </si>
  <si>
    <t>Venta Calamina  0.35*1000mm RAL3003 F- 2009</t>
  </si>
  <si>
    <t>Venta Tirafondos 63*76.2 c/gomas F- 2009</t>
  </si>
  <si>
    <t>Venta Calamina  0.35*1000mm RAL3003 F- 2010</t>
  </si>
  <si>
    <t>Venta Calamina  0.35*1000mm RAL3003 F- 2011</t>
  </si>
  <si>
    <t>Venta Calamina  0.35*1000mm RAL3003 F- 2012</t>
  </si>
  <si>
    <t>Venta Tirafondos 63*76.2 c/gomas F- 2012</t>
  </si>
  <si>
    <t>Venta Tirafondos 63*76.2 c/gomas F- 2013</t>
  </si>
  <si>
    <t>Venta Calamina  0.35*1000mm RAL3003 F- 2014</t>
  </si>
  <si>
    <t>ANULADA F- 2015</t>
  </si>
  <si>
    <t>Calamina 0.35*1000mm  F- 2016</t>
  </si>
  <si>
    <t>Calamina 0.35*1000mm  F- 2017</t>
  </si>
  <si>
    <t>Venta tirafondos 63*63.5 c/gomas F- 2017</t>
  </si>
  <si>
    <t>Calamina 0.35*1000mm  F- 2018</t>
  </si>
  <si>
    <t>Venta Calamina Galvanizada F- 2019</t>
  </si>
  <si>
    <t>Calamina 0.35*1000mm  F- 2020</t>
  </si>
  <si>
    <t>Calamina 0.35*1000mm  F- 2021</t>
  </si>
  <si>
    <t>Venta tirafondos 63*63.5 c/gomas F- 2022</t>
  </si>
  <si>
    <t>Venta Calamina  0.35*1000mm RAL3003 F- 2023</t>
  </si>
  <si>
    <t>Calamina 0.35*1000mm  F- 2024</t>
  </si>
  <si>
    <t>Venta Calamina  0.35*1000mm RAL2009 F- 2025</t>
  </si>
  <si>
    <t>Calamina 0.35*1000mm  F- 2026</t>
  </si>
  <si>
    <t>Calamina 0.35*1000mm  F- 2027</t>
  </si>
  <si>
    <t>Calamina 0.40*1000mm  F- 2028</t>
  </si>
  <si>
    <t>Calamina 0.35*1000mm  F- 2029</t>
  </si>
  <si>
    <t>Calamina 0.35*1000mm  F- 2030</t>
  </si>
  <si>
    <t>Calamina 0.35*1000mm  F- 2031</t>
  </si>
  <si>
    <t>Venta Calamina 0.40*1000mm RAL2009 F- 2032</t>
  </si>
  <si>
    <t>Venta Tirafondos 63*76.2 c/gomas F- 2033</t>
  </si>
  <si>
    <t>ANULADA  F- 2034</t>
  </si>
  <si>
    <t>Calamina 0.35*1000mm  F- 2035</t>
  </si>
  <si>
    <t>Calamina 0.35*1000mm  F- 2036</t>
  </si>
  <si>
    <t>Venta Calamina 0.40*1000mm RAL2009 F- 2037</t>
  </si>
  <si>
    <t>Venta Calamina 0.40*1000mm RAL2009 F- 2038</t>
  </si>
  <si>
    <t>Venta Tirafondos 63*76.2 c/gomas F- 2028</t>
  </si>
  <si>
    <t>Calamina 0.35*1000mm  F- 2039</t>
  </si>
  <si>
    <t>Venta Tirafondos 63*76.2 c/gomas F- 2040</t>
  </si>
  <si>
    <t>Calamina 0.35*1000mm  F- 2041</t>
  </si>
  <si>
    <t>Calamina 0.40*1000mm  F- 2042</t>
  </si>
  <si>
    <t>Venta Tirafondos 63*76.2 c/gomas F- 2043</t>
  </si>
  <si>
    <t>Calamina 0.35*1000mm  F- 2046</t>
  </si>
  <si>
    <t>Calamina 0.35*1000mm  F- 2047</t>
  </si>
  <si>
    <t>Venta Tirafondos 63*76.2 c/gomas F- 2048</t>
  </si>
  <si>
    <t>Venta Tirafondos 63*76.2 c/gomas F- 2049</t>
  </si>
  <si>
    <t>Venta tirafondos 63*63.5 c/gomas F- 2050</t>
  </si>
  <si>
    <t>Calamina 0.35*1000mm  F- 2051</t>
  </si>
  <si>
    <t>Calamina 0.35*1000mm  F- 2052</t>
  </si>
  <si>
    <t>Venta tirafondos 63*63.5 c/gomas F- 2053</t>
  </si>
  <si>
    <t>ANULADA F- 2054</t>
  </si>
  <si>
    <t>Venta tirafondos 63*63.5 c/gomas F- 2055</t>
  </si>
  <si>
    <t>Venta Calamina  0.35*1000mm RAL3003 F- 2057</t>
  </si>
  <si>
    <t>Calamina 0.35*1000mm  F- 2058</t>
  </si>
  <si>
    <t>Calamina 0.35*1000mm  F- 2059</t>
  </si>
  <si>
    <t>Calamina 0.35*1000mm  F- 2060</t>
  </si>
  <si>
    <t>Calamina 0.35*1000mm  F- 2061</t>
  </si>
  <si>
    <t>Calamina 0.35*1000mm  F- 2062</t>
  </si>
  <si>
    <t>Calamina 0.35*1000mm  F- 2063</t>
  </si>
  <si>
    <t>Calamina 0.35*1000mm  F- 2064</t>
  </si>
  <si>
    <t>Calamina 0.35*1000mm  F- 2065</t>
  </si>
  <si>
    <t>Calamina 0.35*1000mm  F- 2066</t>
  </si>
  <si>
    <t>Venta Calamina  0.35*1000mm RAL3003 F- 2067</t>
  </si>
  <si>
    <t>Venta tirafondos 63*63.5 c/gomas F- 2068</t>
  </si>
  <si>
    <t>Calamina 0.35*1000mm  F- 2069</t>
  </si>
  <si>
    <t>Calamina 0.35*1000mm  F- 2070</t>
  </si>
  <si>
    <t>Calamina 0.35*1000mm  F- 2071</t>
  </si>
  <si>
    <t>Venta tirafondos 63*63.5 c/gomas F- 2072</t>
  </si>
  <si>
    <t>Calamina 0.35*1000mm  F- 2073</t>
  </si>
  <si>
    <t>Calamina 0.35*1000mm  F- 2074</t>
  </si>
  <si>
    <t>Calamina 0.35*1000mm  F- 2075</t>
  </si>
  <si>
    <t>Calamina 0.35*1000mm  F- 2076</t>
  </si>
  <si>
    <t>Venta tirafondos 63*63.5 c/gomas F- 2077</t>
  </si>
  <si>
    <t>Calamina 0.35*1000mm  F- 2078</t>
  </si>
  <si>
    <t>Calamina 0.35*1000mm  F- 2079</t>
  </si>
  <si>
    <t>Venta Tirafondos 63*76.2 c/gomas F- 2080</t>
  </si>
  <si>
    <t>Calamina 0.35*1000mm  F- 2081</t>
  </si>
  <si>
    <t>Venta Calamina Galvanizada F- 2082</t>
  </si>
  <si>
    <t>Calamina 0.35*1000mm  F- 2083</t>
  </si>
  <si>
    <t>Venta Calamina  0.35*1000mm RAL2009 F- 2084</t>
  </si>
  <si>
    <t>Venta Calamina 0.40*1000mm RAL2009 F- 2084</t>
  </si>
  <si>
    <t>Venta Calamina 0.40*1000mm RAL2009 F- 2085</t>
  </si>
  <si>
    <t>Venta Tirafondos 63*76.2 c/gomas F- 2086</t>
  </si>
  <si>
    <t>Calamina 0.35*1000mm  F- 2087</t>
  </si>
  <si>
    <t>Calamina 0.35*1000mm  F- 2088</t>
  </si>
  <si>
    <t>Venta Tirafondos 63*76.2 c/gomas F- 2088</t>
  </si>
  <si>
    <t>ANULADA  F- 2089</t>
  </si>
  <si>
    <t>Venta Tirafondos 63*76.2 c/gomas F- 2090</t>
  </si>
  <si>
    <t>ANULADA  F- 2091</t>
  </si>
  <si>
    <t>Calamina 0.35*1000mm  F- 2092</t>
  </si>
  <si>
    <t>Calamina 0.35*1000mm  F- 2093</t>
  </si>
  <si>
    <t>Calamina 0.35*1000mm  F- 2094</t>
  </si>
  <si>
    <t>Venta Tirafondos 63*76.2 c/gomas F- 2095</t>
  </si>
  <si>
    <t>Venta Calamina  0.35*1000mm RAL3003 F- 2096</t>
  </si>
  <si>
    <t>Venta Tirafondos 63*76.2 c/gomas F- 2097</t>
  </si>
  <si>
    <t>Calamina 0.35*1000mm  F- 2098</t>
  </si>
  <si>
    <t>Venta Calamina 0.40*1000mm RAL2009 F- 2099</t>
  </si>
  <si>
    <t>Venta Calamina  0.35*1000mm RAL2009 F- 2100</t>
  </si>
  <si>
    <t>Venta Calamina  0.35*1000mm RAL2009 F- 2101</t>
  </si>
  <si>
    <t>Venta tirafondos 63*63.5 c/gomas F- 2101</t>
  </si>
  <si>
    <t>Venta tirafondos 63*63.5 c/gomas F- 2102</t>
  </si>
  <si>
    <t>Venta Calamina 0.40*1000mm RAL2009 F- 2103</t>
  </si>
  <si>
    <t>Venta Calamina  0.35*1000mm RAL3003 F- 2104</t>
  </si>
  <si>
    <t>Venta Calamina  0.35*1000mm RAL2009 F- 2105</t>
  </si>
  <si>
    <t>Venta Calamina Galvanizada F- 2106</t>
  </si>
  <si>
    <t>Calamina 0.35*1000mm  F- 2106</t>
  </si>
  <si>
    <t>Venta tirafondos 63*63.5 c/gomas F- 2107</t>
  </si>
  <si>
    <t>Venta Calamina  0.35*1000mm RAL2009 F- 2107</t>
  </si>
  <si>
    <t>Venta Calamina 0.40*1000mm RAL2009 F- 2107</t>
  </si>
  <si>
    <t>Venta Calamina  0.35*1000mm RAL3003 F- 2109</t>
  </si>
  <si>
    <t>Calamina 0.35*1000mm  F- 2110</t>
  </si>
  <si>
    <t>Venta Calamina  0.35*1000mm RAL2009 F- 2111</t>
  </si>
  <si>
    <t>Calamina 0.35*1000mm  F- 2112</t>
  </si>
  <si>
    <t>Venta Calamina  0.35*1000mm RAL2009 F- 2113</t>
  </si>
  <si>
    <t>Calamina 0.35*1000mm  F- 2114</t>
  </si>
  <si>
    <t>Venta Calamina 0.40*1000mm RAL2009 F- 2115</t>
  </si>
  <si>
    <t>Calamina 0.35*1000mm  F- 2116</t>
  </si>
  <si>
    <t>Venta tirafondos 63*63.5 c/gomas F- 2117</t>
  </si>
  <si>
    <t>Venta Calamina  0.35*1000mm RAL3003 F- 2118</t>
  </si>
  <si>
    <t>Calamina 0.35*1000mm  F- 2119</t>
  </si>
  <si>
    <t>Venta Calamina  0.35*1000mm RAL3003 F- 2120</t>
  </si>
  <si>
    <t>Venta Calamina  0.35*1000mm RAL3003 F- 2121</t>
  </si>
  <si>
    <t>Calamina 0.35*1000mm  F- 2122</t>
  </si>
  <si>
    <t>Calamina 0.35*1000mm  F- 2123</t>
  </si>
  <si>
    <t>Calamina 0.35*1000mm  F- 2124</t>
  </si>
  <si>
    <t>Venta Calamina  0.35*1000mm RAL2009 F- 2125</t>
  </si>
  <si>
    <t>Venta tirafondos 63*63.5 c/gomas F- 2125</t>
  </si>
  <si>
    <t>Venta Tirafondos 63*76.2 c/gomas F- 2125</t>
  </si>
  <si>
    <t>Calamina 0.35*1000mm  F- 2126</t>
  </si>
  <si>
    <t>Venta Calamina  0.35*1000mm RAL2009 F- 2127</t>
  </si>
  <si>
    <t>Venta Tirafondos 63*76.2 c/gomas F- 2129</t>
  </si>
  <si>
    <t>ANULADA F- 2130</t>
  </si>
  <si>
    <t>Calamina 0.35*1000mm  F- 2131</t>
  </si>
  <si>
    <t>Calamina 0.35*1000mm  F- 2132</t>
  </si>
  <si>
    <t>Calamina 0.40*1000mm  F- 2135</t>
  </si>
  <si>
    <t>Calamina 0.35*1000mm  F- 2136</t>
  </si>
  <si>
    <t>Venta Tirafondos 63*76.2 c/gomas F- 2137</t>
  </si>
  <si>
    <t>Venta Tirafondos 63*76.2 c/gomas F- 2138</t>
  </si>
  <si>
    <t>Venta Tirafondos 63*76.2 c/gomas F- 2139</t>
  </si>
  <si>
    <t>Calamina 0.35*1000mm  F- 2140</t>
  </si>
  <si>
    <t>Calamina 0.35*1000mm  F- 2141</t>
  </si>
  <si>
    <t>Calamina 0.40*1000mm  F- 2142</t>
  </si>
  <si>
    <t>Calamina 0.40*1000mm  F- 2143</t>
  </si>
  <si>
    <t>Calamina 0.35*1000mm  F- 2144</t>
  </si>
  <si>
    <t>Calamina 0.35*1000mm  F- 2145</t>
  </si>
  <si>
    <t>Venta Tirafondos 63*76.2 c/gomas F- 2146</t>
  </si>
  <si>
    <t>Calamina 0.35*1000mm  F- 2147</t>
  </si>
  <si>
    <t>Venta Calamina  0.35*1000mm RAL2009 F- 2148</t>
  </si>
  <si>
    <t>Calamina 0.35*1000mm  F- 2149</t>
  </si>
  <si>
    <t>Calamina 0.35*1000mm  F- 2150</t>
  </si>
  <si>
    <t>Venta Calamina  0.35*1000mm RAL2009 F- 2151</t>
  </si>
  <si>
    <t>Venta Tirafondos 63*76.2 c/gomas F- 2151</t>
  </si>
  <si>
    <t>Calamina 0.40*1000mm  F- 2152</t>
  </si>
  <si>
    <t>Venta Tirafondos 63*76.2 c/gomas F- 2153</t>
  </si>
  <si>
    <t>Calamina 0.35*1000mm  F- 2154</t>
  </si>
  <si>
    <t>Calamina 0.35*1000mm  F- 2155</t>
  </si>
  <si>
    <t>Calamina 0.35*1000mm  F- 2156</t>
  </si>
  <si>
    <t>Venta Calamina 0.40*1000mm RAL2009 F- 2157</t>
  </si>
  <si>
    <t>Venta Tirafondos 63*76.2 c/gomas F- 2157</t>
  </si>
  <si>
    <t>Calamina 0.35*1000mm  F- 2158</t>
  </si>
  <si>
    <t>ANULADA F- 2159</t>
  </si>
  <si>
    <t>Venta Calamina  0.35*1000mm RAL2009 F-2160</t>
  </si>
  <si>
    <t>Calamina 0.40*1000mm  F- 2161</t>
  </si>
  <si>
    <t>Venta Calamina  0.35*1000mm RAL2009 F- 2162</t>
  </si>
  <si>
    <t>Venta Calamina  0.35x1000mm SEA BLUE F- 2163</t>
  </si>
  <si>
    <t>Venta tirafondos 63*63.5 c/gomas F- 2164</t>
  </si>
  <si>
    <t>Calamina 0.35*1000mm  F- 2165</t>
  </si>
  <si>
    <t>Calamina 0.35*1000mm  F- 2166</t>
  </si>
  <si>
    <t>Venta Calamina  0.35*1000mm RAL2009 F- 2167</t>
  </si>
  <si>
    <t>Venta tirafondos 63*63.5 c/gomas F- 2167</t>
  </si>
  <si>
    <t>ANULADA F- 2168</t>
  </si>
  <si>
    <t>Venta tirafondos 63*63.5 c/gomas F- 2169</t>
  </si>
  <si>
    <t>Venta Tirafondos 63*76.2 c/gomas F- 2169</t>
  </si>
  <si>
    <t>Calamina 0.35*1000mm  F- 2170</t>
  </si>
  <si>
    <t>Calamina 0.40*1000mm  F- 2171</t>
  </si>
  <si>
    <t>Venta Calamina  0.35*1000mm RAL2009 F- 2172</t>
  </si>
  <si>
    <t>Calamina 0.35*1000mm  F- 2173</t>
  </si>
  <si>
    <t>Venta Calamina  0.35*1000mm RAL2009 F- 2174</t>
  </si>
  <si>
    <t>Venta Calamina 0.40*1000mm RAL2009 F- 2174</t>
  </si>
  <si>
    <t>Calamina 0.40*1000mm  F- 2176</t>
  </si>
  <si>
    <t>Venta Calamina  0.35*1000mm RAL3003 F- 2177</t>
  </si>
  <si>
    <t>ANULADA F- 2178</t>
  </si>
  <si>
    <t>Venta Calamina  0.35*1000mm RAL2009 F- 2179</t>
  </si>
  <si>
    <t>Calamina 0.35*1000mm  F- 2180</t>
  </si>
  <si>
    <t xml:space="preserve"> ANULADA F- 2181</t>
  </si>
  <si>
    <t>Calamina 0.35*1000mm  F- 2182</t>
  </si>
  <si>
    <t>Calamina 0.40*1000mm  F- 2183</t>
  </si>
  <si>
    <t>Venta Calamina 0.40*1000mm RAL2009 F- 2184</t>
  </si>
  <si>
    <t>Calamina 0.40*1000mm  F- 2185</t>
  </si>
  <si>
    <t>Venta Calamina 0.40*1000mm RAL2009 F- 2186</t>
  </si>
  <si>
    <t>Venta Calamina 0.40*1000mm RAL2009 F- 2187</t>
  </si>
  <si>
    <t>Venta Calamina 0.40*1000mm RAL2009 F- 2188</t>
  </si>
  <si>
    <t>Venta Tirafondos 63*76.2 c/gomas F- 2188</t>
  </si>
  <si>
    <t>Venta Calamina Galvanizada F- 2189</t>
  </si>
  <si>
    <t>Calamina 0.35*1000mm  F- 2190</t>
  </si>
  <si>
    <t>Venta Calamina  0.35*1000mm RAL3003 F- 2191</t>
  </si>
  <si>
    <t>Calamina 0.35*1000mm  F- 2192</t>
  </si>
  <si>
    <t>Calamina 0.35*1000mm  F- 2193</t>
  </si>
  <si>
    <t>Venta Calamina  0.35*1000mm RAL2009 F- 2194</t>
  </si>
  <si>
    <t>Calamina 0.35*1000mm  F- 2195</t>
  </si>
  <si>
    <t>Venta Calamina  0.35*1000mm RAL3003 F- 2196</t>
  </si>
  <si>
    <t xml:space="preserve">Venta tirafondos 63*63.5 c/gomas F-2196 </t>
  </si>
  <si>
    <t>Calamina 0.35*1000mm  F- 2197</t>
  </si>
  <si>
    <t>Venta Calamina  0.35*1000mm RAL2009 F- 2198</t>
  </si>
  <si>
    <t>Venta Calamina  0.35x1000mm SEA BLUE F- 2199</t>
  </si>
  <si>
    <t>Calamina 0.35*1000mm  F- 2200</t>
  </si>
  <si>
    <t>ANULADA  F- 2201</t>
  </si>
  <si>
    <t>Calamina 0.40*1000mm  F- 2202</t>
  </si>
  <si>
    <t>Calamina 0.40*1000mm  F- 2203</t>
  </si>
  <si>
    <t>Venta Calamina 0.40*1000mm RAL2009 F- 2204</t>
  </si>
  <si>
    <t>Venta Tirafondos 63*76.2 c/gomas F- 2204</t>
  </si>
  <si>
    <t>Calamina 0.35*1000mm  F- 2205</t>
  </si>
  <si>
    <t>Calamina 0.35*1000mm  F- 2206</t>
  </si>
  <si>
    <t>Venta Calamina 0.40*1000mm RAL2009 F- 2207</t>
  </si>
  <si>
    <t>Venta Tirafondos 63*76.2 c/gomas F- 2207</t>
  </si>
  <si>
    <t>Calamina 0.35*1000mm  F- 2208</t>
  </si>
  <si>
    <t>Compra DUI C-216</t>
  </si>
  <si>
    <t>Compra Plancha 0.40x1000mm C-216</t>
  </si>
  <si>
    <t>Calamina 0.35*1000mm  F- 2209</t>
  </si>
  <si>
    <t>Calamina 0.35*1000mm  F- 2210</t>
  </si>
  <si>
    <t>Venta Calamina 0.40*1000mm RAL2009 F- 2211</t>
  </si>
  <si>
    <t>Calamina 0.35*1000mm  F- 2212</t>
  </si>
  <si>
    <t>Calamina 0.35*1000mm  F- 2213</t>
  </si>
  <si>
    <t>Calamina 0.35*1000mm  F- 2214</t>
  </si>
  <si>
    <t>Calamina 0.35*1000mm  F- 2215</t>
  </si>
  <si>
    <t>Calamina 0.35*1000mm  F- 2216</t>
  </si>
  <si>
    <t>Calamina 0.35*1000mm  F- 2217</t>
  </si>
  <si>
    <t>Calamina 0.35*1000mm  F- 2218</t>
  </si>
  <si>
    <t>Venta Calamina  0.35*1000mm RAL2009 F- 2219</t>
  </si>
  <si>
    <t>Venta Calamina  0.35x1000mm SEA BLUE F- 2220</t>
  </si>
  <si>
    <t>Calamina 0.35*1000mm  F- 2221</t>
  </si>
  <si>
    <t>Venta tirafondos 63*63.5 c/gomas F- 2221</t>
  </si>
  <si>
    <t>Venta Calamina  0.35*1000mm RAL2009 F- 2222</t>
  </si>
  <si>
    <t>Calamina 0.35*1000mm  F- 2224</t>
  </si>
  <si>
    <t xml:space="preserve">ANULADA F-2225 </t>
  </si>
  <si>
    <t>Calamina 0.40*1000mm  F- 2226</t>
  </si>
  <si>
    <t>Venta Calamina  0.35*1000mm RAL3003 F- 2227</t>
  </si>
  <si>
    <t>Calamina 0.35*1000mm  F- 2228</t>
  </si>
  <si>
    <t>Venta tirafondos 63*63.5 c/gomas F- 2229</t>
  </si>
  <si>
    <t>Venta Tirafondos 63*76.2 c/gomas F- 2230</t>
  </si>
  <si>
    <t>Venta Calamina 0.40*1000mm RAL2009 F- 2230</t>
  </si>
  <si>
    <t>Calamina 0.35*1000mm  F- 2231</t>
  </si>
  <si>
    <t>Calamina 0.35*1000mm  F- 2232</t>
  </si>
  <si>
    <t>Calamina 0.35*1000mm  F- 2233</t>
  </si>
  <si>
    <t>Venta Calamina  0.35*1000mm RAL3003 F- 2234</t>
  </si>
  <si>
    <t>Calamina 0.40*1000mm  F- 2235</t>
  </si>
  <si>
    <t>Venta Calamina  0.35*1000mm RAL3003 F- 2236</t>
  </si>
  <si>
    <t>Venta Calamina  0.35*1000mm RAL3003 F- 2237</t>
  </si>
  <si>
    <t>Venta Calamina  0.35*1000mm RAL2009 F- 2238</t>
  </si>
  <si>
    <t>Calamina 0.35*1000mm  F- 2239</t>
  </si>
  <si>
    <t>Calamina 0.35*1000mm  F- 2240</t>
  </si>
  <si>
    <t>Calamina 0.35*1000mm  F- 2241</t>
  </si>
  <si>
    <t>Venta Calamina 0.40*1000mm RAL2009 F- 2242</t>
  </si>
  <si>
    <t>Venta Tirafondos 63*76.2 c/gomas F- 2243</t>
  </si>
  <si>
    <t>Venta Calamina  0.35*1000mm RAL3003 F- 2244</t>
  </si>
  <si>
    <t>Venta Calamina  0.35*1000mm RAL3003 F- 2245</t>
  </si>
  <si>
    <t>Venta Calamina  0.35*1000mm RAL3003 F- 2246</t>
  </si>
  <si>
    <t>Venta Calamina  0.35*1000mm RAL3003 F- 2247</t>
  </si>
  <si>
    <t>Venta Calamina  0.35*1000mm RAL3003 F- 2248</t>
  </si>
  <si>
    <t xml:space="preserve">Calamina 0.35*1000mm  F-2249 </t>
  </si>
  <si>
    <t>Calamina 0.35*1000mm  F- 2250</t>
  </si>
  <si>
    <t>Calamina 0.35*1000mm  F- 2251</t>
  </si>
  <si>
    <t>Calamina 0.35*1000mm  F- 2252</t>
  </si>
  <si>
    <t>Calamina 0.35*1000mm  F- 2253</t>
  </si>
  <si>
    <t>Calamina 0.35*1000mm  F- 2254</t>
  </si>
  <si>
    <t>Calamina 0.35*1000mm  F- 2255</t>
  </si>
  <si>
    <t>Calamina 0.35*1000mm  F- 2256</t>
  </si>
  <si>
    <t>Calamina 0.35*1000mm  F- 2257</t>
  </si>
  <si>
    <t>Venta Calamina  0.35*1000mm RAL3003 F- 2258</t>
  </si>
  <si>
    <t>Calamina 0.35*1000mm  F- 2259</t>
  </si>
  <si>
    <t>Calamina 0.35*1000mm  F- 2260</t>
  </si>
  <si>
    <t>Calamina 0.35*1000mm  F- 2261</t>
  </si>
  <si>
    <t>Calamina 0.35*1000mm  F- 2262</t>
  </si>
  <si>
    <t>Venta Calamina  0.35*1000mm RAL3003 F- 2263</t>
  </si>
  <si>
    <t>Calamina 0.35*1000mm  F- 2264</t>
  </si>
  <si>
    <t>Calamina 0.35*1000mm  F- 2265</t>
  </si>
  <si>
    <t>Venta Tirafondos 63*76.2 c/gomas F- 2265</t>
  </si>
  <si>
    <t>Venta Calamina  0.35*1000mm RAL3003 F- 2266</t>
  </si>
  <si>
    <t>Venta Calamina 0.40*1000mm RAL2009 F- 2267</t>
  </si>
  <si>
    <t>Venta Tirafondos 63*76.2 c/gomas F- 2267</t>
  </si>
  <si>
    <t>Venta Tirafondos 63*76.2 c/gomas F- 2268</t>
  </si>
  <si>
    <t>Venta Calamina 0.40*1000mm RAL2009 F- 2268</t>
  </si>
  <si>
    <t>Calamina 0.35*1000mm  F- 2269</t>
  </si>
  <si>
    <t>Venta Calamina 0.40*1000mm RAL2009 F- 2270</t>
  </si>
  <si>
    <t xml:space="preserve">Calamina 0.35*1000mm  F-2271 </t>
  </si>
  <si>
    <t>Venta Tirafondos 63*76.2 c/gomas F- 2271</t>
  </si>
  <si>
    <t>Venta Calamina  0.35*1000mm RAL3003 F- 2272</t>
  </si>
  <si>
    <t>Calamina 0.40*1000mm  F- 2044</t>
  </si>
  <si>
    <t>Calamina 0.40*1000mm  F- 2045</t>
  </si>
  <si>
    <t>Venta Calamina  0.35*1000mm RAL3003 F- 2056</t>
  </si>
  <si>
    <t>Venta Calamina  0.35*1000mm RAL3003 F- 2108</t>
  </si>
  <si>
    <t>Calamina 0.40*1000mm  F- 2128</t>
  </si>
  <si>
    <t>Venta Calamina  0.35*1000mm RAL3003 F- 2133</t>
  </si>
  <si>
    <t>Calamina 0.35*1000mm  F- 2134</t>
  </si>
  <si>
    <t>ANULADA F- 2175</t>
  </si>
  <si>
    <t>Venta Calamina  0.35*1000mm RAL3003 F- 2223</t>
  </si>
  <si>
    <t>Calamina 0.35*1000mm  F- 2223</t>
  </si>
  <si>
    <t>Venta Calamina  0.35*1000mm RAL3003 F- 2273</t>
  </si>
  <si>
    <t>Calamina 0.40*1000mm  F- 2274</t>
  </si>
  <si>
    <t>Venta tirafondos 63*63.5 c/gomas F- 2274</t>
  </si>
  <si>
    <t>Calamina 0.40*1000mm  F- 2275</t>
  </si>
  <si>
    <t>Venta Calamina  0.35*1000mm RAL2009 F- 2276</t>
  </si>
  <si>
    <t>Venta Calamina 0.40*1000mm RAL2009 F- 2277</t>
  </si>
  <si>
    <t>Venta Tirafondos 63*76.2 c/gomas F- 2277</t>
  </si>
  <si>
    <t>Calamina 0.35*1000mm  F-2278</t>
  </si>
  <si>
    <t>Calamina 0.35*1000mm  F- 2279</t>
  </si>
  <si>
    <t>Calamina 0.35*1000mm  F- 2280</t>
  </si>
  <si>
    <t xml:space="preserve">Calamina 0.35*1000mm  F-2281 </t>
  </si>
  <si>
    <t>Venta Calamina 0.40*1000mm RAL2009 F- 2282</t>
  </si>
  <si>
    <t>Venta Tirafondos 63*76.2 c/gomas F- 2282</t>
  </si>
  <si>
    <t>Venta Tirafondos 63*76.2 c/gomas F- 2283</t>
  </si>
  <si>
    <t>Calamina 0.35*1000mm  F- 2284</t>
  </si>
  <si>
    <t>Calamina 0.35*1000mm  F-2285</t>
  </si>
  <si>
    <t>Calamina 0.35*1000mm  F-2286</t>
  </si>
  <si>
    <t>Calamina 0.35*1000mm  F-2287</t>
  </si>
  <si>
    <t>Venta Tirafondos 63*76.2 c/gomas F- 2288</t>
  </si>
  <si>
    <t>ANULADA F- 2289</t>
  </si>
  <si>
    <t>Venta Calamina  0.35*1000mm RAL2009 F- 2290</t>
  </si>
  <si>
    <t>Venta tirafondos 63*63.5 c/gomas F- 2290</t>
  </si>
  <si>
    <t>Venta Calamina  0.35*1000mm RAL3003 F- 2291</t>
  </si>
  <si>
    <t>Venta Calamina  0.35*1000mm RAL3003 F- 2292</t>
  </si>
  <si>
    <t xml:space="preserve">Calamina 0.35*1000mm  F-2293 </t>
  </si>
  <si>
    <t>Calamina 0.40*1000mm  F- 2294</t>
  </si>
  <si>
    <t>Calamina 0.35*1000mm  F- 2295</t>
  </si>
  <si>
    <t>ANULADA F- 2296</t>
  </si>
  <si>
    <t>Venta Calamina  0.35*1000mm RAL3003 F- 2297</t>
  </si>
  <si>
    <t>Venta Calamina  0.35*1000mm RAL3003 F- 2298</t>
  </si>
  <si>
    <t>Venta Calamina  0.35*1000mm RAL3003 F- 2299</t>
  </si>
  <si>
    <t>Calamina 0.35*1000mm  F- 2300</t>
  </si>
  <si>
    <t>Venta Calamina 0.40*1000mm RAL2009 F- 2301</t>
  </si>
  <si>
    <t>Calamina 0.35*1000mm  F- 2302</t>
  </si>
  <si>
    <t>Calamina 0.35*1000mm  F- 2303</t>
  </si>
  <si>
    <t>Venta Calamina  0.35*1000mm RAL3003 F- 2304</t>
  </si>
  <si>
    <t>Calamina 0.35*1000mm  F- 2305</t>
  </si>
  <si>
    <t>Venta Calamina  0.35*1000mm RAL3003 F- 2306</t>
  </si>
  <si>
    <t>Venta tirafondos 63*63.5 c/gomas F- 2306</t>
  </si>
  <si>
    <t>Calamina 0.35*1000mm  F- 2307</t>
  </si>
  <si>
    <t>Calamina 0.35*1000mm  F- 2308</t>
  </si>
  <si>
    <t>Calamina 0.35*1000mm  F- 2310</t>
  </si>
  <si>
    <t>Calamina 0.35*1000mm  F- 2311</t>
  </si>
  <si>
    <t>Venta Calamina  0.35*1000mm RAL2009 F- 2312</t>
  </si>
  <si>
    <t>Venta Calamina  0.35*1000mm RAL2009 F- 2313</t>
  </si>
  <si>
    <t xml:space="preserve">Calamina 0.35*1000mm  F-2314 </t>
  </si>
  <si>
    <t>Calamina 0.35*1000mm  F-2315</t>
  </si>
  <si>
    <t xml:space="preserve">Calamina 0.35*1000mm  F-2316 </t>
  </si>
  <si>
    <t>Calamina 0.35*1000mm  F- 2317</t>
  </si>
  <si>
    <t>Venta Calamina  0.35x1000mm SEA BLUE F- 2318</t>
  </si>
  <si>
    <t>Calamina 0.40*1000mm  F- 2319</t>
  </si>
  <si>
    <t>Calamina 0.35*1000mm  F- 2320</t>
  </si>
  <si>
    <t>Calamina 0.35*1000mm  F- 2321</t>
  </si>
  <si>
    <t>Venta Tirafondos 63*76.2 c/gomas F- 2322</t>
  </si>
  <si>
    <t>Calamina 0.35*1000mm  F- 2323</t>
  </si>
  <si>
    <t>Venta tirafondos 63*63.5 c/gomas F- 2323</t>
  </si>
  <si>
    <t>Calamina 0.35*1000mm  F- 2324</t>
  </si>
  <si>
    <t>Calamina 0.35*1000mm  F- 2325</t>
  </si>
  <si>
    <t>Calamina 0.40*1000mm  F- 2326</t>
  </si>
  <si>
    <t>Calamina 0.35*1000mm  F- 2327</t>
  </si>
  <si>
    <t>Calamina 0.35*1000mm  F- 2328</t>
  </si>
  <si>
    <t>Calamina 0.40*1000mm  F- 2329</t>
  </si>
  <si>
    <t>Venta Calamina  0.35*1000mm RAL2009 F- 2330</t>
  </si>
  <si>
    <t>Venta Calamina  0.35*1000mm RAL2009 F- 2331</t>
  </si>
  <si>
    <t>Calamina 0.35*1000mm  F- 2332</t>
  </si>
  <si>
    <t>Calamina 0.35*1000mm  F- 2333</t>
  </si>
  <si>
    <t>Venta Calamina  0.35*1000mm RAL3003 F- 2334</t>
  </si>
  <si>
    <t>Calamina 0.35*1000mm  F- 2336</t>
  </si>
  <si>
    <t>Calamina 0.35*1000mm  F- 2337</t>
  </si>
  <si>
    <t>Calamina 0.35*1000mm  F- 2338</t>
  </si>
  <si>
    <t>Venta Calamina  0.35*1000mm RAL2009 F- 2339</t>
  </si>
  <si>
    <t>Calamina 0.35*1000mm  F- 2340</t>
  </si>
  <si>
    <t>Calamina 0.35*1000mm  F- 2341</t>
  </si>
  <si>
    <t>ANULADA F- 2342</t>
  </si>
  <si>
    <t>Venta Calamina  0.35*1000mm RAL2009 F- 2343</t>
  </si>
  <si>
    <t>Venta tirafondos 63*63.5 c/gomas F- 2343</t>
  </si>
  <si>
    <t xml:space="preserve">Venta Calamina 0.40*1000mm RAL2009 F-2343 </t>
  </si>
  <si>
    <t>Calamina 0.35*1000mm  F- 2344</t>
  </si>
  <si>
    <t>Calamina 0.35*1000mm  F- 2345</t>
  </si>
  <si>
    <t>Venta Calamina 0.40*1000mm RAL2009 F- 2346</t>
  </si>
  <si>
    <t>Venta Tirafondos 63*76.2 c/gomas F- 2346</t>
  </si>
  <si>
    <t>Calamina 0.35*1000mm  F- 2347</t>
  </si>
  <si>
    <t>Calamina 0.35*1000mm  F- 2348</t>
  </si>
  <si>
    <t>Calamina 0.35*1000mm  F- 2349</t>
  </si>
  <si>
    <t>Calamina 0.35*1000mm  F- 2350</t>
  </si>
  <si>
    <t>Calamina 0.40*1000mm  F- 2351</t>
  </si>
  <si>
    <t>Calamina 0.35*1000mm  F- 2352</t>
  </si>
  <si>
    <t>Venta Calamina  0.35*1000mm RAL2009 F- 2353</t>
  </si>
  <si>
    <t>Calamina 0.40*1000mm  F- 2354</t>
  </si>
  <si>
    <t>Calamina 0.35*1000mm  F- 2355</t>
  </si>
  <si>
    <t>Venta Tirafondos 63*76.2 c/gomas F- 2356</t>
  </si>
  <si>
    <t>Calamina 0.35*1000mm  F- 2357</t>
  </si>
  <si>
    <t>Venta Calamina  0.35*1000mm RAL3003 F- 2358</t>
  </si>
  <si>
    <t>Venta Tirafondos 63*76.2 c/gomas F- 2360</t>
  </si>
  <si>
    <t>Calamina 0.35*1000mm  F- 2361</t>
  </si>
  <si>
    <t>Venta Calamina  0.35*1000mm RAL2009 F- 2362</t>
  </si>
  <si>
    <t>Venta tirafondos 63*63.5 c/gomas F- 2362</t>
  </si>
  <si>
    <t>Venta Calamina  0.35*1000mm RAL3003 F- 2363</t>
  </si>
  <si>
    <t>Venta Calamina  0.35*1000mm RAL3003 F- 2364</t>
  </si>
  <si>
    <t>Venta Calamina  0.35*1000mm RAL3003 F- 2365</t>
  </si>
  <si>
    <t>Venta Calamina  0.35*1000mm RAL2009 F- 2366</t>
  </si>
  <si>
    <t>Venta Calamina  0.35*1000mm RAL2009 F- 2367</t>
  </si>
  <si>
    <t>Venta Tirafondos 63*76.2 c/gomas F- 2367</t>
  </si>
  <si>
    <t>Venta Calamina  0.35*1000mm RAL3003 F- 2368</t>
  </si>
  <si>
    <t>Venta Calamina Galvanizada F- 2369</t>
  </si>
  <si>
    <t>Calamina 0.35*1000mm  F- 2370</t>
  </si>
  <si>
    <t>Venta Calamina Galvanizada F- 2371</t>
  </si>
  <si>
    <t>Venta Calamina  0.35*1000mm RAL3003 F- 2373</t>
  </si>
  <si>
    <t>Calamina 0.35*1000mm  F- 2374</t>
  </si>
  <si>
    <t>Venta Calamina  0.35*1000mm RAL3003 F- 2375</t>
  </si>
  <si>
    <t>Venta Calamina Galvanizada F- 2376</t>
  </si>
  <si>
    <t>Venta Calamina Galvanizada F- 2372</t>
  </si>
  <si>
    <t>Calamina 0.35*1000mm  F- 2377</t>
  </si>
  <si>
    <t>Calamina 0.35*1000mm  F- 2378</t>
  </si>
  <si>
    <t>Calamina 0.35*1000mm  F- 2379</t>
  </si>
  <si>
    <t>Calamina 0.35*1000mm  F- 2380</t>
  </si>
  <si>
    <t>Calamina 0.35*1000mm  F- 2381</t>
  </si>
  <si>
    <t>Calamina 0.35*1000mm  F- 2382</t>
  </si>
  <si>
    <t>ANULADA F- 2383</t>
  </si>
  <si>
    <t>Venta Calamina  0.35*1000mm RAL2009 F- 2384</t>
  </si>
  <si>
    <t>Calamina 0.35*1000mm  F- 2385</t>
  </si>
  <si>
    <t>Calamina 0.35*1000mm  F- 2386</t>
  </si>
  <si>
    <t>ANULADA  F- 2387</t>
  </si>
  <si>
    <t>Calamina 0.35*1000mm  F- 2388</t>
  </si>
  <si>
    <t>Venta Calamina  0.35*1000mm RAL3003 F- 2389</t>
  </si>
  <si>
    <t>Venta Tirafondos 63*76.2 c/gomas F- 2389</t>
  </si>
  <si>
    <t>Calamina 0.35*1000mm  F- 2390</t>
  </si>
  <si>
    <t>Venta Calamina  0.35*1000mm RAL3003 F- 2391</t>
  </si>
  <si>
    <t>Calamina 0.35*1000mm  F- 2392</t>
  </si>
  <si>
    <t>Calamina 0.35*1000mm  F- 2393</t>
  </si>
  <si>
    <t>Venta Tirafondos 63*76.2 c/gomas F- 2393</t>
  </si>
  <si>
    <t>Calamina 0.35*1000mm  F- 2394</t>
  </si>
  <si>
    <t>Venta Calamina  0.35*1000mm RAL3003 F- 2395</t>
  </si>
  <si>
    <t>Venta Calamina  0.35x1000mm SEA BLUE F- 2396</t>
  </si>
  <si>
    <t>Calamina 0.35*1000mm  F- 2397</t>
  </si>
  <si>
    <t>Calamina 0.35*1000mm  F- 2399</t>
  </si>
  <si>
    <t>Calamina 0.35*1000mm  F- 2398</t>
  </si>
  <si>
    <t>Venta Calamina  0.35*1000mm RAL3003 F- 2400</t>
  </si>
  <si>
    <t>Venta Calamina  0.35*1000mm RAL2009 F- 2401</t>
  </si>
  <si>
    <t>Calamina 0.35*1000mm  F- 2402</t>
  </si>
  <si>
    <t>Venta Calamina  0.35*1000mm RAL3003 F- 2403</t>
  </si>
  <si>
    <t>Venta Calamina  0.35*1000mm RAL2009 F- 2404</t>
  </si>
  <si>
    <t>Venta Calamina  0.35*1000mm RAL2009 F- 2405</t>
  </si>
  <si>
    <t>Venta Calamina  0.35*1000mm RAL2009 F- 2406</t>
  </si>
  <si>
    <t>Calamina 0.40*1000mm  F- 2407</t>
  </si>
  <si>
    <t>Venta Calamina  0.35*1000mm RAL3003 F- 2408</t>
  </si>
  <si>
    <t>Calamina 0.35*1000mm  F- 2409</t>
  </si>
  <si>
    <t>Venta tirafondos 63*63.5 c/gomas F- 2409</t>
  </si>
  <si>
    <t>Venta Calamina  0.35x1000mm SEA BLUE F- 2410</t>
  </si>
  <si>
    <t>Calamina 0.35*1000mm  F- 2411</t>
  </si>
  <si>
    <t>Calamina 0.35*1000mm  F- 2412</t>
  </si>
  <si>
    <t>Calamina 0.40*1000mm  F- 2413</t>
  </si>
  <si>
    <t>Venta Calamina  0.35*1000mm RAL3003 F- 2414</t>
  </si>
  <si>
    <t>Calamina 0.35*1000mm  F- 2415</t>
  </si>
  <si>
    <t>Calamina 0.35*1000mm  F- 2416</t>
  </si>
  <si>
    <t>Calamina 0.35*1000mm  F- 2417</t>
  </si>
  <si>
    <t>Venta Calamina  0.35*1000mm RAL2009 F- 2418</t>
  </si>
  <si>
    <t>Calamina 0.35*1000mm  F- 2419</t>
  </si>
  <si>
    <t>Venta Calamina  0.35*1000mm RAL2009 F- 2420</t>
  </si>
  <si>
    <t>Venta Calamina  0.35*1000mm RAL2009 F- 2421</t>
  </si>
  <si>
    <t>Venta Calamina  0.35*1000mm RAL3003 F- 2422</t>
  </si>
  <si>
    <t>Calamina 0.35*1000mm  F- 2423</t>
  </si>
  <si>
    <t>ANULADA F- 2424</t>
  </si>
  <si>
    <t>Calamina 0.40*1000mm  F- 2425</t>
  </si>
  <si>
    <t>ANULADA F- 2426</t>
  </si>
  <si>
    <t>Venta Calamina  0.35x1000mm SEA BLUE F- 2427</t>
  </si>
  <si>
    <t>ANULADA F- 2428</t>
  </si>
  <si>
    <t>ANULADA F- 2429</t>
  </si>
  <si>
    <t xml:space="preserve">ANULADA F-2430 </t>
  </si>
  <si>
    <t>Venta Tirafondos 63*76.2 c/gomas F- 2431</t>
  </si>
  <si>
    <t>Calamina 0.35*1000mm  F- 2432</t>
  </si>
  <si>
    <t>Calamina 0.35*1000mm  F- 2433</t>
  </si>
  <si>
    <t>Venta Tirafondos 63*76.2 c/gomas F- 2433</t>
  </si>
  <si>
    <t>Calamina 0.35*1000mm  F- 2434</t>
  </si>
  <si>
    <t>Venta Calamina  0.35*1000mm RAL3003 F- 2435</t>
  </si>
  <si>
    <t>Venta Calamina  0.35x1000mm SEA BLUE F- 2436</t>
  </si>
  <si>
    <t>Venta Calamina  0.35*1000mm RAL3003 F- 2437</t>
  </si>
  <si>
    <t>Venta tirafondos 63*63.5 c/gomas F- 2438</t>
  </si>
  <si>
    <t>ANUALADA F- 2439</t>
  </si>
  <si>
    <t>Venta Tirafondos 63*76.2 c/gomas F- 2440</t>
  </si>
  <si>
    <t xml:space="preserve">Calamina 0.35*1000mm  F-2441 </t>
  </si>
  <si>
    <t xml:space="preserve">Venta Calamina  0.35*1000mm RAL2009 F-2442 </t>
  </si>
  <si>
    <t>Calamina 0.35*1000mm  F- 2443</t>
  </si>
  <si>
    <t>Venta Tirafondos 63*76.2 c/gomas F- 2444</t>
  </si>
  <si>
    <t>Calamina 0.40*1000mm  F- 2445</t>
  </si>
  <si>
    <t>Calamina 0.35*1000mm  F- 2446</t>
  </si>
  <si>
    <t>Mercaderia:Plancha 0.35*1000mm RAL3002</t>
  </si>
  <si>
    <t>Venta Calamina  0.35*1000mm RAL3002 F- 2447</t>
  </si>
  <si>
    <t>Calamina 0.35*1000mm  F- 2448</t>
  </si>
  <si>
    <t>Venta tirafondos 63*63.5 c/gomas F- 2449</t>
  </si>
  <si>
    <t>Venta Calamina  0.35*1000mm RAL2009 F- 2450</t>
  </si>
  <si>
    <t xml:space="preserve">Venta Calamina  0.35*1000mm RAL2009 F-2451 </t>
  </si>
  <si>
    <t>Venta Calamina  0.35*1000mm RAL3002 F- 2452</t>
  </si>
  <si>
    <t>Venta tirafondos 63*63.5 c/gomas F- 2452</t>
  </si>
  <si>
    <t>Venta Calamina  0.35*1000mm RAL3002 F- 2453</t>
  </si>
  <si>
    <t>Venta Calamina  0.35*1000mm RAL3002 F- 2454</t>
  </si>
  <si>
    <t>Calamina 0.35*1000mm  F- 2455</t>
  </si>
  <si>
    <t>Venta tirafondos 63*63.5 c/gomas F- 2456</t>
  </si>
  <si>
    <t>Venta Calamina  0.35*1000mm RAL2009 F- 2457</t>
  </si>
  <si>
    <t>Calamina 0.35*1000mm  F- 2458</t>
  </si>
  <si>
    <t>Venta Calamina  0.35x1000mm SEA BLUE F- 2459</t>
  </si>
  <si>
    <t>Calamina 0.35*1000mm  F- 2460</t>
  </si>
  <si>
    <t>Calamina 0.35*1000mm  F- 2461</t>
  </si>
  <si>
    <t>Venta Calamina  0.35*1000mm RAL3002 F- 2461</t>
  </si>
  <si>
    <t>Venta Calamina  0.35x1000mm SEA BLUE F- 2463</t>
  </si>
  <si>
    <t>Venta Calamina  0.35*1000mm RAL3003 F- 2464</t>
  </si>
  <si>
    <t xml:space="preserve">ANULADA F-2465 </t>
  </si>
  <si>
    <t>Venta Calamina  0.35*1000mm RAL3002 F- 2466</t>
  </si>
  <si>
    <t>Venta Calamina  0.35*1000mm RAL2009 F- 2467</t>
  </si>
  <si>
    <t>Venta Calamina  0.35*1000mm RAL2009 F- 2468</t>
  </si>
  <si>
    <t>Venta Calamina  0.35*1000mm RAL2009 F- 2469</t>
  </si>
  <si>
    <t>Calamina 0.35*1000mm  F- 2470</t>
  </si>
  <si>
    <t>Calamina 0.35*1000mm  F- 2471</t>
  </si>
  <si>
    <t>Venta Calamina  0.35x1000mm SEA BLUE F- 2472</t>
  </si>
  <si>
    <t>Venta tirafondos 63*63.5 c/gomas F- 2473</t>
  </si>
  <si>
    <t>Calamina 0.35*1000mm  F- 2474</t>
  </si>
  <si>
    <t>Calamina 0.35*1000mm  F- 2475</t>
  </si>
  <si>
    <t>Calamina 0.35*1000mm  F- 2476</t>
  </si>
  <si>
    <t xml:space="preserve">Venta tirafondos 63*63.5 c/gomas F-2477 </t>
  </si>
  <si>
    <t>Venta Calamina  0.35*1000mm RAL2009 F- 2478</t>
  </si>
  <si>
    <t>Venta Calamina  0.35*1000mm RAL3003 F- 2479</t>
  </si>
  <si>
    <t>ANULADA  F- 2480</t>
  </si>
  <si>
    <t>Calamina 0.35*1000mm  F- 2481</t>
  </si>
  <si>
    <t>Calamina 0.35*1000mm  F- 2482</t>
  </si>
  <si>
    <t>Calamina 0.40*1000mm  F- 2483</t>
  </si>
  <si>
    <t>Venta Calamina  0.35*1000mm RAL3003 F- 2485</t>
  </si>
  <si>
    <t xml:space="preserve">Venta Calamina  0.35*1000mm RAL2009 F-2485 </t>
  </si>
  <si>
    <t>Calamina 0.35*1000mm  F- 2486</t>
  </si>
  <si>
    <t>Calamina 0.35*1000mm  F- 2487</t>
  </si>
  <si>
    <t>Venta Calamina  0.35*1000mm RAL2009 F- 2488</t>
  </si>
  <si>
    <t>Calamina 0.35*1000mm  F- 2489</t>
  </si>
  <si>
    <t>Venta tirafondos 63*63.5 c/gomas F- 2490</t>
  </si>
  <si>
    <t>Venta tirafondos 63*63.5 c/gomas F- 2491</t>
  </si>
  <si>
    <t>Venta Calamina Galvanizada F- 2491</t>
  </si>
  <si>
    <t>INVENTARIO FINAL AL 31/12/2019</t>
  </si>
  <si>
    <t>Venta Calamina  0.35*1000mm RAL2009 F- 2492</t>
  </si>
  <si>
    <t>Calamina 0.35*1000mm  F- 2493</t>
  </si>
  <si>
    <t>Venta Tirafondos 63*76.2 c/gomas F- 2494</t>
  </si>
  <si>
    <t>Calamina 0.35*1000mm  F- 2495</t>
  </si>
  <si>
    <t>Calamina 0.40*1000mm  F- 2496</t>
  </si>
  <si>
    <t>Calamina 0.35*1000mm  F- 2498</t>
  </si>
  <si>
    <t>Calamina 0.35*1000mm  F- 2499</t>
  </si>
  <si>
    <t>Venta Calamina  0.35*1000mm RAL3002 F- 2500</t>
  </si>
  <si>
    <t>Venta Calamina  0.35*1000mm RAL3002 F- 2501</t>
  </si>
  <si>
    <t>Calamina 0.35*1000mm  F- 2502</t>
  </si>
  <si>
    <t>Venta Calamina  0.35*1000mm RAL3003 F- 2503</t>
  </si>
  <si>
    <t>Calamina 0.40*1000mm  F- 2504</t>
  </si>
  <si>
    <t xml:space="preserve">Calamina 0.35*1000mm  F-2505 </t>
  </si>
  <si>
    <t>Calamina 0.40*1000mm  F- 2506</t>
  </si>
  <si>
    <t>Venta Calamina  0.35*1000mm RAL3002 F- 2507</t>
  </si>
  <si>
    <t>Venta Tirafondos 63*76.2 c/gomas F- 2507</t>
  </si>
  <si>
    <t>Venta Tirafondos 63*76.2 c/gomas F- 2508</t>
  </si>
  <si>
    <t>Venta Calamina  0.35*1000mm RAL3003 F- 2509</t>
  </si>
  <si>
    <t>Venta Calamina  0.35*1000mm RAL2009 F- 2510</t>
  </si>
  <si>
    <t>Venta Tirafondos 63*76.2 c/gomas F- 2511</t>
  </si>
  <si>
    <t>Venta Calamina  0.35*1000mm RAL3003 F- 2512</t>
  </si>
  <si>
    <t>Calamina 0.35*1000mm  F- 2513</t>
  </si>
  <si>
    <t>Venta Calamina  0.35x1000mm SEA BLUE F- 2514</t>
  </si>
  <si>
    <t>Venta Calamina  0.35*1000mm RAL3002 F- 2515</t>
  </si>
  <si>
    <t>Venta tirafondos 63*63.5 c/gomas F- 2515</t>
  </si>
  <si>
    <t>Venta Calamina 0.40*1000mm RAL2009 F- 2516</t>
  </si>
  <si>
    <t>Venta Tirafondos 63*76.2 c/gomas F- 2516</t>
  </si>
  <si>
    <t>Venta Tirafondos 63*76.2 c/gomas F- 2517</t>
  </si>
  <si>
    <t>Venta Calamina  0.35*1000mm RAL3003 F- 2518</t>
  </si>
  <si>
    <t>Calamina 0.35*1000mm  F- 2519</t>
  </si>
  <si>
    <t>ANULADA F- 2520</t>
  </si>
  <si>
    <t>Venta Calamina  0.35*1000mm RAL2009 F- 2521</t>
  </si>
  <si>
    <t>Venta Tirafondos 63*76.2 c/gomas F- 2521</t>
  </si>
  <si>
    <t>Venta Calamina  0.35*1000mm RAL3003 F- 2522</t>
  </si>
  <si>
    <t>Calamina 0.35*1000mm  F- 2523</t>
  </si>
  <si>
    <t>Venta Calamina  0.35*1000mm RAL3002 F- 2524</t>
  </si>
  <si>
    <t>Calamina 0.40*1000mm  F- 2525</t>
  </si>
  <si>
    <t>Venta tirafondos 63*63.5 c/gomas F- 2525</t>
  </si>
  <si>
    <t>Calamina 0.35*1000mm  F- 2526</t>
  </si>
  <si>
    <t>Calamina 0.35*1000mm  F- 2527</t>
  </si>
  <si>
    <t>Venta Calamina 0.40*1000mm RAL2009 F- 2528</t>
  </si>
  <si>
    <t>Venta Tirafondos 63*76.2 c/gomas F- 2528</t>
  </si>
  <si>
    <t>Venta Calamina  0.35*1000mm RAL2009 F- 2529</t>
  </si>
  <si>
    <t>Venta Calamina 0.40*1000mm RAL2009 F- 2529</t>
  </si>
  <si>
    <t>Venta Calamina  0.35*1000mm RAL3002 F- 2530</t>
  </si>
  <si>
    <t>Venta tirafondos 63*63.5 c/gomas F- 2530</t>
  </si>
  <si>
    <t>Venta tirafondos 63*63.5 c/gomas F- 2531</t>
  </si>
  <si>
    <t>Venta Calamina 0.40*1000mm RAL2009 F- 2531</t>
  </si>
  <si>
    <t>Venta Calamina  0.35*1000mm RAL3002 F- 2532</t>
  </si>
  <si>
    <t>Calamina 0.40*1000mm  F- 2533</t>
  </si>
  <si>
    <t>Venta Calamina  0.35*1000mm RAL3003 F- 2534</t>
  </si>
  <si>
    <t>Venta Calamina 0.40*1000mm RAL2009 F- 2535</t>
  </si>
  <si>
    <t>Venta tirafondos 63*63.5 c/gomas F- 2535</t>
  </si>
  <si>
    <t>Calamina 0.35*1000mm  F- 2536</t>
  </si>
  <si>
    <t>Calamina 0.40*1000mm  F- 2537</t>
  </si>
  <si>
    <t>Calamina 0.35*1000mm  F- 2538</t>
  </si>
  <si>
    <t>Venta Calamina  0.35*1000mm RAL3002 F- 2539</t>
  </si>
  <si>
    <t>Venta Calamina  0.35*1000mm RAL2009 F- 2540</t>
  </si>
  <si>
    <t>Calamina 0.35*1000mm  F- 2541</t>
  </si>
  <si>
    <t>Venta Calamina  0.35*1000mm RAL2009 F- 2541</t>
  </si>
  <si>
    <t>Venta Calamina  0.35*1000mm RAL3003 F- 2542</t>
  </si>
  <si>
    <t>Calamina 0.35*1000mm  F- 2543</t>
  </si>
  <si>
    <t>Venta Calamina  0.35*1000mm RAL2009 F- 2543</t>
  </si>
  <si>
    <t>ANULADA F- 2544</t>
  </si>
  <si>
    <t>Venta Calamina  0.35*1000mm RAL2009 F- 2545</t>
  </si>
  <si>
    <t>Calamina 0.35*1000mm  F- 2546</t>
  </si>
  <si>
    <t>Venta Calamina  0.35*1000mm RAL2009 F- 2547</t>
  </si>
  <si>
    <t>Venta Tirafondos 63*76.2 c/gomas F- 2547</t>
  </si>
  <si>
    <t>Venta Calamina  0.35*1000mm RAL3003 F- 2548</t>
  </si>
  <si>
    <t>Venta Calamina  0.35*1000mm RAL3003 F- 2549</t>
  </si>
  <si>
    <t>Venta Calamina  0.35*1000mm RAL3003 F- 2550</t>
  </si>
  <si>
    <t>Venta tirafondos 63*63.5 c/gomas F- 2550</t>
  </si>
  <si>
    <t>ANULADA F- 2551</t>
  </si>
  <si>
    <t>Calamina 0.35*1000mm  F- 2552</t>
  </si>
  <si>
    <t>Venta Calamina  0.35*1000mm RAL2009 F- 2553</t>
  </si>
  <si>
    <t>ANULADA F- 2554</t>
  </si>
  <si>
    <t>ANULADA F- 2555</t>
  </si>
  <si>
    <t>Venta Calamina  0.35*1000mm RAL2009 F- 2556</t>
  </si>
  <si>
    <t>Calamina 0.40*1000mm  F- 2557</t>
  </si>
  <si>
    <t>Calamina 0.35*1000mm  F- 2558</t>
  </si>
  <si>
    <t>Calamina 0.35*1000mm  F- 2559</t>
  </si>
  <si>
    <t>Calamina 0.35*1000mm  F- 2560</t>
  </si>
  <si>
    <t>Venta Calamina 0.40*1000mm RAL2009 F- 2561</t>
  </si>
  <si>
    <t>Venta Calamina  0.35*1000mm RAL3002 F- 2562</t>
  </si>
  <si>
    <t>Venta Calamina  0.35*1000mm RAL2009 F- 2563</t>
  </si>
  <si>
    <t>Venta Calamina  0.35*1000mm RAL3003 F- 2564</t>
  </si>
  <si>
    <t>Venta Calamina  0.35x1000mm SEA BLUE F- 2565</t>
  </si>
  <si>
    <t>Venta Calamina  0.35*1000mm RAL2009 F- 2566</t>
  </si>
  <si>
    <t>Venta Calamina  0.35*1000mm RAL2009 F- 2567</t>
  </si>
  <si>
    <t>Venta Calamina  0.35*1000mm RAL3003 F- 2568</t>
  </si>
  <si>
    <t>Venta Calamina  0.35*1000mm RAL2009 F- 2569</t>
  </si>
  <si>
    <t>Venta Calamina  0.35*1000mm RAL3003 F- 2570</t>
  </si>
  <si>
    <t>Anulada  F- 2571</t>
  </si>
  <si>
    <t>Calamina 0.35*1000mm  F- 2572</t>
  </si>
  <si>
    <t>Calamina 0.35*1000mm  F- 2573</t>
  </si>
  <si>
    <t>Venta Calamina 0.40*1000mm RAL2009 F- 2574</t>
  </si>
  <si>
    <t>Venta tirafondos 63*63.5 c/gomas F- 2574</t>
  </si>
  <si>
    <t>Venta Calamina  0.35*1000mm RAL2009 F- 2575</t>
  </si>
  <si>
    <t>Venta Calamina  0.35*1000mm RAL3003 F- 2576</t>
  </si>
  <si>
    <t>Calamina 0.35*1000mm  F- 2577</t>
  </si>
  <si>
    <t>Venta Calamina  0.35*1000mm RAL3003 F- 2578</t>
  </si>
  <si>
    <t>Venta Calamina  0.35*1000mm RAL3003 F- 2579</t>
  </si>
  <si>
    <t>Calamina 0.35*1000mm  F- 2580</t>
  </si>
  <si>
    <t>Calamina 0.35*1000mm  F- 2581</t>
  </si>
  <si>
    <t>Calamina 0.35*1000mm  F- 2582</t>
  </si>
  <si>
    <t>Venta Calamina  0.35*1000mm RAL3003 F- 2583</t>
  </si>
  <si>
    <t>Calamina 0.35*1000mm  F- 2584</t>
  </si>
  <si>
    <t>Venta Calamina  0.35*1000mm RAL3002 F- 2585</t>
  </si>
  <si>
    <t>Venta tirafondos 63*63.5 c/gomas F- 2585</t>
  </si>
  <si>
    <t>Calamina 0.35*1000mm  F- 2586</t>
  </si>
  <si>
    <t>Venta Calamina  0.35*1000mm RAL3002 F- 2587</t>
  </si>
  <si>
    <t>ANULADA F- 2309</t>
  </si>
  <si>
    <t>Compra Plancha 0.40*1000mmRAL2009 DUI C12103</t>
  </si>
  <si>
    <t>Compra Plancha 0.35*1000mmRAL3003 DUI C10733</t>
  </si>
  <si>
    <t>Compra Plancha 0.35*1000mmRAL2009 DUI C10733</t>
  </si>
  <si>
    <t>Calamina 0.35*1000mm  F- 2588</t>
  </si>
  <si>
    <t>Calamina 0.35*1000mm  F- 2589</t>
  </si>
  <si>
    <t>Calamina 0.35*1000mm  F- 2590</t>
  </si>
  <si>
    <t>Calamina 0.35*1000mm  F- 2591</t>
  </si>
  <si>
    <t>Calamina 0.35*1000mm  F- 2592</t>
  </si>
  <si>
    <t>Calamina 0.35*1000mm  F- 2593</t>
  </si>
  <si>
    <t>Calamina 0.40*1000mm  F- 2594</t>
  </si>
  <si>
    <t>Venta tirafondos 63*63.5 c/gomas F- 2594</t>
  </si>
  <si>
    <t>ANULADA F- 2595</t>
  </si>
  <si>
    <t>Venta Calamina  0.35*1000mm RAL3002 F- 2596</t>
  </si>
  <si>
    <t>Venta Calamina  0.35*1000mm RAL2009 F- 2597</t>
  </si>
  <si>
    <t>Calamina 0.35*1000mm  F- 2598</t>
  </si>
  <si>
    <t>Calamina 0.35*1000mm  F- 2599</t>
  </si>
  <si>
    <t>Venta Calamina  0.35*1000mm RAL2009 F- 2600</t>
  </si>
  <si>
    <t>Venta Tirafondos 63*76.2 c/gomas F- 2600</t>
  </si>
  <si>
    <t>Calamina 0.35*1000mm  F- 2601</t>
  </si>
  <si>
    <t>Venta Calamina  0.35*1000mm RAL3002 F- 2602</t>
  </si>
  <si>
    <t>Venta Calamina  0.35*1000mm RAL2009 F- 2603</t>
  </si>
  <si>
    <t>Venta tirafondos 63*63.5 c/gomas F- 2603</t>
  </si>
  <si>
    <t>Venta Calamina  0.35*1000mm RAL2009 F- 2604</t>
  </si>
  <si>
    <t>Venta Calamina  0.35*1000mm RAL2009 F- 2605</t>
  </si>
  <si>
    <t>Venta Calamina  0.35*1000mm RAL2009 F- 2607</t>
  </si>
  <si>
    <t>Calamina 0.35*1000mm  F- 2608</t>
  </si>
  <si>
    <t>Calamina 0.40*1000mm  F- 2609</t>
  </si>
  <si>
    <t>Venta tirafondos 63*63.5 c/gomas F- 2610</t>
  </si>
  <si>
    <t>Venta Calamina  0.35x1000mm SEA BLUE F- 2611</t>
  </si>
  <si>
    <t>Venta tirafondos 63*63.5 c/gomas F- 2612</t>
  </si>
  <si>
    <t>Venta Calamina  0.35*1000mm RAL2009 F- 2606</t>
  </si>
  <si>
    <t>Calamina 0.35*1000mm  F- 2614</t>
  </si>
  <si>
    <t>Venta Calamina  0.35*1000mm RAL3002 F- 2613</t>
  </si>
  <si>
    <t>Calamina 0.35*1000mm  F- 2615</t>
  </si>
  <si>
    <t>Venta Tirafondos 63*76.2 c/gomas F- 2616</t>
  </si>
  <si>
    <t>Venta Calamina  0.35x1000mm SEA BLUE F- 2617</t>
  </si>
  <si>
    <t>Calamina 0.35*1000mm  F- 2618</t>
  </si>
  <si>
    <t>Calamina 0.35*1000mm  F- 2619</t>
  </si>
  <si>
    <t>Calamina 0.35*1000mm  F- 2620</t>
  </si>
  <si>
    <t>ANULADA  F- 2621</t>
  </si>
  <si>
    <t>Calamina 0.35*1000mm  F- 2622</t>
  </si>
  <si>
    <t>Venta tirafondos 63*63.5 c/gomas F- 2623</t>
  </si>
  <si>
    <t>Venta tirafondos 63*63.5 c/gomas F- 2624</t>
  </si>
  <si>
    <t>Venta Calamina  0.35*1000mm RAL3002 F- 2625</t>
  </si>
  <si>
    <t>Venta tirafondos 63*63.5 c/gomas F- 2625</t>
  </si>
  <si>
    <t>ANULADA F- 2626</t>
  </si>
  <si>
    <t>Venta Calamina  0.35*1000mm RAL3002 F- 2627</t>
  </si>
  <si>
    <t>Venta tirafondos 63*63.5 c/gomas F- 2627</t>
  </si>
  <si>
    <t>Calamina 0.35*1000mm  F- 2628</t>
  </si>
  <si>
    <t>Venta Calamina  0.35*1000mm RAL3002 F- 2629</t>
  </si>
  <si>
    <t>TOTAL</t>
  </si>
  <si>
    <t>Venta Calamina 0.40*1000mm RAL2009 F- 2234</t>
  </si>
  <si>
    <t>Calamina 0.35*1000mm  F- 2335</t>
  </si>
  <si>
    <t>Venta Calamina  0.35*1000mm RAL2009 F- 2359</t>
  </si>
  <si>
    <t>Venta Calamina  0.35*1000mm RAL3002 F- 2462</t>
  </si>
  <si>
    <t>Calamina 0.35*1000mm  F- 2484</t>
  </si>
  <si>
    <t>ANULADA  F- 2497</t>
  </si>
  <si>
    <t>Venta Calamina  0.35*1000mm RAL2009 F- 2502</t>
  </si>
  <si>
    <t>Mercaderia:Juntas de goma</t>
  </si>
  <si>
    <t>Unidad de Medida:Uds.</t>
  </si>
  <si>
    <t xml:space="preserve">ENTRADA </t>
  </si>
  <si>
    <t>INENTARIO INICIAL</t>
  </si>
  <si>
    <t xml:space="preserve">                Practicado al 31 de diciembre de 2019</t>
  </si>
  <si>
    <t>Compra Plancha Calamina 0.35*1000mm C-8618</t>
  </si>
  <si>
    <t>ELVA FERNANDEZ DE DELGADILLO</t>
  </si>
  <si>
    <t>NIT  3733613014</t>
  </si>
  <si>
    <t>Mercaderia:Clavos de Calamina</t>
  </si>
  <si>
    <t>Peso: kg</t>
  </si>
  <si>
    <t xml:space="preserve">                Practicado al 31 de diciembre DE 2019</t>
  </si>
  <si>
    <t>INVENTARIO INICIAL</t>
  </si>
  <si>
    <t>Venta Clavos calamina en Kg. F-1772</t>
  </si>
  <si>
    <t>Venta Clavos calamina en Kg. F-1777</t>
  </si>
  <si>
    <t>Venta Clavos calamina en Kg. F-1778</t>
  </si>
  <si>
    <t>Venta Clavos calamina en Kg. F-1799</t>
  </si>
  <si>
    <t>Venta Clavos calamina en Kg. F-1816</t>
  </si>
  <si>
    <t>Venta Clavos calamina en Kg. F-1817</t>
  </si>
  <si>
    <t>Venta Clavos calamina en Kg. F-1818</t>
  </si>
  <si>
    <t>Venta Clavos calamina en Kg. F-1819</t>
  </si>
  <si>
    <t>Venta Clavos calamina en Kg. F-1821</t>
  </si>
  <si>
    <t>Venta Clavos calamina en Kg. F-1822</t>
  </si>
  <si>
    <t>Venta Clavos calamina en Kg. F-1826</t>
  </si>
  <si>
    <t>Venta Clavos calamina en Kg. F-1841</t>
  </si>
  <si>
    <t>Venta Clavos calamina en Kg. F-1848</t>
  </si>
  <si>
    <t>Venta Clavos calamina en Kg. F-1851</t>
  </si>
  <si>
    <t>Venta Clavos calamina en Kg. F-1857</t>
  </si>
  <si>
    <t>Venta Clavos calamina en Kg. F-1876</t>
  </si>
  <si>
    <t>Venta Clavos calamina en Kg. F-1890</t>
  </si>
  <si>
    <t>Venta Clavos calamina en Kg. F-1900</t>
  </si>
  <si>
    <t>Venta Clavos calamina en Kg. F-1903</t>
  </si>
  <si>
    <t>Venta Clavos calamina en Kg. F-1915</t>
  </si>
  <si>
    <t>ANULADA F-1923</t>
  </si>
  <si>
    <t>Venta Clavos calamina en Kg. F-1930</t>
  </si>
  <si>
    <t>Venta Clavos calamina en Kg. F-1941</t>
  </si>
  <si>
    <t>Venta Clavos calamina en Kg. F-1943</t>
  </si>
  <si>
    <t>Venta Clavos calamina en Kg. F-1953</t>
  </si>
  <si>
    <t>Venta Clavos calamina en Kg. F-1956</t>
  </si>
  <si>
    <t>Venta Clavos calamina en Kg. F-1959</t>
  </si>
  <si>
    <t>Venta Clavos calamina en Kg. F-1963</t>
  </si>
  <si>
    <t>Venta Clavos calamina en Kg. F-1965</t>
  </si>
  <si>
    <t>Venta Clavos calamina en Kg. F-1969</t>
  </si>
  <si>
    <t>Venta Clavos calamina en Kg. F-1976</t>
  </si>
  <si>
    <t>Venta Clavos calamina en Kg. F-1977</t>
  </si>
  <si>
    <t>Venta Clavos calamina en Kg. F-1979</t>
  </si>
  <si>
    <t>Compra Clavos Calaminas en Kg. F-722</t>
  </si>
  <si>
    <t>Venta Clavos calamina en Kg. F-1980</t>
  </si>
  <si>
    <t>Venta Clavos calamina en Kg. F-1981</t>
  </si>
  <si>
    <t>Venta Clavos calamina en Kg. F-1988</t>
  </si>
  <si>
    <t>Venta Clavos calamina en Kg. F-1998</t>
  </si>
  <si>
    <t>Venta Clavos calamina en Kg. F-1999</t>
  </si>
  <si>
    <t>Compra Clavos Calaminas en Kg. F-549</t>
  </si>
  <si>
    <t>Venta Clavos calamina en Kg. F-2010</t>
  </si>
  <si>
    <t>Venta Clavos calamina en Kg. F-2011</t>
  </si>
  <si>
    <t>Venta Clavos calamina en Kg. F-2012</t>
  </si>
  <si>
    <t>Venta Clavos calamina en Kg. F-2026</t>
  </si>
  <si>
    <t>Venta Clavos calamina en Kg. F-2027</t>
  </si>
  <si>
    <t>Venta Clavos calamina en Kg. F-2028</t>
  </si>
  <si>
    <t>Venta Clavos calamina en Kg. F-2029</t>
  </si>
  <si>
    <t>Venta Clavos calamina en Kg. F-2031</t>
  </si>
  <si>
    <t>Venta Clavos calamina en Kg. F-2038</t>
  </si>
  <si>
    <t>Venta Clavos calamina en Kg. F-2039</t>
  </si>
  <si>
    <t>Venta Clavos calamina en Kg. F-2040</t>
  </si>
  <si>
    <t>ANULADA F-2041</t>
  </si>
  <si>
    <t>Venta Clavos calamina en Kg. F-2042</t>
  </si>
  <si>
    <t>Venta Clavos calamina en Kg. F-2045</t>
  </si>
  <si>
    <t>Venta Clavos calamina en Kg. F-2046</t>
  </si>
  <si>
    <t>Venta Clavos calamina en Kg. F-2049</t>
  </si>
  <si>
    <t>Venta Clavos calamina en Kg. F-2051</t>
  </si>
  <si>
    <t>Venta Clavos calamina en Kg. F-2055</t>
  </si>
  <si>
    <t>Venta Clavos calamina en Kg. F-2056</t>
  </si>
  <si>
    <t>Venta Clavos calamina en Kg. F-2075</t>
  </si>
  <si>
    <t>Venta Clavos calamina en Kg. F-2076</t>
  </si>
  <si>
    <t>ANULADA Kg. F-2078</t>
  </si>
  <si>
    <t>Venta Clavos calamina en Kg. F-2079</t>
  </si>
  <si>
    <t>Venta Clavos calamina en Kg. F-2080</t>
  </si>
  <si>
    <t>Venta Clavos calamina en Kg. F-2082</t>
  </si>
  <si>
    <t>Venta Clavos calamina en Kg. F-2083</t>
  </si>
  <si>
    <t>Venta Clavos calamina en Kg. F-2084</t>
  </si>
  <si>
    <t>Venta Clavos calamina en Kg. F-2086</t>
  </si>
  <si>
    <t>Venta Clavos calamina en Kg. F-2087</t>
  </si>
  <si>
    <t>Venta Clavos calamina en Kg. F-2088</t>
  </si>
  <si>
    <t>Venta Clavos calamina en Kg. F-2089</t>
  </si>
  <si>
    <t>ANULADA F-2090</t>
  </si>
  <si>
    <t>Venta Clavos calamina en Kg. F-2091</t>
  </si>
  <si>
    <t>Venta Clavos calamina en Kg. F-2092</t>
  </si>
  <si>
    <t>Venta Clavos calamina en Kg. F-2096</t>
  </si>
  <si>
    <t>Venta Clavos calamina en Kg. F-2105</t>
  </si>
  <si>
    <t>Venta Clavos calamina en Kg. F-2107</t>
  </si>
  <si>
    <t>Venta Clavos calamina en Kg. F-2111</t>
  </si>
  <si>
    <t>ANULADA F-2121</t>
  </si>
  <si>
    <t>Venta Clavos calamina en Kg. F-2122</t>
  </si>
  <si>
    <t>Venta Clavos calamina en Kg. F-2123</t>
  </si>
  <si>
    <t>Venta Clavos calamina en Kg. F-2125</t>
  </si>
  <si>
    <t>Venta Clavos calamina en Kg. F-2153</t>
  </si>
  <si>
    <t>Venta Clavos calamina en Kg. F-2154</t>
  </si>
  <si>
    <t>Venta Clavos calamina en Kg. F-2169</t>
  </si>
  <si>
    <t>Venta Clavos calamina en Kg. F-2170</t>
  </si>
  <si>
    <t>Venta Clavos calamina en Kg. F-2173</t>
  </si>
  <si>
    <t>Venta Clavos calamina en Kg. F-2176</t>
  </si>
  <si>
    <t>Venta Clavos calamina en Kg. F-2177</t>
  </si>
  <si>
    <t>Venta Clavos calamina en Kg. F-2180</t>
  </si>
  <si>
    <t>Venta Clavos calamina en Kg. F-2181</t>
  </si>
  <si>
    <t>Venta Clavos calamina en Kg. F-2184</t>
  </si>
  <si>
    <t>Venta Clavos calamina en Kg. F-2187</t>
  </si>
  <si>
    <t>Compra Clavos calamina en Kg. F-44</t>
  </si>
  <si>
    <t>Venta Clavos calamina en Kg. F-2193</t>
  </si>
  <si>
    <t>Venta Clavos calamina en Kg. F-2194</t>
  </si>
  <si>
    <t>Venta Clavos calamina en Kg. F-2196</t>
  </si>
  <si>
    <t>Venta Clavos calamina en Kg. F-2199</t>
  </si>
  <si>
    <t>Venta Clavos calamina en Kg. F-2211</t>
  </si>
  <si>
    <t>Venta Clavos calamina en Kg. F-2214</t>
  </si>
  <si>
    <t>Venta Clavos calamina en Kg. F-2219</t>
  </si>
  <si>
    <t>Venta Clavos calamina en Kg. F-2235</t>
  </si>
  <si>
    <t>Venta Clavos calamina en Kg. F-2236</t>
  </si>
  <si>
    <t>Venta Clavos calamina en Kg. F-2237</t>
  </si>
  <si>
    <t>Venta Clavos calamina en Kg. F-2239</t>
  </si>
  <si>
    <t>Venta Clavos calamina en Kg. F-2243</t>
  </si>
  <si>
    <t>Venta Clavos calamina en Kg. F-2250</t>
  </si>
  <si>
    <t>Venta Clavos calamina en Kg. F-2251</t>
  </si>
  <si>
    <t>Venta Clavos calamina en Kg. F-2252</t>
  </si>
  <si>
    <t>Venta Clavos calamina en Kg. F-2253</t>
  </si>
  <si>
    <t>Venta Clavos calamina en Kg. F-2254</t>
  </si>
  <si>
    <t>Venta Clavos calamina en Kg. F-2255</t>
  </si>
  <si>
    <t>Venta Clavos calamina en Kg. F-2259</t>
  </si>
  <si>
    <t>Venta Clavos calamina en Kg. F-2266</t>
  </si>
  <si>
    <t>Venta Clavos calamina en Kg. F-2273</t>
  </si>
  <si>
    <t>Venta Clavos calamina en Kg. F-2274</t>
  </si>
  <si>
    <t>Venta Clavos calamina en Kg. F-2275</t>
  </si>
  <si>
    <t>Venta Clavos calamina en Kg. F-2278</t>
  </si>
  <si>
    <t>Venta Clavos calamina en Kg. F-2279</t>
  </si>
  <si>
    <t>Venta Clavos calamina en Kg. F-2281</t>
  </si>
  <si>
    <t>Venta Clavos calamina en Kg. F-2283</t>
  </si>
  <si>
    <t>Venta Clavos calamina en Kg. F-2287</t>
  </si>
  <si>
    <t>Venta Clavos calamina en Kg. F-2290</t>
  </si>
  <si>
    <t>Venta Clavos calamina en Kg. F-2296</t>
  </si>
  <si>
    <t>Venta Clavos calamina en Kg. F-2301</t>
  </si>
  <si>
    <t xml:space="preserve"> ANULADA F-2302</t>
  </si>
  <si>
    <t xml:space="preserve"> ANULADA F-2304</t>
  </si>
  <si>
    <t>Venta Clavos calamina en Kg. F-2308</t>
  </si>
  <si>
    <t>Venta Clavos calamina en Kg. F-2310</t>
  </si>
  <si>
    <t>Venta Clavos calamina en Kg. F-2312</t>
  </si>
  <si>
    <t>Venta Clavos calamina en Kg. F-2315</t>
  </si>
  <si>
    <t>Venta Clavos calamina en Kg. F-2316</t>
  </si>
  <si>
    <t>Venta Clavos calamina en Kg. F-2317</t>
  </si>
  <si>
    <t>Venta Clavos calamina en Kg. F-2327</t>
  </si>
  <si>
    <t>Venta Clavos calamina en Kg. F-2328</t>
  </si>
  <si>
    <t>Venta Clavos calamina en Kg. F-2338</t>
  </si>
  <si>
    <t>Venta Clavos calamina en Kg. F-2339</t>
  </si>
  <si>
    <t>Venta Clavos calamina en Kg. F-2346</t>
  </si>
  <si>
    <t>Venta Clavos calamina en Kg. F-2354</t>
  </si>
  <si>
    <t>ANULADA Kg. F-2359</t>
  </si>
  <si>
    <t>Venta Clavos calamina en Kg. F-2360</t>
  </si>
  <si>
    <t>VALORACIÓN INVENTARIO FINAL, PERCIO DE LAS FACTURAS DE COMPRAS (ULTIMAS COMPRAS) Art..9 del D.S. 24051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</si>
</sst>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u/>
      <sz val="8"/>
      <name val="Arial"/>
      <family val="2"/>
    </font>
    <font>
      <b/>
      <sz val="6"/>
      <name val="Arial"/>
      <family val="2"/>
    </font>
    <font>
      <sz val="8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8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u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7" fontId="19" fillId="0" borderId="0" applyFont="0" applyFill="0" applyBorder="0" applyAlignment="0" applyProtection="0"/>
  </cellStyleXfs>
  <cellXfs count="239">
    <xf numFmtId="0" fontId="0" fillId="0" borderId="0" xfId="0"/>
    <xf numFmtId="0" fontId="4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2" xfId="0" applyFont="1" applyBorder="1"/>
    <xf numFmtId="0" fontId="7" fillId="0" borderId="1" xfId="0" applyFont="1" applyBorder="1"/>
    <xf numFmtId="0" fontId="7" fillId="0" borderId="0" xfId="0" applyFont="1" applyBorder="1"/>
    <xf numFmtId="0" fontId="0" fillId="0" borderId="0" xfId="0" applyBorder="1"/>
    <xf numFmtId="0" fontId="4" fillId="0" borderId="1" xfId="0" applyFont="1" applyBorder="1"/>
    <xf numFmtId="0" fontId="2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2" xfId="0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5" fillId="0" borderId="9" xfId="0" applyNumberFormat="1" applyFont="1" applyBorder="1"/>
    <xf numFmtId="0" fontId="5" fillId="0" borderId="11" xfId="0" applyFont="1" applyBorder="1"/>
    <xf numFmtId="2" fontId="5" fillId="0" borderId="14" xfId="0" applyNumberFormat="1" applyFont="1" applyFill="1" applyBorder="1"/>
    <xf numFmtId="2" fontId="5" fillId="0" borderId="14" xfId="0" applyNumberFormat="1" applyFont="1" applyBorder="1"/>
    <xf numFmtId="2" fontId="5" fillId="0" borderId="14" xfId="0" applyNumberFormat="1" applyFont="1" applyBorder="1" applyAlignment="1">
      <alignment horizontal="right" vertical="center" wrapText="1"/>
    </xf>
    <xf numFmtId="2" fontId="4" fillId="0" borderId="14" xfId="0" applyNumberFormat="1" applyFont="1" applyBorder="1"/>
    <xf numFmtId="2" fontId="6" fillId="0" borderId="14" xfId="0" applyNumberFormat="1" applyFont="1" applyBorder="1"/>
    <xf numFmtId="0" fontId="4" fillId="0" borderId="2" xfId="0" applyFont="1" applyBorder="1"/>
    <xf numFmtId="14" fontId="3" fillId="0" borderId="9" xfId="0" applyNumberFormat="1" applyFont="1" applyBorder="1"/>
    <xf numFmtId="0" fontId="3" fillId="0" borderId="14" xfId="0" applyFont="1" applyBorder="1"/>
    <xf numFmtId="2" fontId="3" fillId="0" borderId="14" xfId="0" applyNumberFormat="1" applyFont="1" applyBorder="1"/>
    <xf numFmtId="0" fontId="3" fillId="0" borderId="15" xfId="0" applyFont="1" applyBorder="1"/>
    <xf numFmtId="2" fontId="9" fillId="0" borderId="0" xfId="0" applyNumberFormat="1" applyFont="1"/>
    <xf numFmtId="14" fontId="9" fillId="0" borderId="0" xfId="0" applyNumberFormat="1" applyFont="1"/>
    <xf numFmtId="0" fontId="1" fillId="0" borderId="0" xfId="0" applyFont="1"/>
    <xf numFmtId="14" fontId="9" fillId="0" borderId="16" xfId="0" applyNumberFormat="1" applyFont="1" applyBorder="1"/>
    <xf numFmtId="0" fontId="9" fillId="0" borderId="14" xfId="0" applyFont="1" applyBorder="1"/>
    <xf numFmtId="2" fontId="9" fillId="0" borderId="14" xfId="0" applyNumberFormat="1" applyFont="1" applyBorder="1"/>
    <xf numFmtId="2" fontId="1" fillId="0" borderId="0" xfId="0" applyNumberFormat="1" applyFont="1"/>
    <xf numFmtId="2" fontId="5" fillId="0" borderId="14" xfId="0" applyNumberFormat="1" applyFont="1" applyBorder="1" applyAlignment="1">
      <alignment horizontal="right"/>
    </xf>
    <xf numFmtId="2" fontId="5" fillId="2" borderId="14" xfId="0" applyNumberFormat="1" applyFont="1" applyFill="1" applyBorder="1"/>
    <xf numFmtId="0" fontId="11" fillId="0" borderId="15" xfId="0" applyFont="1" applyBorder="1"/>
    <xf numFmtId="0" fontId="10" fillId="0" borderId="0" xfId="0" applyFont="1"/>
    <xf numFmtId="0" fontId="12" fillId="0" borderId="0" xfId="0" applyFont="1"/>
    <xf numFmtId="14" fontId="11" fillId="0" borderId="9" xfId="0" applyNumberFormat="1" applyFont="1" applyBorder="1"/>
    <xf numFmtId="2" fontId="11" fillId="0" borderId="11" xfId="0" applyNumberFormat="1" applyFont="1" applyBorder="1"/>
    <xf numFmtId="2" fontId="11" fillId="0" borderId="14" xfId="0" applyNumberFormat="1" applyFont="1" applyBorder="1"/>
    <xf numFmtId="0" fontId="4" fillId="0" borderId="17" xfId="0" applyFont="1" applyBorder="1"/>
    <xf numFmtId="0" fontId="11" fillId="0" borderId="18" xfId="0" applyFont="1" applyFill="1" applyBorder="1"/>
    <xf numFmtId="2" fontId="4" fillId="0" borderId="18" xfId="0" applyNumberFormat="1" applyFont="1" applyBorder="1"/>
    <xf numFmtId="0" fontId="4" fillId="0" borderId="18" xfId="0" applyFont="1" applyBorder="1"/>
    <xf numFmtId="0" fontId="4" fillId="0" borderId="19" xfId="0" applyFont="1" applyBorder="1"/>
    <xf numFmtId="2" fontId="4" fillId="0" borderId="0" xfId="0" applyNumberFormat="1" applyFont="1"/>
    <xf numFmtId="2" fontId="0" fillId="0" borderId="0" xfId="0" applyNumberFormat="1"/>
    <xf numFmtId="14" fontId="4" fillId="0" borderId="0" xfId="0" applyNumberFormat="1" applyFont="1" applyBorder="1"/>
    <xf numFmtId="4" fontId="4" fillId="0" borderId="0" xfId="0" applyNumberFormat="1" applyFont="1"/>
    <xf numFmtId="4" fontId="4" fillId="0" borderId="3" xfId="0" applyNumberFormat="1" applyFont="1" applyBorder="1"/>
    <xf numFmtId="4" fontId="4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22" xfId="0" applyFont="1" applyBorder="1"/>
    <xf numFmtId="0" fontId="4" fillId="0" borderId="22" xfId="0" applyFont="1" applyBorder="1"/>
    <xf numFmtId="0" fontId="5" fillId="0" borderId="22" xfId="0" applyFont="1" applyBorder="1"/>
    <xf numFmtId="0" fontId="6" fillId="0" borderId="23" xfId="0" applyFont="1" applyBorder="1"/>
    <xf numFmtId="0" fontId="5" fillId="2" borderId="14" xfId="0" applyFont="1" applyFill="1" applyBorder="1"/>
    <xf numFmtId="0" fontId="5" fillId="0" borderId="14" xfId="0" applyFont="1" applyBorder="1"/>
    <xf numFmtId="0" fontId="13" fillId="0" borderId="14" xfId="0" applyFont="1" applyBorder="1"/>
    <xf numFmtId="0" fontId="5" fillId="0" borderId="15" xfId="0" applyFont="1" applyBorder="1"/>
    <xf numFmtId="0" fontId="14" fillId="0" borderId="0" xfId="0" applyFont="1"/>
    <xf numFmtId="14" fontId="13" fillId="0" borderId="16" xfId="0" applyNumberFormat="1" applyFont="1" applyBorder="1"/>
    <xf numFmtId="2" fontId="5" fillId="0" borderId="11" xfId="0" applyNumberFormat="1" applyFont="1" applyBorder="1"/>
    <xf numFmtId="2" fontId="13" fillId="0" borderId="14" xfId="0" applyNumberFormat="1" applyFont="1" applyBorder="1"/>
    <xf numFmtId="14" fontId="5" fillId="0" borderId="14" xfId="0" applyNumberFormat="1" applyFont="1" applyBorder="1"/>
    <xf numFmtId="14" fontId="13" fillId="0" borderId="14" xfId="0" applyNumberFormat="1" applyFont="1" applyBorder="1"/>
    <xf numFmtId="2" fontId="13" fillId="0" borderId="24" xfId="0" applyNumberFormat="1" applyFont="1" applyBorder="1"/>
    <xf numFmtId="2" fontId="5" fillId="0" borderId="24" xfId="0" applyNumberFormat="1" applyFont="1" applyBorder="1" applyAlignment="1">
      <alignment horizontal="right"/>
    </xf>
    <xf numFmtId="2" fontId="5" fillId="2" borderId="24" xfId="0" applyNumberFormat="1" applyFont="1" applyFill="1" applyBorder="1"/>
    <xf numFmtId="2" fontId="5" fillId="0" borderId="24" xfId="0" applyNumberFormat="1" applyFont="1" applyBorder="1"/>
    <xf numFmtId="0" fontId="13" fillId="0" borderId="13" xfId="0" applyFont="1" applyBorder="1"/>
    <xf numFmtId="0" fontId="13" fillId="0" borderId="24" xfId="0" applyFont="1" applyBorder="1"/>
    <xf numFmtId="14" fontId="13" fillId="0" borderId="4" xfId="0" applyNumberFormat="1" applyFont="1" applyBorder="1"/>
    <xf numFmtId="0" fontId="3" fillId="2" borderId="14" xfId="0" applyFont="1" applyFill="1" applyBorder="1"/>
    <xf numFmtId="2" fontId="3" fillId="0" borderId="14" xfId="0" applyNumberFormat="1" applyFont="1" applyBorder="1" applyAlignment="1">
      <alignment horizontal="right"/>
    </xf>
    <xf numFmtId="2" fontId="3" fillId="2" borderId="14" xfId="0" applyNumberFormat="1" applyFont="1" applyFill="1" applyBorder="1"/>
    <xf numFmtId="2" fontId="3" fillId="0" borderId="11" xfId="0" applyNumberFormat="1" applyFont="1" applyBorder="1"/>
    <xf numFmtId="14" fontId="9" fillId="0" borderId="14" xfId="0" applyNumberFormat="1" applyFont="1" applyBorder="1"/>
    <xf numFmtId="0" fontId="1" fillId="0" borderId="0" xfId="0" applyFont="1" applyBorder="1"/>
    <xf numFmtId="0" fontId="14" fillId="0" borderId="0" xfId="0" applyFont="1" applyBorder="1"/>
    <xf numFmtId="0" fontId="4" fillId="0" borderId="14" xfId="0" applyFont="1" applyBorder="1"/>
    <xf numFmtId="14" fontId="4" fillId="0" borderId="14" xfId="0" applyNumberFormat="1" applyFont="1" applyBorder="1"/>
    <xf numFmtId="14" fontId="9" fillId="0" borderId="4" xfId="0" applyNumberFormat="1" applyFont="1" applyBorder="1"/>
    <xf numFmtId="0" fontId="3" fillId="0" borderId="24" xfId="0" applyFont="1" applyBorder="1"/>
    <xf numFmtId="2" fontId="9" fillId="0" borderId="24" xfId="0" applyNumberFormat="1" applyFont="1" applyBorder="1"/>
    <xf numFmtId="2" fontId="13" fillId="0" borderId="0" xfId="0" applyNumberFormat="1" applyFont="1"/>
    <xf numFmtId="14" fontId="13" fillId="0" borderId="0" xfId="0" applyNumberFormat="1" applyFont="1"/>
    <xf numFmtId="0" fontId="13" fillId="0" borderId="0" xfId="0" applyFont="1"/>
    <xf numFmtId="0" fontId="0" fillId="0" borderId="14" xfId="0" applyBorder="1"/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3" fontId="2" fillId="2" borderId="27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/>
    </xf>
    <xf numFmtId="4" fontId="2" fillId="2" borderId="27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14" fontId="3" fillId="0" borderId="14" xfId="0" applyNumberFormat="1" applyFont="1" applyBorder="1"/>
    <xf numFmtId="14" fontId="13" fillId="0" borderId="0" xfId="0" applyNumberFormat="1" applyFont="1" applyBorder="1"/>
    <xf numFmtId="2" fontId="13" fillId="0" borderId="0" xfId="0" applyNumberFormat="1" applyFont="1" applyBorder="1"/>
    <xf numFmtId="2" fontId="5" fillId="0" borderId="0" xfId="0" applyNumberFormat="1" applyFont="1" applyBorder="1" applyAlignment="1">
      <alignment horizontal="right"/>
    </xf>
    <xf numFmtId="2" fontId="5" fillId="2" borderId="0" xfId="0" applyNumberFormat="1" applyFont="1" applyFill="1" applyBorder="1"/>
    <xf numFmtId="2" fontId="5" fillId="0" borderId="0" xfId="0" applyNumberFormat="1" applyFont="1" applyBorder="1"/>
    <xf numFmtId="0" fontId="13" fillId="0" borderId="0" xfId="0" applyFont="1" applyBorder="1"/>
    <xf numFmtId="0" fontId="9" fillId="0" borderId="0" xfId="0" applyFont="1"/>
    <xf numFmtId="2" fontId="9" fillId="0" borderId="3" xfId="0" applyNumberFormat="1" applyFont="1" applyBorder="1"/>
    <xf numFmtId="2" fontId="9" fillId="0" borderId="0" xfId="0" applyNumberFormat="1" applyFont="1" applyBorder="1"/>
    <xf numFmtId="0" fontId="9" fillId="0" borderId="0" xfId="0" applyFont="1" applyBorder="1"/>
    <xf numFmtId="14" fontId="9" fillId="0" borderId="0" xfId="0" applyNumberFormat="1" applyFont="1" applyBorder="1"/>
    <xf numFmtId="0" fontId="2" fillId="0" borderId="29" xfId="0" applyFont="1" applyBorder="1"/>
    <xf numFmtId="0" fontId="2" fillId="0" borderId="30" xfId="0" applyFont="1" applyBorder="1"/>
    <xf numFmtId="0" fontId="0" fillId="0" borderId="30" xfId="0" applyBorder="1"/>
    <xf numFmtId="0" fontId="15" fillId="0" borderId="30" xfId="0" applyFont="1" applyBorder="1"/>
    <xf numFmtId="0" fontId="0" fillId="0" borderId="31" xfId="0" applyBorder="1"/>
    <xf numFmtId="0" fontId="15" fillId="0" borderId="0" xfId="0" applyFont="1" applyBorder="1"/>
    <xf numFmtId="0" fontId="0" fillId="0" borderId="1" xfId="0" applyBorder="1"/>
    <xf numFmtId="0" fontId="17" fillId="0" borderId="0" xfId="0" applyFont="1" applyBorder="1" applyAlignment="1">
      <alignment horizontal="center"/>
    </xf>
    <xf numFmtId="0" fontId="0" fillId="0" borderId="21" xfId="0" applyBorder="1"/>
    <xf numFmtId="0" fontId="0" fillId="0" borderId="24" xfId="0" applyBorder="1"/>
    <xf numFmtId="0" fontId="0" fillId="0" borderId="34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0" xfId="0" applyBorder="1"/>
    <xf numFmtId="0" fontId="0" fillId="0" borderId="35" xfId="0" applyBorder="1"/>
    <xf numFmtId="14" fontId="0" fillId="0" borderId="16" xfId="0" applyNumberFormat="1" applyBorder="1"/>
    <xf numFmtId="2" fontId="0" fillId="0" borderId="14" xfId="0" applyNumberFormat="1" applyBorder="1"/>
    <xf numFmtId="2" fontId="0" fillId="0" borderId="0" xfId="0" applyNumberFormat="1" applyBorder="1"/>
    <xf numFmtId="2" fontId="0" fillId="0" borderId="14" xfId="0" applyNumberFormat="1" applyFill="1" applyBorder="1"/>
    <xf numFmtId="2" fontId="0" fillId="0" borderId="15" xfId="0" applyNumberFormat="1" applyBorder="1"/>
    <xf numFmtId="14" fontId="0" fillId="0" borderId="16" xfId="0" applyNumberFormat="1" applyFont="1" applyBorder="1"/>
    <xf numFmtId="0" fontId="0" fillId="0" borderId="14" xfId="0" applyFont="1" applyBorder="1"/>
    <xf numFmtId="2" fontId="0" fillId="0" borderId="14" xfId="0" applyNumberFormat="1" applyFont="1" applyBorder="1"/>
    <xf numFmtId="2" fontId="0" fillId="0" borderId="15" xfId="0" applyNumberFormat="1" applyFont="1" applyBorder="1"/>
    <xf numFmtId="14" fontId="0" fillId="0" borderId="17" xfId="0" applyNumberFormat="1" applyFont="1" applyBorder="1"/>
    <xf numFmtId="0" fontId="0" fillId="0" borderId="18" xfId="0" applyFont="1" applyBorder="1"/>
    <xf numFmtId="2" fontId="0" fillId="0" borderId="18" xfId="0" applyNumberFormat="1" applyFont="1" applyBorder="1"/>
    <xf numFmtId="2" fontId="0" fillId="0" borderId="19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2" fontId="0" fillId="0" borderId="0" xfId="0" applyNumberFormat="1" applyFont="1" applyBorder="1"/>
    <xf numFmtId="0" fontId="18" fillId="0" borderId="14" xfId="0" applyFont="1" applyBorder="1"/>
    <xf numFmtId="4" fontId="0" fillId="0" borderId="0" xfId="0" applyNumberFormat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0" xfId="0" applyFont="1" applyBorder="1"/>
    <xf numFmtId="0" fontId="4" fillId="0" borderId="31" xfId="0" applyFont="1" applyBorder="1"/>
    <xf numFmtId="0" fontId="4" fillId="0" borderId="0" xfId="0" applyFont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Border="1"/>
    <xf numFmtId="0" fontId="4" fillId="0" borderId="1" xfId="0" applyFont="1" applyBorder="1"/>
    <xf numFmtId="0" fontId="4" fillId="0" borderId="21" xfId="0" applyFont="1" applyBorder="1"/>
    <xf numFmtId="0" fontId="4" fillId="0" borderId="24" xfId="0" applyFont="1" applyBorder="1"/>
    <xf numFmtId="0" fontId="4" fillId="0" borderId="34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35" xfId="0" applyFont="1" applyBorder="1"/>
    <xf numFmtId="14" fontId="4" fillId="0" borderId="16" xfId="0" applyNumberFormat="1" applyFont="1" applyBorder="1"/>
    <xf numFmtId="0" fontId="4" fillId="0" borderId="14" xfId="0" applyFont="1" applyBorder="1"/>
    <xf numFmtId="2" fontId="13" fillId="0" borderId="14" xfId="0" applyNumberFormat="1" applyFont="1" applyBorder="1"/>
    <xf numFmtId="2" fontId="4" fillId="0" borderId="15" xfId="0" applyNumberFormat="1" applyFont="1" applyBorder="1"/>
    <xf numFmtId="2" fontId="9" fillId="0" borderId="0" xfId="0" applyNumberFormat="1" applyFont="1"/>
    <xf numFmtId="167" fontId="4" fillId="0" borderId="0" xfId="0" applyNumberFormat="1" applyFont="1"/>
    <xf numFmtId="0" fontId="4" fillId="0" borderId="0" xfId="0" applyFont="1" applyFill="1"/>
    <xf numFmtId="2" fontId="4" fillId="0" borderId="14" xfId="0" applyNumberFormat="1" applyFont="1" applyBorder="1"/>
    <xf numFmtId="14" fontId="9" fillId="0" borderId="16" xfId="0" applyNumberFormat="1" applyFont="1" applyBorder="1"/>
    <xf numFmtId="2" fontId="9" fillId="0" borderId="14" xfId="0" applyNumberFormat="1" applyFont="1" applyBorder="1"/>
    <xf numFmtId="14" fontId="9" fillId="0" borderId="0" xfId="0" applyNumberFormat="1" applyFont="1"/>
    <xf numFmtId="14" fontId="13" fillId="0" borderId="16" xfId="0" applyNumberFormat="1" applyFont="1" applyBorder="1"/>
    <xf numFmtId="0" fontId="13" fillId="0" borderId="14" xfId="0" applyFont="1" applyBorder="1"/>
    <xf numFmtId="0" fontId="9" fillId="0" borderId="0" xfId="0" applyFont="1"/>
    <xf numFmtId="14" fontId="13" fillId="0" borderId="14" xfId="0" applyNumberFormat="1" applyFont="1" applyBorder="1"/>
    <xf numFmtId="14" fontId="4" fillId="0" borderId="14" xfId="0" applyNumberFormat="1" applyFont="1" applyBorder="1"/>
    <xf numFmtId="14" fontId="9" fillId="0" borderId="14" xfId="0" applyNumberFormat="1" applyFont="1" applyBorder="1"/>
    <xf numFmtId="2" fontId="13" fillId="0" borderId="14" xfId="0" applyNumberFormat="1" applyFont="1" applyFill="1" applyBorder="1"/>
    <xf numFmtId="2" fontId="13" fillId="0" borderId="0" xfId="0" applyNumberFormat="1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2" fontId="13" fillId="0" borderId="15" xfId="0" applyNumberFormat="1" applyFont="1" applyBorder="1"/>
    <xf numFmtId="2" fontId="4" fillId="0" borderId="20" xfId="0" applyNumberFormat="1" applyFont="1" applyBorder="1"/>
    <xf numFmtId="14" fontId="4" fillId="0" borderId="0" xfId="0" applyNumberFormat="1" applyFont="1" applyBorder="1"/>
    <xf numFmtId="0" fontId="14" fillId="0" borderId="0" xfId="0" applyFont="1" applyBorder="1"/>
    <xf numFmtId="0" fontId="5" fillId="0" borderId="30" xfId="0" applyFont="1" applyBorder="1"/>
    <xf numFmtId="2" fontId="1" fillId="0" borderId="0" xfId="0" applyNumberFormat="1" applyFont="1"/>
    <xf numFmtId="0" fontId="9" fillId="0" borderId="14" xfId="0" applyFont="1" applyBorder="1"/>
    <xf numFmtId="2" fontId="9" fillId="0" borderId="15" xfId="0" applyNumberFormat="1" applyFont="1" applyBorder="1"/>
    <xf numFmtId="2" fontId="14" fillId="0" borderId="14" xfId="0" applyNumberFormat="1" applyFont="1" applyBorder="1"/>
    <xf numFmtId="14" fontId="13" fillId="0" borderId="16" xfId="0" applyNumberFormat="1" applyFont="1" applyFill="1" applyBorder="1"/>
    <xf numFmtId="2" fontId="13" fillId="0" borderId="0" xfId="0" applyNumberFormat="1" applyFont="1" applyFill="1"/>
    <xf numFmtId="14" fontId="13" fillId="0" borderId="0" xfId="0" applyNumberFormat="1" applyFont="1" applyFill="1"/>
    <xf numFmtId="0" fontId="0" fillId="0" borderId="0" xfId="0" applyFont="1"/>
    <xf numFmtId="0" fontId="5" fillId="0" borderId="29" xfId="0" applyFont="1" applyBorder="1"/>
    <xf numFmtId="0" fontId="5" fillId="0" borderId="1" xfId="0" applyFont="1" applyBorder="1"/>
    <xf numFmtId="0" fontId="20" fillId="0" borderId="1" xfId="0" applyFont="1" applyBorder="1"/>
    <xf numFmtId="0" fontId="20" fillId="0" borderId="0" xfId="0" applyFont="1" applyBorder="1"/>
    <xf numFmtId="0" fontId="20" fillId="0" borderId="0" xfId="0" applyFont="1" applyBorder="1" applyAlignment="1"/>
    <xf numFmtId="0" fontId="0" fillId="0" borderId="14" xfId="0" applyFont="1" applyBorder="1"/>
    <xf numFmtId="0" fontId="0" fillId="0" borderId="0" xfId="0" applyFont="1" applyBorder="1"/>
    <xf numFmtId="167" fontId="0" fillId="0" borderId="0" xfId="0" applyNumberFormat="1" applyFont="1"/>
    <xf numFmtId="4" fontId="0" fillId="0" borderId="0" xfId="0" applyNumberFormat="1" applyFont="1"/>
    <xf numFmtId="4" fontId="0" fillId="0" borderId="3" xfId="0" applyNumberFormat="1" applyFont="1" applyBorder="1"/>
    <xf numFmtId="4" fontId="0" fillId="0" borderId="20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3" xfId="0" applyFont="1" applyBorder="1" applyAlignment="1">
      <alignment horizontal="center"/>
    </xf>
  </cellXfs>
  <cellStyles count="2">
    <cellStyle name="Millares 2" xfId="1" xr:uid="{235C7C6D-E148-4DFC-B334-DB2B8C56B677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ocuments/Diplomado/Proyecto/Datos/Datos%20TC/Inventarios/Fernandez/INVENTARIO%20FISCA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N42"/>
  <sheetViews>
    <sheetView topLeftCell="C21" workbookViewId="0">
      <selection activeCell="H34" sqref="H34"/>
    </sheetView>
  </sheetViews>
  <sheetFormatPr baseColWidth="10" defaultRowHeight="14.5" x14ac:dyDescent="0.35"/>
  <cols>
    <col min="2" max="2" width="36.1796875" customWidth="1"/>
    <col min="12" max="12" width="10.1796875" customWidth="1"/>
    <col min="13" max="13" width="9.08984375" customWidth="1"/>
    <col min="14" max="14" width="9.179687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  <c r="L1" s="1"/>
      <c r="M1" s="1"/>
      <c r="N1" s="1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27</v>
      </c>
      <c r="I2" s="4"/>
      <c r="J2" s="4"/>
      <c r="K2" s="6"/>
      <c r="L2" s="1"/>
      <c r="M2" s="1"/>
      <c r="N2" s="1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  <c r="L3" s="1"/>
      <c r="M3" s="1"/>
      <c r="N3" s="1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  <c r="L4" s="1"/>
      <c r="M4" s="1"/>
      <c r="N4" s="1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  <c r="L5" s="1"/>
      <c r="M5" s="1"/>
      <c r="N5" s="1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  <c r="L6" s="1"/>
      <c r="M6" s="1"/>
      <c r="N6" s="1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  <c r="L7" s="1"/>
      <c r="M7" s="1"/>
      <c r="N7" s="1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  <c r="L8" s="1"/>
      <c r="M8" s="1"/>
      <c r="N8" s="1"/>
    </row>
    <row r="9" spans="1:14" x14ac:dyDescent="0.35">
      <c r="A9" s="23">
        <v>43467</v>
      </c>
      <c r="B9" s="24" t="s">
        <v>22</v>
      </c>
      <c r="D9" s="26"/>
      <c r="E9" s="25" t="e">
        <f>+#REF!</f>
        <v>#REF!</v>
      </c>
      <c r="F9" s="26" t="e">
        <f>+H9/E9</f>
        <v>#REF!</v>
      </c>
      <c r="G9" s="26"/>
      <c r="H9" s="28" t="e">
        <f>+#REF!</f>
        <v>#REF!</v>
      </c>
      <c r="I9" s="29"/>
      <c r="J9" s="29" t="e">
        <f>+H9</f>
        <v>#REF!</v>
      </c>
      <c r="K9" s="30"/>
      <c r="L9" s="1"/>
      <c r="M9" s="1"/>
      <c r="N9" s="1"/>
    </row>
    <row r="10" spans="1:14" s="37" customFormat="1" x14ac:dyDescent="0.35">
      <c r="A10" s="31">
        <v>43573</v>
      </c>
      <c r="B10" s="84" t="s">
        <v>302</v>
      </c>
      <c r="C10" s="33"/>
      <c r="D10" s="33">
        <f>13*6+10*5</f>
        <v>128</v>
      </c>
      <c r="E10" s="85" t="e">
        <f>+E9-D10</f>
        <v>#REF!</v>
      </c>
      <c r="F10" s="86"/>
      <c r="G10" s="33" t="e">
        <f>+J9/E9</f>
        <v>#REF!</v>
      </c>
      <c r="H10" s="86"/>
      <c r="I10" s="33" t="e">
        <f>+D10*G10</f>
        <v>#REF!</v>
      </c>
      <c r="J10" s="33" t="e">
        <f>+J9-I10</f>
        <v>#REF!</v>
      </c>
      <c r="K10" s="34"/>
      <c r="L10" s="35" t="e">
        <f>SUM(I10)</f>
        <v>#REF!</v>
      </c>
      <c r="M10" s="35" t="e">
        <f>SUM(L10)</f>
        <v>#REF!</v>
      </c>
      <c r="N10" s="36">
        <v>43585</v>
      </c>
    </row>
    <row r="11" spans="1:14" s="37" customFormat="1" x14ac:dyDescent="0.35">
      <c r="A11" s="31">
        <v>43596</v>
      </c>
      <c r="B11" s="84" t="s">
        <v>342</v>
      </c>
      <c r="C11" s="33"/>
      <c r="D11" s="33">
        <f>5*2.5</f>
        <v>12.5</v>
      </c>
      <c r="E11" s="85" t="e">
        <f t="shared" ref="E11:E25" si="0">+E10-D11</f>
        <v>#REF!</v>
      </c>
      <c r="F11" s="86"/>
      <c r="G11" s="33" t="e">
        <f t="shared" ref="G11:G25" si="1">+J10/E10</f>
        <v>#REF!</v>
      </c>
      <c r="H11" s="86"/>
      <c r="I11" s="33" t="e">
        <f t="shared" ref="I11:I25" si="2">+D11*G11</f>
        <v>#REF!</v>
      </c>
      <c r="J11" s="33" t="e">
        <f t="shared" ref="J11:J25" si="3">+J10-I11</f>
        <v>#REF!</v>
      </c>
      <c r="K11" s="34"/>
      <c r="L11" s="35" t="e">
        <f>SUM(I11)</f>
        <v>#REF!</v>
      </c>
      <c r="M11" s="35"/>
      <c r="N11" s="36">
        <v>43600</v>
      </c>
    </row>
    <row r="12" spans="1:14" s="37" customFormat="1" x14ac:dyDescent="0.35">
      <c r="A12" s="31">
        <v>43612</v>
      </c>
      <c r="B12" s="84" t="s">
        <v>367</v>
      </c>
      <c r="C12" s="33"/>
      <c r="D12" s="33">
        <f>3*1.8</f>
        <v>5.4</v>
      </c>
      <c r="E12" s="85" t="e">
        <f t="shared" si="0"/>
        <v>#REF!</v>
      </c>
      <c r="F12" s="86"/>
      <c r="G12" s="33" t="e">
        <f t="shared" si="1"/>
        <v>#REF!</v>
      </c>
      <c r="H12" s="86"/>
      <c r="I12" s="33" t="e">
        <f t="shared" si="2"/>
        <v>#REF!</v>
      </c>
      <c r="J12" s="33" t="e">
        <f t="shared" si="3"/>
        <v>#REF!</v>
      </c>
      <c r="K12" s="34"/>
      <c r="L12" s="35" t="e">
        <f>SUM(I12)</f>
        <v>#REF!</v>
      </c>
      <c r="M12" s="35" t="e">
        <f>SUM(L11:L12)</f>
        <v>#REF!</v>
      </c>
      <c r="N12" s="36">
        <v>43616</v>
      </c>
    </row>
    <row r="13" spans="1:14" s="37" customFormat="1" x14ac:dyDescent="0.35">
      <c r="A13" s="31">
        <v>43669</v>
      </c>
      <c r="B13" s="84" t="s">
        <v>484</v>
      </c>
      <c r="C13" s="33"/>
      <c r="D13" s="33">
        <f>30*3.5+5*3+14</f>
        <v>134</v>
      </c>
      <c r="E13" s="85" t="e">
        <f t="shared" si="0"/>
        <v>#REF!</v>
      </c>
      <c r="F13" s="86"/>
      <c r="G13" s="33" t="e">
        <f t="shared" si="1"/>
        <v>#REF!</v>
      </c>
      <c r="H13" s="86"/>
      <c r="I13" s="33" t="e">
        <f t="shared" si="2"/>
        <v>#REF!</v>
      </c>
      <c r="J13" s="33" t="e">
        <f t="shared" si="3"/>
        <v>#REF!</v>
      </c>
      <c r="K13" s="34"/>
      <c r="L13" s="35" t="e">
        <f>SUM(I13)</f>
        <v>#REF!</v>
      </c>
      <c r="M13" s="35" t="e">
        <f>SUM(L13)</f>
        <v>#REF!</v>
      </c>
      <c r="N13" s="36">
        <v>43677</v>
      </c>
    </row>
    <row r="14" spans="1:14" s="37" customFormat="1" x14ac:dyDescent="0.35">
      <c r="A14" s="72">
        <v>43712</v>
      </c>
      <c r="B14" s="67" t="s">
        <v>568</v>
      </c>
      <c r="C14" s="39"/>
      <c r="D14" s="40">
        <f>17*5.25</f>
        <v>89.25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34"/>
      <c r="L14" s="35"/>
      <c r="M14" s="35"/>
      <c r="N14" s="36"/>
    </row>
    <row r="15" spans="1:14" s="37" customFormat="1" x14ac:dyDescent="0.35">
      <c r="A15" s="38">
        <v>43718</v>
      </c>
      <c r="B15" s="84" t="s">
        <v>583</v>
      </c>
      <c r="C15" s="39"/>
      <c r="D15" s="40">
        <f>2*2.18+2*2.2</f>
        <v>8.7600000000000016</v>
      </c>
      <c r="E15" s="85" t="e">
        <f t="shared" si="0"/>
        <v>#REF!</v>
      </c>
      <c r="F15" s="86"/>
      <c r="G15" s="33" t="e">
        <f t="shared" si="1"/>
        <v>#REF!</v>
      </c>
      <c r="H15" s="86"/>
      <c r="I15" s="33" t="e">
        <f t="shared" si="2"/>
        <v>#REF!</v>
      </c>
      <c r="J15" s="33" t="e">
        <f t="shared" si="3"/>
        <v>#REF!</v>
      </c>
      <c r="K15" s="34"/>
      <c r="L15" s="35" t="e">
        <f>SUM(I14:I15)</f>
        <v>#REF!</v>
      </c>
      <c r="M15" s="41"/>
      <c r="N15" s="36">
        <v>43723</v>
      </c>
    </row>
    <row r="16" spans="1:14" s="71" customFormat="1" x14ac:dyDescent="0.35">
      <c r="A16" s="72">
        <v>43728</v>
      </c>
      <c r="B16" s="67" t="s">
        <v>599</v>
      </c>
      <c r="C16" s="69"/>
      <c r="D16" s="74">
        <v>0</v>
      </c>
      <c r="E16" s="42" t="e">
        <f t="shared" si="0"/>
        <v>#REF!</v>
      </c>
      <c r="F16" s="43"/>
      <c r="G16" s="26" t="e">
        <f t="shared" si="1"/>
        <v>#REF!</v>
      </c>
      <c r="H16" s="43"/>
      <c r="I16" s="26" t="e">
        <f t="shared" si="2"/>
        <v>#REF!</v>
      </c>
      <c r="J16" s="33" t="e">
        <f t="shared" si="3"/>
        <v>#REF!</v>
      </c>
      <c r="K16" s="70"/>
      <c r="L16" s="96"/>
      <c r="M16" s="96"/>
      <c r="N16" s="97"/>
    </row>
    <row r="17" spans="1:14" s="71" customFormat="1" x14ac:dyDescent="0.35">
      <c r="A17" s="72">
        <v>43728</v>
      </c>
      <c r="B17" s="67" t="s">
        <v>600</v>
      </c>
      <c r="C17" s="69"/>
      <c r="D17" s="74">
        <f>147*6.22+20*6.45+27</f>
        <v>1070.3399999999999</v>
      </c>
      <c r="E17" s="42" t="e">
        <f t="shared" si="0"/>
        <v>#REF!</v>
      </c>
      <c r="F17" s="43"/>
      <c r="G17" s="26" t="e">
        <f t="shared" si="1"/>
        <v>#REF!</v>
      </c>
      <c r="H17" s="43"/>
      <c r="I17" s="26" t="e">
        <f t="shared" si="2"/>
        <v>#REF!</v>
      </c>
      <c r="J17" s="26" t="e">
        <f t="shared" si="3"/>
        <v>#REF!</v>
      </c>
      <c r="K17" s="70"/>
      <c r="L17" s="96"/>
      <c r="M17" s="98"/>
      <c r="N17" s="97"/>
    </row>
    <row r="18" spans="1:14" s="37" customFormat="1" x14ac:dyDescent="0.35">
      <c r="A18" s="38">
        <v>43731</v>
      </c>
      <c r="B18" s="84" t="s">
        <v>610</v>
      </c>
      <c r="C18" s="39"/>
      <c r="D18" s="40">
        <v>142.80000000000001</v>
      </c>
      <c r="E18" s="85" t="e">
        <f t="shared" si="0"/>
        <v>#REF!</v>
      </c>
      <c r="F18" s="86"/>
      <c r="G18" s="33" t="e">
        <f t="shared" si="1"/>
        <v>#REF!</v>
      </c>
      <c r="H18" s="86"/>
      <c r="I18" s="33" t="e">
        <f t="shared" si="2"/>
        <v>#REF!</v>
      </c>
      <c r="J18" s="33" t="e">
        <f t="shared" si="3"/>
        <v>#REF!</v>
      </c>
      <c r="K18" s="34"/>
      <c r="L18" s="35" t="e">
        <f>SUM(I16:I18)</f>
        <v>#REF!</v>
      </c>
      <c r="M18" s="35" t="e">
        <f>SUM(L15:L18)</f>
        <v>#REF!</v>
      </c>
      <c r="N18" s="36">
        <v>43738</v>
      </c>
    </row>
    <row r="19" spans="1:14" s="46" customFormat="1" x14ac:dyDescent="0.35">
      <c r="A19" s="47">
        <v>43741</v>
      </c>
      <c r="B19" s="67" t="s">
        <v>635</v>
      </c>
      <c r="C19" s="48"/>
      <c r="D19" s="48">
        <f>3*1.5</f>
        <v>4.5</v>
      </c>
      <c r="E19" s="42" t="e">
        <f t="shared" si="0"/>
        <v>#REF!</v>
      </c>
      <c r="F19" s="43"/>
      <c r="G19" s="26" t="e">
        <f t="shared" si="1"/>
        <v>#REF!</v>
      </c>
      <c r="H19" s="43"/>
      <c r="I19" s="26" t="e">
        <f t="shared" si="2"/>
        <v>#REF!</v>
      </c>
      <c r="J19" s="26" t="e">
        <f t="shared" si="3"/>
        <v>#REF!</v>
      </c>
      <c r="K19" s="44"/>
      <c r="L19" s="45"/>
      <c r="M19" s="45"/>
      <c r="N19" s="45"/>
    </row>
    <row r="20" spans="1:14" s="37" customFormat="1" x14ac:dyDescent="0.35">
      <c r="A20" s="23">
        <v>43742</v>
      </c>
      <c r="B20" s="67" t="s">
        <v>639</v>
      </c>
      <c r="C20" s="33"/>
      <c r="D20" s="26">
        <f>2*0.8+1</f>
        <v>2.6</v>
      </c>
      <c r="E20" s="42" t="e">
        <f t="shared" si="0"/>
        <v>#REF!</v>
      </c>
      <c r="F20" s="43"/>
      <c r="G20" s="26" t="e">
        <f t="shared" si="1"/>
        <v>#REF!</v>
      </c>
      <c r="H20" s="43"/>
      <c r="I20" s="26" t="e">
        <f t="shared" si="2"/>
        <v>#REF!</v>
      </c>
      <c r="J20" s="26" t="e">
        <f t="shared" si="3"/>
        <v>#REF!</v>
      </c>
      <c r="K20" s="34"/>
      <c r="L20" s="35"/>
      <c r="M20" s="35"/>
      <c r="N20" s="36"/>
    </row>
    <row r="21" spans="1:14" s="37" customFormat="1" x14ac:dyDescent="0.35">
      <c r="A21" s="31">
        <v>43745</v>
      </c>
      <c r="B21" s="84" t="s">
        <v>648</v>
      </c>
      <c r="C21" s="33"/>
      <c r="D21" s="33">
        <f>10*5.2+10*1.5+4*2.8</f>
        <v>78.2</v>
      </c>
      <c r="E21" s="85" t="e">
        <f t="shared" si="0"/>
        <v>#REF!</v>
      </c>
      <c r="F21" s="86"/>
      <c r="G21" s="33" t="e">
        <f t="shared" si="1"/>
        <v>#REF!</v>
      </c>
      <c r="H21" s="86"/>
      <c r="I21" s="33" t="e">
        <f t="shared" si="2"/>
        <v>#REF!</v>
      </c>
      <c r="J21" s="33" t="e">
        <f t="shared" si="3"/>
        <v>#REF!</v>
      </c>
      <c r="K21" s="34"/>
      <c r="L21" s="35" t="e">
        <f>SUM(I19:I21)</f>
        <v>#REF!</v>
      </c>
      <c r="M21" s="114"/>
      <c r="N21" s="36">
        <v>43753</v>
      </c>
    </row>
    <row r="22" spans="1:14" s="37" customFormat="1" x14ac:dyDescent="0.35">
      <c r="A22" s="31">
        <v>43759</v>
      </c>
      <c r="B22" s="84" t="s">
        <v>692</v>
      </c>
      <c r="C22" s="33"/>
      <c r="D22" s="33">
        <f>14*5.5</f>
        <v>77</v>
      </c>
      <c r="E22" s="85" t="e">
        <f t="shared" si="0"/>
        <v>#REF!</v>
      </c>
      <c r="F22" s="86"/>
      <c r="G22" s="33" t="e">
        <f t="shared" si="1"/>
        <v>#REF!</v>
      </c>
      <c r="H22" s="86"/>
      <c r="I22" s="33" t="e">
        <f t="shared" si="2"/>
        <v>#REF!</v>
      </c>
      <c r="J22" s="33" t="e">
        <f t="shared" si="3"/>
        <v>#REF!</v>
      </c>
      <c r="K22" s="34"/>
      <c r="L22" s="35" t="e">
        <f>SUM(I22)</f>
        <v>#REF!</v>
      </c>
      <c r="M22" s="35" t="e">
        <f>SUM(L21:L22)</f>
        <v>#REF!</v>
      </c>
      <c r="N22" s="36">
        <v>43769</v>
      </c>
    </row>
    <row r="23" spans="1:14" s="37" customFormat="1" x14ac:dyDescent="0.35">
      <c r="A23" s="31">
        <v>43794</v>
      </c>
      <c r="B23" s="84" t="s">
        <v>756</v>
      </c>
      <c r="C23" s="33"/>
      <c r="D23" s="33">
        <v>9</v>
      </c>
      <c r="E23" s="85" t="e">
        <f t="shared" si="0"/>
        <v>#REF!</v>
      </c>
      <c r="F23" s="86"/>
      <c r="G23" s="33" t="e">
        <f t="shared" si="1"/>
        <v>#REF!</v>
      </c>
      <c r="H23" s="86"/>
      <c r="I23" s="33" t="e">
        <f t="shared" si="2"/>
        <v>#REF!</v>
      </c>
      <c r="J23" s="33" t="e">
        <f t="shared" si="3"/>
        <v>#REF!</v>
      </c>
      <c r="K23" s="34"/>
      <c r="L23" s="35" t="e">
        <f>SUM(I23)</f>
        <v>#REF!</v>
      </c>
      <c r="M23" s="35" t="e">
        <f>SUM(L23)</f>
        <v>#REF!</v>
      </c>
      <c r="N23" s="36">
        <v>43799</v>
      </c>
    </row>
    <row r="24" spans="1:14" s="37" customFormat="1" x14ac:dyDescent="0.35">
      <c r="A24" s="31">
        <v>43810</v>
      </c>
      <c r="B24" s="84" t="s">
        <v>810</v>
      </c>
      <c r="C24" s="33"/>
      <c r="D24" s="33">
        <f>18*1.6</f>
        <v>28.8</v>
      </c>
      <c r="E24" s="85" t="e">
        <f t="shared" si="0"/>
        <v>#REF!</v>
      </c>
      <c r="F24" s="86"/>
      <c r="G24" s="33" t="e">
        <f t="shared" si="1"/>
        <v>#REF!</v>
      </c>
      <c r="H24" s="86"/>
      <c r="I24" s="33" t="e">
        <f t="shared" si="2"/>
        <v>#REF!</v>
      </c>
      <c r="J24" s="33" t="e">
        <f t="shared" si="3"/>
        <v>#REF!</v>
      </c>
      <c r="K24" s="34"/>
      <c r="L24" s="35" t="e">
        <f>SUM(I24)</f>
        <v>#REF!</v>
      </c>
      <c r="M24" s="114"/>
      <c r="N24" s="36">
        <v>43814</v>
      </c>
    </row>
    <row r="25" spans="1:14" s="37" customFormat="1" x14ac:dyDescent="0.35">
      <c r="A25" s="31">
        <v>43817</v>
      </c>
      <c r="B25" s="84" t="s">
        <v>817</v>
      </c>
      <c r="C25" s="33"/>
      <c r="D25" s="33">
        <f>5*3.9</f>
        <v>19.5</v>
      </c>
      <c r="E25" s="85" t="e">
        <f t="shared" si="0"/>
        <v>#REF!</v>
      </c>
      <c r="F25" s="86"/>
      <c r="G25" s="33" t="e">
        <f t="shared" si="1"/>
        <v>#REF!</v>
      </c>
      <c r="H25" s="86"/>
      <c r="I25" s="33" t="e">
        <f t="shared" si="2"/>
        <v>#REF!</v>
      </c>
      <c r="J25" s="33" t="e">
        <f t="shared" si="3"/>
        <v>#REF!</v>
      </c>
      <c r="K25" s="34"/>
      <c r="L25" s="35" t="e">
        <f>SUM(I25)</f>
        <v>#REF!</v>
      </c>
      <c r="M25" s="115" t="e">
        <f>SUM(L24:L25)</f>
        <v>#REF!</v>
      </c>
      <c r="N25" s="36">
        <v>43830</v>
      </c>
    </row>
    <row r="26" spans="1:14" x14ac:dyDescent="0.35">
      <c r="A26" s="99"/>
      <c r="B26" s="91" t="s">
        <v>832</v>
      </c>
      <c r="C26" s="28">
        <f>SUM(C9:C25)</f>
        <v>0</v>
      </c>
      <c r="D26" s="28">
        <f>SUM(D9:D25)</f>
        <v>1810.6499999999999</v>
      </c>
      <c r="E26" s="28"/>
      <c r="F26" s="91"/>
      <c r="G26" s="91"/>
      <c r="H26" s="28" t="e">
        <f t="shared" ref="H26" si="4">SUM(H9:H25)</f>
        <v>#REF!</v>
      </c>
      <c r="I26" s="28" t="e">
        <f>SUM(I10:I25)</f>
        <v>#REF!</v>
      </c>
      <c r="J26" s="99"/>
      <c r="K26" s="99"/>
      <c r="M26" s="55" t="e">
        <f>SUM(M10:M25)</f>
        <v>#REF!</v>
      </c>
      <c r="N26" s="56"/>
    </row>
    <row r="28" spans="1:14" x14ac:dyDescent="0.35">
      <c r="A28" s="57" t="s">
        <v>23</v>
      </c>
      <c r="B28" s="5"/>
      <c r="C28" s="4"/>
      <c r="D28" s="4"/>
      <c r="E28" s="4"/>
      <c r="F28" s="4"/>
      <c r="G28" s="1"/>
      <c r="H28" s="1"/>
      <c r="I28" s="1"/>
      <c r="J28" s="1"/>
    </row>
    <row r="29" spans="1:14" x14ac:dyDescent="0.35">
      <c r="A29" s="57" t="s">
        <v>669</v>
      </c>
      <c r="B29" s="5"/>
      <c r="C29" s="4"/>
      <c r="D29" s="4"/>
      <c r="E29" s="4"/>
      <c r="F29" s="4"/>
      <c r="G29" s="1"/>
      <c r="H29" s="1"/>
      <c r="I29" s="1"/>
      <c r="J29" s="58" t="e">
        <f>+E25*F9</f>
        <v>#REF!</v>
      </c>
    </row>
    <row r="30" spans="1:14" x14ac:dyDescent="0.35">
      <c r="A30" s="57" t="s">
        <v>24</v>
      </c>
      <c r="B30" s="5"/>
      <c r="C30" s="4"/>
      <c r="D30" s="4"/>
      <c r="E30" s="4"/>
      <c r="F30" s="4"/>
      <c r="G30" s="1"/>
      <c r="H30" s="1"/>
      <c r="I30" s="1"/>
      <c r="J30" s="59" t="e">
        <f>+J25</f>
        <v>#REF!</v>
      </c>
    </row>
    <row r="31" spans="1:14" ht="15" thickBot="1" x14ac:dyDescent="0.4">
      <c r="A31" s="57"/>
      <c r="B31" s="5" t="s">
        <v>25</v>
      </c>
      <c r="C31" s="4"/>
      <c r="D31" s="4"/>
      <c r="E31" s="4"/>
      <c r="F31" s="4"/>
      <c r="G31" s="1"/>
      <c r="H31" s="1"/>
      <c r="I31" s="1"/>
      <c r="J31" s="60" t="e">
        <f>+J29-J30</f>
        <v>#REF!</v>
      </c>
    </row>
    <row r="32" spans="1:14" ht="15" thickTop="1" x14ac:dyDescent="0.35">
      <c r="H32" s="56" t="e">
        <f>+M26+'Ral-28-2009'!M109+'Ral-28-3003'!M107+'Ral-26-2009'!M52+'Zinc-28'!M338+'Zin-26'!M52+'Galva-28'!M21+Tiraf63x76.2!M88+Tiraf63x63.5!M72+'Ral28 3002'!M36</f>
        <v>#REF!</v>
      </c>
    </row>
    <row r="33" spans="5:8" x14ac:dyDescent="0.35">
      <c r="H33" s="56"/>
    </row>
    <row r="34" spans="5:8" x14ac:dyDescent="0.35">
      <c r="E34">
        <v>954164.09</v>
      </c>
      <c r="F34">
        <v>74594.16</v>
      </c>
      <c r="H34" s="56" t="e">
        <f>+M26+'Ral-28-2009'!M109+'Ral-28-3003'!M107+'Ral-26-2009'!M52+'Zinc-28'!M338+'Zin-26'!M52+'Galva-28'!M21+Tiraf63x76.2!M88+Tiraf63x63.5!M72+'Ral28 3002'!M36</f>
        <v>#REF!</v>
      </c>
    </row>
    <row r="35" spans="5:8" x14ac:dyDescent="0.35">
      <c r="E35" s="56" t="e">
        <f>+H32</f>
        <v>#REF!</v>
      </c>
      <c r="F35">
        <v>9476.31</v>
      </c>
      <c r="H35" s="152" t="e">
        <f>+'Ral-28-3003'!J112+'Ral-26-2009'!J59+'Zinc-28'!J344</f>
        <v>#REF!</v>
      </c>
    </row>
    <row r="36" spans="5:8" x14ac:dyDescent="0.35">
      <c r="E36" s="56" t="e">
        <f>+E34-E35</f>
        <v>#REF!</v>
      </c>
      <c r="F36">
        <f>+F34-F35</f>
        <v>65117.850000000006</v>
      </c>
    </row>
    <row r="37" spans="5:8" x14ac:dyDescent="0.35">
      <c r="E37">
        <v>-98986.58</v>
      </c>
      <c r="F37">
        <f>+F36+2.48+1039.01+4.44+22.23+12</f>
        <v>66198.010000000009</v>
      </c>
      <c r="H37" s="152" t="e">
        <f>+'Ral-28-3003'!J112+'Ral-26-2009'!J59+'Ral-26-2009'!J59+'Zinc-28'!J344</f>
        <v>#REF!</v>
      </c>
    </row>
    <row r="38" spans="5:8" x14ac:dyDescent="0.35">
      <c r="E38" s="56" t="e">
        <f>+E36+E37</f>
        <v>#REF!</v>
      </c>
      <c r="F38">
        <v>-66198.009999999995</v>
      </c>
    </row>
    <row r="39" spans="5:8" x14ac:dyDescent="0.35">
      <c r="E39" s="152">
        <v>-34145.01</v>
      </c>
      <c r="F39">
        <f>20.1+3680.68+18.11</f>
        <v>3718.89</v>
      </c>
      <c r="H39" s="152" t="e">
        <f>+'Ral-28-3003'!J112+'Ral-26-2009'!J59+'Zinc-28'!J344</f>
        <v>#REF!</v>
      </c>
    </row>
    <row r="40" spans="5:8" x14ac:dyDescent="0.35">
      <c r="E40" s="56" t="e">
        <f>+E38+E39</f>
        <v>#REF!</v>
      </c>
      <c r="F40">
        <f>+F38+F39</f>
        <v>-62479.119999999995</v>
      </c>
    </row>
    <row r="41" spans="5:8" x14ac:dyDescent="0.35">
      <c r="F41" s="152" t="e">
        <f>+H39</f>
        <v>#REF!</v>
      </c>
    </row>
    <row r="42" spans="5:8" x14ac:dyDescent="0.35">
      <c r="F42" s="152" t="e">
        <f>+F40+F41</f>
        <v>#REF!</v>
      </c>
    </row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N78"/>
  <sheetViews>
    <sheetView workbookViewId="0">
      <selection activeCell="J75" sqref="J75"/>
    </sheetView>
  </sheetViews>
  <sheetFormatPr baseColWidth="10" defaultRowHeight="14.5" x14ac:dyDescent="0.35"/>
  <cols>
    <col min="2" max="2" width="35.90625" customWidth="1"/>
    <col min="12" max="12" width="10.453125" customWidth="1"/>
    <col min="13" max="13" width="10.6328125" customWidth="1"/>
    <col min="14" max="14" width="9.9062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34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5">
      <c r="A9" s="23">
        <v>43467</v>
      </c>
      <c r="B9" s="24" t="s">
        <v>22</v>
      </c>
      <c r="C9" s="25"/>
      <c r="D9" s="26"/>
      <c r="E9" s="27" t="e">
        <f>+#REF!</f>
        <v>#REF!</v>
      </c>
      <c r="F9" s="26" t="e">
        <f>+H9/E9</f>
        <v>#REF!</v>
      </c>
      <c r="G9" s="26"/>
      <c r="H9" s="28" t="e">
        <f>+#REF!</f>
        <v>#REF!</v>
      </c>
      <c r="I9" s="29"/>
      <c r="J9" s="29" t="e">
        <f>+H9</f>
        <v>#REF!</v>
      </c>
      <c r="K9" s="30"/>
    </row>
    <row r="10" spans="1:14" s="71" customFormat="1" x14ac:dyDescent="0.35">
      <c r="A10" s="23">
        <v>43472</v>
      </c>
      <c r="B10" s="69" t="s">
        <v>44</v>
      </c>
      <c r="C10" s="26"/>
      <c r="D10" s="26">
        <v>50</v>
      </c>
      <c r="E10" s="42" t="e">
        <f>+E9-D10</f>
        <v>#REF!</v>
      </c>
      <c r="F10" s="43"/>
      <c r="G10" s="26" t="e">
        <f>+J9/E9</f>
        <v>#REF!</v>
      </c>
      <c r="H10" s="43"/>
      <c r="I10" s="26" t="e">
        <f>+D10*G10</f>
        <v>#REF!</v>
      </c>
      <c r="J10" s="26" t="e">
        <f>+J9-I10</f>
        <v>#REF!</v>
      </c>
      <c r="K10" s="70"/>
    </row>
    <row r="11" spans="1:14" s="71" customFormat="1" x14ac:dyDescent="0.35">
      <c r="A11" s="23">
        <v>43473</v>
      </c>
      <c r="B11" s="69" t="s">
        <v>48</v>
      </c>
      <c r="C11" s="26"/>
      <c r="D11" s="26">
        <v>100</v>
      </c>
      <c r="E11" s="42" t="e">
        <f t="shared" ref="E11:E31" si="0">+E10-D11</f>
        <v>#REF!</v>
      </c>
      <c r="F11" s="43"/>
      <c r="G11" s="26" t="e">
        <f t="shared" ref="G11:G31" si="1">+J10/E10</f>
        <v>#REF!</v>
      </c>
      <c r="H11" s="43"/>
      <c r="I11" s="26" t="e">
        <f t="shared" ref="I11:I31" si="2">+D11*G11</f>
        <v>#REF!</v>
      </c>
      <c r="J11" s="26" t="e">
        <f t="shared" ref="J11:J31" si="3">+J10-I11</f>
        <v>#REF!</v>
      </c>
      <c r="K11" s="70"/>
    </row>
    <row r="12" spans="1:14" s="71" customFormat="1" x14ac:dyDescent="0.35">
      <c r="A12" s="23">
        <v>43475</v>
      </c>
      <c r="B12" s="69" t="s">
        <v>57</v>
      </c>
      <c r="C12" s="26"/>
      <c r="D12" s="26">
        <v>150</v>
      </c>
      <c r="E12" s="42" t="e">
        <f t="shared" si="0"/>
        <v>#REF!</v>
      </c>
      <c r="F12" s="43"/>
      <c r="G12" s="26" t="e">
        <f t="shared" si="1"/>
        <v>#REF!</v>
      </c>
      <c r="H12" s="43"/>
      <c r="I12" s="26" t="e">
        <f t="shared" si="2"/>
        <v>#REF!</v>
      </c>
      <c r="J12" s="26" t="e">
        <f t="shared" si="3"/>
        <v>#REF!</v>
      </c>
      <c r="K12" s="70"/>
    </row>
    <row r="13" spans="1:14" s="37" customFormat="1" x14ac:dyDescent="0.35">
      <c r="A13" s="31">
        <v>43475</v>
      </c>
      <c r="B13" s="39" t="s">
        <v>58</v>
      </c>
      <c r="C13" s="33"/>
      <c r="D13" s="33">
        <v>150</v>
      </c>
      <c r="E13" s="85" t="e">
        <f t="shared" si="0"/>
        <v>#REF!</v>
      </c>
      <c r="F13" s="86"/>
      <c r="G13" s="33" t="e">
        <f t="shared" si="1"/>
        <v>#REF!</v>
      </c>
      <c r="H13" s="86"/>
      <c r="I13" s="33" t="e">
        <f t="shared" si="2"/>
        <v>#REF!</v>
      </c>
      <c r="J13" s="33" t="e">
        <f t="shared" si="3"/>
        <v>#REF!</v>
      </c>
      <c r="K13" s="34"/>
      <c r="L13" s="35" t="e">
        <f>SUM(I10:I13)</f>
        <v>#REF!</v>
      </c>
      <c r="M13" s="114"/>
      <c r="N13" s="36">
        <v>43480</v>
      </c>
    </row>
    <row r="14" spans="1:14" s="71" customFormat="1" x14ac:dyDescent="0.35">
      <c r="A14" s="72">
        <v>43484</v>
      </c>
      <c r="B14" s="69" t="s">
        <v>94</v>
      </c>
      <c r="C14" s="69"/>
      <c r="D14" s="74">
        <v>50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70"/>
      <c r="L14" s="98"/>
      <c r="M14" s="98"/>
      <c r="N14" s="98"/>
    </row>
    <row r="15" spans="1:14" s="71" customFormat="1" x14ac:dyDescent="0.35">
      <c r="A15" s="72">
        <v>43484</v>
      </c>
      <c r="B15" s="69" t="s">
        <v>98</v>
      </c>
      <c r="C15" s="69"/>
      <c r="D15" s="74">
        <v>350</v>
      </c>
      <c r="E15" s="42" t="e">
        <f t="shared" si="0"/>
        <v>#REF!</v>
      </c>
      <c r="F15" s="43"/>
      <c r="G15" s="26" t="e">
        <f t="shared" si="1"/>
        <v>#REF!</v>
      </c>
      <c r="H15" s="43"/>
      <c r="I15" s="26" t="e">
        <f t="shared" si="2"/>
        <v>#REF!</v>
      </c>
      <c r="J15" s="26" t="e">
        <f t="shared" si="3"/>
        <v>#REF!</v>
      </c>
      <c r="K15" s="70"/>
      <c r="L15" s="98"/>
      <c r="M15" s="98"/>
      <c r="N15" s="98"/>
    </row>
    <row r="16" spans="1:14" s="37" customFormat="1" x14ac:dyDescent="0.35">
      <c r="A16" s="38">
        <v>43496</v>
      </c>
      <c r="B16" s="39" t="s">
        <v>133</v>
      </c>
      <c r="C16" s="39"/>
      <c r="D16" s="40">
        <v>700</v>
      </c>
      <c r="E16" s="85" t="e">
        <f t="shared" si="0"/>
        <v>#REF!</v>
      </c>
      <c r="F16" s="86"/>
      <c r="G16" s="33" t="e">
        <f t="shared" si="1"/>
        <v>#REF!</v>
      </c>
      <c r="H16" s="86"/>
      <c r="I16" s="33" t="e">
        <f t="shared" si="2"/>
        <v>#REF!</v>
      </c>
      <c r="J16" s="33" t="e">
        <f t="shared" si="3"/>
        <v>#REF!</v>
      </c>
      <c r="K16" s="34"/>
      <c r="L16" s="35" t="e">
        <f>SUM(I14:I16)</f>
        <v>#REF!</v>
      </c>
      <c r="M16" s="35" t="e">
        <f>SUM(L13:L16)</f>
        <v>#REF!</v>
      </c>
      <c r="N16" s="36">
        <v>43496</v>
      </c>
    </row>
    <row r="17" spans="1:14" s="71" customFormat="1" x14ac:dyDescent="0.35">
      <c r="A17" s="72">
        <v>43500</v>
      </c>
      <c r="B17" s="69" t="s">
        <v>152</v>
      </c>
      <c r="C17" s="69"/>
      <c r="D17" s="74">
        <v>100</v>
      </c>
      <c r="E17" s="42" t="e">
        <f t="shared" si="0"/>
        <v>#REF!</v>
      </c>
      <c r="F17" s="43"/>
      <c r="G17" s="26" t="e">
        <f t="shared" si="1"/>
        <v>#REF!</v>
      </c>
      <c r="H17" s="43"/>
      <c r="I17" s="26" t="e">
        <f t="shared" si="2"/>
        <v>#REF!</v>
      </c>
      <c r="J17" s="26" t="e">
        <f t="shared" si="3"/>
        <v>#REF!</v>
      </c>
      <c r="K17" s="70"/>
      <c r="L17" s="98"/>
      <c r="M17" s="98"/>
      <c r="N17" s="98"/>
    </row>
    <row r="18" spans="1:14" s="37" customFormat="1" x14ac:dyDescent="0.35">
      <c r="A18" s="38">
        <v>43501</v>
      </c>
      <c r="B18" s="39" t="s">
        <v>157</v>
      </c>
      <c r="C18" s="39"/>
      <c r="D18" s="40">
        <v>50</v>
      </c>
      <c r="E18" s="85" t="e">
        <f t="shared" si="0"/>
        <v>#REF!</v>
      </c>
      <c r="F18" s="86"/>
      <c r="G18" s="33" t="e">
        <f t="shared" si="1"/>
        <v>#REF!</v>
      </c>
      <c r="H18" s="86"/>
      <c r="I18" s="33" t="e">
        <f t="shared" si="2"/>
        <v>#REF!</v>
      </c>
      <c r="J18" s="33" t="e">
        <f t="shared" si="3"/>
        <v>#REF!</v>
      </c>
      <c r="K18" s="34"/>
      <c r="L18" s="35" t="e">
        <f>SUM(I17:I18)</f>
        <v>#REF!</v>
      </c>
      <c r="M18" s="114"/>
      <c r="N18" s="36">
        <v>43511</v>
      </c>
    </row>
    <row r="19" spans="1:14" s="71" customFormat="1" x14ac:dyDescent="0.35">
      <c r="A19" s="23">
        <v>43516</v>
      </c>
      <c r="B19" s="69" t="s">
        <v>184</v>
      </c>
      <c r="C19" s="73"/>
      <c r="D19" s="73">
        <v>150</v>
      </c>
      <c r="E19" s="42" t="e">
        <f t="shared" si="0"/>
        <v>#REF!</v>
      </c>
      <c r="F19" s="43"/>
      <c r="G19" s="26" t="e">
        <f t="shared" si="1"/>
        <v>#REF!</v>
      </c>
      <c r="H19" s="43"/>
      <c r="I19" s="26" t="e">
        <f t="shared" si="2"/>
        <v>#REF!</v>
      </c>
      <c r="J19" s="26" t="e">
        <f t="shared" si="3"/>
        <v>#REF!</v>
      </c>
      <c r="K19" s="70"/>
      <c r="L19" s="98"/>
      <c r="M19" s="98"/>
      <c r="N19" s="98"/>
    </row>
    <row r="20" spans="1:14" s="71" customFormat="1" x14ac:dyDescent="0.35">
      <c r="A20" s="23">
        <v>43517</v>
      </c>
      <c r="B20" s="69" t="s">
        <v>187</v>
      </c>
      <c r="C20" s="26"/>
      <c r="D20" s="26">
        <v>100</v>
      </c>
      <c r="E20" s="42" t="e">
        <f t="shared" si="0"/>
        <v>#REF!</v>
      </c>
      <c r="F20" s="43"/>
      <c r="G20" s="26" t="e">
        <f t="shared" si="1"/>
        <v>#REF!</v>
      </c>
      <c r="H20" s="43"/>
      <c r="I20" s="26" t="e">
        <f t="shared" si="2"/>
        <v>#REF!</v>
      </c>
      <c r="J20" s="26" t="e">
        <f t="shared" si="3"/>
        <v>#REF!</v>
      </c>
      <c r="K20" s="70"/>
      <c r="L20" s="98"/>
      <c r="M20" s="98"/>
      <c r="N20" s="98"/>
    </row>
    <row r="21" spans="1:14" s="71" customFormat="1" x14ac:dyDescent="0.35">
      <c r="A21" s="23">
        <v>43517</v>
      </c>
      <c r="B21" s="69" t="s">
        <v>188</v>
      </c>
      <c r="C21" s="26"/>
      <c r="D21" s="26">
        <v>0</v>
      </c>
      <c r="E21" s="42" t="e">
        <f t="shared" si="0"/>
        <v>#REF!</v>
      </c>
      <c r="F21" s="43"/>
      <c r="G21" s="26" t="e">
        <f t="shared" si="1"/>
        <v>#REF!</v>
      </c>
      <c r="H21" s="43"/>
      <c r="I21" s="26" t="e">
        <f t="shared" si="2"/>
        <v>#REF!</v>
      </c>
      <c r="J21" s="26" t="e">
        <f t="shared" si="3"/>
        <v>#REF!</v>
      </c>
      <c r="K21" s="70"/>
      <c r="L21" s="98"/>
      <c r="M21" s="98"/>
      <c r="N21" s="98"/>
    </row>
    <row r="22" spans="1:14" s="71" customFormat="1" x14ac:dyDescent="0.35">
      <c r="A22" s="23">
        <v>43517</v>
      </c>
      <c r="B22" s="69" t="s">
        <v>189</v>
      </c>
      <c r="C22" s="26"/>
      <c r="D22" s="26">
        <v>100</v>
      </c>
      <c r="E22" s="42" t="e">
        <f t="shared" si="0"/>
        <v>#REF!</v>
      </c>
      <c r="F22" s="43"/>
      <c r="G22" s="26" t="e">
        <f t="shared" si="1"/>
        <v>#REF!</v>
      </c>
      <c r="H22" s="43"/>
      <c r="I22" s="26" t="e">
        <f t="shared" si="2"/>
        <v>#REF!</v>
      </c>
      <c r="J22" s="26" t="e">
        <f t="shared" si="3"/>
        <v>#REF!</v>
      </c>
      <c r="K22" s="70"/>
      <c r="L22" s="98"/>
      <c r="M22" s="98"/>
      <c r="N22" s="98"/>
    </row>
    <row r="23" spans="1:14" s="71" customFormat="1" x14ac:dyDescent="0.35">
      <c r="A23" s="23">
        <v>43523</v>
      </c>
      <c r="B23" s="69" t="s">
        <v>201</v>
      </c>
      <c r="C23" s="26"/>
      <c r="D23" s="26">
        <v>15</v>
      </c>
      <c r="E23" s="42" t="e">
        <f t="shared" si="0"/>
        <v>#REF!</v>
      </c>
      <c r="F23" s="43"/>
      <c r="G23" s="26" t="e">
        <f t="shared" si="1"/>
        <v>#REF!</v>
      </c>
      <c r="H23" s="43"/>
      <c r="I23" s="26" t="e">
        <f t="shared" si="2"/>
        <v>#REF!</v>
      </c>
      <c r="J23" s="26" t="e">
        <f t="shared" si="3"/>
        <v>#REF!</v>
      </c>
      <c r="K23" s="70"/>
      <c r="L23" s="98"/>
      <c r="M23" s="98"/>
      <c r="N23" s="98"/>
    </row>
    <row r="24" spans="1:14" s="37" customFormat="1" x14ac:dyDescent="0.35">
      <c r="A24" s="31">
        <v>43524</v>
      </c>
      <c r="B24" s="39" t="s">
        <v>205</v>
      </c>
      <c r="C24" s="33"/>
      <c r="D24" s="33">
        <v>10</v>
      </c>
      <c r="E24" s="85" t="e">
        <f t="shared" si="0"/>
        <v>#REF!</v>
      </c>
      <c r="F24" s="86"/>
      <c r="G24" s="33" t="e">
        <f t="shared" si="1"/>
        <v>#REF!</v>
      </c>
      <c r="H24" s="86"/>
      <c r="I24" s="33" t="e">
        <f t="shared" si="2"/>
        <v>#REF!</v>
      </c>
      <c r="J24" s="33" t="e">
        <f t="shared" si="3"/>
        <v>#REF!</v>
      </c>
      <c r="K24" s="34"/>
      <c r="L24" s="35" t="e">
        <f>SUM(I19:I24)</f>
        <v>#REF!</v>
      </c>
      <c r="M24" s="35" t="e">
        <f>SUM(L18:L24)</f>
        <v>#REF!</v>
      </c>
      <c r="N24" s="36">
        <v>43524</v>
      </c>
    </row>
    <row r="25" spans="1:14" s="37" customFormat="1" x14ac:dyDescent="0.35">
      <c r="A25" s="31">
        <v>43526</v>
      </c>
      <c r="B25" s="39" t="s">
        <v>210</v>
      </c>
      <c r="C25" s="33"/>
      <c r="D25" s="33">
        <v>300</v>
      </c>
      <c r="E25" s="85" t="e">
        <f t="shared" si="0"/>
        <v>#REF!</v>
      </c>
      <c r="F25" s="86"/>
      <c r="G25" s="33" t="e">
        <f t="shared" si="1"/>
        <v>#REF!</v>
      </c>
      <c r="H25" s="86"/>
      <c r="I25" s="33" t="e">
        <f t="shared" si="2"/>
        <v>#REF!</v>
      </c>
      <c r="J25" s="33" t="e">
        <f t="shared" si="3"/>
        <v>#REF!</v>
      </c>
      <c r="K25" s="34"/>
      <c r="L25" s="35" t="e">
        <f>SUM(I25)</f>
        <v>#REF!</v>
      </c>
      <c r="M25" s="114"/>
      <c r="N25" s="36">
        <v>43539</v>
      </c>
    </row>
    <row r="26" spans="1:14" s="71" customFormat="1" x14ac:dyDescent="0.35">
      <c r="A26" s="23">
        <v>43542</v>
      </c>
      <c r="B26" s="69" t="s">
        <v>237</v>
      </c>
      <c r="C26" s="26"/>
      <c r="D26" s="26">
        <v>200</v>
      </c>
      <c r="E26" s="42" t="e">
        <f t="shared" si="0"/>
        <v>#REF!</v>
      </c>
      <c r="F26" s="43"/>
      <c r="G26" s="26" t="e">
        <f t="shared" si="1"/>
        <v>#REF!</v>
      </c>
      <c r="H26" s="43"/>
      <c r="I26" s="26" t="e">
        <f t="shared" si="2"/>
        <v>#REF!</v>
      </c>
      <c r="J26" s="26" t="e">
        <f t="shared" si="3"/>
        <v>#REF!</v>
      </c>
      <c r="K26" s="70"/>
      <c r="L26" s="98"/>
      <c r="M26" s="98"/>
      <c r="N26" s="98"/>
    </row>
    <row r="27" spans="1:14" s="71" customFormat="1" x14ac:dyDescent="0.35">
      <c r="A27" s="23">
        <v>43543</v>
      </c>
      <c r="B27" s="69" t="s">
        <v>238</v>
      </c>
      <c r="C27" s="26"/>
      <c r="D27" s="26">
        <v>50</v>
      </c>
      <c r="E27" s="42" t="e">
        <f t="shared" si="0"/>
        <v>#REF!</v>
      </c>
      <c r="F27" s="43"/>
      <c r="G27" s="26" t="e">
        <f t="shared" si="1"/>
        <v>#REF!</v>
      </c>
      <c r="H27" s="43"/>
      <c r="I27" s="26" t="e">
        <f t="shared" si="2"/>
        <v>#REF!</v>
      </c>
      <c r="J27" s="26" t="e">
        <f t="shared" si="3"/>
        <v>#REF!</v>
      </c>
      <c r="K27" s="70"/>
      <c r="L27" s="98"/>
      <c r="M27" s="98"/>
      <c r="N27" s="98"/>
    </row>
    <row r="28" spans="1:14" s="71" customFormat="1" x14ac:dyDescent="0.35">
      <c r="A28" s="23">
        <v>43547</v>
      </c>
      <c r="B28" s="69" t="s">
        <v>244</v>
      </c>
      <c r="C28" s="26"/>
      <c r="D28" s="26">
        <v>25</v>
      </c>
      <c r="E28" s="42" t="e">
        <f t="shared" si="0"/>
        <v>#REF!</v>
      </c>
      <c r="F28" s="43"/>
      <c r="G28" s="26" t="e">
        <f t="shared" si="1"/>
        <v>#REF!</v>
      </c>
      <c r="H28" s="43"/>
      <c r="I28" s="26" t="e">
        <f t="shared" si="2"/>
        <v>#REF!</v>
      </c>
      <c r="J28" s="26" t="e">
        <f t="shared" si="3"/>
        <v>#REF!</v>
      </c>
      <c r="K28" s="70"/>
      <c r="L28" s="98"/>
      <c r="M28" s="98"/>
      <c r="N28" s="98"/>
    </row>
    <row r="29" spans="1:14" s="37" customFormat="1" x14ac:dyDescent="0.35">
      <c r="A29" s="31">
        <v>43552</v>
      </c>
      <c r="B29" s="39" t="s">
        <v>255</v>
      </c>
      <c r="C29" s="33"/>
      <c r="D29" s="33">
        <v>100</v>
      </c>
      <c r="E29" s="85" t="e">
        <f t="shared" si="0"/>
        <v>#REF!</v>
      </c>
      <c r="F29" s="86"/>
      <c r="G29" s="33" t="e">
        <f t="shared" si="1"/>
        <v>#REF!</v>
      </c>
      <c r="H29" s="86"/>
      <c r="I29" s="33" t="e">
        <f t="shared" si="2"/>
        <v>#REF!</v>
      </c>
      <c r="J29" s="33" t="e">
        <f t="shared" si="3"/>
        <v>#REF!</v>
      </c>
      <c r="K29" s="34"/>
      <c r="L29" s="35" t="e">
        <f>SUM(I26:I29)</f>
        <v>#REF!</v>
      </c>
      <c r="M29" s="35" t="e">
        <f>SUM(L25:L29)</f>
        <v>#REF!</v>
      </c>
      <c r="N29" s="36">
        <v>43555</v>
      </c>
    </row>
    <row r="30" spans="1:14" s="37" customFormat="1" x14ac:dyDescent="0.35">
      <c r="A30" s="31">
        <v>43556</v>
      </c>
      <c r="B30" s="39" t="s">
        <v>264</v>
      </c>
      <c r="C30" s="33"/>
      <c r="D30" s="33">
        <v>400</v>
      </c>
      <c r="E30" s="85" t="e">
        <f t="shared" si="0"/>
        <v>#REF!</v>
      </c>
      <c r="F30" s="86"/>
      <c r="G30" s="33" t="e">
        <f t="shared" si="1"/>
        <v>#REF!</v>
      </c>
      <c r="H30" s="86"/>
      <c r="I30" s="33" t="e">
        <f t="shared" si="2"/>
        <v>#REF!</v>
      </c>
      <c r="J30" s="33" t="e">
        <f t="shared" si="3"/>
        <v>#REF!</v>
      </c>
      <c r="K30" s="34"/>
      <c r="L30" s="35" t="e">
        <f>SUM(I30)</f>
        <v>#REF!</v>
      </c>
      <c r="M30" s="114"/>
      <c r="N30" s="36">
        <v>43570</v>
      </c>
    </row>
    <row r="31" spans="1:14" s="71" customFormat="1" x14ac:dyDescent="0.35">
      <c r="A31" s="83">
        <v>43577</v>
      </c>
      <c r="B31" s="82" t="s">
        <v>303</v>
      </c>
      <c r="C31" s="77"/>
      <c r="D31" s="77">
        <v>100</v>
      </c>
      <c r="E31" s="78" t="e">
        <f t="shared" si="0"/>
        <v>#REF!</v>
      </c>
      <c r="F31" s="79"/>
      <c r="G31" s="80" t="e">
        <f t="shared" si="1"/>
        <v>#REF!</v>
      </c>
      <c r="H31" s="79"/>
      <c r="I31" s="80" t="e">
        <f t="shared" si="2"/>
        <v>#REF!</v>
      </c>
      <c r="J31" s="80" t="e">
        <f t="shared" si="3"/>
        <v>#REF!</v>
      </c>
      <c r="K31" s="81"/>
      <c r="L31" s="98"/>
      <c r="M31" s="98"/>
      <c r="N31" s="98"/>
    </row>
    <row r="32" spans="1:14" s="71" customFormat="1" x14ac:dyDescent="0.35">
      <c r="A32" s="76">
        <v>43578</v>
      </c>
      <c r="B32" s="69" t="s">
        <v>307</v>
      </c>
      <c r="C32" s="74"/>
      <c r="D32" s="74">
        <v>25</v>
      </c>
      <c r="E32" s="42" t="e">
        <f t="shared" ref="E32:E55" si="4">+E31-D32</f>
        <v>#REF!</v>
      </c>
      <c r="F32" s="43"/>
      <c r="G32" s="26" t="e">
        <f t="shared" ref="G32:G55" si="5">+J31/E31</f>
        <v>#REF!</v>
      </c>
      <c r="H32" s="43"/>
      <c r="I32" s="26" t="e">
        <f t="shared" ref="I32:I55" si="6">+D32*G32</f>
        <v>#REF!</v>
      </c>
      <c r="J32" s="26" t="e">
        <f t="shared" ref="J32:J55" si="7">+J31-I32</f>
        <v>#REF!</v>
      </c>
      <c r="K32" s="69"/>
      <c r="L32" s="98"/>
      <c r="M32" s="98"/>
      <c r="N32" s="98"/>
    </row>
    <row r="33" spans="1:14" s="71" customFormat="1" x14ac:dyDescent="0.35">
      <c r="A33" s="76">
        <v>43578</v>
      </c>
      <c r="B33" s="69" t="s">
        <v>308</v>
      </c>
      <c r="C33" s="74"/>
      <c r="D33" s="74">
        <v>0</v>
      </c>
      <c r="E33" s="42" t="e">
        <f t="shared" si="4"/>
        <v>#REF!</v>
      </c>
      <c r="F33" s="43"/>
      <c r="G33" s="26" t="e">
        <f t="shared" si="5"/>
        <v>#REF!</v>
      </c>
      <c r="H33" s="43"/>
      <c r="I33" s="26" t="e">
        <f t="shared" si="6"/>
        <v>#REF!</v>
      </c>
      <c r="J33" s="26" t="e">
        <f t="shared" si="7"/>
        <v>#REF!</v>
      </c>
      <c r="K33" s="69"/>
      <c r="L33" s="98"/>
      <c r="M33" s="98"/>
      <c r="N33" s="98"/>
    </row>
    <row r="34" spans="1:14" s="37" customFormat="1" x14ac:dyDescent="0.35">
      <c r="A34" s="88">
        <v>43578</v>
      </c>
      <c r="B34" s="39" t="s">
        <v>309</v>
      </c>
      <c r="C34" s="40"/>
      <c r="D34" s="40">
        <v>50</v>
      </c>
      <c r="E34" s="85" t="e">
        <f t="shared" si="4"/>
        <v>#REF!</v>
      </c>
      <c r="F34" s="86"/>
      <c r="G34" s="33" t="e">
        <f t="shared" si="5"/>
        <v>#REF!</v>
      </c>
      <c r="H34" s="86"/>
      <c r="I34" s="33" t="e">
        <f t="shared" si="6"/>
        <v>#REF!</v>
      </c>
      <c r="J34" s="33" t="e">
        <f t="shared" si="7"/>
        <v>#REF!</v>
      </c>
      <c r="K34" s="39"/>
      <c r="L34" s="35" t="e">
        <f>SUM(I31:I34)</f>
        <v>#REF!</v>
      </c>
      <c r="M34" s="35" t="e">
        <f>SUM(L30:L34)</f>
        <v>#REF!</v>
      </c>
      <c r="N34" s="36">
        <v>43585</v>
      </c>
    </row>
    <row r="35" spans="1:14" s="37" customFormat="1" x14ac:dyDescent="0.35">
      <c r="A35" s="88">
        <v>43595</v>
      </c>
      <c r="B35" s="39" t="s">
        <v>339</v>
      </c>
      <c r="C35" s="40"/>
      <c r="D35" s="40">
        <v>150</v>
      </c>
      <c r="E35" s="85" t="e">
        <f t="shared" si="4"/>
        <v>#REF!</v>
      </c>
      <c r="F35" s="86"/>
      <c r="G35" s="33" t="e">
        <f t="shared" si="5"/>
        <v>#REF!</v>
      </c>
      <c r="H35" s="86"/>
      <c r="I35" s="33" t="e">
        <f t="shared" si="6"/>
        <v>#REF!</v>
      </c>
      <c r="J35" s="33" t="e">
        <f t="shared" si="7"/>
        <v>#REF!</v>
      </c>
      <c r="K35" s="39"/>
      <c r="L35" s="35" t="e">
        <f>SUM(I35)</f>
        <v>#REF!</v>
      </c>
      <c r="M35" s="114"/>
      <c r="N35" s="36">
        <v>43600</v>
      </c>
    </row>
    <row r="36" spans="1:14" s="71" customFormat="1" x14ac:dyDescent="0.35">
      <c r="A36" s="76">
        <v>43613</v>
      </c>
      <c r="B36" s="69" t="s">
        <v>369</v>
      </c>
      <c r="C36" s="74"/>
      <c r="D36" s="74">
        <v>100</v>
      </c>
      <c r="E36" s="42" t="e">
        <f t="shared" si="4"/>
        <v>#REF!</v>
      </c>
      <c r="F36" s="43"/>
      <c r="G36" s="26" t="e">
        <f t="shared" si="5"/>
        <v>#REF!</v>
      </c>
      <c r="H36" s="43"/>
      <c r="I36" s="26" t="e">
        <f t="shared" si="6"/>
        <v>#REF!</v>
      </c>
      <c r="J36" s="26" t="e">
        <f t="shared" si="7"/>
        <v>#REF!</v>
      </c>
      <c r="K36" s="69"/>
      <c r="L36" s="98"/>
      <c r="M36" s="98"/>
      <c r="N36" s="98"/>
    </row>
    <row r="37" spans="1:14" s="37" customFormat="1" x14ac:dyDescent="0.35">
      <c r="A37" s="88">
        <v>43616</v>
      </c>
      <c r="B37" s="39" t="s">
        <v>376</v>
      </c>
      <c r="C37" s="40"/>
      <c r="D37" s="40">
        <v>60</v>
      </c>
      <c r="E37" s="85" t="e">
        <f t="shared" si="4"/>
        <v>#REF!</v>
      </c>
      <c r="F37" s="86"/>
      <c r="G37" s="33" t="e">
        <f t="shared" si="5"/>
        <v>#REF!</v>
      </c>
      <c r="H37" s="86"/>
      <c r="I37" s="33" t="e">
        <f t="shared" si="6"/>
        <v>#REF!</v>
      </c>
      <c r="J37" s="33" t="e">
        <f t="shared" si="7"/>
        <v>#REF!</v>
      </c>
      <c r="K37" s="39"/>
      <c r="L37" s="35" t="e">
        <f>SUM(I36:I37)</f>
        <v>#REF!</v>
      </c>
      <c r="M37" s="35" t="e">
        <f>SUM(L35:L37)</f>
        <v>#REF!</v>
      </c>
      <c r="N37" s="36">
        <v>43616</v>
      </c>
    </row>
    <row r="38" spans="1:14" s="37" customFormat="1" x14ac:dyDescent="0.35">
      <c r="A38" s="88">
        <v>43642</v>
      </c>
      <c r="B38" s="39" t="s">
        <v>437</v>
      </c>
      <c r="C38" s="40"/>
      <c r="D38" s="40">
        <v>75</v>
      </c>
      <c r="E38" s="85" t="e">
        <f t="shared" si="4"/>
        <v>#REF!</v>
      </c>
      <c r="F38" s="86"/>
      <c r="G38" s="33" t="e">
        <f t="shared" si="5"/>
        <v>#REF!</v>
      </c>
      <c r="H38" s="86"/>
      <c r="I38" s="33" t="e">
        <f t="shared" si="6"/>
        <v>#REF!</v>
      </c>
      <c r="J38" s="33" t="e">
        <f t="shared" si="7"/>
        <v>#REF!</v>
      </c>
      <c r="K38" s="39"/>
      <c r="L38" s="35" t="e">
        <f>SUM(I38)</f>
        <v>#REF!</v>
      </c>
      <c r="M38" s="35" t="e">
        <f>SUM(L38)</f>
        <v>#REF!</v>
      </c>
      <c r="N38" s="36">
        <v>43646</v>
      </c>
    </row>
    <row r="39" spans="1:14" s="37" customFormat="1" x14ac:dyDescent="0.35">
      <c r="A39" s="88">
        <v>43650</v>
      </c>
      <c r="B39" s="39" t="s">
        <v>456</v>
      </c>
      <c r="C39" s="40"/>
      <c r="D39" s="40">
        <v>50</v>
      </c>
      <c r="E39" s="85" t="e">
        <f t="shared" si="4"/>
        <v>#REF!</v>
      </c>
      <c r="F39" s="86"/>
      <c r="G39" s="33" t="e">
        <f t="shared" si="5"/>
        <v>#REF!</v>
      </c>
      <c r="H39" s="86"/>
      <c r="I39" s="33" t="e">
        <f t="shared" si="6"/>
        <v>#REF!</v>
      </c>
      <c r="J39" s="33" t="e">
        <f t="shared" si="7"/>
        <v>#REF!</v>
      </c>
      <c r="K39" s="39"/>
      <c r="L39" s="35" t="e">
        <f>SUM(I39)</f>
        <v>#REF!</v>
      </c>
      <c r="M39" s="114"/>
      <c r="N39" s="36">
        <v>43661</v>
      </c>
    </row>
    <row r="40" spans="1:14" s="71" customFormat="1" x14ac:dyDescent="0.35">
      <c r="A40" s="76">
        <v>43664</v>
      </c>
      <c r="B40" s="69" t="s">
        <v>473</v>
      </c>
      <c r="C40" s="74"/>
      <c r="D40" s="74">
        <v>50</v>
      </c>
      <c r="E40" s="42" t="e">
        <f t="shared" si="4"/>
        <v>#REF!</v>
      </c>
      <c r="F40" s="43"/>
      <c r="G40" s="26" t="e">
        <f t="shared" si="5"/>
        <v>#REF!</v>
      </c>
      <c r="H40" s="43"/>
      <c r="I40" s="26" t="e">
        <f t="shared" si="6"/>
        <v>#REF!</v>
      </c>
      <c r="J40" s="26" t="e">
        <f t="shared" si="7"/>
        <v>#REF!</v>
      </c>
      <c r="K40" s="69"/>
      <c r="L40" s="98"/>
      <c r="M40" s="98"/>
      <c r="N40" s="98"/>
    </row>
    <row r="41" spans="1:14" s="37" customFormat="1" x14ac:dyDescent="0.35">
      <c r="A41" s="88">
        <v>43673</v>
      </c>
      <c r="B41" s="39" t="s">
        <v>490</v>
      </c>
      <c r="C41" s="40"/>
      <c r="D41" s="40">
        <v>50</v>
      </c>
      <c r="E41" s="85" t="e">
        <f t="shared" si="4"/>
        <v>#REF!</v>
      </c>
      <c r="F41" s="86"/>
      <c r="G41" s="33" t="e">
        <f t="shared" si="5"/>
        <v>#REF!</v>
      </c>
      <c r="H41" s="86"/>
      <c r="I41" s="33" t="e">
        <f t="shared" si="6"/>
        <v>#REF!</v>
      </c>
      <c r="J41" s="33" t="e">
        <f t="shared" si="7"/>
        <v>#REF!</v>
      </c>
      <c r="K41" s="39"/>
      <c r="L41" s="35" t="e">
        <f>SUM(I40:I41)</f>
        <v>#REF!</v>
      </c>
      <c r="M41" s="35" t="e">
        <f>SUM(L39:L41)</f>
        <v>#REF!</v>
      </c>
      <c r="N41" s="36">
        <v>43677</v>
      </c>
    </row>
    <row r="42" spans="1:14" s="37" customFormat="1" x14ac:dyDescent="0.35">
      <c r="A42" s="88">
        <v>43690</v>
      </c>
      <c r="B42" s="39" t="s">
        <v>510</v>
      </c>
      <c r="C42" s="40"/>
      <c r="D42" s="40">
        <v>850</v>
      </c>
      <c r="E42" s="85" t="e">
        <f t="shared" si="4"/>
        <v>#REF!</v>
      </c>
      <c r="F42" s="86"/>
      <c r="G42" s="33" t="e">
        <f t="shared" si="5"/>
        <v>#REF!</v>
      </c>
      <c r="H42" s="86"/>
      <c r="I42" s="33" t="e">
        <f t="shared" si="6"/>
        <v>#REF!</v>
      </c>
      <c r="J42" s="33" t="e">
        <f t="shared" si="7"/>
        <v>#REF!</v>
      </c>
      <c r="K42" s="39"/>
      <c r="L42" s="35" t="e">
        <f>SUM(I42)</f>
        <v>#REF!</v>
      </c>
      <c r="M42" s="114"/>
      <c r="N42" s="36">
        <v>43692</v>
      </c>
    </row>
    <row r="43" spans="1:14" s="37" customFormat="1" x14ac:dyDescent="0.35">
      <c r="A43" s="88">
        <v>43697</v>
      </c>
      <c r="B43" s="39" t="s">
        <v>531</v>
      </c>
      <c r="C43" s="40"/>
      <c r="D43" s="40">
        <v>200</v>
      </c>
      <c r="E43" s="85" t="e">
        <f t="shared" si="4"/>
        <v>#REF!</v>
      </c>
      <c r="F43" s="86"/>
      <c r="G43" s="33" t="e">
        <f t="shared" si="5"/>
        <v>#REF!</v>
      </c>
      <c r="H43" s="86"/>
      <c r="I43" s="33" t="e">
        <f t="shared" si="6"/>
        <v>#REF!</v>
      </c>
      <c r="J43" s="33" t="e">
        <f t="shared" si="7"/>
        <v>#REF!</v>
      </c>
      <c r="K43" s="39"/>
      <c r="L43" s="35" t="e">
        <f>SUM(I43)</f>
        <v>#REF!</v>
      </c>
      <c r="M43" s="35" t="e">
        <f>SUM(L42:L43)</f>
        <v>#REF!</v>
      </c>
      <c r="N43" s="36">
        <v>43708</v>
      </c>
    </row>
    <row r="44" spans="1:14" s="37" customFormat="1" x14ac:dyDescent="0.35">
      <c r="A44" s="88">
        <v>43717</v>
      </c>
      <c r="B44" s="39" t="s">
        <v>582</v>
      </c>
      <c r="C44" s="40"/>
      <c r="D44" s="40">
        <v>70</v>
      </c>
      <c r="E44" s="85" t="e">
        <f t="shared" si="4"/>
        <v>#REF!</v>
      </c>
      <c r="F44" s="86"/>
      <c r="G44" s="33" t="e">
        <f t="shared" si="5"/>
        <v>#REF!</v>
      </c>
      <c r="H44" s="86"/>
      <c r="I44" s="33" t="e">
        <f t="shared" si="6"/>
        <v>#REF!</v>
      </c>
      <c r="J44" s="33" t="e">
        <f t="shared" si="7"/>
        <v>#REF!</v>
      </c>
      <c r="K44" s="39"/>
      <c r="L44" s="35" t="e">
        <f>SUM(I44)</f>
        <v>#REF!</v>
      </c>
      <c r="M44" s="114"/>
      <c r="N44" s="36">
        <v>43723</v>
      </c>
    </row>
    <row r="45" spans="1:14" s="71" customFormat="1" x14ac:dyDescent="0.35">
      <c r="A45" s="76">
        <v>43733</v>
      </c>
      <c r="B45" s="69" t="s">
        <v>612</v>
      </c>
      <c r="C45" s="74"/>
      <c r="D45" s="74">
        <v>50</v>
      </c>
      <c r="E45" s="42" t="e">
        <f t="shared" si="4"/>
        <v>#REF!</v>
      </c>
      <c r="F45" s="43"/>
      <c r="G45" s="26" t="e">
        <f t="shared" si="5"/>
        <v>#REF!</v>
      </c>
      <c r="H45" s="43"/>
      <c r="I45" s="26" t="e">
        <f t="shared" si="6"/>
        <v>#REF!</v>
      </c>
      <c r="J45" s="26" t="e">
        <f t="shared" si="7"/>
        <v>#REF!</v>
      </c>
      <c r="K45" s="69"/>
      <c r="L45" s="98"/>
      <c r="M45" s="98"/>
      <c r="N45" s="98"/>
    </row>
    <row r="46" spans="1:14" s="37" customFormat="1" x14ac:dyDescent="0.35">
      <c r="A46" s="88">
        <v>43733</v>
      </c>
      <c r="B46" s="39" t="s">
        <v>613</v>
      </c>
      <c r="C46" s="40"/>
      <c r="D46" s="40">
        <v>0</v>
      </c>
      <c r="E46" s="85" t="e">
        <f t="shared" si="4"/>
        <v>#REF!</v>
      </c>
      <c r="F46" s="86"/>
      <c r="G46" s="33" t="e">
        <f t="shared" si="5"/>
        <v>#REF!</v>
      </c>
      <c r="H46" s="86"/>
      <c r="I46" s="33" t="e">
        <f t="shared" si="6"/>
        <v>#REF!</v>
      </c>
      <c r="J46" s="33" t="e">
        <f t="shared" si="7"/>
        <v>#REF!</v>
      </c>
      <c r="K46" s="39"/>
      <c r="L46" s="35" t="e">
        <f>SUM(I45:I46)</f>
        <v>#REF!</v>
      </c>
      <c r="M46" s="35" t="e">
        <f>SUM(L44:L46)</f>
        <v>#REF!</v>
      </c>
      <c r="N46" s="36">
        <v>43738</v>
      </c>
    </row>
    <row r="47" spans="1:14" s="71" customFormat="1" x14ac:dyDescent="0.35">
      <c r="A47" s="76">
        <v>43739</v>
      </c>
      <c r="B47" s="69" t="s">
        <v>624</v>
      </c>
      <c r="C47" s="74"/>
      <c r="D47" s="74">
        <v>300</v>
      </c>
      <c r="E47" s="42" t="e">
        <f t="shared" si="4"/>
        <v>#REF!</v>
      </c>
      <c r="F47" s="43"/>
      <c r="G47" s="26" t="e">
        <f t="shared" si="5"/>
        <v>#REF!</v>
      </c>
      <c r="H47" s="43"/>
      <c r="I47" s="26" t="e">
        <f t="shared" si="6"/>
        <v>#REF!</v>
      </c>
      <c r="J47" s="26" t="e">
        <f t="shared" si="7"/>
        <v>#REF!</v>
      </c>
      <c r="K47" s="69"/>
      <c r="L47" s="98"/>
      <c r="M47" s="98"/>
      <c r="N47" s="98"/>
    </row>
    <row r="48" spans="1:14" s="71" customFormat="1" x14ac:dyDescent="0.35">
      <c r="A48" s="76">
        <v>43740</v>
      </c>
      <c r="B48" s="69" t="s">
        <v>628</v>
      </c>
      <c r="C48" s="74"/>
      <c r="D48" s="74">
        <v>50</v>
      </c>
      <c r="E48" s="42" t="e">
        <f t="shared" si="4"/>
        <v>#REF!</v>
      </c>
      <c r="F48" s="43"/>
      <c r="G48" s="26" t="e">
        <f t="shared" si="5"/>
        <v>#REF!</v>
      </c>
      <c r="H48" s="43"/>
      <c r="I48" s="26" t="e">
        <f t="shared" si="6"/>
        <v>#REF!</v>
      </c>
      <c r="J48" s="26" t="e">
        <f t="shared" si="7"/>
        <v>#REF!</v>
      </c>
      <c r="K48" s="69"/>
      <c r="L48" s="98"/>
      <c r="M48" s="98"/>
      <c r="N48" s="98"/>
    </row>
    <row r="49" spans="1:14" s="71" customFormat="1" x14ac:dyDescent="0.35">
      <c r="A49" s="76">
        <v>43741</v>
      </c>
      <c r="B49" s="69" t="s">
        <v>632</v>
      </c>
      <c r="C49" s="74"/>
      <c r="D49" s="74">
        <v>300</v>
      </c>
      <c r="E49" s="42" t="e">
        <f t="shared" si="4"/>
        <v>#REF!</v>
      </c>
      <c r="F49" s="43"/>
      <c r="G49" s="26" t="e">
        <f t="shared" si="5"/>
        <v>#REF!</v>
      </c>
      <c r="H49" s="43"/>
      <c r="I49" s="26" t="e">
        <f t="shared" si="6"/>
        <v>#REF!</v>
      </c>
      <c r="J49" s="26" t="e">
        <f t="shared" si="7"/>
        <v>#REF!</v>
      </c>
      <c r="K49" s="69"/>
      <c r="L49" s="98"/>
      <c r="M49" s="98"/>
      <c r="N49" s="98"/>
    </row>
    <row r="50" spans="1:14" s="71" customFormat="1" x14ac:dyDescent="0.35">
      <c r="A50" s="76">
        <v>43742</v>
      </c>
      <c r="B50" s="69" t="s">
        <v>641</v>
      </c>
      <c r="C50" s="74"/>
      <c r="D50" s="74">
        <v>0</v>
      </c>
      <c r="E50" s="42" t="e">
        <f t="shared" si="4"/>
        <v>#REF!</v>
      </c>
      <c r="F50" s="43"/>
      <c r="G50" s="26" t="e">
        <f t="shared" si="5"/>
        <v>#REF!</v>
      </c>
      <c r="H50" s="43"/>
      <c r="I50" s="26" t="e">
        <f t="shared" si="6"/>
        <v>#REF!</v>
      </c>
      <c r="J50" s="26" t="e">
        <f t="shared" si="7"/>
        <v>#REF!</v>
      </c>
      <c r="K50" s="69"/>
      <c r="L50" s="98"/>
      <c r="M50" s="98"/>
      <c r="N50" s="98"/>
    </row>
    <row r="51" spans="1:14" s="71" customFormat="1" x14ac:dyDescent="0.35">
      <c r="A51" s="76">
        <v>43745</v>
      </c>
      <c r="B51" s="69" t="s">
        <v>649</v>
      </c>
      <c r="C51" s="74"/>
      <c r="D51" s="74">
        <v>10</v>
      </c>
      <c r="E51" s="42" t="e">
        <f t="shared" si="4"/>
        <v>#REF!</v>
      </c>
      <c r="F51" s="43"/>
      <c r="G51" s="26" t="e">
        <f t="shared" si="5"/>
        <v>#REF!</v>
      </c>
      <c r="H51" s="43"/>
      <c r="I51" s="26" t="e">
        <f t="shared" si="6"/>
        <v>#REF!</v>
      </c>
      <c r="J51" s="26" t="e">
        <f t="shared" si="7"/>
        <v>#REF!</v>
      </c>
      <c r="K51" s="69"/>
      <c r="L51" s="98"/>
      <c r="M51" s="98"/>
      <c r="N51" s="98"/>
    </row>
    <row r="52" spans="1:14" s="71" customFormat="1" x14ac:dyDescent="0.35">
      <c r="A52" s="76">
        <v>43746</v>
      </c>
      <c r="B52" s="69" t="s">
        <v>653</v>
      </c>
      <c r="C52" s="74"/>
      <c r="D52" s="74">
        <v>50</v>
      </c>
      <c r="E52" s="42" t="e">
        <f t="shared" si="4"/>
        <v>#REF!</v>
      </c>
      <c r="F52" s="43"/>
      <c r="G52" s="26" t="e">
        <f t="shared" si="5"/>
        <v>#REF!</v>
      </c>
      <c r="H52" s="43"/>
      <c r="I52" s="26" t="e">
        <f t="shared" si="6"/>
        <v>#REF!</v>
      </c>
      <c r="J52" s="26" t="e">
        <f t="shared" si="7"/>
        <v>#REF!</v>
      </c>
      <c r="K52" s="69"/>
      <c r="L52" s="98"/>
      <c r="M52" s="98"/>
      <c r="N52" s="98"/>
    </row>
    <row r="53" spans="1:14" s="71" customFormat="1" x14ac:dyDescent="0.35">
      <c r="A53" s="76">
        <v>43748</v>
      </c>
      <c r="B53" s="69" t="s">
        <v>666</v>
      </c>
      <c r="C53" s="74"/>
      <c r="D53" s="74">
        <v>50</v>
      </c>
      <c r="E53" s="42" t="e">
        <f t="shared" si="4"/>
        <v>#REF!</v>
      </c>
      <c r="F53" s="43"/>
      <c r="G53" s="26" t="e">
        <f t="shared" si="5"/>
        <v>#REF!</v>
      </c>
      <c r="H53" s="43"/>
      <c r="I53" s="26" t="e">
        <f t="shared" si="6"/>
        <v>#REF!</v>
      </c>
      <c r="J53" s="26" t="e">
        <f t="shared" si="7"/>
        <v>#REF!</v>
      </c>
      <c r="K53" s="69"/>
      <c r="L53" s="98"/>
      <c r="M53" s="98"/>
      <c r="N53" s="98"/>
    </row>
    <row r="54" spans="1:14" s="37" customFormat="1" x14ac:dyDescent="0.35">
      <c r="A54" s="88">
        <v>43749</v>
      </c>
      <c r="B54" s="39" t="s">
        <v>667</v>
      </c>
      <c r="C54" s="40"/>
      <c r="D54" s="40">
        <v>150</v>
      </c>
      <c r="E54" s="85" t="e">
        <f t="shared" si="4"/>
        <v>#REF!</v>
      </c>
      <c r="F54" s="86"/>
      <c r="G54" s="33" t="e">
        <f t="shared" si="5"/>
        <v>#REF!</v>
      </c>
      <c r="H54" s="86"/>
      <c r="I54" s="33" t="e">
        <f t="shared" si="6"/>
        <v>#REF!</v>
      </c>
      <c r="J54" s="33" t="e">
        <f t="shared" si="7"/>
        <v>#REF!</v>
      </c>
      <c r="K54" s="39"/>
      <c r="L54" s="35" t="e">
        <f>SUM(I47:I54)</f>
        <v>#REF!</v>
      </c>
      <c r="M54" s="114"/>
      <c r="N54" s="36">
        <v>43753</v>
      </c>
    </row>
    <row r="55" spans="1:14" s="71" customFormat="1" x14ac:dyDescent="0.35">
      <c r="A55" s="76">
        <v>43760</v>
      </c>
      <c r="B55" s="69" t="s">
        <v>694</v>
      </c>
      <c r="C55" s="74"/>
      <c r="D55" s="74">
        <v>300</v>
      </c>
      <c r="E55" s="42" t="e">
        <f t="shared" si="4"/>
        <v>#REF!</v>
      </c>
      <c r="F55" s="43"/>
      <c r="G55" s="26" t="e">
        <f t="shared" si="5"/>
        <v>#REF!</v>
      </c>
      <c r="H55" s="43"/>
      <c r="I55" s="26" t="e">
        <f t="shared" si="6"/>
        <v>#REF!</v>
      </c>
      <c r="J55" s="26" t="e">
        <f t="shared" si="7"/>
        <v>#REF!</v>
      </c>
      <c r="K55" s="69"/>
      <c r="L55" s="98"/>
      <c r="M55" s="98"/>
      <c r="N55" s="98"/>
    </row>
    <row r="56" spans="1:14" s="71" customFormat="1" x14ac:dyDescent="0.35">
      <c r="A56" s="76">
        <v>43763</v>
      </c>
      <c r="B56" s="69" t="s">
        <v>707</v>
      </c>
      <c r="C56" s="74"/>
      <c r="D56" s="74">
        <v>15</v>
      </c>
      <c r="E56" s="42" t="e">
        <f t="shared" ref="E56:E71" si="8">+E55-D56</f>
        <v>#REF!</v>
      </c>
      <c r="F56" s="43"/>
      <c r="G56" s="26" t="e">
        <f t="shared" ref="G56:G71" si="9">+J55/E55</f>
        <v>#REF!</v>
      </c>
      <c r="H56" s="43"/>
      <c r="I56" s="26" t="e">
        <f t="shared" ref="I56:I71" si="10">+D56*G56</f>
        <v>#REF!</v>
      </c>
      <c r="J56" s="26" t="e">
        <f t="shared" ref="J56:J71" si="11">+J55-I56</f>
        <v>#REF!</v>
      </c>
      <c r="K56" s="69"/>
      <c r="L56" s="98"/>
      <c r="M56" s="98"/>
      <c r="N56" s="98"/>
    </row>
    <row r="57" spans="1:14" s="71" customFormat="1" x14ac:dyDescent="0.35">
      <c r="A57" s="76">
        <v>43764</v>
      </c>
      <c r="B57" s="69" t="s">
        <v>715</v>
      </c>
      <c r="C57" s="74"/>
      <c r="D57" s="74">
        <v>500</v>
      </c>
      <c r="E57" s="42" t="e">
        <f t="shared" si="8"/>
        <v>#REF!</v>
      </c>
      <c r="F57" s="43"/>
      <c r="G57" s="26" t="e">
        <f t="shared" si="9"/>
        <v>#REF!</v>
      </c>
      <c r="H57" s="43"/>
      <c r="I57" s="26" t="e">
        <f t="shared" si="10"/>
        <v>#REF!</v>
      </c>
      <c r="J57" s="26" t="e">
        <f t="shared" si="11"/>
        <v>#REF!</v>
      </c>
      <c r="K57" s="69"/>
      <c r="L57" s="98"/>
      <c r="M57" s="98"/>
      <c r="N57" s="98"/>
    </row>
    <row r="58" spans="1:14" s="37" customFormat="1" x14ac:dyDescent="0.35">
      <c r="A58" s="88">
        <v>43764</v>
      </c>
      <c r="B58" s="39" t="s">
        <v>716</v>
      </c>
      <c r="C58" s="40"/>
      <c r="D58" s="40">
        <v>150</v>
      </c>
      <c r="E58" s="85" t="e">
        <f t="shared" si="8"/>
        <v>#REF!</v>
      </c>
      <c r="F58" s="86"/>
      <c r="G58" s="33" t="e">
        <f t="shared" si="9"/>
        <v>#REF!</v>
      </c>
      <c r="H58" s="86"/>
      <c r="I58" s="33" t="e">
        <f t="shared" si="10"/>
        <v>#REF!</v>
      </c>
      <c r="J58" s="33" t="e">
        <f t="shared" si="11"/>
        <v>#REF!</v>
      </c>
      <c r="K58" s="39"/>
      <c r="L58" s="35" t="e">
        <f>SUM(I55:I58)</f>
        <v>#REF!</v>
      </c>
      <c r="M58" s="35" t="e">
        <f>SUM(L54:L58)</f>
        <v>#REF!</v>
      </c>
      <c r="N58" s="36">
        <v>43769</v>
      </c>
    </row>
    <row r="59" spans="1:14" s="71" customFormat="1" x14ac:dyDescent="0.35">
      <c r="A59" s="76">
        <v>43770</v>
      </c>
      <c r="B59" s="69" t="s">
        <v>722</v>
      </c>
      <c r="C59" s="74"/>
      <c r="D59" s="74">
        <v>50</v>
      </c>
      <c r="E59" s="42" t="e">
        <f t="shared" si="8"/>
        <v>#REF!</v>
      </c>
      <c r="F59" s="43"/>
      <c r="G59" s="26" t="e">
        <f t="shared" si="9"/>
        <v>#REF!</v>
      </c>
      <c r="H59" s="43"/>
      <c r="I59" s="26" t="e">
        <f t="shared" si="10"/>
        <v>#REF!</v>
      </c>
      <c r="J59" s="26" t="e">
        <f t="shared" si="11"/>
        <v>#REF!</v>
      </c>
      <c r="K59" s="69"/>
      <c r="L59" s="98"/>
      <c r="M59" s="98"/>
      <c r="N59" s="98"/>
    </row>
    <row r="60" spans="1:14" s="71" customFormat="1" x14ac:dyDescent="0.35">
      <c r="A60" s="76">
        <v>43784</v>
      </c>
      <c r="B60" s="69" t="s">
        <v>741</v>
      </c>
      <c r="C60" s="74"/>
      <c r="D60" s="74">
        <v>450</v>
      </c>
      <c r="E60" s="42" t="e">
        <f t="shared" si="8"/>
        <v>#REF!</v>
      </c>
      <c r="F60" s="43"/>
      <c r="G60" s="26" t="e">
        <f t="shared" si="9"/>
        <v>#REF!</v>
      </c>
      <c r="H60" s="43"/>
      <c r="I60" s="26" t="e">
        <f t="shared" si="10"/>
        <v>#REF!</v>
      </c>
      <c r="J60" s="26" t="e">
        <f t="shared" si="11"/>
        <v>#REF!</v>
      </c>
      <c r="K60" s="69"/>
      <c r="L60" s="98"/>
      <c r="M60" s="98"/>
      <c r="N60" s="98"/>
    </row>
    <row r="61" spans="1:14" s="37" customFormat="1" x14ac:dyDescent="0.35">
      <c r="A61" s="88">
        <v>43784</v>
      </c>
      <c r="B61" s="39" t="s">
        <v>742</v>
      </c>
      <c r="C61" s="40"/>
      <c r="D61" s="40">
        <v>0</v>
      </c>
      <c r="E61" s="85" t="e">
        <f t="shared" si="8"/>
        <v>#REF!</v>
      </c>
      <c r="F61" s="86"/>
      <c r="G61" s="33" t="e">
        <f t="shared" si="9"/>
        <v>#REF!</v>
      </c>
      <c r="H61" s="86"/>
      <c r="I61" s="33" t="e">
        <f t="shared" si="10"/>
        <v>#REF!</v>
      </c>
      <c r="J61" s="33" t="e">
        <f t="shared" si="11"/>
        <v>#REF!</v>
      </c>
      <c r="K61" s="39"/>
      <c r="L61" s="35" t="e">
        <f>SUM(I59:I61)</f>
        <v>#REF!</v>
      </c>
      <c r="M61" s="114"/>
      <c r="N61" s="36">
        <v>43784</v>
      </c>
    </row>
    <row r="62" spans="1:14" s="71" customFormat="1" x14ac:dyDescent="0.35">
      <c r="A62" s="76">
        <v>43797</v>
      </c>
      <c r="B62" s="69" t="s">
        <v>766</v>
      </c>
      <c r="C62" s="74"/>
      <c r="D62" s="74">
        <v>150</v>
      </c>
      <c r="E62" s="42" t="e">
        <f t="shared" si="8"/>
        <v>#REF!</v>
      </c>
      <c r="F62" s="43"/>
      <c r="G62" s="26" t="e">
        <f t="shared" si="9"/>
        <v>#REF!</v>
      </c>
      <c r="H62" s="43"/>
      <c r="I62" s="26" t="e">
        <f t="shared" si="10"/>
        <v>#REF!</v>
      </c>
      <c r="J62" s="26" t="e">
        <f t="shared" si="11"/>
        <v>#REF!</v>
      </c>
      <c r="K62" s="69"/>
      <c r="L62" s="98"/>
      <c r="M62" s="98"/>
      <c r="N62" s="98"/>
    </row>
    <row r="63" spans="1:14" s="37" customFormat="1" x14ac:dyDescent="0.35">
      <c r="A63" s="88">
        <v>43799</v>
      </c>
      <c r="B63" s="39" t="s">
        <v>778</v>
      </c>
      <c r="C63" s="40"/>
      <c r="D63" s="40">
        <v>150</v>
      </c>
      <c r="E63" s="85" t="e">
        <f t="shared" si="8"/>
        <v>#REF!</v>
      </c>
      <c r="F63" s="86"/>
      <c r="G63" s="33" t="e">
        <f t="shared" si="9"/>
        <v>#REF!</v>
      </c>
      <c r="H63" s="86"/>
      <c r="I63" s="33" t="e">
        <f t="shared" si="10"/>
        <v>#REF!</v>
      </c>
      <c r="J63" s="33" t="e">
        <f t="shared" si="11"/>
        <v>#REF!</v>
      </c>
      <c r="K63" s="39"/>
      <c r="L63" s="35" t="e">
        <f>SUM(I62:I63)</f>
        <v>#REF!</v>
      </c>
      <c r="M63" s="35" t="e">
        <f>SUM(L61:L63)</f>
        <v>#REF!</v>
      </c>
      <c r="N63" s="36">
        <v>43799</v>
      </c>
    </row>
    <row r="64" spans="1:14" s="71" customFormat="1" x14ac:dyDescent="0.35">
      <c r="A64" s="76">
        <v>43802</v>
      </c>
      <c r="B64" s="69" t="s">
        <v>792</v>
      </c>
      <c r="C64" s="74"/>
      <c r="D64" s="74">
        <v>25</v>
      </c>
      <c r="E64" s="42" t="e">
        <f t="shared" si="8"/>
        <v>#REF!</v>
      </c>
      <c r="F64" s="43"/>
      <c r="G64" s="26" t="e">
        <f t="shared" si="9"/>
        <v>#REF!</v>
      </c>
      <c r="H64" s="43"/>
      <c r="I64" s="26" t="e">
        <f t="shared" si="10"/>
        <v>#REF!</v>
      </c>
      <c r="J64" s="26" t="e">
        <f t="shared" si="11"/>
        <v>#REF!</v>
      </c>
      <c r="K64" s="69"/>
      <c r="L64" s="98"/>
      <c r="M64" s="98"/>
      <c r="N64" s="98"/>
    </row>
    <row r="65" spans="1:14" s="71" customFormat="1" x14ac:dyDescent="0.35">
      <c r="A65" s="76">
        <v>43809</v>
      </c>
      <c r="B65" s="69" t="s">
        <v>803</v>
      </c>
      <c r="C65" s="74"/>
      <c r="D65" s="74">
        <v>350</v>
      </c>
      <c r="E65" s="42" t="e">
        <f t="shared" si="8"/>
        <v>#REF!</v>
      </c>
      <c r="F65" s="43"/>
      <c r="G65" s="26" t="e">
        <f t="shared" si="9"/>
        <v>#REF!</v>
      </c>
      <c r="H65" s="43"/>
      <c r="I65" s="26" t="e">
        <f t="shared" si="10"/>
        <v>#REF!</v>
      </c>
      <c r="J65" s="26" t="e">
        <f t="shared" si="11"/>
        <v>#REF!</v>
      </c>
      <c r="K65" s="69"/>
      <c r="L65" s="98"/>
      <c r="M65" s="98"/>
      <c r="N65" s="98"/>
    </row>
    <row r="66" spans="1:14" s="71" customFormat="1" x14ac:dyDescent="0.35">
      <c r="A66" s="76">
        <v>43809</v>
      </c>
      <c r="B66" s="69" t="s">
        <v>809</v>
      </c>
      <c r="C66" s="74"/>
      <c r="D66" s="74">
        <v>50</v>
      </c>
      <c r="E66" s="42" t="e">
        <f t="shared" si="8"/>
        <v>#REF!</v>
      </c>
      <c r="F66" s="43"/>
      <c r="G66" s="26" t="e">
        <f t="shared" si="9"/>
        <v>#REF!</v>
      </c>
      <c r="H66" s="43"/>
      <c r="I66" s="26" t="e">
        <f t="shared" si="10"/>
        <v>#REF!</v>
      </c>
      <c r="J66" s="26" t="e">
        <f t="shared" si="11"/>
        <v>#REF!</v>
      </c>
      <c r="K66" s="69"/>
      <c r="L66" s="98"/>
      <c r="M66" s="98"/>
      <c r="N66" s="98"/>
    </row>
    <row r="67" spans="1:14" s="37" customFormat="1" x14ac:dyDescent="0.35">
      <c r="A67" s="88">
        <v>43810</v>
      </c>
      <c r="B67" s="39" t="s">
        <v>811</v>
      </c>
      <c r="C67" s="40"/>
      <c r="D67" s="40">
        <v>50</v>
      </c>
      <c r="E67" s="85" t="e">
        <f t="shared" si="8"/>
        <v>#REF!</v>
      </c>
      <c r="F67" s="86"/>
      <c r="G67" s="33" t="e">
        <f t="shared" si="9"/>
        <v>#REF!</v>
      </c>
      <c r="H67" s="86"/>
      <c r="I67" s="33" t="e">
        <f t="shared" si="10"/>
        <v>#REF!</v>
      </c>
      <c r="J67" s="33" t="e">
        <f t="shared" si="11"/>
        <v>#REF!</v>
      </c>
      <c r="K67" s="39"/>
      <c r="L67" s="35" t="e">
        <f>SUM(I64:I67)</f>
        <v>#REF!</v>
      </c>
      <c r="M67" s="114"/>
      <c r="N67" s="36">
        <v>43814</v>
      </c>
    </row>
    <row r="68" spans="1:14" s="71" customFormat="1" x14ac:dyDescent="0.35">
      <c r="A68" s="76">
        <v>43820</v>
      </c>
      <c r="B68" s="69" t="s">
        <v>823</v>
      </c>
      <c r="C68" s="74"/>
      <c r="D68" s="74">
        <v>250</v>
      </c>
      <c r="E68" s="42" t="e">
        <f t="shared" si="8"/>
        <v>#REF!</v>
      </c>
      <c r="F68" s="43"/>
      <c r="G68" s="26" t="e">
        <f t="shared" si="9"/>
        <v>#REF!</v>
      </c>
      <c r="H68" s="43"/>
      <c r="I68" s="26" t="e">
        <f t="shared" si="10"/>
        <v>#REF!</v>
      </c>
      <c r="J68" s="26" t="e">
        <f t="shared" si="11"/>
        <v>#REF!</v>
      </c>
      <c r="K68" s="69"/>
      <c r="L68" s="98"/>
      <c r="M68" s="98"/>
      <c r="N68" s="98"/>
    </row>
    <row r="69" spans="1:14" s="71" customFormat="1" x14ac:dyDescent="0.35">
      <c r="A69" s="76">
        <v>43822</v>
      </c>
      <c r="B69" s="69" t="s">
        <v>824</v>
      </c>
      <c r="C69" s="74"/>
      <c r="D69" s="74">
        <v>200</v>
      </c>
      <c r="E69" s="42" t="e">
        <f t="shared" si="8"/>
        <v>#REF!</v>
      </c>
      <c r="F69" s="43"/>
      <c r="G69" s="26" t="e">
        <f t="shared" si="9"/>
        <v>#REF!</v>
      </c>
      <c r="H69" s="43"/>
      <c r="I69" s="26" t="e">
        <f t="shared" si="10"/>
        <v>#REF!</v>
      </c>
      <c r="J69" s="26" t="e">
        <f t="shared" si="11"/>
        <v>#REF!</v>
      </c>
      <c r="K69" s="69"/>
      <c r="L69" s="98"/>
      <c r="M69" s="98"/>
      <c r="N69" s="98"/>
    </row>
    <row r="70" spans="1:14" s="71" customFormat="1" x14ac:dyDescent="0.35">
      <c r="A70" s="76">
        <v>43823</v>
      </c>
      <c r="B70" s="69" t="s">
        <v>826</v>
      </c>
      <c r="C70" s="74"/>
      <c r="D70" s="74">
        <v>25</v>
      </c>
      <c r="E70" s="42" t="e">
        <f t="shared" si="8"/>
        <v>#REF!</v>
      </c>
      <c r="F70" s="43"/>
      <c r="G70" s="26" t="e">
        <f t="shared" si="9"/>
        <v>#REF!</v>
      </c>
      <c r="H70" s="43"/>
      <c r="I70" s="26" t="e">
        <f t="shared" si="10"/>
        <v>#REF!</v>
      </c>
      <c r="J70" s="26" t="e">
        <f t="shared" si="11"/>
        <v>#REF!</v>
      </c>
      <c r="K70" s="69"/>
      <c r="L70" s="98"/>
      <c r="M70" s="98"/>
      <c r="N70" s="98"/>
    </row>
    <row r="71" spans="1:14" s="37" customFormat="1" x14ac:dyDescent="0.35">
      <c r="A71" s="88">
        <v>43823</v>
      </c>
      <c r="B71" s="39" t="s">
        <v>829</v>
      </c>
      <c r="C71" s="40"/>
      <c r="D71" s="40">
        <v>10</v>
      </c>
      <c r="E71" s="85" t="e">
        <f t="shared" si="8"/>
        <v>#REF!</v>
      </c>
      <c r="F71" s="86"/>
      <c r="G71" s="33" t="e">
        <f t="shared" si="9"/>
        <v>#REF!</v>
      </c>
      <c r="H71" s="86"/>
      <c r="I71" s="33" t="e">
        <f t="shared" si="10"/>
        <v>#REF!</v>
      </c>
      <c r="J71" s="33" t="e">
        <f t="shared" si="11"/>
        <v>#REF!</v>
      </c>
      <c r="K71" s="39"/>
      <c r="L71" s="35" t="e">
        <f>SUM(I68:I71)</f>
        <v>#REF!</v>
      </c>
      <c r="M71" s="115" t="e">
        <f>SUM(L67:L71)</f>
        <v>#REF!</v>
      </c>
      <c r="N71" s="36">
        <v>43830</v>
      </c>
    </row>
    <row r="72" spans="1:14" s="71" customFormat="1" x14ac:dyDescent="0.35">
      <c r="A72" s="69"/>
      <c r="B72" s="69" t="s">
        <v>832</v>
      </c>
      <c r="C72" s="74">
        <f>SUM(C9:C71)</f>
        <v>0</v>
      </c>
      <c r="D72" s="74">
        <f>SUM(D9:D71)</f>
        <v>8665</v>
      </c>
      <c r="E72" s="42"/>
      <c r="F72" s="43"/>
      <c r="G72" s="26"/>
      <c r="H72" s="74" t="e">
        <f t="shared" ref="H72:I72" si="12">SUM(H9:H71)</f>
        <v>#REF!</v>
      </c>
      <c r="I72" s="74" t="e">
        <f t="shared" si="12"/>
        <v>#REF!</v>
      </c>
      <c r="J72" s="26"/>
      <c r="K72" s="69"/>
      <c r="L72" s="98"/>
      <c r="M72" s="96" t="e">
        <f>SUM(M16:M71)</f>
        <v>#REF!</v>
      </c>
      <c r="N72" s="98"/>
    </row>
    <row r="73" spans="1:14" x14ac:dyDescent="0.35">
      <c r="I73" s="56"/>
      <c r="M73" s="56"/>
    </row>
    <row r="74" spans="1:14" x14ac:dyDescent="0.35">
      <c r="A74" s="57" t="s">
        <v>23</v>
      </c>
      <c r="B74" s="5"/>
      <c r="C74" s="4"/>
      <c r="D74" s="4"/>
      <c r="E74" s="4"/>
      <c r="F74" s="4"/>
      <c r="G74" s="1"/>
      <c r="H74" s="1"/>
      <c r="I74" s="1"/>
      <c r="J74" s="1"/>
    </row>
    <row r="75" spans="1:14" x14ac:dyDescent="0.35">
      <c r="A75" s="57" t="s">
        <v>669</v>
      </c>
      <c r="B75" s="5"/>
      <c r="C75" s="4"/>
      <c r="D75" s="4"/>
      <c r="E75" s="4"/>
      <c r="F75" s="4"/>
      <c r="G75" s="1"/>
      <c r="H75" s="1"/>
      <c r="I75" s="1"/>
      <c r="J75" s="58" t="e">
        <f>+E71*F9</f>
        <v>#REF!</v>
      </c>
    </row>
    <row r="76" spans="1:14" x14ac:dyDescent="0.35">
      <c r="A76" s="57" t="s">
        <v>24</v>
      </c>
      <c r="B76" s="5"/>
      <c r="C76" s="4"/>
      <c r="D76" s="4"/>
      <c r="E76" s="4"/>
      <c r="F76" s="4"/>
      <c r="G76" s="1"/>
      <c r="H76" s="1"/>
      <c r="I76" s="1"/>
      <c r="J76" s="59" t="e">
        <f>+J71</f>
        <v>#REF!</v>
      </c>
    </row>
    <row r="77" spans="1:14" ht="15" thickBot="1" x14ac:dyDescent="0.4">
      <c r="A77" s="57"/>
      <c r="B77" s="5" t="s">
        <v>25</v>
      </c>
      <c r="C77" s="4"/>
      <c r="D77" s="4"/>
      <c r="E77" s="4"/>
      <c r="F77" s="4"/>
      <c r="G77" s="1"/>
      <c r="H77" s="1"/>
      <c r="I77" s="1"/>
      <c r="J77" s="60" t="e">
        <f>+J75-J76</f>
        <v>#REF!</v>
      </c>
    </row>
    <row r="78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N43"/>
  <sheetViews>
    <sheetView topLeftCell="A25" workbookViewId="0">
      <selection activeCell="G10" sqref="G10"/>
    </sheetView>
  </sheetViews>
  <sheetFormatPr baseColWidth="10" defaultRowHeight="14.5" x14ac:dyDescent="0.35"/>
  <cols>
    <col min="2" max="2" width="34.81640625" customWidth="1"/>
    <col min="12" max="14" width="9.8164062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  <c r="L1" s="1"/>
      <c r="M1" s="1"/>
      <c r="N1" s="1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621</v>
      </c>
      <c r="I2" s="4"/>
      <c r="J2" s="4"/>
      <c r="K2" s="6"/>
      <c r="L2" s="1"/>
      <c r="M2" s="1"/>
      <c r="N2" s="1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  <c r="L3" s="1"/>
      <c r="M3" s="1"/>
      <c r="N3" s="1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  <c r="L4" s="1"/>
      <c r="M4" s="1"/>
      <c r="N4" s="1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  <c r="L5" s="1"/>
      <c r="M5" s="1"/>
      <c r="N5" s="1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  <c r="L6" s="1"/>
      <c r="M6" s="1"/>
      <c r="N6" s="1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  <c r="L7" s="1"/>
      <c r="M7" s="1"/>
      <c r="N7" s="1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  <c r="L8" s="1"/>
      <c r="M8" s="1"/>
      <c r="N8" s="1"/>
    </row>
    <row r="9" spans="1:14" x14ac:dyDescent="0.35">
      <c r="A9" s="23">
        <v>43724</v>
      </c>
      <c r="B9" s="68" t="s">
        <v>784</v>
      </c>
      <c r="C9" s="25">
        <v>8121.3</v>
      </c>
      <c r="D9" s="26"/>
      <c r="E9" s="27">
        <f>+C9</f>
        <v>8121.3</v>
      </c>
      <c r="F9" s="26">
        <f>+J9/C9</f>
        <v>20.294181965941416</v>
      </c>
      <c r="G9" s="26"/>
      <c r="H9" s="28">
        <v>164815.14000000001</v>
      </c>
      <c r="I9" s="29"/>
      <c r="J9" s="29">
        <f>+H9</f>
        <v>164815.14000000001</v>
      </c>
      <c r="K9" s="30"/>
      <c r="L9" s="1"/>
      <c r="M9" s="1"/>
      <c r="N9" s="1"/>
    </row>
    <row r="10" spans="1:14" s="71" customFormat="1" x14ac:dyDescent="0.35">
      <c r="A10" s="23">
        <v>43739</v>
      </c>
      <c r="B10" s="68" t="s">
        <v>622</v>
      </c>
      <c r="C10" s="26"/>
      <c r="D10" s="26">
        <f>15*6.9</f>
        <v>103.5</v>
      </c>
      <c r="E10" s="42">
        <f>+E9-D10</f>
        <v>8017.8</v>
      </c>
      <c r="F10" s="43"/>
      <c r="G10" s="26">
        <f>+J9/E9</f>
        <v>20.294181965941416</v>
      </c>
      <c r="H10" s="43"/>
      <c r="I10" s="26">
        <f>+D10*G10</f>
        <v>2100.4478334749365</v>
      </c>
      <c r="J10" s="26">
        <f>+J9-I10</f>
        <v>162714.69216652508</v>
      </c>
      <c r="K10" s="70"/>
      <c r="L10" s="98"/>
      <c r="M10" s="98"/>
      <c r="N10" s="98"/>
    </row>
    <row r="11" spans="1:14" s="71" customFormat="1" x14ac:dyDescent="0.35">
      <c r="A11" s="23">
        <v>43740</v>
      </c>
      <c r="B11" s="68" t="s">
        <v>627</v>
      </c>
      <c r="C11" s="26"/>
      <c r="D11" s="26">
        <f>6*5.2</f>
        <v>31.200000000000003</v>
      </c>
      <c r="E11" s="42">
        <f t="shared" ref="E11:E35" si="0">+E10-D11</f>
        <v>7986.6</v>
      </c>
      <c r="F11" s="43"/>
      <c r="G11" s="26">
        <f t="shared" ref="G11:G35" si="1">+J10/E10</f>
        <v>20.294181965941416</v>
      </c>
      <c r="H11" s="43"/>
      <c r="I11" s="26">
        <f t="shared" ref="I11:I35" si="2">+D11*G11</f>
        <v>633.17847733737221</v>
      </c>
      <c r="J11" s="26">
        <f t="shared" ref="J11:J35" si="3">+J10-I11</f>
        <v>162081.5136891877</v>
      </c>
      <c r="K11" s="70"/>
      <c r="L11" s="98"/>
      <c r="M11" s="98"/>
      <c r="N11" s="98"/>
    </row>
    <row r="12" spans="1:14" s="37" customFormat="1" x14ac:dyDescent="0.35">
      <c r="A12" s="23">
        <v>43740</v>
      </c>
      <c r="B12" s="68" t="s">
        <v>629</v>
      </c>
      <c r="C12" s="33"/>
      <c r="D12" s="33">
        <f>6*5.2</f>
        <v>31.200000000000003</v>
      </c>
      <c r="E12" s="42">
        <f t="shared" si="0"/>
        <v>7955.4000000000005</v>
      </c>
      <c r="F12" s="43"/>
      <c r="G12" s="26">
        <f t="shared" si="1"/>
        <v>20.294181965941416</v>
      </c>
      <c r="H12" s="43"/>
      <c r="I12" s="26">
        <f t="shared" si="2"/>
        <v>633.17847733737221</v>
      </c>
      <c r="J12" s="26">
        <f t="shared" si="3"/>
        <v>161448.33521185032</v>
      </c>
      <c r="K12" s="34"/>
      <c r="L12" s="35"/>
      <c r="M12" s="114"/>
      <c r="N12" s="36"/>
    </row>
    <row r="13" spans="1:14" s="71" customFormat="1" x14ac:dyDescent="0.35">
      <c r="A13" s="23">
        <v>43740</v>
      </c>
      <c r="B13" s="68" t="s">
        <v>630</v>
      </c>
      <c r="C13" s="26"/>
      <c r="D13" s="26">
        <f>25*4.5+6</f>
        <v>118.5</v>
      </c>
      <c r="E13" s="42">
        <f t="shared" si="0"/>
        <v>7836.9000000000005</v>
      </c>
      <c r="F13" s="43"/>
      <c r="G13" s="26">
        <f t="shared" si="1"/>
        <v>20.294181965941412</v>
      </c>
      <c r="H13" s="43"/>
      <c r="I13" s="26">
        <f t="shared" si="2"/>
        <v>2404.8605629640574</v>
      </c>
      <c r="J13" s="26">
        <f t="shared" si="3"/>
        <v>159043.47464888627</v>
      </c>
      <c r="K13" s="70"/>
      <c r="L13" s="98"/>
      <c r="M13" s="98"/>
      <c r="N13" s="98"/>
    </row>
    <row r="14" spans="1:14" s="71" customFormat="1" x14ac:dyDescent="0.35">
      <c r="A14" s="72">
        <v>43741</v>
      </c>
      <c r="B14" s="68" t="s">
        <v>638</v>
      </c>
      <c r="C14" s="69"/>
      <c r="D14" s="74">
        <f>3*4+3.5+2*1.5+3.8+3.2+2.35+6</f>
        <v>33.85</v>
      </c>
      <c r="E14" s="42">
        <f t="shared" si="0"/>
        <v>7803.05</v>
      </c>
      <c r="F14" s="43"/>
      <c r="G14" s="26">
        <f t="shared" si="1"/>
        <v>20.294181965941412</v>
      </c>
      <c r="H14" s="43"/>
      <c r="I14" s="26">
        <f t="shared" si="2"/>
        <v>686.95805954711682</v>
      </c>
      <c r="J14" s="26">
        <f t="shared" si="3"/>
        <v>158356.51658933915</v>
      </c>
      <c r="K14" s="70"/>
      <c r="L14" s="98"/>
      <c r="M14" s="98"/>
      <c r="N14" s="98"/>
    </row>
    <row r="15" spans="1:14" s="71" customFormat="1" x14ac:dyDescent="0.35">
      <c r="A15" s="72">
        <v>43741</v>
      </c>
      <c r="B15" s="68" t="s">
        <v>836</v>
      </c>
      <c r="C15" s="69"/>
      <c r="D15" s="74">
        <f>18*5+6</f>
        <v>96</v>
      </c>
      <c r="E15" s="42">
        <f t="shared" si="0"/>
        <v>7707.05</v>
      </c>
      <c r="F15" s="43"/>
      <c r="G15" s="26">
        <f t="shared" si="1"/>
        <v>20.294181965941412</v>
      </c>
      <c r="H15" s="43"/>
      <c r="I15" s="26">
        <f t="shared" si="2"/>
        <v>1948.2414687303756</v>
      </c>
      <c r="J15" s="26">
        <f t="shared" si="3"/>
        <v>156408.27512060877</v>
      </c>
      <c r="K15" s="70"/>
      <c r="L15" s="98"/>
      <c r="M15" s="98"/>
      <c r="N15" s="98"/>
    </row>
    <row r="16" spans="1:14" s="71" customFormat="1" x14ac:dyDescent="0.35">
      <c r="A16" s="72">
        <v>43742</v>
      </c>
      <c r="B16" s="68" t="s">
        <v>642</v>
      </c>
      <c r="C16" s="69"/>
      <c r="D16" s="74">
        <f>13*10+6*5</f>
        <v>160</v>
      </c>
      <c r="E16" s="42">
        <f t="shared" si="0"/>
        <v>7547.05</v>
      </c>
      <c r="F16" s="43"/>
      <c r="G16" s="26">
        <f t="shared" si="1"/>
        <v>20.294181965941412</v>
      </c>
      <c r="H16" s="43"/>
      <c r="I16" s="26">
        <f t="shared" si="2"/>
        <v>3247.0691145506262</v>
      </c>
      <c r="J16" s="26">
        <f t="shared" si="3"/>
        <v>153161.20600605814</v>
      </c>
      <c r="K16" s="70"/>
      <c r="L16" s="98"/>
      <c r="M16" s="98"/>
      <c r="N16" s="98"/>
    </row>
    <row r="17" spans="1:14" s="71" customFormat="1" x14ac:dyDescent="0.35">
      <c r="A17" s="72">
        <v>43753</v>
      </c>
      <c r="B17" s="68" t="s">
        <v>677</v>
      </c>
      <c r="C17" s="69"/>
      <c r="D17" s="74">
        <f>6*6</f>
        <v>36</v>
      </c>
      <c r="E17" s="42">
        <f t="shared" si="0"/>
        <v>7511.05</v>
      </c>
      <c r="F17" s="43"/>
      <c r="G17" s="26">
        <f t="shared" si="1"/>
        <v>20.294181965941412</v>
      </c>
      <c r="H17" s="43"/>
      <c r="I17" s="26">
        <f t="shared" si="2"/>
        <v>730.59055077389087</v>
      </c>
      <c r="J17" s="26">
        <f t="shared" si="3"/>
        <v>152430.61545528425</v>
      </c>
      <c r="K17" s="70"/>
      <c r="L17" s="98"/>
      <c r="M17" s="98"/>
      <c r="N17" s="98"/>
    </row>
    <row r="18" spans="1:14" s="37" customFormat="1" x14ac:dyDescent="0.35">
      <c r="A18" s="38">
        <v>43753</v>
      </c>
      <c r="B18" s="32" t="s">
        <v>678</v>
      </c>
      <c r="C18" s="39"/>
      <c r="D18" s="40">
        <f>26*4.15</f>
        <v>107.9</v>
      </c>
      <c r="E18" s="85">
        <f t="shared" si="0"/>
        <v>7403.1500000000005</v>
      </c>
      <c r="F18" s="86"/>
      <c r="G18" s="33">
        <f t="shared" si="1"/>
        <v>20.294181965941412</v>
      </c>
      <c r="H18" s="86"/>
      <c r="I18" s="33">
        <f t="shared" si="2"/>
        <v>2189.7422341250785</v>
      </c>
      <c r="J18" s="33">
        <f t="shared" si="3"/>
        <v>150240.87322115916</v>
      </c>
      <c r="K18" s="34"/>
      <c r="L18" s="35">
        <f>SUM(I10:I18)</f>
        <v>14574.266778840827</v>
      </c>
      <c r="M18" s="114"/>
      <c r="N18" s="36">
        <v>43753</v>
      </c>
    </row>
    <row r="19" spans="1:14" s="71" customFormat="1" x14ac:dyDescent="0.35">
      <c r="A19" s="23">
        <v>43755</v>
      </c>
      <c r="B19" s="68" t="s">
        <v>684</v>
      </c>
      <c r="C19" s="73"/>
      <c r="D19" s="73">
        <f>5*4.5</f>
        <v>22.5</v>
      </c>
      <c r="E19" s="42">
        <f t="shared" si="0"/>
        <v>7380.6500000000005</v>
      </c>
      <c r="F19" s="43"/>
      <c r="G19" s="26">
        <f t="shared" si="1"/>
        <v>20.294181965941409</v>
      </c>
      <c r="H19" s="43"/>
      <c r="I19" s="26">
        <f t="shared" si="2"/>
        <v>456.61909423368172</v>
      </c>
      <c r="J19" s="26">
        <f t="shared" si="3"/>
        <v>149784.25412692549</v>
      </c>
      <c r="K19" s="70"/>
      <c r="L19" s="98"/>
      <c r="M19" s="98"/>
      <c r="N19" s="98"/>
    </row>
    <row r="20" spans="1:14" s="71" customFormat="1" x14ac:dyDescent="0.35">
      <c r="A20" s="23">
        <v>43760</v>
      </c>
      <c r="B20" s="68" t="s">
        <v>693</v>
      </c>
      <c r="C20" s="26"/>
      <c r="D20" s="26">
        <f>19*6</f>
        <v>114</v>
      </c>
      <c r="E20" s="42">
        <f t="shared" si="0"/>
        <v>7266.6500000000005</v>
      </c>
      <c r="F20" s="43"/>
      <c r="G20" s="26">
        <f t="shared" si="1"/>
        <v>20.294181965941412</v>
      </c>
      <c r="H20" s="43"/>
      <c r="I20" s="26">
        <f t="shared" si="2"/>
        <v>2313.5367441173212</v>
      </c>
      <c r="J20" s="26">
        <f t="shared" si="3"/>
        <v>147470.71738280816</v>
      </c>
      <c r="K20" s="70"/>
      <c r="L20" s="98"/>
      <c r="M20" s="98"/>
      <c r="N20" s="98"/>
    </row>
    <row r="21" spans="1:14" s="71" customFormat="1" x14ac:dyDescent="0.35">
      <c r="A21" s="23">
        <v>43762</v>
      </c>
      <c r="B21" s="68" t="s">
        <v>705</v>
      </c>
      <c r="C21" s="26"/>
      <c r="D21" s="26">
        <f>25*4.2+8*5.75+6*4+6.5+4</f>
        <v>185.5</v>
      </c>
      <c r="E21" s="42">
        <f t="shared" si="0"/>
        <v>7081.1500000000005</v>
      </c>
      <c r="F21" s="43"/>
      <c r="G21" s="26">
        <f t="shared" si="1"/>
        <v>20.294181965941409</v>
      </c>
      <c r="H21" s="43"/>
      <c r="I21" s="26">
        <f t="shared" si="2"/>
        <v>3764.5707546821313</v>
      </c>
      <c r="J21" s="26">
        <f t="shared" si="3"/>
        <v>143706.14662812604</v>
      </c>
      <c r="K21" s="70"/>
      <c r="L21" s="98"/>
      <c r="M21" s="98"/>
      <c r="N21" s="98"/>
    </row>
    <row r="22" spans="1:14" s="71" customFormat="1" x14ac:dyDescent="0.35">
      <c r="A22" s="23">
        <v>43764</v>
      </c>
      <c r="B22" s="68" t="s">
        <v>714</v>
      </c>
      <c r="C22" s="26"/>
      <c r="D22" s="26">
        <f>11*5.8+11*5.25+6</f>
        <v>127.55</v>
      </c>
      <c r="E22" s="42">
        <f t="shared" si="0"/>
        <v>6953.6</v>
      </c>
      <c r="F22" s="43"/>
      <c r="G22" s="26">
        <f t="shared" si="1"/>
        <v>20.294181965941412</v>
      </c>
      <c r="H22" s="43"/>
      <c r="I22" s="26">
        <f t="shared" si="2"/>
        <v>2588.5229097558272</v>
      </c>
      <c r="J22" s="26">
        <f t="shared" si="3"/>
        <v>141117.62371837022</v>
      </c>
      <c r="K22" s="70"/>
      <c r="L22" s="98"/>
      <c r="M22" s="98"/>
      <c r="N22" s="98"/>
    </row>
    <row r="23" spans="1:14" s="37" customFormat="1" x14ac:dyDescent="0.35">
      <c r="A23" s="31">
        <v>43767</v>
      </c>
      <c r="B23" s="32" t="s">
        <v>718</v>
      </c>
      <c r="C23" s="33"/>
      <c r="D23" s="33">
        <f>11*5.5+7*5</f>
        <v>95.5</v>
      </c>
      <c r="E23" s="85">
        <f t="shared" si="0"/>
        <v>6858.1</v>
      </c>
      <c r="F23" s="86"/>
      <c r="G23" s="33">
        <f t="shared" si="1"/>
        <v>20.294181965941412</v>
      </c>
      <c r="H23" s="86"/>
      <c r="I23" s="33">
        <f t="shared" si="2"/>
        <v>1938.0943777474049</v>
      </c>
      <c r="J23" s="33">
        <f t="shared" si="3"/>
        <v>139179.5293406228</v>
      </c>
      <c r="K23" s="34"/>
      <c r="L23" s="35">
        <f>SUM(I19:I23)</f>
        <v>11061.343880536366</v>
      </c>
      <c r="M23" s="35">
        <f>SUM(L18:L23)</f>
        <v>25635.610659377191</v>
      </c>
      <c r="N23" s="36">
        <v>43769</v>
      </c>
    </row>
    <row r="24" spans="1:14" s="37" customFormat="1" x14ac:dyDescent="0.35">
      <c r="A24" s="31">
        <v>43773</v>
      </c>
      <c r="B24" s="32" t="s">
        <v>726</v>
      </c>
      <c r="C24" s="33"/>
      <c r="D24" s="33">
        <f>5*5.4</f>
        <v>27</v>
      </c>
      <c r="E24" s="85">
        <f t="shared" si="0"/>
        <v>6831.1</v>
      </c>
      <c r="F24" s="86"/>
      <c r="G24" s="33">
        <f t="shared" si="1"/>
        <v>20.294181965941412</v>
      </c>
      <c r="H24" s="86"/>
      <c r="I24" s="33">
        <f t="shared" si="2"/>
        <v>547.94291308041818</v>
      </c>
      <c r="J24" s="33">
        <f t="shared" si="3"/>
        <v>138631.58642754238</v>
      </c>
      <c r="K24" s="34"/>
      <c r="L24" s="35">
        <f>SUM(I24)</f>
        <v>547.94291308041818</v>
      </c>
      <c r="M24" s="114"/>
      <c r="N24" s="36">
        <v>43784</v>
      </c>
    </row>
    <row r="25" spans="1:14" s="71" customFormat="1" x14ac:dyDescent="0.35">
      <c r="A25" s="23">
        <v>43792</v>
      </c>
      <c r="B25" s="68" t="s">
        <v>753</v>
      </c>
      <c r="C25" s="26"/>
      <c r="D25" s="26">
        <f>5*2.35</f>
        <v>11.75</v>
      </c>
      <c r="E25" s="42">
        <f t="shared" si="0"/>
        <v>6819.35</v>
      </c>
      <c r="F25" s="43"/>
      <c r="G25" s="26">
        <f t="shared" si="1"/>
        <v>20.294181965941412</v>
      </c>
      <c r="H25" s="43"/>
      <c r="I25" s="26">
        <f t="shared" si="2"/>
        <v>238.45663809981158</v>
      </c>
      <c r="J25" s="26">
        <f t="shared" si="3"/>
        <v>138393.12978944258</v>
      </c>
      <c r="K25" s="70"/>
      <c r="L25" s="98"/>
      <c r="M25" s="98"/>
      <c r="N25" s="98"/>
    </row>
    <row r="26" spans="1:14" s="71" customFormat="1" x14ac:dyDescent="0.35">
      <c r="A26" s="23">
        <v>43799</v>
      </c>
      <c r="B26" s="68" t="s">
        <v>777</v>
      </c>
      <c r="C26" s="26"/>
      <c r="D26" s="26">
        <f>13*3</f>
        <v>39</v>
      </c>
      <c r="E26" s="42">
        <f t="shared" si="0"/>
        <v>6780.35</v>
      </c>
      <c r="F26" s="43"/>
      <c r="G26" s="26">
        <f t="shared" si="1"/>
        <v>20.294181965941412</v>
      </c>
      <c r="H26" s="43"/>
      <c r="I26" s="26">
        <f t="shared" si="2"/>
        <v>791.4730966717151</v>
      </c>
      <c r="J26" s="26">
        <f t="shared" si="3"/>
        <v>137601.65669277086</v>
      </c>
      <c r="K26" s="70"/>
      <c r="L26" s="98"/>
      <c r="M26" s="98"/>
      <c r="N26" s="98"/>
    </row>
    <row r="27" spans="1:14" s="37" customFormat="1" x14ac:dyDescent="0.35">
      <c r="A27" s="31">
        <v>43799</v>
      </c>
      <c r="B27" s="32" t="s">
        <v>780</v>
      </c>
      <c r="C27" s="33"/>
      <c r="D27" s="33">
        <f>5*5.2</f>
        <v>26</v>
      </c>
      <c r="E27" s="85">
        <f t="shared" si="0"/>
        <v>6754.35</v>
      </c>
      <c r="F27" s="86"/>
      <c r="G27" s="33">
        <f t="shared" si="1"/>
        <v>20.294181965941412</v>
      </c>
      <c r="H27" s="86"/>
      <c r="I27" s="33">
        <f t="shared" si="2"/>
        <v>527.64873111447673</v>
      </c>
      <c r="J27" s="33">
        <f t="shared" si="3"/>
        <v>137074.00796165637</v>
      </c>
      <c r="K27" s="34"/>
      <c r="L27" s="35">
        <f>SUM(I25:I27)</f>
        <v>1557.5784658860034</v>
      </c>
      <c r="M27" s="35">
        <f>SUM(L24:L27)</f>
        <v>2105.5213789664217</v>
      </c>
      <c r="N27" s="36">
        <v>43799</v>
      </c>
    </row>
    <row r="28" spans="1:14" s="71" customFormat="1" x14ac:dyDescent="0.35">
      <c r="A28" s="23">
        <v>43802</v>
      </c>
      <c r="B28" s="68" t="s">
        <v>793</v>
      </c>
      <c r="C28" s="26"/>
      <c r="D28" s="26">
        <v>0</v>
      </c>
      <c r="E28" s="42">
        <f t="shared" si="0"/>
        <v>6754.35</v>
      </c>
      <c r="F28" s="43"/>
      <c r="G28" s="26">
        <f>+J27/E27</f>
        <v>20.294181965941412</v>
      </c>
      <c r="H28" s="43"/>
      <c r="I28" s="26">
        <f t="shared" si="2"/>
        <v>0</v>
      </c>
      <c r="J28" s="26">
        <f t="shared" si="3"/>
        <v>137074.00796165637</v>
      </c>
      <c r="K28" s="70"/>
      <c r="L28" s="98"/>
      <c r="M28" s="98"/>
      <c r="N28" s="98"/>
    </row>
    <row r="29" spans="1:14" s="71" customFormat="1" x14ac:dyDescent="0.35">
      <c r="A29" s="23">
        <v>43802</v>
      </c>
      <c r="B29" s="68" t="s">
        <v>794</v>
      </c>
      <c r="C29" s="26"/>
      <c r="D29" s="26">
        <f>16*2.45</f>
        <v>39.200000000000003</v>
      </c>
      <c r="E29" s="42">
        <f t="shared" si="0"/>
        <v>6715.1500000000005</v>
      </c>
      <c r="F29" s="43"/>
      <c r="G29" s="26">
        <f t="shared" si="1"/>
        <v>20.294181965941412</v>
      </c>
      <c r="H29" s="43"/>
      <c r="I29" s="26">
        <f t="shared" si="2"/>
        <v>795.53193306490346</v>
      </c>
      <c r="J29" s="26">
        <f t="shared" si="3"/>
        <v>136278.47602859148</v>
      </c>
      <c r="K29" s="70"/>
      <c r="L29" s="98"/>
      <c r="M29" s="98"/>
      <c r="N29" s="98"/>
    </row>
    <row r="30" spans="1:14" s="71" customFormat="1" x14ac:dyDescent="0.35">
      <c r="A30" s="23">
        <v>43806</v>
      </c>
      <c r="B30" s="68" t="s">
        <v>801</v>
      </c>
      <c r="C30" s="26"/>
      <c r="D30" s="26">
        <f>12*2.4+2.15</f>
        <v>30.949999999999996</v>
      </c>
      <c r="E30" s="42">
        <f t="shared" si="0"/>
        <v>6684.2000000000007</v>
      </c>
      <c r="F30" s="43"/>
      <c r="G30" s="26">
        <f t="shared" si="1"/>
        <v>20.294181965941412</v>
      </c>
      <c r="H30" s="43"/>
      <c r="I30" s="26">
        <f t="shared" si="2"/>
        <v>628.10493184588665</v>
      </c>
      <c r="J30" s="26">
        <f t="shared" si="3"/>
        <v>135650.3710967456</v>
      </c>
      <c r="K30" s="70"/>
      <c r="L30" s="96"/>
      <c r="M30" s="98"/>
      <c r="N30" s="97"/>
    </row>
    <row r="31" spans="1:14" s="37" customFormat="1" x14ac:dyDescent="0.35">
      <c r="A31" s="31">
        <v>43812</v>
      </c>
      <c r="B31" s="32" t="s">
        <v>814</v>
      </c>
      <c r="C31" s="33"/>
      <c r="D31" s="33">
        <f>11*3+6*6.2</f>
        <v>70.2</v>
      </c>
      <c r="E31" s="85">
        <f t="shared" si="0"/>
        <v>6614.0000000000009</v>
      </c>
      <c r="F31" s="86"/>
      <c r="G31" s="33">
        <f t="shared" si="1"/>
        <v>20.294181965941412</v>
      </c>
      <c r="H31" s="86"/>
      <c r="I31" s="33">
        <f t="shared" si="2"/>
        <v>1424.6515740090872</v>
      </c>
      <c r="J31" s="33">
        <f t="shared" si="3"/>
        <v>134225.7195227365</v>
      </c>
      <c r="K31" s="34"/>
      <c r="L31" s="35">
        <f>SUM(I28:I31)</f>
        <v>2848.2884389198771</v>
      </c>
      <c r="M31" s="114"/>
      <c r="N31" s="36">
        <v>43814</v>
      </c>
    </row>
    <row r="32" spans="1:14" s="71" customFormat="1" x14ac:dyDescent="0.35">
      <c r="A32" s="23">
        <v>43823</v>
      </c>
      <c r="B32" s="68" t="s">
        <v>825</v>
      </c>
      <c r="C32" s="26"/>
      <c r="D32" s="26">
        <f>3*1</f>
        <v>3</v>
      </c>
      <c r="E32" s="42">
        <f t="shared" si="0"/>
        <v>6611.0000000000009</v>
      </c>
      <c r="F32" s="43"/>
      <c r="G32" s="26">
        <f t="shared" si="1"/>
        <v>20.294181965941409</v>
      </c>
      <c r="H32" s="43"/>
      <c r="I32" s="26">
        <f t="shared" si="2"/>
        <v>60.88254589782423</v>
      </c>
      <c r="J32" s="26">
        <f t="shared" si="3"/>
        <v>134164.83697683868</v>
      </c>
      <c r="K32" s="70"/>
      <c r="L32" s="98"/>
      <c r="M32" s="98"/>
      <c r="N32" s="98"/>
    </row>
    <row r="33" spans="1:14" s="71" customFormat="1" x14ac:dyDescent="0.35">
      <c r="A33" s="23">
        <v>43823</v>
      </c>
      <c r="B33" s="68" t="s">
        <v>827</v>
      </c>
      <c r="C33" s="26"/>
      <c r="D33" s="26">
        <v>0</v>
      </c>
      <c r="E33" s="42">
        <f t="shared" si="0"/>
        <v>6611.0000000000009</v>
      </c>
      <c r="F33" s="43"/>
      <c r="G33" s="26">
        <f t="shared" si="1"/>
        <v>20.294181965941409</v>
      </c>
      <c r="H33" s="43"/>
      <c r="I33" s="26">
        <f t="shared" si="2"/>
        <v>0</v>
      </c>
      <c r="J33" s="26">
        <f t="shared" si="3"/>
        <v>134164.83697683868</v>
      </c>
      <c r="K33" s="70"/>
      <c r="L33" s="96"/>
      <c r="M33" s="96"/>
      <c r="N33" s="97"/>
    </row>
    <row r="34" spans="1:14" s="71" customFormat="1" x14ac:dyDescent="0.35">
      <c r="A34" s="23">
        <v>43823</v>
      </c>
      <c r="B34" s="68" t="s">
        <v>828</v>
      </c>
      <c r="C34" s="26"/>
      <c r="D34" s="26">
        <f>2*4.5</f>
        <v>9</v>
      </c>
      <c r="E34" s="42">
        <f t="shared" si="0"/>
        <v>6602.0000000000009</v>
      </c>
      <c r="F34" s="43"/>
      <c r="G34" s="26">
        <f t="shared" si="1"/>
        <v>20.294181965941409</v>
      </c>
      <c r="H34" s="43"/>
      <c r="I34" s="26">
        <f t="shared" si="2"/>
        <v>182.64763769347269</v>
      </c>
      <c r="J34" s="26">
        <f t="shared" si="3"/>
        <v>133982.1893391452</v>
      </c>
      <c r="K34" s="70"/>
      <c r="L34" s="98"/>
      <c r="M34" s="98"/>
      <c r="N34" s="98"/>
    </row>
    <row r="35" spans="1:14" s="37" customFormat="1" x14ac:dyDescent="0.35">
      <c r="A35" s="31">
        <v>43825</v>
      </c>
      <c r="B35" s="32" t="s">
        <v>831</v>
      </c>
      <c r="C35" s="33"/>
      <c r="D35" s="33">
        <f>9*4.6</f>
        <v>41.4</v>
      </c>
      <c r="E35" s="85">
        <f t="shared" si="0"/>
        <v>6560.6000000000013</v>
      </c>
      <c r="F35" s="86"/>
      <c r="G35" s="33">
        <f t="shared" si="1"/>
        <v>20.294181965941409</v>
      </c>
      <c r="H35" s="86"/>
      <c r="I35" s="33">
        <f t="shared" si="2"/>
        <v>840.17913338997425</v>
      </c>
      <c r="J35" s="33">
        <f t="shared" si="3"/>
        <v>133142.01020575524</v>
      </c>
      <c r="K35" s="34"/>
      <c r="L35" s="35">
        <f>SUM(I32:I35)</f>
        <v>1083.7093169812711</v>
      </c>
      <c r="M35" s="115">
        <f>SUM(L31:L35)</f>
        <v>3931.9977559011481</v>
      </c>
      <c r="N35" s="36">
        <v>43830</v>
      </c>
    </row>
    <row r="36" spans="1:14" s="71" customFormat="1" x14ac:dyDescent="0.35">
      <c r="A36" s="23"/>
      <c r="B36" s="68" t="s">
        <v>832</v>
      </c>
      <c r="C36" s="26">
        <f>SUM(C9:C35)</f>
        <v>8121.3</v>
      </c>
      <c r="D36" s="26">
        <f>SUM(D9:D35)</f>
        <v>1560.7000000000003</v>
      </c>
      <c r="E36" s="42"/>
      <c r="F36" s="43"/>
      <c r="G36" s="26"/>
      <c r="H36" s="26">
        <f t="shared" ref="H36:I36" si="4">SUM(H9:H35)</f>
        <v>164815.14000000001</v>
      </c>
      <c r="I36" s="26">
        <f t="shared" si="4"/>
        <v>31673.129794244764</v>
      </c>
      <c r="J36" s="26"/>
      <c r="K36" s="70"/>
      <c r="L36" s="98"/>
      <c r="M36" s="96">
        <f>SUM(M23:M35)</f>
        <v>31673.129794244764</v>
      </c>
      <c r="N36" s="98"/>
    </row>
    <row r="37" spans="1:14" x14ac:dyDescent="0.35">
      <c r="L37" s="1"/>
      <c r="M37" s="55"/>
      <c r="N37" s="1"/>
    </row>
    <row r="38" spans="1:14" x14ac:dyDescent="0.35">
      <c r="I38" s="56"/>
      <c r="J38" s="56"/>
    </row>
    <row r="39" spans="1:14" x14ac:dyDescent="0.35">
      <c r="A39" s="57" t="s">
        <v>23</v>
      </c>
      <c r="B39" s="5"/>
      <c r="C39" s="4"/>
      <c r="D39" s="4"/>
      <c r="E39" s="4"/>
      <c r="F39" s="4"/>
      <c r="G39" s="1"/>
      <c r="H39" s="1"/>
      <c r="I39" s="1"/>
      <c r="J39" s="1"/>
    </row>
    <row r="40" spans="1:14" x14ac:dyDescent="0.35">
      <c r="A40" s="57" t="s">
        <v>669</v>
      </c>
      <c r="B40" s="5"/>
      <c r="C40" s="4"/>
      <c r="D40" s="4"/>
      <c r="E40" s="4"/>
      <c r="F40" s="4"/>
      <c r="G40" s="1"/>
      <c r="H40" s="1"/>
      <c r="I40" s="1"/>
      <c r="J40" s="58">
        <f>+E35*F9</f>
        <v>133142.01020575527</v>
      </c>
    </row>
    <row r="41" spans="1:14" x14ac:dyDescent="0.35">
      <c r="A41" s="57" t="s">
        <v>24</v>
      </c>
      <c r="B41" s="5"/>
      <c r="C41" s="4"/>
      <c r="D41" s="4"/>
      <c r="E41" s="4"/>
      <c r="F41" s="4"/>
      <c r="G41" s="1"/>
      <c r="H41" s="1"/>
      <c r="I41" s="1"/>
      <c r="J41" s="59">
        <f>+J35</f>
        <v>133142.01020575524</v>
      </c>
    </row>
    <row r="42" spans="1:14" ht="15" thickBot="1" x14ac:dyDescent="0.4">
      <c r="A42" s="57"/>
      <c r="B42" s="5" t="s">
        <v>25</v>
      </c>
      <c r="C42" s="4"/>
      <c r="D42" s="4"/>
      <c r="E42" s="4"/>
      <c r="F42" s="4"/>
      <c r="G42" s="1"/>
      <c r="H42" s="1"/>
      <c r="I42" s="1"/>
      <c r="J42" s="60">
        <f>+J40-J41</f>
        <v>0</v>
      </c>
    </row>
    <row r="43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9"/>
  <sheetViews>
    <sheetView workbookViewId="0">
      <selection sqref="A1:XFD1048576"/>
    </sheetView>
  </sheetViews>
  <sheetFormatPr baseColWidth="10" defaultColWidth="11.453125" defaultRowHeight="14.5" x14ac:dyDescent="0.35"/>
  <cols>
    <col min="2" max="2" width="49.453125" customWidth="1"/>
  </cols>
  <sheetData>
    <row r="1" spans="1:10" x14ac:dyDescent="0.35">
      <c r="A1" s="119" t="s">
        <v>0</v>
      </c>
      <c r="B1" s="120"/>
      <c r="C1" s="121"/>
      <c r="D1" s="121"/>
      <c r="E1" s="121"/>
      <c r="F1" s="121"/>
      <c r="G1" s="121"/>
      <c r="H1" s="122" t="s">
        <v>1</v>
      </c>
      <c r="I1" s="121"/>
      <c r="J1" s="123"/>
    </row>
    <row r="2" spans="1:10" x14ac:dyDescent="0.35">
      <c r="A2" s="2" t="s">
        <v>2</v>
      </c>
      <c r="B2" s="3"/>
      <c r="C2" s="9"/>
      <c r="D2" s="9"/>
      <c r="E2" s="9"/>
      <c r="F2" s="9"/>
      <c r="G2" s="9"/>
      <c r="H2" s="124" t="s">
        <v>840</v>
      </c>
      <c r="I2" s="9"/>
      <c r="J2" s="14"/>
    </row>
    <row r="3" spans="1:10" x14ac:dyDescent="0.35">
      <c r="A3" s="7" t="s">
        <v>4</v>
      </c>
      <c r="B3" s="8"/>
      <c r="C3" s="9"/>
      <c r="D3" s="9"/>
      <c r="E3" s="9"/>
      <c r="F3" s="9"/>
      <c r="G3" s="9"/>
      <c r="H3" s="124" t="s">
        <v>841</v>
      </c>
      <c r="I3" s="9"/>
      <c r="J3" s="14"/>
    </row>
    <row r="4" spans="1:10" ht="18" x14ac:dyDescent="0.4">
      <c r="A4" s="125"/>
      <c r="B4" s="9"/>
      <c r="C4" s="9"/>
      <c r="D4" s="161" t="s">
        <v>6</v>
      </c>
      <c r="E4" s="161"/>
      <c r="F4" s="161"/>
      <c r="G4" s="161"/>
      <c r="H4" s="161"/>
      <c r="I4" s="9"/>
      <c r="J4" s="14"/>
    </row>
    <row r="5" spans="1:10" x14ac:dyDescent="0.35">
      <c r="A5" s="125"/>
      <c r="B5" s="126"/>
      <c r="C5" s="9"/>
      <c r="D5" s="124" t="s">
        <v>844</v>
      </c>
      <c r="E5" s="126"/>
      <c r="F5" s="126"/>
      <c r="G5" s="9"/>
      <c r="H5" s="9"/>
      <c r="I5" s="9"/>
      <c r="J5" s="14"/>
    </row>
    <row r="6" spans="1:10" x14ac:dyDescent="0.35">
      <c r="A6" s="125"/>
      <c r="B6" s="126"/>
      <c r="C6" s="9"/>
      <c r="D6" s="9" t="s">
        <v>7</v>
      </c>
      <c r="E6" s="126"/>
      <c r="F6" s="126"/>
      <c r="G6" s="9"/>
      <c r="H6" s="9"/>
      <c r="I6" s="9"/>
      <c r="J6" s="14"/>
    </row>
    <row r="7" spans="1:10" x14ac:dyDescent="0.35">
      <c r="A7" s="125"/>
      <c r="B7" s="9"/>
      <c r="C7" s="9"/>
      <c r="D7" s="9"/>
      <c r="E7" s="9"/>
      <c r="F7" s="9"/>
      <c r="G7" s="9"/>
      <c r="H7" s="9"/>
      <c r="I7" s="9"/>
      <c r="J7" s="14"/>
    </row>
    <row r="8" spans="1:10" x14ac:dyDescent="0.35">
      <c r="A8" s="125"/>
      <c r="B8" s="9"/>
      <c r="C8" s="9"/>
      <c r="D8" s="9"/>
      <c r="E8" s="9"/>
      <c r="F8" s="9"/>
      <c r="G8" s="9"/>
      <c r="H8" s="9"/>
      <c r="I8" s="9"/>
      <c r="J8" s="14"/>
    </row>
    <row r="9" spans="1:10" x14ac:dyDescent="0.35">
      <c r="A9" s="127" t="s">
        <v>8</v>
      </c>
      <c r="B9" s="128" t="s">
        <v>9</v>
      </c>
      <c r="C9" s="162" t="s">
        <v>10</v>
      </c>
      <c r="D9" s="163"/>
      <c r="E9" s="164"/>
      <c r="F9" s="165" t="s">
        <v>11</v>
      </c>
      <c r="G9" s="166"/>
      <c r="H9" s="162" t="s">
        <v>12</v>
      </c>
      <c r="I9" s="163"/>
      <c r="J9" s="167"/>
    </row>
    <row r="10" spans="1:10" x14ac:dyDescent="0.35">
      <c r="A10" s="129"/>
      <c r="B10" s="130"/>
      <c r="C10" s="131" t="s">
        <v>842</v>
      </c>
      <c r="D10" s="132" t="s">
        <v>14</v>
      </c>
      <c r="E10" s="133" t="s">
        <v>20</v>
      </c>
      <c r="F10" s="132" t="s">
        <v>16</v>
      </c>
      <c r="G10" s="132" t="s">
        <v>17</v>
      </c>
      <c r="H10" s="131" t="s">
        <v>18</v>
      </c>
      <c r="I10" s="132" t="s">
        <v>19</v>
      </c>
      <c r="J10" s="134" t="s">
        <v>20</v>
      </c>
    </row>
    <row r="11" spans="1:10" x14ac:dyDescent="0.35">
      <c r="A11" s="135">
        <v>43102</v>
      </c>
      <c r="B11" s="99" t="s">
        <v>843</v>
      </c>
      <c r="C11" s="136">
        <v>416528</v>
      </c>
      <c r="D11" s="136"/>
      <c r="E11" s="136">
        <f>+C11</f>
        <v>416528</v>
      </c>
      <c r="F11" s="136">
        <f>+H11/C11</f>
        <v>5.0348235892905158E-2</v>
      </c>
      <c r="G11" s="137"/>
      <c r="H11" s="138">
        <v>20971.45</v>
      </c>
      <c r="I11" s="136"/>
      <c r="J11" s="139">
        <f>+H11</f>
        <v>20971.45</v>
      </c>
    </row>
    <row r="12" spans="1:10" x14ac:dyDescent="0.35">
      <c r="A12" s="140"/>
      <c r="B12" s="141"/>
      <c r="C12" s="142"/>
      <c r="D12" s="142"/>
      <c r="E12" s="142"/>
      <c r="F12" s="142"/>
      <c r="G12" s="142"/>
      <c r="H12" s="142"/>
      <c r="I12" s="142"/>
      <c r="J12" s="143"/>
    </row>
    <row r="13" spans="1:10" ht="15" thickBot="1" x14ac:dyDescent="0.4">
      <c r="A13" s="144"/>
      <c r="B13" s="145"/>
      <c r="C13" s="146"/>
      <c r="D13" s="146"/>
      <c r="E13" s="146"/>
      <c r="F13" s="146"/>
      <c r="G13" s="146"/>
      <c r="H13" s="146"/>
      <c r="I13" s="146"/>
      <c r="J13" s="147"/>
    </row>
    <row r="14" spans="1:10" s="9" customFormat="1" x14ac:dyDescent="0.35">
      <c r="A14" s="148"/>
      <c r="B14" s="149"/>
      <c r="C14" s="150"/>
      <c r="D14" s="150"/>
      <c r="E14" s="150"/>
      <c r="F14" s="150"/>
      <c r="G14" s="150"/>
      <c r="H14" s="150"/>
      <c r="I14" s="150"/>
      <c r="J14" s="150"/>
    </row>
    <row r="15" spans="1:10" s="9" customFormat="1" x14ac:dyDescent="0.35">
      <c r="A15" s="148"/>
      <c r="B15" s="149"/>
      <c r="C15" s="150"/>
      <c r="D15" s="150"/>
      <c r="E15" s="150"/>
      <c r="F15" s="150"/>
      <c r="G15" s="150"/>
      <c r="H15" s="150"/>
      <c r="I15" s="150"/>
      <c r="J15" s="150"/>
    </row>
    <row r="16" spans="1:10" s="9" customFormat="1" x14ac:dyDescent="0.35">
      <c r="A16" s="57" t="s">
        <v>23</v>
      </c>
      <c r="B16" s="5"/>
      <c r="C16" s="4"/>
      <c r="D16" s="4"/>
      <c r="E16" s="4"/>
      <c r="F16" s="4"/>
      <c r="G16" s="1"/>
      <c r="H16" s="1"/>
      <c r="I16" s="1"/>
      <c r="J16" s="1"/>
    </row>
    <row r="17" spans="1:10" s="9" customFormat="1" x14ac:dyDescent="0.35">
      <c r="A17" s="57" t="s">
        <v>669</v>
      </c>
      <c r="B17" s="5"/>
      <c r="C17" s="4"/>
      <c r="D17" s="4"/>
      <c r="E17" s="4"/>
      <c r="F17" s="4"/>
      <c r="G17" s="1"/>
      <c r="H17" s="1"/>
      <c r="I17" s="1"/>
      <c r="J17" s="58">
        <f>+J11</f>
        <v>20971.45</v>
      </c>
    </row>
    <row r="18" spans="1:10" s="9" customFormat="1" x14ac:dyDescent="0.35">
      <c r="A18" s="57" t="s">
        <v>24</v>
      </c>
      <c r="B18" s="5"/>
      <c r="C18" s="4"/>
      <c r="D18" s="4"/>
      <c r="E18" s="4"/>
      <c r="F18" s="4"/>
      <c r="G18" s="1"/>
      <c r="H18" s="1"/>
      <c r="I18" s="1"/>
      <c r="J18" s="59">
        <f>+J11</f>
        <v>20971.45</v>
      </c>
    </row>
    <row r="19" spans="1:10" s="9" customFormat="1" ht="15" thickBot="1" x14ac:dyDescent="0.4">
      <c r="A19" s="57"/>
      <c r="B19" s="5" t="s">
        <v>25</v>
      </c>
      <c r="C19" s="4"/>
      <c r="D19" s="4"/>
      <c r="E19" s="4"/>
      <c r="F19" s="4"/>
      <c r="G19" s="1"/>
      <c r="H19" s="1"/>
      <c r="I19" s="1"/>
      <c r="J19" s="60">
        <f>+J17-J18</f>
        <v>0</v>
      </c>
    </row>
    <row r="20" spans="1:10" s="9" customFormat="1" ht="15" thickTop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s="9" customFormat="1" x14ac:dyDescent="0.35">
      <c r="A21" s="148"/>
      <c r="B21" s="149"/>
      <c r="C21" s="150"/>
      <c r="D21" s="150"/>
      <c r="E21" s="150"/>
      <c r="F21" s="150"/>
      <c r="G21" s="150"/>
      <c r="H21" s="150"/>
      <c r="I21" s="150"/>
      <c r="J21" s="150"/>
    </row>
    <row r="22" spans="1:10" s="9" customFormat="1" x14ac:dyDescent="0.35">
      <c r="A22" s="148"/>
      <c r="B22" s="149"/>
      <c r="C22" s="150"/>
      <c r="D22" s="150"/>
      <c r="E22" s="150"/>
      <c r="F22" s="150"/>
      <c r="G22" s="150"/>
      <c r="H22" s="150"/>
      <c r="I22" s="150"/>
      <c r="J22" s="150"/>
    </row>
    <row r="23" spans="1:10" s="9" customFormat="1" x14ac:dyDescent="0.35">
      <c r="A23" s="148"/>
      <c r="C23" s="150"/>
      <c r="D23" s="150"/>
      <c r="E23" s="150"/>
      <c r="F23" s="150"/>
      <c r="G23" s="150"/>
      <c r="H23" s="150"/>
      <c r="I23" s="150"/>
      <c r="J23" s="150"/>
    </row>
    <row r="24" spans="1:10" s="9" customFormat="1" x14ac:dyDescent="0.35">
      <c r="A24" s="148"/>
      <c r="C24" s="150"/>
      <c r="D24" s="150"/>
      <c r="E24" s="150"/>
      <c r="F24" s="150"/>
      <c r="G24" s="150"/>
      <c r="H24" s="150"/>
      <c r="I24" s="150"/>
      <c r="J24" s="150"/>
    </row>
    <row r="25" spans="1:10" s="9" customFormat="1" x14ac:dyDescent="0.35">
      <c r="A25" s="148"/>
      <c r="B25" s="149"/>
      <c r="C25" s="150"/>
      <c r="D25" s="150"/>
      <c r="E25" s="150"/>
      <c r="F25" s="150"/>
      <c r="G25" s="150"/>
      <c r="H25" s="150"/>
      <c r="I25" s="150"/>
      <c r="J25" s="150"/>
    </row>
    <row r="26" spans="1:10" s="9" customFormat="1" x14ac:dyDescent="0.35">
      <c r="A26" s="148"/>
      <c r="B26" s="149"/>
      <c r="C26" s="150"/>
      <c r="D26" s="150"/>
      <c r="E26" s="150"/>
      <c r="F26" s="150"/>
      <c r="G26" s="150"/>
      <c r="H26" s="150"/>
      <c r="I26" s="150"/>
      <c r="J26" s="150"/>
    </row>
    <row r="27" spans="1:10" s="9" customFormat="1" x14ac:dyDescent="0.35">
      <c r="A27" s="148"/>
      <c r="B27" s="149"/>
      <c r="C27" s="150"/>
      <c r="D27" s="150"/>
      <c r="E27" s="150"/>
      <c r="F27" s="150"/>
      <c r="G27" s="150"/>
      <c r="H27" s="150"/>
      <c r="I27" s="150"/>
      <c r="J27" s="150"/>
    </row>
    <row r="28" spans="1:10" s="9" customFormat="1" x14ac:dyDescent="0.35">
      <c r="A28" s="148"/>
      <c r="B28" s="149"/>
      <c r="C28" s="150"/>
      <c r="D28" s="150"/>
      <c r="E28" s="150"/>
      <c r="F28" s="150"/>
      <c r="G28" s="150"/>
      <c r="H28" s="150"/>
      <c r="I28" s="150"/>
      <c r="J28" s="150"/>
    </row>
    <row r="29" spans="1:10" s="9" customFormat="1" x14ac:dyDescent="0.35">
      <c r="A29" s="148"/>
      <c r="B29" s="149"/>
      <c r="C29" s="150"/>
      <c r="D29" s="150"/>
      <c r="E29" s="150"/>
      <c r="F29" s="150"/>
      <c r="G29" s="150"/>
      <c r="H29" s="150"/>
      <c r="I29" s="150"/>
      <c r="J29" s="150"/>
    </row>
    <row r="30" spans="1:10" s="9" customFormat="1" x14ac:dyDescent="0.35">
      <c r="A30" s="148"/>
      <c r="B30" s="149"/>
      <c r="C30" s="150"/>
      <c r="D30" s="150"/>
      <c r="E30" s="150"/>
      <c r="F30" s="150"/>
      <c r="G30" s="150"/>
      <c r="H30" s="150"/>
      <c r="I30" s="150"/>
      <c r="J30" s="150"/>
    </row>
    <row r="31" spans="1:10" s="9" customFormat="1" x14ac:dyDescent="0.35">
      <c r="A31" s="148"/>
      <c r="B31" s="149"/>
      <c r="C31" s="150"/>
      <c r="D31" s="150"/>
      <c r="E31" s="150"/>
      <c r="F31" s="150"/>
      <c r="G31" s="150"/>
      <c r="H31" s="150"/>
      <c r="I31" s="150"/>
      <c r="J31" s="150"/>
    </row>
    <row r="32" spans="1:10" s="9" customFormat="1" x14ac:dyDescent="0.35">
      <c r="A32" s="148"/>
      <c r="B32" s="149"/>
      <c r="C32" s="150"/>
      <c r="D32" s="150"/>
      <c r="E32" s="150"/>
      <c r="F32" s="150"/>
      <c r="G32" s="150"/>
      <c r="H32" s="150"/>
      <c r="I32" s="150"/>
      <c r="J32" s="150"/>
    </row>
    <row r="33" spans="1:10" s="9" customFormat="1" x14ac:dyDescent="0.35">
      <c r="A33" s="148"/>
      <c r="B33" s="149"/>
      <c r="C33" s="150"/>
      <c r="D33" s="150"/>
      <c r="E33" s="150"/>
      <c r="F33" s="150"/>
      <c r="G33" s="150"/>
      <c r="H33" s="150"/>
      <c r="I33" s="150"/>
      <c r="J33" s="150"/>
    </row>
    <row r="34" spans="1:10" s="9" customFormat="1" x14ac:dyDescent="0.35">
      <c r="A34" s="148"/>
      <c r="B34" s="149"/>
      <c r="C34" s="150"/>
      <c r="D34" s="150"/>
      <c r="E34" s="150"/>
      <c r="F34" s="150"/>
      <c r="G34" s="150"/>
      <c r="H34" s="150"/>
      <c r="I34" s="150"/>
      <c r="J34" s="150"/>
    </row>
    <row r="35" spans="1:10" s="9" customFormat="1" x14ac:dyDescent="0.35">
      <c r="A35" s="148"/>
      <c r="B35" s="149"/>
      <c r="C35" s="150"/>
      <c r="D35" s="150"/>
      <c r="E35" s="150"/>
      <c r="F35" s="150"/>
      <c r="G35" s="150"/>
      <c r="H35" s="150"/>
      <c r="I35" s="150"/>
      <c r="J35" s="150"/>
    </row>
    <row r="36" spans="1:10" s="9" customFormat="1" x14ac:dyDescent="0.35">
      <c r="A36" s="148"/>
      <c r="B36" s="149"/>
      <c r="C36" s="150"/>
      <c r="D36" s="150"/>
      <c r="E36" s="150"/>
      <c r="F36" s="150"/>
      <c r="G36" s="150"/>
      <c r="H36" s="150"/>
      <c r="I36" s="150"/>
      <c r="J36" s="150"/>
    </row>
    <row r="37" spans="1:10" s="9" customFormat="1" x14ac:dyDescent="0.35">
      <c r="A37" s="148"/>
      <c r="B37" s="149"/>
      <c r="C37" s="150"/>
      <c r="D37" s="150"/>
      <c r="E37" s="150"/>
      <c r="F37" s="150"/>
      <c r="G37" s="150"/>
      <c r="H37" s="150"/>
      <c r="I37" s="150"/>
      <c r="J37" s="150"/>
    </row>
    <row r="38" spans="1:10" s="9" customFormat="1" x14ac:dyDescent="0.35">
      <c r="A38" s="148"/>
      <c r="B38" s="149"/>
      <c r="C38" s="150"/>
      <c r="D38" s="150"/>
      <c r="E38" s="150"/>
      <c r="F38" s="150"/>
      <c r="G38" s="150"/>
      <c r="H38" s="150"/>
      <c r="I38" s="150"/>
      <c r="J38" s="150"/>
    </row>
    <row r="39" spans="1:10" s="9" customFormat="1" x14ac:dyDescent="0.35">
      <c r="A39" s="148"/>
      <c r="B39" s="149"/>
      <c r="C39" s="150"/>
      <c r="D39" s="150"/>
      <c r="E39" s="150"/>
      <c r="F39" s="150"/>
      <c r="G39" s="150"/>
      <c r="H39" s="150"/>
      <c r="I39" s="150"/>
      <c r="J39" s="150"/>
    </row>
    <row r="40" spans="1:10" s="9" customFormat="1" x14ac:dyDescent="0.35">
      <c r="A40" s="148"/>
      <c r="B40" s="149"/>
      <c r="C40" s="150"/>
      <c r="D40" s="150"/>
      <c r="E40" s="150"/>
      <c r="F40" s="150"/>
      <c r="G40" s="150"/>
      <c r="H40" s="150"/>
      <c r="I40" s="150"/>
      <c r="J40" s="150"/>
    </row>
    <row r="41" spans="1:10" s="9" customFormat="1" x14ac:dyDescent="0.35">
      <c r="A41" s="148"/>
      <c r="B41" s="149"/>
      <c r="C41" s="150"/>
      <c r="D41" s="150"/>
      <c r="E41" s="150"/>
      <c r="F41" s="150"/>
      <c r="G41" s="150"/>
      <c r="H41" s="150"/>
      <c r="I41" s="150"/>
      <c r="J41" s="150"/>
    </row>
    <row r="42" spans="1:10" s="9" customFormat="1" x14ac:dyDescent="0.35">
      <c r="A42" s="148"/>
      <c r="B42" s="149"/>
      <c r="C42" s="150"/>
      <c r="D42" s="150"/>
      <c r="E42" s="150"/>
      <c r="F42" s="150"/>
      <c r="G42" s="150"/>
      <c r="H42" s="150"/>
      <c r="I42" s="150"/>
      <c r="J42" s="150"/>
    </row>
    <row r="43" spans="1:10" s="9" customFormat="1" x14ac:dyDescent="0.35">
      <c r="A43" s="148"/>
      <c r="B43" s="149"/>
      <c r="C43" s="150"/>
      <c r="D43" s="150"/>
      <c r="E43" s="150"/>
      <c r="F43" s="150"/>
      <c r="G43" s="150"/>
      <c r="H43" s="150"/>
      <c r="I43" s="150"/>
      <c r="J43" s="150"/>
    </row>
    <row r="44" spans="1:10" s="9" customFormat="1" x14ac:dyDescent="0.35">
      <c r="A44" s="148"/>
      <c r="B44" s="149"/>
      <c r="C44" s="150"/>
      <c r="D44" s="150"/>
      <c r="E44" s="150"/>
      <c r="F44" s="150"/>
      <c r="G44" s="150"/>
      <c r="H44" s="150"/>
      <c r="I44" s="150"/>
      <c r="J44" s="150"/>
    </row>
    <row r="45" spans="1:10" s="9" customFormat="1" x14ac:dyDescent="0.35"/>
    <row r="46" spans="1:10" s="9" customFormat="1" x14ac:dyDescent="0.35"/>
    <row r="47" spans="1:10" s="9" customFormat="1" x14ac:dyDescent="0.35"/>
    <row r="48" spans="1:10" s="9" customFormat="1" x14ac:dyDescent="0.35"/>
    <row r="49" s="9" customFormat="1" x14ac:dyDescent="0.35"/>
  </sheetData>
  <mergeCells count="4">
    <mergeCell ref="D4:H4"/>
    <mergeCell ref="C9:E9"/>
    <mergeCell ref="F9:G9"/>
    <mergeCell ref="H9:J9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N114"/>
  <sheetViews>
    <sheetView topLeftCell="A94" workbookViewId="0">
      <selection activeCell="J111" sqref="J111"/>
    </sheetView>
  </sheetViews>
  <sheetFormatPr baseColWidth="10" defaultRowHeight="14.5" x14ac:dyDescent="0.35"/>
  <cols>
    <col min="2" max="2" width="32.179687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28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00"/>
      <c r="B8" s="101"/>
      <c r="C8" s="101" t="s">
        <v>13</v>
      </c>
      <c r="D8" s="102" t="s">
        <v>14</v>
      </c>
      <c r="E8" s="103" t="s">
        <v>15</v>
      </c>
      <c r="F8" s="104" t="s">
        <v>16</v>
      </c>
      <c r="G8" s="104" t="s">
        <v>17</v>
      </c>
      <c r="H8" s="102" t="s">
        <v>18</v>
      </c>
      <c r="I8" s="105" t="s">
        <v>19</v>
      </c>
      <c r="J8" s="106" t="s">
        <v>20</v>
      </c>
      <c r="K8" s="22" t="s">
        <v>21</v>
      </c>
    </row>
    <row r="9" spans="1:14" x14ac:dyDescent="0.35">
      <c r="A9" s="75">
        <v>43467</v>
      </c>
      <c r="B9" s="68" t="s">
        <v>22</v>
      </c>
      <c r="C9" s="25"/>
      <c r="D9" s="26"/>
      <c r="E9" s="27" t="e">
        <f>+#REF!</f>
        <v>#REF!</v>
      </c>
      <c r="F9" s="26" t="e">
        <f>+H9/E9</f>
        <v>#REF!</v>
      </c>
      <c r="G9" s="26"/>
      <c r="H9" s="28" t="e">
        <f>+#REF!</f>
        <v>#REF!</v>
      </c>
      <c r="I9" s="29"/>
      <c r="J9" s="29" t="e">
        <f>+H9</f>
        <v>#REF!</v>
      </c>
      <c r="K9" s="91"/>
    </row>
    <row r="10" spans="1:14" s="71" customFormat="1" x14ac:dyDescent="0.35">
      <c r="A10" s="75">
        <v>43470</v>
      </c>
      <c r="B10" s="68" t="s">
        <v>40</v>
      </c>
      <c r="C10" s="26"/>
      <c r="D10" s="26">
        <v>3</v>
      </c>
      <c r="E10" s="42" t="e">
        <f>+E9-D10</f>
        <v>#REF!</v>
      </c>
      <c r="F10" s="43"/>
      <c r="G10" s="26" t="e">
        <f>+J9/E9</f>
        <v>#REF!</v>
      </c>
      <c r="H10" s="43"/>
      <c r="I10" s="26" t="e">
        <f>+D10*G10</f>
        <v>#REF!</v>
      </c>
      <c r="J10" s="26" t="e">
        <f>+J9-I10</f>
        <v>#REF!</v>
      </c>
      <c r="K10" s="68"/>
    </row>
    <row r="11" spans="1:14" s="71" customFormat="1" x14ac:dyDescent="0.35">
      <c r="A11" s="75">
        <v>43477</v>
      </c>
      <c r="B11" s="68" t="s">
        <v>61</v>
      </c>
      <c r="C11" s="26"/>
      <c r="D11" s="26">
        <f>6*2.1</f>
        <v>12.600000000000001</v>
      </c>
      <c r="E11" s="42" t="e">
        <f t="shared" ref="E11:E30" si="0">+E10-D11</f>
        <v>#REF!</v>
      </c>
      <c r="F11" s="43"/>
      <c r="G11" s="26" t="e">
        <f t="shared" ref="G11:G30" si="1">+J10/E10</f>
        <v>#REF!</v>
      </c>
      <c r="H11" s="43"/>
      <c r="I11" s="26" t="e">
        <f t="shared" ref="I11:I30" si="2">+D11*G11</f>
        <v>#REF!</v>
      </c>
      <c r="J11" s="26" t="e">
        <f t="shared" ref="J11:J30" si="3">+J10-I11</f>
        <v>#REF!</v>
      </c>
      <c r="K11" s="68"/>
    </row>
    <row r="12" spans="1:14" s="71" customFormat="1" x14ac:dyDescent="0.35">
      <c r="A12" s="75">
        <v>43480</v>
      </c>
      <c r="B12" s="68" t="s">
        <v>71</v>
      </c>
      <c r="C12" s="26"/>
      <c r="D12" s="26">
        <f>5*3.6+8*3.75</f>
        <v>48</v>
      </c>
      <c r="E12" s="42" t="e">
        <f t="shared" si="0"/>
        <v>#REF!</v>
      </c>
      <c r="F12" s="43"/>
      <c r="G12" s="26" t="e">
        <f t="shared" si="1"/>
        <v>#REF!</v>
      </c>
      <c r="H12" s="43"/>
      <c r="I12" s="26" t="e">
        <f t="shared" si="2"/>
        <v>#REF!</v>
      </c>
      <c r="J12" s="26" t="e">
        <f t="shared" si="3"/>
        <v>#REF!</v>
      </c>
      <c r="K12" s="68"/>
    </row>
    <row r="13" spans="1:14" s="37" customFormat="1" x14ac:dyDescent="0.35">
      <c r="A13" s="107">
        <v>43480</v>
      </c>
      <c r="B13" s="32" t="s">
        <v>72</v>
      </c>
      <c r="C13" s="33"/>
      <c r="D13" s="33">
        <f>10*4.7</f>
        <v>47</v>
      </c>
      <c r="E13" s="85" t="e">
        <f t="shared" si="0"/>
        <v>#REF!</v>
      </c>
      <c r="F13" s="86"/>
      <c r="G13" s="33" t="e">
        <f t="shared" si="1"/>
        <v>#REF!</v>
      </c>
      <c r="H13" s="86"/>
      <c r="I13" s="33" t="e">
        <f t="shared" si="2"/>
        <v>#REF!</v>
      </c>
      <c r="J13" s="33" t="e">
        <f t="shared" si="3"/>
        <v>#REF!</v>
      </c>
      <c r="K13" s="32"/>
      <c r="L13" s="35" t="e">
        <f>SUM(I10:I13)</f>
        <v>#REF!</v>
      </c>
      <c r="M13" s="114"/>
      <c r="N13" s="36">
        <v>43480</v>
      </c>
    </row>
    <row r="14" spans="1:14" s="71" customFormat="1" x14ac:dyDescent="0.35">
      <c r="A14" s="76">
        <v>43481</v>
      </c>
      <c r="B14" s="68" t="s">
        <v>75</v>
      </c>
      <c r="C14" s="69"/>
      <c r="D14" s="74">
        <v>0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68"/>
      <c r="L14" s="98"/>
      <c r="M14" s="98"/>
      <c r="N14" s="98"/>
    </row>
    <row r="15" spans="1:14" s="71" customFormat="1" x14ac:dyDescent="0.35">
      <c r="A15" s="76">
        <v>43481</v>
      </c>
      <c r="B15" s="68" t="s">
        <v>76</v>
      </c>
      <c r="C15" s="69"/>
      <c r="D15" s="74">
        <f>2*4.65+11*4.3+11*4.2</f>
        <v>102.8</v>
      </c>
      <c r="E15" s="42" t="e">
        <f t="shared" si="0"/>
        <v>#REF!</v>
      </c>
      <c r="F15" s="43"/>
      <c r="G15" s="26" t="e">
        <f t="shared" si="1"/>
        <v>#REF!</v>
      </c>
      <c r="H15" s="43"/>
      <c r="I15" s="26" t="e">
        <f t="shared" si="2"/>
        <v>#REF!</v>
      </c>
      <c r="J15" s="26" t="e">
        <f t="shared" si="3"/>
        <v>#REF!</v>
      </c>
      <c r="K15" s="68"/>
      <c r="L15" s="98"/>
      <c r="M15" s="98"/>
      <c r="N15" s="98"/>
    </row>
    <row r="16" spans="1:14" s="71" customFormat="1" x14ac:dyDescent="0.35">
      <c r="A16" s="76">
        <v>43482</v>
      </c>
      <c r="B16" s="68" t="s">
        <v>83</v>
      </c>
      <c r="C16" s="69"/>
      <c r="D16" s="74">
        <f>4*1.6</f>
        <v>6.4</v>
      </c>
      <c r="E16" s="42" t="e">
        <f t="shared" si="0"/>
        <v>#REF!</v>
      </c>
      <c r="F16" s="43"/>
      <c r="G16" s="26" t="e">
        <f t="shared" si="1"/>
        <v>#REF!</v>
      </c>
      <c r="H16" s="43"/>
      <c r="I16" s="26" t="e">
        <f t="shared" si="2"/>
        <v>#REF!</v>
      </c>
      <c r="J16" s="26" t="e">
        <f t="shared" si="3"/>
        <v>#REF!</v>
      </c>
      <c r="K16" s="68"/>
      <c r="L16" s="98"/>
      <c r="M16" s="98"/>
      <c r="N16" s="98"/>
    </row>
    <row r="17" spans="1:14" s="71" customFormat="1" x14ac:dyDescent="0.35">
      <c r="A17" s="76">
        <v>43488</v>
      </c>
      <c r="B17" s="68" t="s">
        <v>114</v>
      </c>
      <c r="C17" s="69"/>
      <c r="D17" s="74">
        <f>13*1.45</f>
        <v>18.849999999999998</v>
      </c>
      <c r="E17" s="42" t="e">
        <f t="shared" si="0"/>
        <v>#REF!</v>
      </c>
      <c r="F17" s="43"/>
      <c r="G17" s="26" t="e">
        <f t="shared" si="1"/>
        <v>#REF!</v>
      </c>
      <c r="H17" s="43"/>
      <c r="I17" s="26" t="e">
        <f t="shared" si="2"/>
        <v>#REF!</v>
      </c>
      <c r="J17" s="26" t="e">
        <f t="shared" si="3"/>
        <v>#REF!</v>
      </c>
      <c r="K17" s="68"/>
      <c r="L17" s="98"/>
      <c r="M17" s="98"/>
      <c r="N17" s="98"/>
    </row>
    <row r="18" spans="1:14" s="37" customFormat="1" x14ac:dyDescent="0.35">
      <c r="A18" s="88">
        <v>43496</v>
      </c>
      <c r="B18" s="32" t="s">
        <v>136</v>
      </c>
      <c r="C18" s="39"/>
      <c r="D18" s="40">
        <f>12*1.1</f>
        <v>13.200000000000001</v>
      </c>
      <c r="E18" s="85" t="e">
        <f t="shared" si="0"/>
        <v>#REF!</v>
      </c>
      <c r="F18" s="86"/>
      <c r="G18" s="33" t="e">
        <f t="shared" si="1"/>
        <v>#REF!</v>
      </c>
      <c r="H18" s="86"/>
      <c r="I18" s="33" t="e">
        <f t="shared" si="2"/>
        <v>#REF!</v>
      </c>
      <c r="J18" s="33" t="e">
        <f t="shared" si="3"/>
        <v>#REF!</v>
      </c>
      <c r="K18" s="32"/>
      <c r="L18" s="35" t="e">
        <f>SUM(I14:I18)</f>
        <v>#REF!</v>
      </c>
      <c r="M18" s="35" t="e">
        <f>SUM(L13:L18)</f>
        <v>#REF!</v>
      </c>
      <c r="N18" s="36">
        <v>43496</v>
      </c>
    </row>
    <row r="19" spans="1:14" s="37" customFormat="1" x14ac:dyDescent="0.35">
      <c r="A19" s="107">
        <v>43502</v>
      </c>
      <c r="B19" s="32" t="s">
        <v>160</v>
      </c>
      <c r="C19" s="33"/>
      <c r="D19" s="33">
        <f>12*5.4</f>
        <v>64.800000000000011</v>
      </c>
      <c r="E19" s="85" t="e">
        <f t="shared" si="0"/>
        <v>#REF!</v>
      </c>
      <c r="F19" s="86"/>
      <c r="G19" s="33" t="e">
        <f t="shared" si="1"/>
        <v>#REF!</v>
      </c>
      <c r="H19" s="86"/>
      <c r="I19" s="33" t="e">
        <f t="shared" si="2"/>
        <v>#REF!</v>
      </c>
      <c r="J19" s="33" t="e">
        <f t="shared" si="3"/>
        <v>#REF!</v>
      </c>
      <c r="K19" s="32"/>
      <c r="L19" s="35" t="e">
        <f>SUM(I19)</f>
        <v>#REF!</v>
      </c>
      <c r="M19" s="35" t="e">
        <f>SUM(L19)</f>
        <v>#REF!</v>
      </c>
      <c r="N19" s="36">
        <v>43511</v>
      </c>
    </row>
    <row r="20" spans="1:14" s="37" customFormat="1" x14ac:dyDescent="0.35">
      <c r="A20" s="107">
        <v>43532</v>
      </c>
      <c r="B20" s="32" t="s">
        <v>217</v>
      </c>
      <c r="C20" s="33"/>
      <c r="D20" s="33">
        <f>15*3</f>
        <v>45</v>
      </c>
      <c r="E20" s="85" t="e">
        <f t="shared" ref="E20" si="4">+E19-D20</f>
        <v>#REF!</v>
      </c>
      <c r="F20" s="86"/>
      <c r="G20" s="33" t="e">
        <f t="shared" ref="G20" si="5">+J19/E19</f>
        <v>#REF!</v>
      </c>
      <c r="H20" s="86"/>
      <c r="I20" s="33" t="e">
        <f t="shared" ref="I20" si="6">+D20*G20</f>
        <v>#REF!</v>
      </c>
      <c r="J20" s="33" t="e">
        <f t="shared" ref="J20" si="7">+J19-I20</f>
        <v>#REF!</v>
      </c>
      <c r="K20" s="32"/>
      <c r="L20" s="35" t="e">
        <f>SUM(I20)</f>
        <v>#REF!</v>
      </c>
      <c r="M20" s="114"/>
      <c r="N20" s="36">
        <v>43539</v>
      </c>
    </row>
    <row r="21" spans="1:14" s="71" customFormat="1" x14ac:dyDescent="0.35">
      <c r="A21" s="75">
        <v>43542</v>
      </c>
      <c r="B21" s="68" t="s">
        <v>235</v>
      </c>
      <c r="C21" s="26"/>
      <c r="D21" s="26">
        <f>7*4.9+5*4.8+4.2+3.4+2.62+1.85+1.1+4.55</f>
        <v>76.02</v>
      </c>
      <c r="E21" s="42" t="e">
        <f t="shared" si="0"/>
        <v>#REF!</v>
      </c>
      <c r="F21" s="43"/>
      <c r="G21" s="26" t="e">
        <f t="shared" si="1"/>
        <v>#REF!</v>
      </c>
      <c r="H21" s="43"/>
      <c r="I21" s="26" t="e">
        <f t="shared" si="2"/>
        <v>#REF!</v>
      </c>
      <c r="J21" s="26" t="e">
        <f t="shared" si="3"/>
        <v>#REF!</v>
      </c>
      <c r="K21" s="68"/>
      <c r="L21" s="98"/>
      <c r="M21" s="98"/>
      <c r="N21" s="98"/>
    </row>
    <row r="22" spans="1:14" s="71" customFormat="1" x14ac:dyDescent="0.35">
      <c r="A22" s="75">
        <v>43542</v>
      </c>
      <c r="B22" s="68" t="s">
        <v>236</v>
      </c>
      <c r="C22" s="26"/>
      <c r="D22" s="26">
        <f>3.72+2.9+2.1+1.25+2*1.8+4</f>
        <v>17.57</v>
      </c>
      <c r="E22" s="42" t="e">
        <f t="shared" si="0"/>
        <v>#REF!</v>
      </c>
      <c r="F22" s="43"/>
      <c r="G22" s="26" t="e">
        <f t="shared" si="1"/>
        <v>#REF!</v>
      </c>
      <c r="H22" s="43"/>
      <c r="I22" s="26" t="e">
        <f t="shared" si="2"/>
        <v>#REF!</v>
      </c>
      <c r="J22" s="26" t="e">
        <f t="shared" si="3"/>
        <v>#REF!</v>
      </c>
      <c r="K22" s="68"/>
      <c r="L22" s="98"/>
      <c r="M22" s="98"/>
      <c r="N22" s="98"/>
    </row>
    <row r="23" spans="1:14" s="71" customFormat="1" x14ac:dyDescent="0.35">
      <c r="A23" s="75">
        <v>43545</v>
      </c>
      <c r="B23" s="68" t="s">
        <v>241</v>
      </c>
      <c r="C23" s="26"/>
      <c r="D23" s="26">
        <f>2*2.5</f>
        <v>5</v>
      </c>
      <c r="E23" s="42" t="e">
        <f t="shared" si="0"/>
        <v>#REF!</v>
      </c>
      <c r="F23" s="43"/>
      <c r="G23" s="26" t="e">
        <f t="shared" si="1"/>
        <v>#REF!</v>
      </c>
      <c r="H23" s="43"/>
      <c r="I23" s="26" t="e">
        <f t="shared" si="2"/>
        <v>#REF!</v>
      </c>
      <c r="J23" s="26" t="e">
        <f t="shared" si="3"/>
        <v>#REF!</v>
      </c>
      <c r="K23" s="68"/>
      <c r="L23" s="98"/>
      <c r="M23" s="98"/>
      <c r="N23" s="98"/>
    </row>
    <row r="24" spans="1:14" s="71" customFormat="1" x14ac:dyDescent="0.35">
      <c r="A24" s="75">
        <v>43547</v>
      </c>
      <c r="B24" s="68" t="s">
        <v>245</v>
      </c>
      <c r="C24" s="26"/>
      <c r="D24" s="26">
        <f>4*1.2</f>
        <v>4.8</v>
      </c>
      <c r="E24" s="42" t="e">
        <f t="shared" si="0"/>
        <v>#REF!</v>
      </c>
      <c r="F24" s="43"/>
      <c r="G24" s="26" t="e">
        <f t="shared" si="1"/>
        <v>#REF!</v>
      </c>
      <c r="H24" s="43"/>
      <c r="I24" s="26" t="e">
        <f t="shared" si="2"/>
        <v>#REF!</v>
      </c>
      <c r="J24" s="26" t="e">
        <f t="shared" si="3"/>
        <v>#REF!</v>
      </c>
      <c r="K24" s="68"/>
      <c r="L24" s="98"/>
      <c r="M24" s="98"/>
      <c r="N24" s="98"/>
    </row>
    <row r="25" spans="1:14" s="71" customFormat="1" x14ac:dyDescent="0.35">
      <c r="A25" s="75">
        <v>43547</v>
      </c>
      <c r="B25" s="68" t="s">
        <v>249</v>
      </c>
      <c r="C25" s="26"/>
      <c r="D25" s="26">
        <v>1</v>
      </c>
      <c r="E25" s="42" t="e">
        <f t="shared" si="0"/>
        <v>#REF!</v>
      </c>
      <c r="F25" s="43"/>
      <c r="G25" s="26" t="e">
        <f t="shared" si="1"/>
        <v>#REF!</v>
      </c>
      <c r="H25" s="43"/>
      <c r="I25" s="26" t="e">
        <f t="shared" si="2"/>
        <v>#REF!</v>
      </c>
      <c r="J25" s="26" t="e">
        <f t="shared" si="3"/>
        <v>#REF!</v>
      </c>
      <c r="K25" s="68"/>
      <c r="L25" s="98"/>
      <c r="M25" s="98"/>
      <c r="N25" s="98"/>
    </row>
    <row r="26" spans="1:14" s="37" customFormat="1" x14ac:dyDescent="0.35">
      <c r="A26" s="107">
        <v>43549</v>
      </c>
      <c r="B26" s="32" t="s">
        <v>251</v>
      </c>
      <c r="C26" s="33"/>
      <c r="D26" s="33">
        <f>15*5.6</f>
        <v>84</v>
      </c>
      <c r="E26" s="85" t="e">
        <f t="shared" si="0"/>
        <v>#REF!</v>
      </c>
      <c r="F26" s="86"/>
      <c r="G26" s="33" t="e">
        <f t="shared" si="1"/>
        <v>#REF!</v>
      </c>
      <c r="H26" s="86"/>
      <c r="I26" s="33" t="e">
        <f t="shared" si="2"/>
        <v>#REF!</v>
      </c>
      <c r="J26" s="33" t="e">
        <f t="shared" si="3"/>
        <v>#REF!</v>
      </c>
      <c r="K26" s="32"/>
      <c r="L26" s="35" t="e">
        <f>SUM(I21:I26)</f>
        <v>#REF!</v>
      </c>
      <c r="M26" s="35" t="e">
        <f>SUM(L20:L26)</f>
        <v>#REF!</v>
      </c>
      <c r="N26" s="36">
        <v>43555</v>
      </c>
    </row>
    <row r="27" spans="1:14" s="71" customFormat="1" x14ac:dyDescent="0.35">
      <c r="A27" s="75">
        <v>43556</v>
      </c>
      <c r="B27" s="68" t="s">
        <v>263</v>
      </c>
      <c r="C27" s="26"/>
      <c r="D27" s="26">
        <f>19*5.45+9*4.9</f>
        <v>147.65</v>
      </c>
      <c r="E27" s="42" t="e">
        <f t="shared" si="0"/>
        <v>#REF!</v>
      </c>
      <c r="F27" s="43"/>
      <c r="G27" s="26" t="e">
        <f t="shared" si="1"/>
        <v>#REF!</v>
      </c>
      <c r="H27" s="43"/>
      <c r="I27" s="26" t="e">
        <f t="shared" si="2"/>
        <v>#REF!</v>
      </c>
      <c r="J27" s="26" t="e">
        <f t="shared" si="3"/>
        <v>#REF!</v>
      </c>
      <c r="K27" s="68"/>
      <c r="L27" s="98"/>
      <c r="M27" s="98"/>
      <c r="N27" s="98"/>
    </row>
    <row r="28" spans="1:14" s="71" customFormat="1" x14ac:dyDescent="0.35">
      <c r="A28" s="75">
        <v>43556</v>
      </c>
      <c r="B28" s="68" t="s">
        <v>267</v>
      </c>
      <c r="C28" s="26"/>
      <c r="D28" s="26">
        <f>5*7.8+5.2+6.3+6.8+7.3+7.6</f>
        <v>72.199999999999989</v>
      </c>
      <c r="E28" s="42" t="e">
        <f t="shared" si="0"/>
        <v>#REF!</v>
      </c>
      <c r="F28" s="43"/>
      <c r="G28" s="26" t="e">
        <f t="shared" si="1"/>
        <v>#REF!</v>
      </c>
      <c r="H28" s="43"/>
      <c r="I28" s="26" t="e">
        <f t="shared" si="2"/>
        <v>#REF!</v>
      </c>
      <c r="J28" s="26" t="e">
        <f t="shared" si="3"/>
        <v>#REF!</v>
      </c>
      <c r="K28" s="68"/>
      <c r="L28" s="98"/>
      <c r="M28" s="98"/>
      <c r="N28" s="98"/>
    </row>
    <row r="29" spans="1:14" s="71" customFormat="1" x14ac:dyDescent="0.35">
      <c r="A29" s="75">
        <v>43565</v>
      </c>
      <c r="B29" s="68" t="s">
        <v>285</v>
      </c>
      <c r="C29" s="26"/>
      <c r="D29" s="26">
        <f>3*6</f>
        <v>18</v>
      </c>
      <c r="E29" s="42" t="e">
        <f t="shared" si="0"/>
        <v>#REF!</v>
      </c>
      <c r="F29" s="43"/>
      <c r="G29" s="26" t="e">
        <f t="shared" si="1"/>
        <v>#REF!</v>
      </c>
      <c r="H29" s="43"/>
      <c r="I29" s="26" t="e">
        <f t="shared" si="2"/>
        <v>#REF!</v>
      </c>
      <c r="J29" s="26" t="e">
        <f t="shared" si="3"/>
        <v>#REF!</v>
      </c>
      <c r="K29" s="68"/>
      <c r="L29" s="98"/>
      <c r="M29" s="98"/>
      <c r="N29" s="98"/>
    </row>
    <row r="30" spans="1:14" s="37" customFormat="1" x14ac:dyDescent="0.35">
      <c r="A30" s="88">
        <v>43566</v>
      </c>
      <c r="B30" s="32" t="s">
        <v>288</v>
      </c>
      <c r="C30" s="40"/>
      <c r="D30" s="40">
        <f>4*5.5+9*5.5</f>
        <v>71.5</v>
      </c>
      <c r="E30" s="85" t="e">
        <f t="shared" si="0"/>
        <v>#REF!</v>
      </c>
      <c r="F30" s="86"/>
      <c r="G30" s="33" t="e">
        <f t="shared" si="1"/>
        <v>#REF!</v>
      </c>
      <c r="H30" s="86"/>
      <c r="I30" s="33" t="e">
        <f t="shared" si="2"/>
        <v>#REF!</v>
      </c>
      <c r="J30" s="33" t="e">
        <f t="shared" si="3"/>
        <v>#REF!</v>
      </c>
      <c r="K30" s="39"/>
      <c r="L30" s="35" t="e">
        <f>SUM(I27:I30)</f>
        <v>#REF!</v>
      </c>
      <c r="M30" s="114"/>
      <c r="N30" s="36">
        <v>43570</v>
      </c>
    </row>
    <row r="31" spans="1:14" s="71" customFormat="1" x14ac:dyDescent="0.35">
      <c r="A31" s="75">
        <v>43572</v>
      </c>
      <c r="B31" s="68" t="s">
        <v>298</v>
      </c>
      <c r="C31" s="26"/>
      <c r="D31" s="26">
        <v>0</v>
      </c>
      <c r="E31" s="42" t="e">
        <f t="shared" ref="E31:E54" si="8">+E30-D31</f>
        <v>#REF!</v>
      </c>
      <c r="F31" s="43"/>
      <c r="G31" s="26" t="e">
        <f t="shared" ref="G31:G63" si="9">+J30/E30</f>
        <v>#REF!</v>
      </c>
      <c r="H31" s="43"/>
      <c r="I31" s="26" t="e">
        <f t="shared" ref="I31:I54" si="10">+D31*G31</f>
        <v>#REF!</v>
      </c>
      <c r="J31" s="26" t="e">
        <f t="shared" ref="J31:J54" si="11">+J30-I31</f>
        <v>#REF!</v>
      </c>
      <c r="K31" s="68"/>
      <c r="L31" s="98"/>
      <c r="M31" s="98"/>
      <c r="N31" s="98"/>
    </row>
    <row r="32" spans="1:14" s="71" customFormat="1" x14ac:dyDescent="0.35">
      <c r="A32" s="75">
        <v>43572</v>
      </c>
      <c r="B32" s="68" t="s">
        <v>299</v>
      </c>
      <c r="C32" s="26"/>
      <c r="D32" s="26">
        <f>3*3.8+2*1.5</f>
        <v>14.399999999999999</v>
      </c>
      <c r="E32" s="42" t="e">
        <f t="shared" si="8"/>
        <v>#REF!</v>
      </c>
      <c r="F32" s="43"/>
      <c r="G32" s="26" t="e">
        <f t="shared" si="9"/>
        <v>#REF!</v>
      </c>
      <c r="H32" s="43"/>
      <c r="I32" s="26" t="e">
        <f t="shared" si="10"/>
        <v>#REF!</v>
      </c>
      <c r="J32" s="26" t="e">
        <f t="shared" si="11"/>
        <v>#REF!</v>
      </c>
      <c r="K32" s="68"/>
      <c r="L32" s="98"/>
      <c r="M32" s="98"/>
      <c r="N32" s="98"/>
    </row>
    <row r="33" spans="1:14" s="71" customFormat="1" x14ac:dyDescent="0.35">
      <c r="A33" s="75">
        <v>43573</v>
      </c>
      <c r="B33" s="68" t="s">
        <v>301</v>
      </c>
      <c r="C33" s="26"/>
      <c r="D33" s="26">
        <f>6*1.8</f>
        <v>10.8</v>
      </c>
      <c r="E33" s="42" t="e">
        <f t="shared" si="8"/>
        <v>#REF!</v>
      </c>
      <c r="F33" s="43"/>
      <c r="G33" s="26" t="e">
        <f t="shared" si="9"/>
        <v>#REF!</v>
      </c>
      <c r="H33" s="43"/>
      <c r="I33" s="26" t="e">
        <f t="shared" si="10"/>
        <v>#REF!</v>
      </c>
      <c r="J33" s="26" t="e">
        <f t="shared" si="11"/>
        <v>#REF!</v>
      </c>
      <c r="K33" s="68"/>
      <c r="L33" s="98"/>
      <c r="M33" s="98"/>
      <c r="N33" s="98"/>
    </row>
    <row r="34" spans="1:14" s="71" customFormat="1" x14ac:dyDescent="0.35">
      <c r="A34" s="75">
        <v>43578</v>
      </c>
      <c r="B34" s="68" t="s">
        <v>306</v>
      </c>
      <c r="C34" s="26"/>
      <c r="D34" s="26">
        <f>5*2.2</f>
        <v>11</v>
      </c>
      <c r="E34" s="42" t="e">
        <f t="shared" si="8"/>
        <v>#REF!</v>
      </c>
      <c r="F34" s="43"/>
      <c r="G34" s="26" t="e">
        <f t="shared" si="9"/>
        <v>#REF!</v>
      </c>
      <c r="H34" s="43"/>
      <c r="I34" s="26" t="e">
        <f t="shared" si="10"/>
        <v>#REF!</v>
      </c>
      <c r="J34" s="26" t="e">
        <f t="shared" si="11"/>
        <v>#REF!</v>
      </c>
      <c r="K34" s="68"/>
      <c r="L34" s="98"/>
      <c r="M34" s="98"/>
      <c r="N34" s="98"/>
    </row>
    <row r="35" spans="1:14" s="71" customFormat="1" x14ac:dyDescent="0.35">
      <c r="A35" s="75">
        <v>43579</v>
      </c>
      <c r="B35" s="68" t="s">
        <v>313</v>
      </c>
      <c r="C35" s="26"/>
      <c r="D35" s="26">
        <f>15*5.7</f>
        <v>85.5</v>
      </c>
      <c r="E35" s="42" t="e">
        <f t="shared" si="8"/>
        <v>#REF!</v>
      </c>
      <c r="F35" s="43"/>
      <c r="G35" s="26" t="e">
        <f t="shared" si="9"/>
        <v>#REF!</v>
      </c>
      <c r="H35" s="43"/>
      <c r="I35" s="26" t="e">
        <f t="shared" si="10"/>
        <v>#REF!</v>
      </c>
      <c r="J35" s="26" t="e">
        <f t="shared" si="11"/>
        <v>#REF!</v>
      </c>
      <c r="K35" s="68"/>
      <c r="L35" s="98"/>
      <c r="M35" s="98"/>
      <c r="N35" s="98"/>
    </row>
    <row r="36" spans="1:14" s="71" customFormat="1" x14ac:dyDescent="0.35">
      <c r="A36" s="75">
        <v>43580</v>
      </c>
      <c r="B36" s="68" t="s">
        <v>315</v>
      </c>
      <c r="C36" s="26"/>
      <c r="D36" s="26">
        <f>28*4.1+56*3.6+28*4.05</f>
        <v>429.79999999999995</v>
      </c>
      <c r="E36" s="42" t="e">
        <f t="shared" si="8"/>
        <v>#REF!</v>
      </c>
      <c r="F36" s="43"/>
      <c r="G36" s="26" t="e">
        <f t="shared" si="9"/>
        <v>#REF!</v>
      </c>
      <c r="H36" s="43"/>
      <c r="I36" s="26" t="e">
        <f t="shared" si="10"/>
        <v>#REF!</v>
      </c>
      <c r="J36" s="26" t="e">
        <f t="shared" si="11"/>
        <v>#REF!</v>
      </c>
      <c r="K36" s="68"/>
      <c r="L36" s="98"/>
      <c r="M36" s="98"/>
      <c r="N36" s="98"/>
    </row>
    <row r="37" spans="1:14" s="37" customFormat="1" x14ac:dyDescent="0.35">
      <c r="A37" s="107">
        <v>43585</v>
      </c>
      <c r="B37" s="32" t="s">
        <v>320</v>
      </c>
      <c r="C37" s="33"/>
      <c r="D37" s="33">
        <f>11*5.6</f>
        <v>61.599999999999994</v>
      </c>
      <c r="E37" s="85" t="e">
        <f t="shared" si="8"/>
        <v>#REF!</v>
      </c>
      <c r="F37" s="86"/>
      <c r="G37" s="33" t="e">
        <f t="shared" si="9"/>
        <v>#REF!</v>
      </c>
      <c r="H37" s="86"/>
      <c r="I37" s="33" t="e">
        <f t="shared" si="10"/>
        <v>#REF!</v>
      </c>
      <c r="J37" s="33" t="e">
        <f t="shared" si="11"/>
        <v>#REF!</v>
      </c>
      <c r="K37" s="32"/>
      <c r="L37" s="35" t="e">
        <f>SUM(I31:I37)</f>
        <v>#REF!</v>
      </c>
      <c r="M37" s="35" t="e">
        <f>SUM(L30:L37)</f>
        <v>#REF!</v>
      </c>
      <c r="N37" s="36">
        <v>43585</v>
      </c>
    </row>
    <row r="38" spans="1:14" s="71" customFormat="1" x14ac:dyDescent="0.35">
      <c r="A38" s="75">
        <v>43595</v>
      </c>
      <c r="B38" s="68" t="s">
        <v>336</v>
      </c>
      <c r="C38" s="26"/>
      <c r="D38" s="26">
        <f>10*3+2*2+12</f>
        <v>46</v>
      </c>
      <c r="E38" s="42" t="e">
        <f t="shared" si="8"/>
        <v>#REF!</v>
      </c>
      <c r="F38" s="43"/>
      <c r="G38" s="26" t="e">
        <f t="shared" si="9"/>
        <v>#REF!</v>
      </c>
      <c r="H38" s="43"/>
      <c r="I38" s="26" t="e">
        <f t="shared" si="10"/>
        <v>#REF!</v>
      </c>
      <c r="J38" s="26" t="e">
        <f t="shared" si="11"/>
        <v>#REF!</v>
      </c>
      <c r="K38" s="68"/>
      <c r="L38" s="98"/>
      <c r="M38" s="98"/>
      <c r="N38" s="98"/>
    </row>
    <row r="39" spans="1:14" s="71" customFormat="1" x14ac:dyDescent="0.35">
      <c r="A39" s="75">
        <v>43596</v>
      </c>
      <c r="B39" s="68" t="s">
        <v>341</v>
      </c>
      <c r="C39" s="26"/>
      <c r="D39" s="26">
        <v>3</v>
      </c>
      <c r="E39" s="42" t="e">
        <f t="shared" si="8"/>
        <v>#REF!</v>
      </c>
      <c r="F39" s="43"/>
      <c r="G39" s="26" t="e">
        <f t="shared" si="9"/>
        <v>#REF!</v>
      </c>
      <c r="H39" s="43"/>
      <c r="I39" s="26" t="e">
        <f t="shared" si="10"/>
        <v>#REF!</v>
      </c>
      <c r="J39" s="26" t="e">
        <f t="shared" si="11"/>
        <v>#REF!</v>
      </c>
      <c r="K39" s="68"/>
      <c r="L39" s="98"/>
      <c r="M39" s="98"/>
      <c r="N39" s="98"/>
    </row>
    <row r="40" spans="1:14" s="37" customFormat="1" x14ac:dyDescent="0.35">
      <c r="A40" s="107">
        <v>43596</v>
      </c>
      <c r="B40" s="32" t="s">
        <v>341</v>
      </c>
      <c r="C40" s="33"/>
      <c r="D40" s="33">
        <f>5*2.5</f>
        <v>12.5</v>
      </c>
      <c r="E40" s="85" t="e">
        <f t="shared" si="8"/>
        <v>#REF!</v>
      </c>
      <c r="F40" s="86"/>
      <c r="G40" s="33" t="e">
        <f t="shared" si="9"/>
        <v>#REF!</v>
      </c>
      <c r="H40" s="86"/>
      <c r="I40" s="33" t="e">
        <f t="shared" si="10"/>
        <v>#REF!</v>
      </c>
      <c r="J40" s="33" t="e">
        <f t="shared" si="11"/>
        <v>#REF!</v>
      </c>
      <c r="K40" s="32"/>
      <c r="L40" s="35" t="e">
        <f>SUM(I38:I40)</f>
        <v>#REF!</v>
      </c>
      <c r="M40" s="114"/>
      <c r="N40" s="36">
        <v>43600</v>
      </c>
    </row>
    <row r="41" spans="1:14" s="71" customFormat="1" x14ac:dyDescent="0.35">
      <c r="A41" s="75">
        <v>43610</v>
      </c>
      <c r="B41" s="68" t="s">
        <v>366</v>
      </c>
      <c r="C41" s="26"/>
      <c r="D41" s="26">
        <f>15*4.8</f>
        <v>72</v>
      </c>
      <c r="E41" s="42" t="e">
        <f t="shared" si="8"/>
        <v>#REF!</v>
      </c>
      <c r="F41" s="43"/>
      <c r="G41" s="26" t="e">
        <f t="shared" si="9"/>
        <v>#REF!</v>
      </c>
      <c r="H41" s="43"/>
      <c r="I41" s="26" t="e">
        <f t="shared" si="10"/>
        <v>#REF!</v>
      </c>
      <c r="J41" s="26" t="e">
        <f t="shared" si="11"/>
        <v>#REF!</v>
      </c>
      <c r="K41" s="68"/>
      <c r="L41" s="98"/>
      <c r="M41" s="98"/>
      <c r="N41" s="98"/>
    </row>
    <row r="42" spans="1:14" s="37" customFormat="1" x14ac:dyDescent="0.35">
      <c r="A42" s="107">
        <v>43613</v>
      </c>
      <c r="B42" s="32" t="s">
        <v>370</v>
      </c>
      <c r="C42" s="33"/>
      <c r="D42" s="33">
        <v>4.17</v>
      </c>
      <c r="E42" s="85" t="e">
        <f t="shared" si="8"/>
        <v>#REF!</v>
      </c>
      <c r="F42" s="86"/>
      <c r="G42" s="33" t="e">
        <f t="shared" si="9"/>
        <v>#REF!</v>
      </c>
      <c r="H42" s="86"/>
      <c r="I42" s="33" t="e">
        <f t="shared" si="10"/>
        <v>#REF!</v>
      </c>
      <c r="J42" s="33" t="e">
        <f t="shared" si="11"/>
        <v>#REF!</v>
      </c>
      <c r="K42" s="32"/>
      <c r="L42" s="35" t="e">
        <f>SUM(I41:I42)</f>
        <v>#REF!</v>
      </c>
      <c r="M42" s="35" t="e">
        <f>SUM(L40:L42)</f>
        <v>#REF!</v>
      </c>
      <c r="N42" s="36">
        <v>43616</v>
      </c>
    </row>
    <row r="43" spans="1:14" s="37" customFormat="1" x14ac:dyDescent="0.35">
      <c r="A43" s="107">
        <v>43621</v>
      </c>
      <c r="B43" s="32" t="s">
        <v>386</v>
      </c>
      <c r="C43" s="33"/>
      <c r="D43" s="33">
        <f>11*4.5</f>
        <v>49.5</v>
      </c>
      <c r="E43" s="85" t="e">
        <f t="shared" si="8"/>
        <v>#REF!</v>
      </c>
      <c r="F43" s="86"/>
      <c r="G43" s="33" t="e">
        <f t="shared" si="9"/>
        <v>#REF!</v>
      </c>
      <c r="H43" s="86"/>
      <c r="I43" s="33" t="e">
        <f t="shared" si="10"/>
        <v>#REF!</v>
      </c>
      <c r="J43" s="33" t="e">
        <f t="shared" si="11"/>
        <v>#REF!</v>
      </c>
      <c r="K43" s="32"/>
      <c r="L43" s="35" t="e">
        <f>SUM(I43)</f>
        <v>#REF!</v>
      </c>
      <c r="M43" s="114"/>
      <c r="N43" s="36">
        <v>43631</v>
      </c>
    </row>
    <row r="44" spans="1:14" s="37" customFormat="1" x14ac:dyDescent="0.35">
      <c r="A44" s="107">
        <v>43644</v>
      </c>
      <c r="B44" s="32" t="s">
        <v>439</v>
      </c>
      <c r="C44" s="33"/>
      <c r="D44" s="33">
        <v>3.2</v>
      </c>
      <c r="E44" s="85" t="e">
        <f t="shared" si="8"/>
        <v>#REF!</v>
      </c>
      <c r="F44" s="86"/>
      <c r="G44" s="33" t="e">
        <f t="shared" si="9"/>
        <v>#REF!</v>
      </c>
      <c r="H44" s="86"/>
      <c r="I44" s="33" t="e">
        <f t="shared" si="10"/>
        <v>#REF!</v>
      </c>
      <c r="J44" s="33" t="e">
        <f t="shared" si="11"/>
        <v>#REF!</v>
      </c>
      <c r="K44" s="32"/>
      <c r="L44" s="35" t="e">
        <f>SUM(I44)</f>
        <v>#REF!</v>
      </c>
      <c r="M44" s="35" t="e">
        <f>SUM(L43:L44)</f>
        <v>#REF!</v>
      </c>
      <c r="N44" s="36">
        <v>43646</v>
      </c>
    </row>
    <row r="45" spans="1:14" s="71" customFormat="1" x14ac:dyDescent="0.35">
      <c r="A45" s="75">
        <v>43650</v>
      </c>
      <c r="B45" s="68" t="s">
        <v>454</v>
      </c>
      <c r="C45" s="26"/>
      <c r="D45" s="26">
        <v>0</v>
      </c>
      <c r="E45" s="42" t="e">
        <f t="shared" si="8"/>
        <v>#REF!</v>
      </c>
      <c r="F45" s="43"/>
      <c r="G45" s="26" t="e">
        <f t="shared" si="9"/>
        <v>#REF!</v>
      </c>
      <c r="H45" s="43"/>
      <c r="I45" s="26" t="e">
        <f t="shared" si="10"/>
        <v>#REF!</v>
      </c>
      <c r="J45" s="26" t="e">
        <f t="shared" si="11"/>
        <v>#REF!</v>
      </c>
      <c r="K45" s="68"/>
      <c r="L45" s="98"/>
      <c r="M45" s="98"/>
      <c r="N45" s="98"/>
    </row>
    <row r="46" spans="1:14" s="37" customFormat="1" x14ac:dyDescent="0.35">
      <c r="A46" s="107">
        <v>43650</v>
      </c>
      <c r="B46" s="32" t="s">
        <v>455</v>
      </c>
      <c r="C46" s="33"/>
      <c r="D46" s="33">
        <f>30*3</f>
        <v>90</v>
      </c>
      <c r="E46" s="85" t="e">
        <f t="shared" si="8"/>
        <v>#REF!</v>
      </c>
      <c r="F46" s="86"/>
      <c r="G46" s="33" t="e">
        <f t="shared" si="9"/>
        <v>#REF!</v>
      </c>
      <c r="H46" s="86"/>
      <c r="I46" s="33" t="e">
        <f t="shared" si="10"/>
        <v>#REF!</v>
      </c>
      <c r="J46" s="33" t="e">
        <f t="shared" si="11"/>
        <v>#REF!</v>
      </c>
      <c r="K46" s="32"/>
      <c r="L46" s="35" t="e">
        <f>SUM(I45:I46)</f>
        <v>#REF!</v>
      </c>
      <c r="M46" s="114"/>
      <c r="N46" s="36">
        <v>43661</v>
      </c>
    </row>
    <row r="47" spans="1:14" s="71" customFormat="1" x14ac:dyDescent="0.35">
      <c r="A47" s="75">
        <v>43665</v>
      </c>
      <c r="B47" s="68" t="s">
        <v>478</v>
      </c>
      <c r="C47" s="26"/>
      <c r="D47" s="26">
        <f>4*3.7</f>
        <v>14.8</v>
      </c>
      <c r="E47" s="42" t="e">
        <f t="shared" si="8"/>
        <v>#REF!</v>
      </c>
      <c r="F47" s="43"/>
      <c r="G47" s="26" t="e">
        <f t="shared" si="9"/>
        <v>#REF!</v>
      </c>
      <c r="H47" s="43"/>
      <c r="I47" s="26" t="e">
        <f t="shared" si="10"/>
        <v>#REF!</v>
      </c>
      <c r="J47" s="26" t="e">
        <f t="shared" si="11"/>
        <v>#REF!</v>
      </c>
      <c r="K47" s="68"/>
      <c r="L47" s="98"/>
      <c r="M47" s="98"/>
      <c r="N47" s="98"/>
    </row>
    <row r="48" spans="1:14" s="37" customFormat="1" x14ac:dyDescent="0.35">
      <c r="A48" s="107">
        <v>43665</v>
      </c>
      <c r="B48" s="32" t="s">
        <v>479</v>
      </c>
      <c r="C48" s="33"/>
      <c r="D48" s="33">
        <f>2.5+1.5+2*1.3</f>
        <v>6.6</v>
      </c>
      <c r="E48" s="85" t="e">
        <f t="shared" si="8"/>
        <v>#REF!</v>
      </c>
      <c r="F48" s="86"/>
      <c r="G48" s="33" t="e">
        <f t="shared" si="9"/>
        <v>#REF!</v>
      </c>
      <c r="H48" s="86"/>
      <c r="I48" s="33" t="e">
        <f t="shared" si="10"/>
        <v>#REF!</v>
      </c>
      <c r="J48" s="33" t="e">
        <f t="shared" si="11"/>
        <v>#REF!</v>
      </c>
      <c r="K48" s="32"/>
      <c r="L48" s="35" t="e">
        <f>SUM(I47:I48)</f>
        <v>#REF!</v>
      </c>
      <c r="M48" s="35" t="e">
        <f>SUM(L46:L48)</f>
        <v>#REF!</v>
      </c>
      <c r="N48" s="36">
        <v>43677</v>
      </c>
    </row>
    <row r="49" spans="1:14" s="71" customFormat="1" x14ac:dyDescent="0.35">
      <c r="A49" s="75">
        <v>43678</v>
      </c>
      <c r="B49" s="68" t="s">
        <v>497</v>
      </c>
      <c r="C49" s="26"/>
      <c r="D49" s="26">
        <f>4*3.8</f>
        <v>15.2</v>
      </c>
      <c r="E49" s="42" t="e">
        <f t="shared" si="8"/>
        <v>#REF!</v>
      </c>
      <c r="F49" s="43"/>
      <c r="G49" s="26" t="e">
        <f t="shared" si="9"/>
        <v>#REF!</v>
      </c>
      <c r="H49" s="43"/>
      <c r="I49" s="26" t="e">
        <f t="shared" si="10"/>
        <v>#REF!</v>
      </c>
      <c r="J49" s="26" t="e">
        <f t="shared" si="11"/>
        <v>#REF!</v>
      </c>
      <c r="K49" s="68"/>
      <c r="L49" s="98"/>
      <c r="M49" s="98"/>
      <c r="N49" s="98"/>
    </row>
    <row r="50" spans="1:14" s="71" customFormat="1" x14ac:dyDescent="0.35">
      <c r="A50" s="75">
        <v>43679</v>
      </c>
      <c r="B50" s="68" t="s">
        <v>498</v>
      </c>
      <c r="C50" s="26"/>
      <c r="D50" s="26">
        <f>7*4.15</f>
        <v>29.050000000000004</v>
      </c>
      <c r="E50" s="42" t="e">
        <f t="shared" si="8"/>
        <v>#REF!</v>
      </c>
      <c r="F50" s="43"/>
      <c r="G50" s="26" t="e">
        <f t="shared" si="9"/>
        <v>#REF!</v>
      </c>
      <c r="H50" s="43"/>
      <c r="I50" s="26" t="e">
        <f t="shared" si="10"/>
        <v>#REF!</v>
      </c>
      <c r="J50" s="26" t="e">
        <f t="shared" si="11"/>
        <v>#REF!</v>
      </c>
      <c r="K50" s="68"/>
      <c r="L50" s="98"/>
      <c r="M50" s="98"/>
      <c r="N50" s="98"/>
    </row>
    <row r="51" spans="1:14" s="71" customFormat="1" x14ac:dyDescent="0.35">
      <c r="A51" s="75">
        <v>43687</v>
      </c>
      <c r="B51" s="68" t="s">
        <v>505</v>
      </c>
      <c r="C51" s="26"/>
      <c r="D51" s="26">
        <v>1.5</v>
      </c>
      <c r="E51" s="42" t="e">
        <f t="shared" si="8"/>
        <v>#REF!</v>
      </c>
      <c r="F51" s="43"/>
      <c r="G51" s="26" t="e">
        <f t="shared" si="9"/>
        <v>#REF!</v>
      </c>
      <c r="H51" s="43"/>
      <c r="I51" s="26" t="e">
        <f t="shared" si="10"/>
        <v>#REF!</v>
      </c>
      <c r="J51" s="26" t="e">
        <f t="shared" si="11"/>
        <v>#REF!</v>
      </c>
      <c r="K51" s="68"/>
      <c r="L51" s="98"/>
      <c r="M51" s="98"/>
      <c r="N51" s="98"/>
    </row>
    <row r="52" spans="1:14" s="71" customFormat="1" x14ac:dyDescent="0.35">
      <c r="A52" s="75">
        <v>43690</v>
      </c>
      <c r="B52" s="68" t="s">
        <v>508</v>
      </c>
      <c r="C52" s="26"/>
      <c r="D52" s="26">
        <v>0</v>
      </c>
      <c r="E52" s="42" t="e">
        <f t="shared" si="8"/>
        <v>#REF!</v>
      </c>
      <c r="F52" s="43"/>
      <c r="G52" s="26" t="e">
        <f t="shared" si="9"/>
        <v>#REF!</v>
      </c>
      <c r="H52" s="43"/>
      <c r="I52" s="26" t="e">
        <f t="shared" si="10"/>
        <v>#REF!</v>
      </c>
      <c r="J52" s="26" t="e">
        <f t="shared" si="11"/>
        <v>#REF!</v>
      </c>
      <c r="K52" s="68"/>
      <c r="L52" s="98"/>
      <c r="M52" s="98"/>
      <c r="N52" s="98"/>
    </row>
    <row r="53" spans="1:14" s="71" customFormat="1" x14ac:dyDescent="0.35">
      <c r="A53" s="75">
        <v>43690</v>
      </c>
      <c r="B53" s="68" t="s">
        <v>509</v>
      </c>
      <c r="C53" s="26"/>
      <c r="D53" s="26">
        <f>48*6.4</f>
        <v>307.20000000000005</v>
      </c>
      <c r="E53" s="42" t="e">
        <f t="shared" si="8"/>
        <v>#REF!</v>
      </c>
      <c r="F53" s="43"/>
      <c r="G53" s="26" t="e">
        <f t="shared" si="9"/>
        <v>#REF!</v>
      </c>
      <c r="H53" s="43"/>
      <c r="I53" s="26" t="e">
        <f t="shared" si="10"/>
        <v>#REF!</v>
      </c>
      <c r="J53" s="26" t="e">
        <f t="shared" si="11"/>
        <v>#REF!</v>
      </c>
      <c r="K53" s="68"/>
      <c r="L53" s="98"/>
      <c r="M53" s="98"/>
      <c r="N53" s="98"/>
    </row>
    <row r="54" spans="1:14" s="37" customFormat="1" x14ac:dyDescent="0.35">
      <c r="A54" s="107">
        <v>43692</v>
      </c>
      <c r="B54" s="32" t="s">
        <v>522</v>
      </c>
      <c r="C54" s="33"/>
      <c r="D54" s="33">
        <v>10</v>
      </c>
      <c r="E54" s="85" t="e">
        <f t="shared" si="8"/>
        <v>#REF!</v>
      </c>
      <c r="F54" s="86"/>
      <c r="G54" s="33" t="e">
        <f t="shared" si="9"/>
        <v>#REF!</v>
      </c>
      <c r="H54" s="86"/>
      <c r="I54" s="33" t="e">
        <f t="shared" si="10"/>
        <v>#REF!</v>
      </c>
      <c r="J54" s="33" t="e">
        <f t="shared" si="11"/>
        <v>#REF!</v>
      </c>
      <c r="K54" s="32"/>
      <c r="L54" s="35" t="e">
        <f>SUM(I49:I54)</f>
        <v>#REF!</v>
      </c>
      <c r="M54" s="114"/>
      <c r="N54" s="36">
        <v>43692</v>
      </c>
    </row>
    <row r="55" spans="1:14" s="71" customFormat="1" x14ac:dyDescent="0.35">
      <c r="A55" s="75">
        <v>43696</v>
      </c>
      <c r="B55" s="68" t="s">
        <v>835</v>
      </c>
      <c r="C55" s="26"/>
      <c r="D55" s="26">
        <f>6*3.5</f>
        <v>21</v>
      </c>
      <c r="E55" s="42" t="e">
        <f>+E54-D55</f>
        <v>#REF!</v>
      </c>
      <c r="F55" s="43"/>
      <c r="G55" s="26" t="e">
        <f t="shared" ref="G55" si="12">+J54/E54</f>
        <v>#REF!</v>
      </c>
      <c r="H55" s="43"/>
      <c r="I55" s="26" t="e">
        <f>+D55*G55</f>
        <v>#REF!</v>
      </c>
      <c r="J55" s="26" t="e">
        <f>+J54-I55</f>
        <v>#REF!</v>
      </c>
      <c r="K55" s="68"/>
      <c r="L55" s="96"/>
      <c r="M55" s="98"/>
      <c r="N55" s="97"/>
    </row>
    <row r="56" spans="1:14" s="71" customFormat="1" x14ac:dyDescent="0.35">
      <c r="A56" s="75">
        <v>43697</v>
      </c>
      <c r="B56" s="68" t="s">
        <v>530</v>
      </c>
      <c r="C56" s="26"/>
      <c r="D56" s="26">
        <f>28*4.8+16*3+6</f>
        <v>188.4</v>
      </c>
      <c r="E56" s="42" t="e">
        <f t="shared" ref="E56:E108" si="13">+E55-D56</f>
        <v>#REF!</v>
      </c>
      <c r="F56" s="43"/>
      <c r="G56" s="26" t="e">
        <f t="shared" ref="G56" si="14">+J55/E55</f>
        <v>#REF!</v>
      </c>
      <c r="H56" s="43"/>
      <c r="I56" s="26" t="e">
        <f t="shared" ref="I56:I108" si="15">+D56*G56</f>
        <v>#REF!</v>
      </c>
      <c r="J56" s="26" t="e">
        <f t="shared" ref="J56:J108" si="16">+J55-I56</f>
        <v>#REF!</v>
      </c>
      <c r="K56" s="68"/>
      <c r="L56" s="98"/>
      <c r="M56" s="98"/>
      <c r="N56" s="98"/>
    </row>
    <row r="57" spans="1:14" s="71" customFormat="1" x14ac:dyDescent="0.35">
      <c r="A57" s="75">
        <v>43698</v>
      </c>
      <c r="B57" s="68" t="s">
        <v>535</v>
      </c>
      <c r="C57" s="26"/>
      <c r="D57" s="26">
        <f>5*5.24+3.5</f>
        <v>29.700000000000003</v>
      </c>
      <c r="E57" s="42" t="e">
        <f t="shared" si="13"/>
        <v>#REF!</v>
      </c>
      <c r="F57" s="43"/>
      <c r="G57" s="26" t="e">
        <f t="shared" si="9"/>
        <v>#REF!</v>
      </c>
      <c r="H57" s="43"/>
      <c r="I57" s="26" t="e">
        <f t="shared" si="15"/>
        <v>#REF!</v>
      </c>
      <c r="J57" s="26" t="e">
        <f t="shared" si="16"/>
        <v>#REF!</v>
      </c>
      <c r="K57" s="68"/>
      <c r="L57" s="98"/>
      <c r="M57" s="98"/>
      <c r="N57" s="98"/>
    </row>
    <row r="58" spans="1:14" s="71" customFormat="1" x14ac:dyDescent="0.35">
      <c r="A58" s="75">
        <v>43698</v>
      </c>
      <c r="B58" s="68" t="s">
        <v>536</v>
      </c>
      <c r="C58" s="26"/>
      <c r="D58" s="26">
        <f>12*5.9</f>
        <v>70.800000000000011</v>
      </c>
      <c r="E58" s="42" t="e">
        <f t="shared" si="13"/>
        <v>#REF!</v>
      </c>
      <c r="F58" s="43"/>
      <c r="G58" s="26" t="e">
        <f t="shared" si="9"/>
        <v>#REF!</v>
      </c>
      <c r="H58" s="43"/>
      <c r="I58" s="26" t="e">
        <f t="shared" si="15"/>
        <v>#REF!</v>
      </c>
      <c r="J58" s="26" t="e">
        <f t="shared" si="16"/>
        <v>#REF!</v>
      </c>
      <c r="K58" s="68"/>
      <c r="L58" s="98"/>
      <c r="M58" s="98"/>
      <c r="N58" s="98"/>
    </row>
    <row r="59" spans="1:14" s="37" customFormat="1" x14ac:dyDescent="0.35">
      <c r="A59" s="107">
        <v>43706</v>
      </c>
      <c r="B59" s="32" t="s">
        <v>554</v>
      </c>
      <c r="C59" s="33"/>
      <c r="D59" s="33">
        <f>7*3.5</f>
        <v>24.5</v>
      </c>
      <c r="E59" s="85" t="e">
        <f t="shared" si="13"/>
        <v>#REF!</v>
      </c>
      <c r="F59" s="86"/>
      <c r="G59" s="33" t="e">
        <f t="shared" si="9"/>
        <v>#REF!</v>
      </c>
      <c r="H59" s="86"/>
      <c r="I59" s="33" t="e">
        <f t="shared" si="15"/>
        <v>#REF!</v>
      </c>
      <c r="J59" s="33" t="e">
        <f t="shared" si="16"/>
        <v>#REF!</v>
      </c>
      <c r="K59" s="32"/>
      <c r="L59" s="35" t="e">
        <f>SUM(I55:I59)</f>
        <v>#REF!</v>
      </c>
      <c r="M59" s="35" t="e">
        <f>SUM(L54:L59)</f>
        <v>#REF!</v>
      </c>
      <c r="N59" s="36">
        <v>43708</v>
      </c>
    </row>
    <row r="60" spans="1:14" s="71" customFormat="1" x14ac:dyDescent="0.35">
      <c r="A60" s="75">
        <v>43713</v>
      </c>
      <c r="B60" s="68" t="s">
        <v>573</v>
      </c>
      <c r="C60" s="26"/>
      <c r="D60" s="26">
        <f>8*2.5</f>
        <v>20</v>
      </c>
      <c r="E60" s="42" t="e">
        <f t="shared" si="13"/>
        <v>#REF!</v>
      </c>
      <c r="F60" s="43"/>
      <c r="G60" s="26" t="e">
        <f t="shared" si="9"/>
        <v>#REF!</v>
      </c>
      <c r="H60" s="43"/>
      <c r="I60" s="26" t="e">
        <f t="shared" si="15"/>
        <v>#REF!</v>
      </c>
      <c r="J60" s="26" t="e">
        <f t="shared" si="16"/>
        <v>#REF!</v>
      </c>
      <c r="K60" s="68"/>
      <c r="L60" s="98"/>
      <c r="M60" s="98"/>
      <c r="N60" s="98"/>
    </row>
    <row r="61" spans="1:14" s="71" customFormat="1" x14ac:dyDescent="0.35">
      <c r="A61" s="75">
        <v>43714</v>
      </c>
      <c r="B61" s="68" t="s">
        <v>576</v>
      </c>
      <c r="C61" s="26"/>
      <c r="D61" s="26">
        <f>6.3+5.9+4.9+3.9+1.8+2*1+2.9+3*3.3</f>
        <v>37.599999999999994</v>
      </c>
      <c r="E61" s="42" t="e">
        <f t="shared" si="13"/>
        <v>#REF!</v>
      </c>
      <c r="F61" s="43"/>
      <c r="G61" s="26" t="e">
        <f t="shared" si="9"/>
        <v>#REF!</v>
      </c>
      <c r="H61" s="43"/>
      <c r="I61" s="26" t="e">
        <f t="shared" si="15"/>
        <v>#REF!</v>
      </c>
      <c r="J61" s="26" t="e">
        <f t="shared" si="16"/>
        <v>#REF!</v>
      </c>
      <c r="K61" s="68"/>
      <c r="L61" s="98"/>
      <c r="M61" s="98"/>
      <c r="N61" s="98"/>
    </row>
    <row r="62" spans="1:14" s="71" customFormat="1" x14ac:dyDescent="0.35">
      <c r="A62" s="75">
        <v>43714</v>
      </c>
      <c r="B62" s="68" t="s">
        <v>577</v>
      </c>
      <c r="C62" s="26"/>
      <c r="D62" s="26">
        <f>2.6+2</f>
        <v>4.5999999999999996</v>
      </c>
      <c r="E62" s="42" t="e">
        <f t="shared" si="13"/>
        <v>#REF!</v>
      </c>
      <c r="F62" s="43"/>
      <c r="G62" s="26" t="e">
        <f t="shared" si="9"/>
        <v>#REF!</v>
      </c>
      <c r="H62" s="43"/>
      <c r="I62" s="26" t="e">
        <f t="shared" si="15"/>
        <v>#REF!</v>
      </c>
      <c r="J62" s="26" t="e">
        <f t="shared" si="16"/>
        <v>#REF!</v>
      </c>
      <c r="K62" s="68"/>
      <c r="L62" s="98"/>
      <c r="M62" s="98"/>
      <c r="N62" s="98"/>
    </row>
    <row r="63" spans="1:14" s="71" customFormat="1" x14ac:dyDescent="0.35">
      <c r="A63" s="75">
        <v>43714</v>
      </c>
      <c r="B63" s="68" t="s">
        <v>578</v>
      </c>
      <c r="C63" s="26"/>
      <c r="D63" s="26">
        <f>15*1</f>
        <v>15</v>
      </c>
      <c r="E63" s="42" t="e">
        <f t="shared" si="13"/>
        <v>#REF!</v>
      </c>
      <c r="F63" s="43"/>
      <c r="G63" s="26" t="e">
        <f t="shared" si="9"/>
        <v>#REF!</v>
      </c>
      <c r="H63" s="43"/>
      <c r="I63" s="26" t="e">
        <f t="shared" si="15"/>
        <v>#REF!</v>
      </c>
      <c r="J63" s="26" t="e">
        <f t="shared" si="16"/>
        <v>#REF!</v>
      </c>
      <c r="K63" s="68"/>
      <c r="L63" s="98"/>
      <c r="M63" s="98"/>
      <c r="N63" s="98"/>
    </row>
    <row r="64" spans="1:14" s="37" customFormat="1" x14ac:dyDescent="0.35">
      <c r="A64" s="107">
        <v>43722</v>
      </c>
      <c r="B64" s="32" t="s">
        <v>591</v>
      </c>
      <c r="C64" s="33"/>
      <c r="D64" s="33">
        <f>11*4.2</f>
        <v>46.2</v>
      </c>
      <c r="E64" s="85" t="e">
        <f t="shared" si="13"/>
        <v>#REF!</v>
      </c>
      <c r="F64" s="86"/>
      <c r="G64" s="33" t="e">
        <f t="shared" ref="G64:G75" si="17">+J63/E63</f>
        <v>#REF!</v>
      </c>
      <c r="H64" s="86"/>
      <c r="I64" s="33" t="e">
        <f t="shared" si="15"/>
        <v>#REF!</v>
      </c>
      <c r="J64" s="33" t="e">
        <f t="shared" si="16"/>
        <v>#REF!</v>
      </c>
      <c r="K64" s="32"/>
      <c r="L64" s="35" t="e">
        <f>SUM(I60:I64)</f>
        <v>#REF!</v>
      </c>
      <c r="M64" s="114"/>
      <c r="N64" s="36">
        <v>43723</v>
      </c>
    </row>
    <row r="65" spans="1:14" s="71" customFormat="1" x14ac:dyDescent="0.35">
      <c r="A65" s="75">
        <v>43725</v>
      </c>
      <c r="B65" s="68" t="s">
        <v>593</v>
      </c>
      <c r="C65" s="26"/>
      <c r="D65" s="26">
        <f>2*0.65</f>
        <v>1.3</v>
      </c>
      <c r="E65" s="42" t="e">
        <f t="shared" si="13"/>
        <v>#REF!</v>
      </c>
      <c r="F65" s="43"/>
      <c r="G65" s="26" t="e">
        <f t="shared" si="17"/>
        <v>#REF!</v>
      </c>
      <c r="H65" s="43"/>
      <c r="I65" s="26" t="e">
        <f t="shared" si="15"/>
        <v>#REF!</v>
      </c>
      <c r="J65" s="26" t="e">
        <f t="shared" si="16"/>
        <v>#REF!</v>
      </c>
      <c r="K65" s="68"/>
      <c r="L65" s="98"/>
      <c r="M65" s="98"/>
      <c r="N65" s="98"/>
    </row>
    <row r="66" spans="1:14" s="71" customFormat="1" x14ac:dyDescent="0.35">
      <c r="A66" s="75">
        <v>43725</v>
      </c>
      <c r="B66" s="68" t="s">
        <v>594</v>
      </c>
      <c r="C66" s="26"/>
      <c r="D66" s="26">
        <f>9*5.1+5*4.25+6*4.4</f>
        <v>93.550000000000011</v>
      </c>
      <c r="E66" s="42" t="e">
        <f t="shared" si="13"/>
        <v>#REF!</v>
      </c>
      <c r="F66" s="43"/>
      <c r="G66" s="26" t="e">
        <f t="shared" si="17"/>
        <v>#REF!</v>
      </c>
      <c r="H66" s="43"/>
      <c r="I66" s="26" t="e">
        <f t="shared" si="15"/>
        <v>#REF!</v>
      </c>
      <c r="J66" s="26" t="e">
        <f t="shared" si="16"/>
        <v>#REF!</v>
      </c>
      <c r="K66" s="68"/>
      <c r="L66" s="98"/>
      <c r="M66" s="98"/>
      <c r="N66" s="98"/>
    </row>
    <row r="67" spans="1:14" s="71" customFormat="1" x14ac:dyDescent="0.35">
      <c r="A67" s="75">
        <v>43728</v>
      </c>
      <c r="B67" s="68" t="s">
        <v>601</v>
      </c>
      <c r="C67" s="26"/>
      <c r="D67" s="26">
        <v>0</v>
      </c>
      <c r="E67" s="42" t="e">
        <f t="shared" si="13"/>
        <v>#REF!</v>
      </c>
      <c r="F67" s="43"/>
      <c r="G67" s="26" t="e">
        <f t="shared" si="17"/>
        <v>#REF!</v>
      </c>
      <c r="H67" s="43"/>
      <c r="I67" s="26" t="e">
        <f t="shared" si="15"/>
        <v>#REF!</v>
      </c>
      <c r="J67" s="26" t="e">
        <f t="shared" si="16"/>
        <v>#REF!</v>
      </c>
      <c r="K67" s="68"/>
      <c r="L67" s="98"/>
      <c r="M67" s="98"/>
      <c r="N67" s="98"/>
    </row>
    <row r="68" spans="1:14" s="71" customFormat="1" x14ac:dyDescent="0.35">
      <c r="A68" s="75">
        <v>43728</v>
      </c>
      <c r="B68" s="68" t="s">
        <v>602</v>
      </c>
      <c r="C68" s="26"/>
      <c r="D68" s="26">
        <v>0</v>
      </c>
      <c r="E68" s="42" t="e">
        <f t="shared" si="13"/>
        <v>#REF!</v>
      </c>
      <c r="F68" s="43"/>
      <c r="G68" s="26" t="e">
        <f t="shared" si="17"/>
        <v>#REF!</v>
      </c>
      <c r="H68" s="43"/>
      <c r="I68" s="26" t="e">
        <f t="shared" si="15"/>
        <v>#REF!</v>
      </c>
      <c r="J68" s="26" t="e">
        <f t="shared" si="16"/>
        <v>#REF!</v>
      </c>
      <c r="K68" s="68"/>
      <c r="L68" s="98"/>
      <c r="M68" s="98"/>
      <c r="N68" s="98"/>
    </row>
    <row r="69" spans="1:14" s="71" customFormat="1" x14ac:dyDescent="0.35">
      <c r="A69" s="75">
        <v>43728</v>
      </c>
      <c r="B69" s="68" t="s">
        <v>603</v>
      </c>
      <c r="C69" s="26"/>
      <c r="D69" s="26">
        <v>0</v>
      </c>
      <c r="E69" s="42" t="e">
        <f t="shared" si="13"/>
        <v>#REF!</v>
      </c>
      <c r="F69" s="43"/>
      <c r="G69" s="26" t="e">
        <f t="shared" si="17"/>
        <v>#REF!</v>
      </c>
      <c r="H69" s="43"/>
      <c r="I69" s="26" t="e">
        <f t="shared" si="15"/>
        <v>#REF!</v>
      </c>
      <c r="J69" s="26" t="e">
        <f t="shared" si="16"/>
        <v>#REF!</v>
      </c>
      <c r="K69" s="68"/>
      <c r="L69" s="98"/>
      <c r="M69" s="98"/>
      <c r="N69" s="98"/>
    </row>
    <row r="70" spans="1:14" s="37" customFormat="1" x14ac:dyDescent="0.35">
      <c r="A70" s="107">
        <v>43733</v>
      </c>
      <c r="B70" s="32" t="s">
        <v>616</v>
      </c>
      <c r="C70" s="33"/>
      <c r="D70" s="33">
        <f>10*4.12</f>
        <v>41.2</v>
      </c>
      <c r="E70" s="85" t="e">
        <f t="shared" si="13"/>
        <v>#REF!</v>
      </c>
      <c r="F70" s="86"/>
      <c r="G70" s="33" t="e">
        <f t="shared" si="17"/>
        <v>#REF!</v>
      </c>
      <c r="H70" s="86"/>
      <c r="I70" s="33" t="e">
        <f t="shared" si="15"/>
        <v>#REF!</v>
      </c>
      <c r="J70" s="33" t="e">
        <f t="shared" si="16"/>
        <v>#REF!</v>
      </c>
      <c r="K70" s="32"/>
      <c r="L70" s="35" t="e">
        <f>SUM(I65:I70)</f>
        <v>#REF!</v>
      </c>
      <c r="M70" s="35" t="e">
        <f>SUM(L64:L70)</f>
        <v>#REF!</v>
      </c>
      <c r="N70" s="36">
        <v>43738</v>
      </c>
    </row>
    <row r="71" spans="1:14" s="71" customFormat="1" x14ac:dyDescent="0.35">
      <c r="A71" s="75">
        <v>43740</v>
      </c>
      <c r="B71" s="68" t="s">
        <v>625</v>
      </c>
      <c r="C71" s="26"/>
      <c r="D71" s="26">
        <f>5*5</f>
        <v>25</v>
      </c>
      <c r="E71" s="42" t="e">
        <f t="shared" si="13"/>
        <v>#REF!</v>
      </c>
      <c r="F71" s="43"/>
      <c r="G71" s="26" t="e">
        <f t="shared" si="17"/>
        <v>#REF!</v>
      </c>
      <c r="H71" s="43"/>
      <c r="I71" s="26" t="e">
        <f t="shared" si="15"/>
        <v>#REF!</v>
      </c>
      <c r="J71" s="26" t="e">
        <f t="shared" si="16"/>
        <v>#REF!</v>
      </c>
      <c r="K71" s="68"/>
      <c r="L71" s="98"/>
      <c r="M71" s="98"/>
      <c r="N71" s="98"/>
    </row>
    <row r="72" spans="1:14" s="71" customFormat="1" x14ac:dyDescent="0.35">
      <c r="A72" s="75">
        <v>43740</v>
      </c>
      <c r="B72" s="68" t="s">
        <v>626</v>
      </c>
      <c r="C72" s="26"/>
      <c r="D72" s="26">
        <f>24*8.15</f>
        <v>195.60000000000002</v>
      </c>
      <c r="E72" s="42" t="e">
        <f t="shared" si="13"/>
        <v>#REF!</v>
      </c>
      <c r="F72" s="43"/>
      <c r="G72" s="26" t="e">
        <f t="shared" si="17"/>
        <v>#REF!</v>
      </c>
      <c r="H72" s="43"/>
      <c r="I72" s="26" t="e">
        <f t="shared" si="15"/>
        <v>#REF!</v>
      </c>
      <c r="J72" s="26" t="e">
        <f t="shared" si="16"/>
        <v>#REF!</v>
      </c>
      <c r="K72" s="68"/>
      <c r="L72" s="98"/>
      <c r="M72" s="98"/>
      <c r="N72" s="98"/>
    </row>
    <row r="73" spans="1:14" s="71" customFormat="1" x14ac:dyDescent="0.35">
      <c r="A73" s="75">
        <v>43741</v>
      </c>
      <c r="B73" s="68" t="s">
        <v>633</v>
      </c>
      <c r="C73" s="26"/>
      <c r="D73" s="26">
        <f>15*5.55+15*2.75+15*2.6</f>
        <v>163.5</v>
      </c>
      <c r="E73" s="42" t="e">
        <f t="shared" si="13"/>
        <v>#REF!</v>
      </c>
      <c r="F73" s="43"/>
      <c r="G73" s="26" t="e">
        <f t="shared" si="17"/>
        <v>#REF!</v>
      </c>
      <c r="H73" s="43"/>
      <c r="I73" s="26" t="e">
        <f t="shared" si="15"/>
        <v>#REF!</v>
      </c>
      <c r="J73" s="26" t="e">
        <f t="shared" si="16"/>
        <v>#REF!</v>
      </c>
      <c r="K73" s="68"/>
      <c r="L73" s="98"/>
      <c r="M73" s="98"/>
      <c r="N73" s="98"/>
    </row>
    <row r="74" spans="1:14" s="71" customFormat="1" x14ac:dyDescent="0.35">
      <c r="A74" s="75">
        <v>43742</v>
      </c>
      <c r="B74" s="68" t="s">
        <v>643</v>
      </c>
      <c r="C74" s="26"/>
      <c r="D74" s="26">
        <v>5</v>
      </c>
      <c r="E74" s="42" t="e">
        <f t="shared" si="13"/>
        <v>#REF!</v>
      </c>
      <c r="F74" s="43"/>
      <c r="G74" s="26" t="e">
        <f t="shared" si="17"/>
        <v>#REF!</v>
      </c>
      <c r="H74" s="43"/>
      <c r="I74" s="26" t="e">
        <f t="shared" si="15"/>
        <v>#REF!</v>
      </c>
      <c r="J74" s="26" t="e">
        <f t="shared" si="16"/>
        <v>#REF!</v>
      </c>
      <c r="K74" s="68"/>
      <c r="L74" s="98"/>
      <c r="M74" s="98"/>
      <c r="N74" s="98"/>
    </row>
    <row r="75" spans="1:14" s="71" customFormat="1" x14ac:dyDescent="0.35">
      <c r="A75" s="75">
        <v>43743</v>
      </c>
      <c r="B75" s="68" t="s">
        <v>644</v>
      </c>
      <c r="C75" s="26"/>
      <c r="D75" s="26">
        <v>12</v>
      </c>
      <c r="E75" s="42" t="e">
        <f t="shared" si="13"/>
        <v>#REF!</v>
      </c>
      <c r="F75" s="43"/>
      <c r="G75" s="26" t="e">
        <f t="shared" si="17"/>
        <v>#REF!</v>
      </c>
      <c r="H75" s="43"/>
      <c r="I75" s="26" t="e">
        <f t="shared" si="15"/>
        <v>#REF!</v>
      </c>
      <c r="J75" s="26" t="e">
        <f t="shared" si="16"/>
        <v>#REF!</v>
      </c>
      <c r="K75" s="68"/>
      <c r="L75" s="98"/>
      <c r="M75" s="98"/>
      <c r="N75" s="98"/>
    </row>
    <row r="76" spans="1:14" s="71" customFormat="1" x14ac:dyDescent="0.35">
      <c r="A76" s="75">
        <v>43743</v>
      </c>
      <c r="B76" s="68" t="s">
        <v>645</v>
      </c>
      <c r="C76" s="26"/>
      <c r="D76" s="26">
        <f>3+3.5</f>
        <v>6.5</v>
      </c>
      <c r="E76" s="42" t="e">
        <f t="shared" si="13"/>
        <v>#REF!</v>
      </c>
      <c r="F76" s="43"/>
      <c r="G76" s="26" t="e">
        <f t="shared" ref="G76:G102" si="18">+J75/E75</f>
        <v>#REF!</v>
      </c>
      <c r="H76" s="43"/>
      <c r="I76" s="26" t="e">
        <f t="shared" si="15"/>
        <v>#REF!</v>
      </c>
      <c r="J76" s="26" t="e">
        <f t="shared" si="16"/>
        <v>#REF!</v>
      </c>
      <c r="K76" s="68"/>
      <c r="L76" s="98"/>
      <c r="M76" s="98"/>
      <c r="N76" s="98"/>
    </row>
    <row r="77" spans="1:14" s="71" customFormat="1" x14ac:dyDescent="0.35">
      <c r="A77" s="75">
        <v>43746</v>
      </c>
      <c r="B77" s="68" t="s">
        <v>654</v>
      </c>
      <c r="C77" s="26"/>
      <c r="D77" s="26">
        <f>2*3.1</f>
        <v>6.2</v>
      </c>
      <c r="E77" s="42" t="e">
        <f t="shared" si="13"/>
        <v>#REF!</v>
      </c>
      <c r="F77" s="43"/>
      <c r="G77" s="26" t="e">
        <f t="shared" si="18"/>
        <v>#REF!</v>
      </c>
      <c r="H77" s="43"/>
      <c r="I77" s="26" t="e">
        <f t="shared" si="15"/>
        <v>#REF!</v>
      </c>
      <c r="J77" s="26" t="e">
        <f t="shared" si="16"/>
        <v>#REF!</v>
      </c>
      <c r="K77" s="68"/>
      <c r="L77" s="98"/>
      <c r="M77" s="98"/>
      <c r="N77" s="98"/>
    </row>
    <row r="78" spans="1:14" s="71" customFormat="1" x14ac:dyDescent="0.35">
      <c r="A78" s="75">
        <v>43747</v>
      </c>
      <c r="B78" s="68" t="s">
        <v>661</v>
      </c>
      <c r="C78" s="26"/>
      <c r="D78" s="26">
        <f>7*4.5</f>
        <v>31.5</v>
      </c>
      <c r="E78" s="42" t="e">
        <f t="shared" si="13"/>
        <v>#REF!</v>
      </c>
      <c r="F78" s="43"/>
      <c r="G78" s="26" t="e">
        <f t="shared" si="18"/>
        <v>#REF!</v>
      </c>
      <c r="H78" s="43"/>
      <c r="I78" s="26" t="e">
        <f t="shared" si="15"/>
        <v>#REF!</v>
      </c>
      <c r="J78" s="26" t="e">
        <f t="shared" si="16"/>
        <v>#REF!</v>
      </c>
      <c r="K78" s="68"/>
      <c r="L78" s="98"/>
      <c r="M78" s="98"/>
      <c r="N78" s="98"/>
    </row>
    <row r="79" spans="1:14" s="71" customFormat="1" x14ac:dyDescent="0.35">
      <c r="A79" s="75">
        <v>43748</v>
      </c>
      <c r="B79" s="68" t="s">
        <v>664</v>
      </c>
      <c r="C79" s="26"/>
      <c r="D79" s="26">
        <f>4*2.1</f>
        <v>8.4</v>
      </c>
      <c r="E79" s="42" t="e">
        <f t="shared" si="13"/>
        <v>#REF!</v>
      </c>
      <c r="F79" s="43"/>
      <c r="G79" s="26" t="e">
        <f t="shared" si="18"/>
        <v>#REF!</v>
      </c>
      <c r="H79" s="43"/>
      <c r="I79" s="26" t="e">
        <f t="shared" si="15"/>
        <v>#REF!</v>
      </c>
      <c r="J79" s="26" t="e">
        <f t="shared" si="16"/>
        <v>#REF!</v>
      </c>
      <c r="K79" s="68"/>
      <c r="L79" s="98"/>
      <c r="M79" s="98"/>
      <c r="N79" s="98"/>
    </row>
    <row r="80" spans="1:14" s="71" customFormat="1" x14ac:dyDescent="0.35">
      <c r="A80" s="75">
        <v>43749</v>
      </c>
      <c r="B80" s="68" t="s">
        <v>670</v>
      </c>
      <c r="C80" s="26"/>
      <c r="D80" s="26">
        <f>6*5.6</f>
        <v>33.599999999999994</v>
      </c>
      <c r="E80" s="42" t="e">
        <f t="shared" si="13"/>
        <v>#REF!</v>
      </c>
      <c r="F80" s="43"/>
      <c r="G80" s="26" t="e">
        <f t="shared" si="18"/>
        <v>#REF!</v>
      </c>
      <c r="H80" s="43"/>
      <c r="I80" s="26" t="e">
        <f t="shared" si="15"/>
        <v>#REF!</v>
      </c>
      <c r="J80" s="26" t="e">
        <f t="shared" si="16"/>
        <v>#REF!</v>
      </c>
      <c r="K80" s="68"/>
      <c r="L80" s="98"/>
      <c r="M80" s="98"/>
      <c r="N80" s="98"/>
    </row>
    <row r="81" spans="1:14" s="37" customFormat="1" x14ac:dyDescent="0.35">
      <c r="A81" s="107">
        <v>43752</v>
      </c>
      <c r="B81" s="32" t="s">
        <v>838</v>
      </c>
      <c r="C81" s="33"/>
      <c r="D81" s="33">
        <v>0</v>
      </c>
      <c r="E81" s="85" t="e">
        <f t="shared" si="13"/>
        <v>#REF!</v>
      </c>
      <c r="F81" s="86"/>
      <c r="G81" s="33" t="e">
        <f t="shared" si="18"/>
        <v>#REF!</v>
      </c>
      <c r="H81" s="86"/>
      <c r="I81" s="33" t="e">
        <f t="shared" si="15"/>
        <v>#REF!</v>
      </c>
      <c r="J81" s="33" t="e">
        <f t="shared" si="16"/>
        <v>#REF!</v>
      </c>
      <c r="K81" s="32"/>
      <c r="L81" s="35" t="e">
        <f>SUM(I71:I81)</f>
        <v>#REF!</v>
      </c>
      <c r="M81" s="114"/>
      <c r="N81" s="36">
        <v>43753</v>
      </c>
    </row>
    <row r="82" spans="1:14" s="71" customFormat="1" x14ac:dyDescent="0.35">
      <c r="A82" s="75">
        <v>43755</v>
      </c>
      <c r="B82" s="68" t="s">
        <v>839</v>
      </c>
      <c r="C82" s="26"/>
      <c r="D82" s="26">
        <f>10*4</f>
        <v>40</v>
      </c>
      <c r="E82" s="42" t="e">
        <f t="shared" si="13"/>
        <v>#REF!</v>
      </c>
      <c r="F82" s="43"/>
      <c r="G82" s="26" t="e">
        <f t="shared" ref="G82:G86" si="19">+J81/E81</f>
        <v>#REF!</v>
      </c>
      <c r="H82" s="43"/>
      <c r="I82" s="26" t="e">
        <f t="shared" si="15"/>
        <v>#REF!</v>
      </c>
      <c r="J82" s="26" t="e">
        <f t="shared" si="16"/>
        <v>#REF!</v>
      </c>
      <c r="K82" s="68"/>
      <c r="L82" s="98"/>
      <c r="M82" s="98"/>
      <c r="N82" s="98"/>
    </row>
    <row r="83" spans="1:14" s="71" customFormat="1" x14ac:dyDescent="0.35">
      <c r="A83" s="75">
        <v>43757</v>
      </c>
      <c r="B83" s="68" t="s">
        <v>688</v>
      </c>
      <c r="C83" s="26"/>
      <c r="D83" s="26">
        <f>8*1.1</f>
        <v>8.8000000000000007</v>
      </c>
      <c r="E83" s="42" t="e">
        <f t="shared" si="13"/>
        <v>#REF!</v>
      </c>
      <c r="F83" s="43"/>
      <c r="G83" s="26" t="e">
        <f t="shared" si="19"/>
        <v>#REF!</v>
      </c>
      <c r="H83" s="43"/>
      <c r="I83" s="26" t="e">
        <f t="shared" si="15"/>
        <v>#REF!</v>
      </c>
      <c r="J83" s="26" t="e">
        <f t="shared" si="16"/>
        <v>#REF!</v>
      </c>
      <c r="K83" s="68"/>
      <c r="L83" s="98"/>
      <c r="M83" s="98"/>
      <c r="N83" s="98"/>
    </row>
    <row r="84" spans="1:14" s="71" customFormat="1" x14ac:dyDescent="0.35">
      <c r="A84" s="75">
        <v>43761</v>
      </c>
      <c r="B84" s="68" t="s">
        <v>700</v>
      </c>
      <c r="C84" s="26"/>
      <c r="D84" s="26">
        <v>0</v>
      </c>
      <c r="E84" s="42" t="e">
        <f t="shared" si="13"/>
        <v>#REF!</v>
      </c>
      <c r="F84" s="43"/>
      <c r="G84" s="26" t="e">
        <f t="shared" si="19"/>
        <v>#REF!</v>
      </c>
      <c r="H84" s="43"/>
      <c r="I84" s="26" t="e">
        <f t="shared" si="15"/>
        <v>#REF!</v>
      </c>
      <c r="J84" s="26" t="e">
        <f t="shared" si="16"/>
        <v>#REF!</v>
      </c>
      <c r="K84" s="68"/>
      <c r="L84" s="98"/>
      <c r="M84" s="98"/>
      <c r="N84" s="98"/>
    </row>
    <row r="85" spans="1:14" s="71" customFormat="1" x14ac:dyDescent="0.35">
      <c r="A85" s="75">
        <v>43761</v>
      </c>
      <c r="B85" s="68" t="s">
        <v>701</v>
      </c>
      <c r="C85" s="26"/>
      <c r="D85" s="26">
        <f>6*5.7+1.15</f>
        <v>35.35</v>
      </c>
      <c r="E85" s="42" t="e">
        <f t="shared" si="13"/>
        <v>#REF!</v>
      </c>
      <c r="F85" s="43"/>
      <c r="G85" s="26" t="e">
        <f t="shared" si="19"/>
        <v>#REF!</v>
      </c>
      <c r="H85" s="43"/>
      <c r="I85" s="26" t="e">
        <f t="shared" si="15"/>
        <v>#REF!</v>
      </c>
      <c r="J85" s="26" t="e">
        <f t="shared" si="16"/>
        <v>#REF!</v>
      </c>
      <c r="K85" s="68"/>
      <c r="L85" s="98"/>
      <c r="M85" s="98"/>
      <c r="N85" s="98"/>
    </row>
    <row r="86" spans="1:14" s="37" customFormat="1" x14ac:dyDescent="0.35">
      <c r="A86" s="107">
        <v>43764</v>
      </c>
      <c r="B86" s="32" t="s">
        <v>712</v>
      </c>
      <c r="C86" s="33"/>
      <c r="D86" s="33">
        <f>18*3</f>
        <v>54</v>
      </c>
      <c r="E86" s="85" t="e">
        <f t="shared" si="13"/>
        <v>#REF!</v>
      </c>
      <c r="F86" s="86"/>
      <c r="G86" s="33" t="e">
        <f t="shared" si="19"/>
        <v>#REF!</v>
      </c>
      <c r="H86" s="86"/>
      <c r="I86" s="33" t="e">
        <f t="shared" si="15"/>
        <v>#REF!</v>
      </c>
      <c r="J86" s="33" t="e">
        <f t="shared" si="16"/>
        <v>#REF!</v>
      </c>
      <c r="K86" s="32"/>
      <c r="L86" s="35" t="e">
        <f>SUM(I82:I86)</f>
        <v>#REF!</v>
      </c>
      <c r="M86" s="35" t="e">
        <f>SUM(L81:L86)</f>
        <v>#REF!</v>
      </c>
      <c r="N86" s="36">
        <v>43769</v>
      </c>
    </row>
    <row r="87" spans="1:14" s="71" customFormat="1" x14ac:dyDescent="0.35">
      <c r="A87" s="75">
        <v>43776</v>
      </c>
      <c r="B87" s="68" t="s">
        <v>727</v>
      </c>
      <c r="C87" s="26"/>
      <c r="D87" s="26">
        <f>6*3.3</f>
        <v>19.799999999999997</v>
      </c>
      <c r="E87" s="42" t="e">
        <f t="shared" si="13"/>
        <v>#REF!</v>
      </c>
      <c r="F87" s="43"/>
      <c r="G87" s="26" t="e">
        <f t="shared" si="18"/>
        <v>#REF!</v>
      </c>
      <c r="H87" s="43"/>
      <c r="I87" s="26" t="e">
        <f t="shared" si="15"/>
        <v>#REF!</v>
      </c>
      <c r="J87" s="26" t="e">
        <f t="shared" si="16"/>
        <v>#REF!</v>
      </c>
      <c r="K87" s="68"/>
      <c r="L87" s="98"/>
      <c r="M87" s="98"/>
      <c r="N87" s="98"/>
    </row>
    <row r="88" spans="1:14" s="71" customFormat="1" x14ac:dyDescent="0.35">
      <c r="A88" s="75">
        <v>43777</v>
      </c>
      <c r="B88" s="68" t="s">
        <v>729</v>
      </c>
      <c r="C88" s="26"/>
      <c r="D88" s="26">
        <f>5*3.7+5*4.4+8*6.4</f>
        <v>91.7</v>
      </c>
      <c r="E88" s="42" t="e">
        <f t="shared" si="13"/>
        <v>#REF!</v>
      </c>
      <c r="F88" s="43"/>
      <c r="G88" s="26" t="e">
        <f t="shared" si="18"/>
        <v>#REF!</v>
      </c>
      <c r="H88" s="43"/>
      <c r="I88" s="26" t="e">
        <f t="shared" si="15"/>
        <v>#REF!</v>
      </c>
      <c r="J88" s="26" t="e">
        <f t="shared" si="16"/>
        <v>#REF!</v>
      </c>
      <c r="K88" s="68"/>
      <c r="L88" s="98"/>
      <c r="M88" s="98"/>
      <c r="N88" s="98"/>
    </row>
    <row r="89" spans="1:14" s="71" customFormat="1" x14ac:dyDescent="0.35">
      <c r="A89" s="75">
        <v>43778</v>
      </c>
      <c r="B89" s="68" t="s">
        <v>732</v>
      </c>
      <c r="C89" s="26"/>
      <c r="D89" s="26">
        <f>5*3.7+5*4.4+8*6.4</f>
        <v>91.7</v>
      </c>
      <c r="E89" s="42" t="e">
        <f t="shared" si="13"/>
        <v>#REF!</v>
      </c>
      <c r="F89" s="43"/>
      <c r="G89" s="26" t="e">
        <f t="shared" si="18"/>
        <v>#REF!</v>
      </c>
      <c r="H89" s="43"/>
      <c r="I89" s="26" t="e">
        <f t="shared" si="15"/>
        <v>#REF!</v>
      </c>
      <c r="J89" s="26" t="e">
        <f t="shared" si="16"/>
        <v>#REF!</v>
      </c>
      <c r="K89" s="68"/>
      <c r="L89" s="98"/>
      <c r="M89" s="98"/>
      <c r="N89" s="98"/>
    </row>
    <row r="90" spans="1:14" s="71" customFormat="1" x14ac:dyDescent="0.35">
      <c r="A90" s="75">
        <v>43781</v>
      </c>
      <c r="B90" s="68" t="s">
        <v>733</v>
      </c>
      <c r="C90" s="26"/>
      <c r="D90" s="26">
        <v>0</v>
      </c>
      <c r="E90" s="42" t="e">
        <f t="shared" si="13"/>
        <v>#REF!</v>
      </c>
      <c r="F90" s="43"/>
      <c r="G90" s="26" t="e">
        <f t="shared" si="18"/>
        <v>#REF!</v>
      </c>
      <c r="H90" s="43"/>
      <c r="I90" s="26" t="e">
        <f t="shared" si="15"/>
        <v>#REF!</v>
      </c>
      <c r="J90" s="26" t="e">
        <f t="shared" si="16"/>
        <v>#REF!</v>
      </c>
      <c r="K90" s="68"/>
      <c r="L90" s="98"/>
      <c r="M90" s="98"/>
      <c r="N90" s="98"/>
    </row>
    <row r="91" spans="1:14" s="71" customFormat="1" x14ac:dyDescent="0.35">
      <c r="A91" s="75">
        <v>43782</v>
      </c>
      <c r="B91" s="68" t="s">
        <v>734</v>
      </c>
      <c r="C91" s="26"/>
      <c r="D91" s="26">
        <f>114.7+7.23</f>
        <v>121.93</v>
      </c>
      <c r="E91" s="42" t="e">
        <f t="shared" si="13"/>
        <v>#REF!</v>
      </c>
      <c r="F91" s="43"/>
      <c r="G91" s="26" t="e">
        <f t="shared" si="18"/>
        <v>#REF!</v>
      </c>
      <c r="H91" s="43"/>
      <c r="I91" s="26" t="e">
        <f t="shared" si="15"/>
        <v>#REF!</v>
      </c>
      <c r="J91" s="26" t="e">
        <f t="shared" si="16"/>
        <v>#REF!</v>
      </c>
      <c r="K91" s="68"/>
      <c r="L91" s="98"/>
      <c r="M91" s="98"/>
      <c r="N91" s="98"/>
    </row>
    <row r="92" spans="1:14" s="37" customFormat="1" x14ac:dyDescent="0.35">
      <c r="A92" s="107">
        <v>43783</v>
      </c>
      <c r="B92" s="32" t="s">
        <v>736</v>
      </c>
      <c r="C92" s="33"/>
      <c r="D92" s="33">
        <f>8*4.5</f>
        <v>36</v>
      </c>
      <c r="E92" s="85" t="e">
        <f t="shared" si="13"/>
        <v>#REF!</v>
      </c>
      <c r="F92" s="86"/>
      <c r="G92" s="33" t="e">
        <f t="shared" si="18"/>
        <v>#REF!</v>
      </c>
      <c r="H92" s="86"/>
      <c r="I92" s="33" t="e">
        <f t="shared" si="15"/>
        <v>#REF!</v>
      </c>
      <c r="J92" s="33" t="e">
        <f t="shared" si="16"/>
        <v>#REF!</v>
      </c>
      <c r="K92" s="32"/>
      <c r="L92" s="35" t="e">
        <f>SUM(I87:I92)</f>
        <v>#REF!</v>
      </c>
      <c r="M92" s="114"/>
      <c r="N92" s="36">
        <v>43784</v>
      </c>
    </row>
    <row r="93" spans="1:14" s="71" customFormat="1" x14ac:dyDescent="0.35">
      <c r="A93" s="75">
        <v>43787</v>
      </c>
      <c r="B93" s="68" t="s">
        <v>744</v>
      </c>
      <c r="C93" s="26"/>
      <c r="D93" s="26">
        <f>12*4.5+19*4.2+13*2.7+17*3.1+1+13</f>
        <v>235.60000000000002</v>
      </c>
      <c r="E93" s="42" t="e">
        <f t="shared" si="13"/>
        <v>#REF!</v>
      </c>
      <c r="F93" s="43"/>
      <c r="G93" s="26" t="e">
        <f t="shared" si="18"/>
        <v>#REF!</v>
      </c>
      <c r="H93" s="43"/>
      <c r="I93" s="26" t="e">
        <f t="shared" si="15"/>
        <v>#REF!</v>
      </c>
      <c r="J93" s="26" t="e">
        <f t="shared" si="16"/>
        <v>#REF!</v>
      </c>
      <c r="K93" s="68"/>
      <c r="L93" s="98"/>
      <c r="M93" s="98"/>
      <c r="N93" s="98"/>
    </row>
    <row r="94" spans="1:14" s="71" customFormat="1" x14ac:dyDescent="0.35">
      <c r="A94" s="75">
        <v>43788</v>
      </c>
      <c r="B94" s="68" t="s">
        <v>745</v>
      </c>
      <c r="C94" s="26"/>
      <c r="D94" s="26">
        <v>0</v>
      </c>
      <c r="E94" s="42" t="e">
        <f t="shared" si="13"/>
        <v>#REF!</v>
      </c>
      <c r="F94" s="43"/>
      <c r="G94" s="26" t="e">
        <f t="shared" si="18"/>
        <v>#REF!</v>
      </c>
      <c r="H94" s="43"/>
      <c r="I94" s="26" t="e">
        <f t="shared" si="15"/>
        <v>#REF!</v>
      </c>
      <c r="J94" s="26" t="e">
        <f t="shared" si="16"/>
        <v>#REF!</v>
      </c>
      <c r="K94" s="68"/>
      <c r="L94" s="98"/>
      <c r="M94" s="98"/>
      <c r="N94" s="98"/>
    </row>
    <row r="95" spans="1:14" s="71" customFormat="1" x14ac:dyDescent="0.35">
      <c r="A95" s="75">
        <v>43788</v>
      </c>
      <c r="B95" s="68" t="s">
        <v>746</v>
      </c>
      <c r="C95" s="26"/>
      <c r="D95" s="26">
        <v>0</v>
      </c>
      <c r="E95" s="42" t="e">
        <f t="shared" si="13"/>
        <v>#REF!</v>
      </c>
      <c r="F95" s="43"/>
      <c r="G95" s="26" t="e">
        <f t="shared" si="18"/>
        <v>#REF!</v>
      </c>
      <c r="H95" s="43"/>
      <c r="I95" s="26" t="e">
        <f t="shared" si="15"/>
        <v>#REF!</v>
      </c>
      <c r="J95" s="26" t="e">
        <f t="shared" si="16"/>
        <v>#REF!</v>
      </c>
      <c r="K95" s="68"/>
      <c r="L95" s="98"/>
      <c r="M95" s="98"/>
      <c r="N95" s="98"/>
    </row>
    <row r="96" spans="1:14" s="71" customFormat="1" x14ac:dyDescent="0.35">
      <c r="A96" s="75">
        <v>43788</v>
      </c>
      <c r="B96" s="68" t="s">
        <v>747</v>
      </c>
      <c r="C96" s="26"/>
      <c r="D96" s="26">
        <f>3*4.8</f>
        <v>14.399999999999999</v>
      </c>
      <c r="E96" s="42" t="e">
        <f t="shared" si="13"/>
        <v>#REF!</v>
      </c>
      <c r="F96" s="43"/>
      <c r="G96" s="26" t="e">
        <f t="shared" si="18"/>
        <v>#REF!</v>
      </c>
      <c r="H96" s="43"/>
      <c r="I96" s="26" t="e">
        <f t="shared" si="15"/>
        <v>#REF!</v>
      </c>
      <c r="J96" s="26" t="e">
        <f t="shared" si="16"/>
        <v>#REF!</v>
      </c>
      <c r="K96" s="68"/>
      <c r="L96" s="98"/>
      <c r="M96" s="98"/>
      <c r="N96" s="98"/>
    </row>
    <row r="97" spans="1:14" s="71" customFormat="1" x14ac:dyDescent="0.35">
      <c r="A97" s="75">
        <v>43792</v>
      </c>
      <c r="B97" s="68" t="s">
        <v>754</v>
      </c>
      <c r="C97" s="26"/>
      <c r="D97" s="26">
        <f>5*4.2</f>
        <v>21</v>
      </c>
      <c r="E97" s="42" t="e">
        <f t="shared" si="13"/>
        <v>#REF!</v>
      </c>
      <c r="F97" s="43"/>
      <c r="G97" s="26" t="e">
        <f t="shared" si="18"/>
        <v>#REF!</v>
      </c>
      <c r="H97" s="43"/>
      <c r="I97" s="26" t="e">
        <f t="shared" si="15"/>
        <v>#REF!</v>
      </c>
      <c r="J97" s="26" t="e">
        <f t="shared" si="16"/>
        <v>#REF!</v>
      </c>
      <c r="K97" s="68"/>
      <c r="L97" s="98"/>
      <c r="M97" s="98"/>
      <c r="N97" s="98"/>
    </row>
    <row r="98" spans="1:14" s="71" customFormat="1" x14ac:dyDescent="0.35">
      <c r="A98" s="75">
        <v>43794</v>
      </c>
      <c r="B98" s="68" t="s">
        <v>757</v>
      </c>
      <c r="C98" s="26"/>
      <c r="D98" s="26">
        <v>4.2</v>
      </c>
      <c r="E98" s="42" t="e">
        <f t="shared" si="13"/>
        <v>#REF!</v>
      </c>
      <c r="F98" s="43"/>
      <c r="G98" s="26" t="e">
        <f t="shared" si="18"/>
        <v>#REF!</v>
      </c>
      <c r="H98" s="43"/>
      <c r="I98" s="26" t="e">
        <f t="shared" si="15"/>
        <v>#REF!</v>
      </c>
      <c r="J98" s="26" t="e">
        <f t="shared" si="16"/>
        <v>#REF!</v>
      </c>
      <c r="K98" s="68"/>
      <c r="L98" s="98"/>
      <c r="M98" s="98"/>
      <c r="N98" s="98"/>
    </row>
    <row r="99" spans="1:14" s="71" customFormat="1" x14ac:dyDescent="0.35">
      <c r="A99" s="75">
        <v>43795</v>
      </c>
      <c r="B99" s="68" t="s">
        <v>758</v>
      </c>
      <c r="C99" s="26"/>
      <c r="D99" s="26">
        <f>3*2.1+3</f>
        <v>9.3000000000000007</v>
      </c>
      <c r="E99" s="42" t="e">
        <f t="shared" si="13"/>
        <v>#REF!</v>
      </c>
      <c r="F99" s="43"/>
      <c r="G99" s="26" t="e">
        <f t="shared" si="18"/>
        <v>#REF!</v>
      </c>
      <c r="H99" s="43"/>
      <c r="I99" s="26" t="e">
        <f t="shared" si="15"/>
        <v>#REF!</v>
      </c>
      <c r="J99" s="26" t="e">
        <f t="shared" si="16"/>
        <v>#REF!</v>
      </c>
      <c r="K99" s="68"/>
      <c r="L99" s="98"/>
      <c r="M99" s="98"/>
      <c r="N99" s="98"/>
    </row>
    <row r="100" spans="1:14" s="71" customFormat="1" x14ac:dyDescent="0.35">
      <c r="A100" s="75">
        <v>43795</v>
      </c>
      <c r="B100" s="68" t="s">
        <v>760</v>
      </c>
      <c r="C100" s="26"/>
      <c r="D100" s="26">
        <v>202.1</v>
      </c>
      <c r="E100" s="42" t="e">
        <f t="shared" si="13"/>
        <v>#REF!</v>
      </c>
      <c r="F100" s="43"/>
      <c r="G100" s="26" t="e">
        <f t="shared" si="18"/>
        <v>#REF!</v>
      </c>
      <c r="H100" s="43"/>
      <c r="I100" s="26" t="e">
        <f t="shared" si="15"/>
        <v>#REF!</v>
      </c>
      <c r="J100" s="26" t="e">
        <f t="shared" si="16"/>
        <v>#REF!</v>
      </c>
      <c r="K100" s="68"/>
      <c r="L100" s="98"/>
      <c r="M100" s="98"/>
      <c r="N100" s="98"/>
    </row>
    <row r="101" spans="1:14" s="37" customFormat="1" x14ac:dyDescent="0.35">
      <c r="A101" s="107">
        <v>43797</v>
      </c>
      <c r="B101" s="32" t="s">
        <v>767</v>
      </c>
      <c r="C101" s="33"/>
      <c r="D101" s="33">
        <f>9*4.8+3*5.2+2.8</f>
        <v>61.599999999999994</v>
      </c>
      <c r="E101" s="85" t="e">
        <f t="shared" si="13"/>
        <v>#REF!</v>
      </c>
      <c r="F101" s="86"/>
      <c r="G101" s="33" t="e">
        <f t="shared" si="18"/>
        <v>#REF!</v>
      </c>
      <c r="H101" s="86"/>
      <c r="I101" s="33" t="e">
        <f t="shared" si="15"/>
        <v>#REF!</v>
      </c>
      <c r="J101" s="33" t="e">
        <f t="shared" si="16"/>
        <v>#REF!</v>
      </c>
      <c r="K101" s="32"/>
      <c r="L101" s="35" t="e">
        <f>SUM(I93:I101)</f>
        <v>#REF!</v>
      </c>
      <c r="M101" s="35" t="e">
        <f>SUM(L92:L101)</f>
        <v>#REF!</v>
      </c>
      <c r="N101" s="36">
        <v>43799</v>
      </c>
    </row>
    <row r="102" spans="1:14" x14ac:dyDescent="0.35">
      <c r="A102" s="92">
        <v>43802</v>
      </c>
      <c r="B102" s="68" t="s">
        <v>795</v>
      </c>
      <c r="C102" s="26"/>
      <c r="D102" s="26">
        <f>4*3.8+4*2</f>
        <v>23.2</v>
      </c>
      <c r="E102" s="42" t="e">
        <f t="shared" si="13"/>
        <v>#REF!</v>
      </c>
      <c r="F102" s="43"/>
      <c r="G102" s="26" t="e">
        <f t="shared" si="18"/>
        <v>#REF!</v>
      </c>
      <c r="H102" s="43"/>
      <c r="I102" s="26" t="e">
        <f t="shared" si="15"/>
        <v>#REF!</v>
      </c>
      <c r="J102" s="26" t="e">
        <f t="shared" si="16"/>
        <v>#REF!</v>
      </c>
      <c r="K102" s="68"/>
      <c r="L102" s="1"/>
      <c r="M102" s="55"/>
      <c r="N102" s="1"/>
    </row>
    <row r="103" spans="1:14" x14ac:dyDescent="0.35">
      <c r="A103" s="92">
        <v>43804</v>
      </c>
      <c r="B103" s="68" t="s">
        <v>798</v>
      </c>
      <c r="C103" s="26"/>
      <c r="D103" s="26">
        <f>8*4.8+4*3.15</f>
        <v>51</v>
      </c>
      <c r="E103" s="42" t="e">
        <f t="shared" si="13"/>
        <v>#REF!</v>
      </c>
      <c r="F103" s="43"/>
      <c r="G103" s="26" t="e">
        <f>+J89/E89</f>
        <v>#REF!</v>
      </c>
      <c r="H103" s="43"/>
      <c r="I103" s="26" t="e">
        <f t="shared" si="15"/>
        <v>#REF!</v>
      </c>
      <c r="J103" s="26" t="e">
        <f t="shared" si="16"/>
        <v>#REF!</v>
      </c>
      <c r="K103" s="68"/>
      <c r="L103" s="1"/>
      <c r="M103" s="55"/>
      <c r="N103" s="1"/>
    </row>
    <row r="104" spans="1:14" x14ac:dyDescent="0.35">
      <c r="A104" s="92">
        <v>43809</v>
      </c>
      <c r="B104" s="68" t="s">
        <v>802</v>
      </c>
      <c r="C104" s="26"/>
      <c r="D104" s="26">
        <f>3*5.5+5*7.08</f>
        <v>51.9</v>
      </c>
      <c r="E104" s="42" t="e">
        <f t="shared" si="13"/>
        <v>#REF!</v>
      </c>
      <c r="F104" s="43"/>
      <c r="G104" s="26" t="e">
        <f t="shared" ref="G104:G106" si="20">+J90/E90</f>
        <v>#REF!</v>
      </c>
      <c r="H104" s="43"/>
      <c r="I104" s="26" t="e">
        <f t="shared" si="15"/>
        <v>#REF!</v>
      </c>
      <c r="J104" s="26" t="e">
        <f t="shared" si="16"/>
        <v>#REF!</v>
      </c>
      <c r="K104" s="68"/>
      <c r="L104" s="1"/>
      <c r="M104" s="55"/>
      <c r="N104" s="1"/>
    </row>
    <row r="105" spans="1:14" x14ac:dyDescent="0.35">
      <c r="A105" s="92">
        <v>43809</v>
      </c>
      <c r="B105" s="68" t="s">
        <v>804</v>
      </c>
      <c r="C105" s="26"/>
      <c r="D105" s="26">
        <f>8*6.5+4*5.7+4*5.55+4*4.8+4*4.65+30*4.44+4*4+4*3.7</f>
        <v>298.8</v>
      </c>
      <c r="E105" s="42" t="e">
        <f t="shared" si="13"/>
        <v>#REF!</v>
      </c>
      <c r="F105" s="43"/>
      <c r="G105" s="26" t="e">
        <f t="shared" si="20"/>
        <v>#REF!</v>
      </c>
      <c r="H105" s="43"/>
      <c r="I105" s="26" t="e">
        <f t="shared" si="15"/>
        <v>#REF!</v>
      </c>
      <c r="J105" s="26" t="e">
        <f t="shared" si="16"/>
        <v>#REF!</v>
      </c>
      <c r="K105" s="68"/>
      <c r="L105" s="1"/>
      <c r="M105" s="55"/>
      <c r="N105" s="1"/>
    </row>
    <row r="106" spans="1:14" x14ac:dyDescent="0.35">
      <c r="A106" s="92">
        <v>43809</v>
      </c>
      <c r="B106" s="68" t="s">
        <v>805</v>
      </c>
      <c r="C106" s="26"/>
      <c r="D106" s="26">
        <f>10*3.65+8*3.5+4*3.4+2*3.1+6*3+4*2.9+4*2.8</f>
        <v>125.1</v>
      </c>
      <c r="E106" s="42" t="e">
        <f t="shared" si="13"/>
        <v>#REF!</v>
      </c>
      <c r="F106" s="43"/>
      <c r="G106" s="26" t="e">
        <f t="shared" si="20"/>
        <v>#REF!</v>
      </c>
      <c r="H106" s="43"/>
      <c r="I106" s="26" t="e">
        <f t="shared" si="15"/>
        <v>#REF!</v>
      </c>
      <c r="J106" s="26" t="e">
        <f t="shared" si="16"/>
        <v>#REF!</v>
      </c>
      <c r="K106" s="68"/>
      <c r="L106" s="1"/>
      <c r="M106" s="55"/>
      <c r="N106" s="1"/>
    </row>
    <row r="107" spans="1:14" x14ac:dyDescent="0.35">
      <c r="A107" s="92">
        <v>43809</v>
      </c>
      <c r="B107" s="68" t="s">
        <v>812</v>
      </c>
      <c r="C107" s="26"/>
      <c r="D107" s="26">
        <f>2*2.65+4*2.3+4*2+8*1.9+1.86+1.75+8*1.7+2*1.5</f>
        <v>57.910000000000004</v>
      </c>
      <c r="E107" s="42" t="e">
        <f t="shared" si="13"/>
        <v>#REF!</v>
      </c>
      <c r="F107" s="43"/>
      <c r="G107" s="26" t="e">
        <f t="shared" ref="G107:G108" si="21">+J93/E93</f>
        <v>#REF!</v>
      </c>
      <c r="H107" s="43"/>
      <c r="I107" s="26" t="e">
        <f t="shared" si="15"/>
        <v>#REF!</v>
      </c>
      <c r="J107" s="26" t="e">
        <f t="shared" si="16"/>
        <v>#REF!</v>
      </c>
      <c r="K107" s="68"/>
      <c r="L107" s="1"/>
      <c r="M107" s="55"/>
      <c r="N107" s="1"/>
    </row>
    <row r="108" spans="1:14" s="37" customFormat="1" x14ac:dyDescent="0.35">
      <c r="A108" s="88">
        <v>43809</v>
      </c>
      <c r="B108" s="32" t="s">
        <v>806</v>
      </c>
      <c r="C108" s="33"/>
      <c r="D108" s="33">
        <f>12*1.2+4*1.1+5*1+4*0.85+0.65+26</f>
        <v>53.849999999999994</v>
      </c>
      <c r="E108" s="85" t="e">
        <f t="shared" si="13"/>
        <v>#REF!</v>
      </c>
      <c r="F108" s="86"/>
      <c r="G108" s="33" t="e">
        <f t="shared" si="21"/>
        <v>#REF!</v>
      </c>
      <c r="H108" s="86"/>
      <c r="I108" s="33" t="e">
        <f t="shared" si="15"/>
        <v>#REF!</v>
      </c>
      <c r="J108" s="33" t="e">
        <f t="shared" si="16"/>
        <v>#REF!</v>
      </c>
      <c r="K108" s="32"/>
      <c r="L108" s="35" t="e">
        <f>SUM(I102:I108)</f>
        <v>#REF!</v>
      </c>
      <c r="M108" s="115" t="e">
        <f>SUM(L108)</f>
        <v>#REF!</v>
      </c>
      <c r="N108" s="36">
        <v>43814</v>
      </c>
    </row>
    <row r="109" spans="1:14" x14ac:dyDescent="0.35">
      <c r="A109" s="92"/>
      <c r="B109" s="68" t="s">
        <v>832</v>
      </c>
      <c r="C109" s="26">
        <f>SUM(C9:C108)</f>
        <v>0</v>
      </c>
      <c r="D109" s="26">
        <f>SUM(D9:D108)</f>
        <v>4927.6000000000004</v>
      </c>
      <c r="E109" s="42"/>
      <c r="F109" s="43"/>
      <c r="G109" s="26"/>
      <c r="H109" s="26" t="e">
        <f t="shared" ref="H109:I109" si="22">SUM(H9:H108)</f>
        <v>#REF!</v>
      </c>
      <c r="I109" s="26" t="e">
        <f t="shared" si="22"/>
        <v>#REF!</v>
      </c>
      <c r="J109" s="26"/>
      <c r="K109" s="68"/>
      <c r="L109" s="1"/>
      <c r="M109" s="55" t="e">
        <f>SUM(M18:M108)</f>
        <v>#REF!</v>
      </c>
      <c r="N109" s="1"/>
    </row>
    <row r="110" spans="1:14" x14ac:dyDescent="0.35">
      <c r="A110" s="57" t="s">
        <v>23</v>
      </c>
      <c r="B110" s="5"/>
      <c r="C110" s="4"/>
      <c r="D110" s="4"/>
      <c r="E110" s="4"/>
      <c r="F110" s="4"/>
      <c r="G110" s="1"/>
      <c r="H110" s="1"/>
      <c r="I110" s="55"/>
      <c r="J110" s="1"/>
    </row>
    <row r="111" spans="1:14" x14ac:dyDescent="0.35">
      <c r="A111" s="57" t="s">
        <v>669</v>
      </c>
      <c r="B111" s="5"/>
      <c r="C111" s="4"/>
      <c r="D111" s="4"/>
      <c r="E111" s="4"/>
      <c r="F111" s="4"/>
      <c r="G111" s="1"/>
      <c r="H111" s="1"/>
      <c r="I111" s="1"/>
      <c r="J111" s="58" t="e">
        <f>+E108*F9</f>
        <v>#REF!</v>
      </c>
    </row>
    <row r="112" spans="1:14" x14ac:dyDescent="0.35">
      <c r="A112" s="57" t="s">
        <v>24</v>
      </c>
      <c r="B112" s="5"/>
      <c r="C112" s="4"/>
      <c r="D112" s="4"/>
      <c r="E112" s="4"/>
      <c r="F112" s="4"/>
      <c r="G112" s="1"/>
      <c r="H112" s="1"/>
      <c r="I112" s="1"/>
      <c r="J112" s="59" t="e">
        <f>+J108</f>
        <v>#REF!</v>
      </c>
    </row>
    <row r="113" spans="1:10" ht="15" thickBot="1" x14ac:dyDescent="0.4">
      <c r="A113" s="57"/>
      <c r="B113" s="5" t="s">
        <v>25</v>
      </c>
      <c r="C113" s="4"/>
      <c r="D113" s="4"/>
      <c r="E113" s="4"/>
      <c r="F113" s="4"/>
      <c r="G113" s="1"/>
      <c r="H113" s="1"/>
      <c r="I113" s="1"/>
      <c r="J113" s="60" t="e">
        <f>+J111-J112</f>
        <v>#REF!</v>
      </c>
    </row>
    <row r="114" spans="1:10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XFD113"/>
  <sheetViews>
    <sheetView topLeftCell="A31" workbookViewId="0">
      <selection activeCell="F83" sqref="F83"/>
    </sheetView>
  </sheetViews>
  <sheetFormatPr baseColWidth="10" defaultRowHeight="14.5" x14ac:dyDescent="0.35"/>
  <cols>
    <col min="2" max="2" width="37.1796875" customWidth="1"/>
    <col min="12" max="14" width="9.0898437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29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5">
      <c r="A9" s="23">
        <v>43470</v>
      </c>
      <c r="B9" s="24" t="s">
        <v>354</v>
      </c>
      <c r="C9" s="25">
        <v>8422.92</v>
      </c>
      <c r="D9" s="26"/>
      <c r="E9" s="27">
        <f>+C9</f>
        <v>8422.92</v>
      </c>
      <c r="F9" s="26">
        <f>+J9/C9</f>
        <v>21.151023635508825</v>
      </c>
      <c r="G9" s="26"/>
      <c r="H9" s="28">
        <v>178153.38</v>
      </c>
      <c r="I9" s="29"/>
      <c r="J9" s="29">
        <f>+H9</f>
        <v>178153.38</v>
      </c>
      <c r="K9" s="30"/>
    </row>
    <row r="10" spans="1:14" s="71" customFormat="1" x14ac:dyDescent="0.35">
      <c r="A10" s="23">
        <v>43112</v>
      </c>
      <c r="B10" s="68" t="s">
        <v>62</v>
      </c>
      <c r="C10" s="26"/>
      <c r="D10" s="26">
        <f>7*3.8</f>
        <v>26.599999999999998</v>
      </c>
      <c r="E10" s="42">
        <f>+E9-D10</f>
        <v>8396.32</v>
      </c>
      <c r="F10" s="43"/>
      <c r="G10" s="26">
        <f>+J9/E9</f>
        <v>21.151023635508825</v>
      </c>
      <c r="H10" s="43"/>
      <c r="I10" s="26">
        <f>+D10*G10</f>
        <v>562.61722870453468</v>
      </c>
      <c r="J10" s="26">
        <f>+J9-I10</f>
        <v>177590.76277129547</v>
      </c>
      <c r="K10" s="70"/>
    </row>
    <row r="11" spans="1:14" s="71" customFormat="1" x14ac:dyDescent="0.35">
      <c r="A11" s="23">
        <v>43114</v>
      </c>
      <c r="B11" s="68" t="s">
        <v>64</v>
      </c>
      <c r="C11" s="26"/>
      <c r="D11" s="26">
        <v>2.2999999999999998</v>
      </c>
      <c r="E11" s="42">
        <f t="shared" ref="E11:E28" si="0">+E10-D11</f>
        <v>8394.02</v>
      </c>
      <c r="F11" s="43"/>
      <c r="G11" s="26">
        <f t="shared" ref="G11:G28" si="1">+J10/E10</f>
        <v>21.151023635508828</v>
      </c>
      <c r="H11" s="43"/>
      <c r="I11" s="26">
        <f t="shared" ref="I11:I28" si="2">+D11*G11</f>
        <v>48.647354361670303</v>
      </c>
      <c r="J11" s="26">
        <f t="shared" ref="J11:J28" si="3">+J10-I11</f>
        <v>177542.11541693381</v>
      </c>
      <c r="K11" s="70"/>
    </row>
    <row r="12" spans="1:14" s="37" customFormat="1" x14ac:dyDescent="0.35">
      <c r="A12" s="31">
        <v>43114</v>
      </c>
      <c r="B12" s="32" t="s">
        <v>65</v>
      </c>
      <c r="C12" s="33"/>
      <c r="D12" s="33">
        <f>3*4</f>
        <v>12</v>
      </c>
      <c r="E12" s="85">
        <f t="shared" si="0"/>
        <v>8382.02</v>
      </c>
      <c r="F12" s="86"/>
      <c r="G12" s="33">
        <f t="shared" si="1"/>
        <v>21.151023635508828</v>
      </c>
      <c r="H12" s="86"/>
      <c r="I12" s="33">
        <f t="shared" si="2"/>
        <v>253.81228362610594</v>
      </c>
      <c r="J12" s="33">
        <f t="shared" si="3"/>
        <v>177288.30313330769</v>
      </c>
      <c r="K12" s="34"/>
      <c r="L12" s="35">
        <f>SUM(I10:I12)</f>
        <v>865.07686669231089</v>
      </c>
      <c r="M12" s="114"/>
      <c r="N12" s="36">
        <v>43480</v>
      </c>
    </row>
    <row r="13" spans="1:14" s="71" customFormat="1" x14ac:dyDescent="0.35">
      <c r="A13" s="23">
        <v>43483</v>
      </c>
      <c r="B13" s="68" t="s">
        <v>87</v>
      </c>
      <c r="C13" s="26"/>
      <c r="D13" s="26">
        <f>7.4+6*5.55+2*5.5+5.45+5.4+5+4.7+3*4.65</f>
        <v>86.2</v>
      </c>
      <c r="E13" s="42">
        <f t="shared" si="0"/>
        <v>8295.82</v>
      </c>
      <c r="F13" s="43"/>
      <c r="G13" s="26">
        <f t="shared" si="1"/>
        <v>21.151023635508825</v>
      </c>
      <c r="H13" s="43"/>
      <c r="I13" s="26">
        <f t="shared" si="2"/>
        <v>1823.2182373808607</v>
      </c>
      <c r="J13" s="26">
        <f t="shared" si="3"/>
        <v>175465.08489592685</v>
      </c>
      <c r="K13" s="70"/>
      <c r="L13" s="98"/>
      <c r="M13" s="98"/>
      <c r="N13" s="98"/>
    </row>
    <row r="14" spans="1:14" s="71" customFormat="1" x14ac:dyDescent="0.35">
      <c r="A14" s="72">
        <v>43483</v>
      </c>
      <c r="B14" s="68" t="s">
        <v>88</v>
      </c>
      <c r="C14" s="69"/>
      <c r="D14" s="74">
        <f>4.1+2*3.95+3.8+3.75+3.45+2*3.2+2*2.9+2.75</f>
        <v>37.949999999999996</v>
      </c>
      <c r="E14" s="42">
        <f t="shared" si="0"/>
        <v>8257.869999999999</v>
      </c>
      <c r="F14" s="43"/>
      <c r="G14" s="26">
        <f t="shared" si="1"/>
        <v>21.151023635508828</v>
      </c>
      <c r="H14" s="43"/>
      <c r="I14" s="26">
        <f t="shared" si="2"/>
        <v>802.68134696755999</v>
      </c>
      <c r="J14" s="26">
        <f t="shared" si="3"/>
        <v>174662.40354895929</v>
      </c>
      <c r="K14" s="70"/>
      <c r="L14" s="98"/>
      <c r="M14" s="98"/>
      <c r="N14" s="98"/>
    </row>
    <row r="15" spans="1:14" s="71" customFormat="1" x14ac:dyDescent="0.35">
      <c r="A15" s="72">
        <v>43483</v>
      </c>
      <c r="B15" s="68" t="s">
        <v>89</v>
      </c>
      <c r="C15" s="69"/>
      <c r="D15" s="74">
        <f>2*2.5+2*2+2*1.75+1.5+1.35+2*1.1+2+14</f>
        <v>33.549999999999997</v>
      </c>
      <c r="E15" s="42">
        <f t="shared" si="0"/>
        <v>8224.32</v>
      </c>
      <c r="F15" s="43"/>
      <c r="G15" s="26">
        <f t="shared" si="1"/>
        <v>21.151023635508832</v>
      </c>
      <c r="H15" s="43"/>
      <c r="I15" s="26">
        <f t="shared" si="2"/>
        <v>709.61684297132126</v>
      </c>
      <c r="J15" s="26">
        <f t="shared" si="3"/>
        <v>173952.78670598796</v>
      </c>
      <c r="K15" s="70"/>
      <c r="L15" s="98"/>
      <c r="M15" s="98"/>
      <c r="N15" s="98"/>
    </row>
    <row r="16" spans="1:14" s="71" customFormat="1" x14ac:dyDescent="0.35">
      <c r="A16" s="72">
        <v>43483</v>
      </c>
      <c r="B16" s="68" t="s">
        <v>90</v>
      </c>
      <c r="C16" s="69"/>
      <c r="D16" s="74">
        <f>0.85+0.8+0.7+2*0.6+0.5+0.4+0.3+0.2</f>
        <v>4.95</v>
      </c>
      <c r="E16" s="42">
        <f t="shared" si="0"/>
        <v>8219.369999999999</v>
      </c>
      <c r="F16" s="43"/>
      <c r="G16" s="26">
        <f t="shared" si="1"/>
        <v>21.151023635508828</v>
      </c>
      <c r="H16" s="43"/>
      <c r="I16" s="26">
        <f t="shared" si="2"/>
        <v>104.6975669957687</v>
      </c>
      <c r="J16" s="26">
        <f t="shared" si="3"/>
        <v>173848.08913899219</v>
      </c>
      <c r="K16" s="70"/>
      <c r="L16" s="98"/>
      <c r="M16" s="98"/>
      <c r="N16" s="98"/>
    </row>
    <row r="17" spans="1:14" s="71" customFormat="1" x14ac:dyDescent="0.35">
      <c r="A17" s="72">
        <v>43483</v>
      </c>
      <c r="B17" s="68" t="s">
        <v>91</v>
      </c>
      <c r="C17" s="69"/>
      <c r="D17" s="74">
        <f>3*2.94+2+2*1.5+0.75</f>
        <v>14.57</v>
      </c>
      <c r="E17" s="42">
        <f t="shared" si="0"/>
        <v>8204.7999999999993</v>
      </c>
      <c r="F17" s="43"/>
      <c r="G17" s="26">
        <f t="shared" si="1"/>
        <v>21.151023635508828</v>
      </c>
      <c r="H17" s="43"/>
      <c r="I17" s="26">
        <f t="shared" si="2"/>
        <v>308.17041436936364</v>
      </c>
      <c r="J17" s="26">
        <f t="shared" si="3"/>
        <v>173539.91872462284</v>
      </c>
      <c r="K17" s="70"/>
      <c r="L17" s="98"/>
      <c r="M17" s="98"/>
      <c r="N17" s="98"/>
    </row>
    <row r="18" spans="1:14" s="71" customFormat="1" x14ac:dyDescent="0.35">
      <c r="A18" s="72">
        <v>43486</v>
      </c>
      <c r="B18" s="68" t="s">
        <v>103</v>
      </c>
      <c r="C18" s="69"/>
      <c r="D18" s="74">
        <f>5*4.67</f>
        <v>23.35</v>
      </c>
      <c r="E18" s="42">
        <f t="shared" si="0"/>
        <v>8181.4499999999989</v>
      </c>
      <c r="F18" s="43"/>
      <c r="G18" s="26">
        <f t="shared" si="1"/>
        <v>21.151023635508832</v>
      </c>
      <c r="H18" s="43"/>
      <c r="I18" s="26">
        <f t="shared" si="2"/>
        <v>493.87640188913127</v>
      </c>
      <c r="J18" s="26">
        <f t="shared" si="3"/>
        <v>173046.0423227337</v>
      </c>
      <c r="K18" s="70"/>
      <c r="L18" s="98"/>
      <c r="M18" s="98"/>
      <c r="N18" s="98"/>
    </row>
    <row r="19" spans="1:14" s="71" customFormat="1" x14ac:dyDescent="0.35">
      <c r="A19" s="23">
        <v>43486</v>
      </c>
      <c r="B19" s="68" t="s">
        <v>106</v>
      </c>
      <c r="C19" s="73"/>
      <c r="D19" s="73">
        <f>5*2.25</f>
        <v>11.25</v>
      </c>
      <c r="E19" s="42">
        <f t="shared" si="0"/>
        <v>8170.1999999999989</v>
      </c>
      <c r="F19" s="43"/>
      <c r="G19" s="26">
        <f t="shared" si="1"/>
        <v>21.151023635508832</v>
      </c>
      <c r="H19" s="43"/>
      <c r="I19" s="26">
        <f t="shared" si="2"/>
        <v>237.94901589947435</v>
      </c>
      <c r="J19" s="26">
        <f t="shared" si="3"/>
        <v>172808.09330683423</v>
      </c>
      <c r="K19" s="70"/>
      <c r="L19" s="98"/>
      <c r="M19" s="98"/>
      <c r="N19" s="98"/>
    </row>
    <row r="20" spans="1:14" s="71" customFormat="1" x14ac:dyDescent="0.35">
      <c r="A20" s="23">
        <v>43488</v>
      </c>
      <c r="B20" s="68" t="s">
        <v>110</v>
      </c>
      <c r="C20" s="26"/>
      <c r="D20" s="26">
        <f>7*5.15</f>
        <v>36.050000000000004</v>
      </c>
      <c r="E20" s="42">
        <f t="shared" si="0"/>
        <v>8134.1499999999987</v>
      </c>
      <c r="F20" s="43"/>
      <c r="G20" s="26">
        <f t="shared" si="1"/>
        <v>21.151023635508832</v>
      </c>
      <c r="H20" s="43"/>
      <c r="I20" s="26">
        <f t="shared" si="2"/>
        <v>762.49440206009342</v>
      </c>
      <c r="J20" s="26">
        <f t="shared" si="3"/>
        <v>172045.59890477415</v>
      </c>
      <c r="K20" s="70"/>
      <c r="L20" s="98"/>
      <c r="M20" s="98"/>
      <c r="N20" s="98"/>
    </row>
    <row r="21" spans="1:14" s="71" customFormat="1" x14ac:dyDescent="0.35">
      <c r="A21" s="23">
        <v>43488</v>
      </c>
      <c r="B21" s="68" t="s">
        <v>112</v>
      </c>
      <c r="C21" s="26"/>
      <c r="D21" s="26">
        <f>5*1.3</f>
        <v>6.5</v>
      </c>
      <c r="E21" s="42">
        <f t="shared" si="0"/>
        <v>8127.6499999999987</v>
      </c>
      <c r="F21" s="43"/>
      <c r="G21" s="26">
        <f t="shared" si="1"/>
        <v>21.151023635508832</v>
      </c>
      <c r="H21" s="43"/>
      <c r="I21" s="26">
        <f t="shared" si="2"/>
        <v>137.48165363080741</v>
      </c>
      <c r="J21" s="26">
        <f t="shared" si="3"/>
        <v>171908.11725114333</v>
      </c>
      <c r="K21" s="70"/>
      <c r="L21" s="98"/>
      <c r="M21" s="98"/>
      <c r="N21" s="98"/>
    </row>
    <row r="22" spans="1:14" s="71" customFormat="1" x14ac:dyDescent="0.35">
      <c r="A22" s="23">
        <v>43488</v>
      </c>
      <c r="B22" s="68" t="s">
        <v>115</v>
      </c>
      <c r="C22" s="26"/>
      <c r="D22" s="26">
        <f>4*2</f>
        <v>8</v>
      </c>
      <c r="E22" s="42">
        <f t="shared" si="0"/>
        <v>8119.6499999999987</v>
      </c>
      <c r="F22" s="43"/>
      <c r="G22" s="26">
        <f t="shared" si="1"/>
        <v>21.151023635508832</v>
      </c>
      <c r="H22" s="43"/>
      <c r="I22" s="26">
        <f t="shared" si="2"/>
        <v>169.20818908407065</v>
      </c>
      <c r="J22" s="26">
        <f t="shared" si="3"/>
        <v>171738.90906205925</v>
      </c>
      <c r="K22" s="70"/>
      <c r="L22" s="98"/>
      <c r="M22" s="98"/>
      <c r="N22" s="98"/>
    </row>
    <row r="23" spans="1:14" s="37" customFormat="1" x14ac:dyDescent="0.35">
      <c r="A23" s="31">
        <v>43496</v>
      </c>
      <c r="B23" s="32" t="s">
        <v>134</v>
      </c>
      <c r="C23" s="33"/>
      <c r="D23" s="33">
        <f>29*9.7+5*3.6+3</f>
        <v>302.29999999999995</v>
      </c>
      <c r="E23" s="85">
        <f t="shared" si="0"/>
        <v>7817.3499999999985</v>
      </c>
      <c r="F23" s="86"/>
      <c r="G23" s="33">
        <f t="shared" si="1"/>
        <v>21.151023635508832</v>
      </c>
      <c r="H23" s="86"/>
      <c r="I23" s="33">
        <f t="shared" si="2"/>
        <v>6393.9544450143185</v>
      </c>
      <c r="J23" s="33">
        <f t="shared" si="3"/>
        <v>165344.95461704492</v>
      </c>
      <c r="K23" s="34"/>
      <c r="L23" s="35">
        <f>SUM(I13:I23)</f>
        <v>11943.348516262769</v>
      </c>
      <c r="M23" s="35">
        <f>SUM(L12:L23)</f>
        <v>12808.42538295508</v>
      </c>
      <c r="N23" s="36">
        <v>43496</v>
      </c>
    </row>
    <row r="24" spans="1:14" s="71" customFormat="1" x14ac:dyDescent="0.35">
      <c r="A24" s="23">
        <v>43497</v>
      </c>
      <c r="B24" s="68" t="s">
        <v>141</v>
      </c>
      <c r="C24" s="26"/>
      <c r="D24" s="26">
        <f>13*4.9</f>
        <v>63.7</v>
      </c>
      <c r="E24" s="42">
        <f t="shared" si="0"/>
        <v>7753.6499999999987</v>
      </c>
      <c r="F24" s="43"/>
      <c r="G24" s="26">
        <f t="shared" si="1"/>
        <v>21.151023635508828</v>
      </c>
      <c r="H24" s="43"/>
      <c r="I24" s="26">
        <f t="shared" si="2"/>
        <v>1347.3202055819124</v>
      </c>
      <c r="J24" s="26">
        <f t="shared" si="3"/>
        <v>163997.63441146302</v>
      </c>
      <c r="K24" s="70"/>
      <c r="L24" s="98"/>
      <c r="M24" s="98"/>
      <c r="N24" s="98"/>
    </row>
    <row r="25" spans="1:14" s="71" customFormat="1" x14ac:dyDescent="0.35">
      <c r="A25" s="23">
        <v>43497</v>
      </c>
      <c r="B25" s="68" t="s">
        <v>143</v>
      </c>
      <c r="C25" s="26"/>
      <c r="D25" s="26">
        <f>9*5.75+10*5.5+5.15+2*5+4.75+4.4+4.2+4.05</f>
        <v>139.30000000000001</v>
      </c>
      <c r="E25" s="42">
        <f t="shared" si="0"/>
        <v>7614.3499999999985</v>
      </c>
      <c r="F25" s="43"/>
      <c r="G25" s="26">
        <f t="shared" si="1"/>
        <v>21.151023635508832</v>
      </c>
      <c r="H25" s="43"/>
      <c r="I25" s="26">
        <f t="shared" si="2"/>
        <v>2946.3375924263805</v>
      </c>
      <c r="J25" s="26">
        <f t="shared" si="3"/>
        <v>161051.29681903665</v>
      </c>
      <c r="K25" s="70"/>
      <c r="L25" s="98"/>
      <c r="M25" s="98"/>
      <c r="N25" s="98"/>
    </row>
    <row r="26" spans="1:14" s="71" customFormat="1" x14ac:dyDescent="0.35">
      <c r="A26" s="23">
        <v>43497</v>
      </c>
      <c r="B26" s="68" t="s">
        <v>144</v>
      </c>
      <c r="C26" s="26"/>
      <c r="D26" s="26">
        <f>4+3.65+3.35+2*3.2+2.9+2.5+2.45+2.35+2.15</f>
        <v>29.749999999999996</v>
      </c>
      <c r="E26" s="42">
        <f t="shared" si="0"/>
        <v>7584.5999999999985</v>
      </c>
      <c r="F26" s="43"/>
      <c r="G26" s="26">
        <f t="shared" si="1"/>
        <v>21.151023635508832</v>
      </c>
      <c r="H26" s="43"/>
      <c r="I26" s="26">
        <f t="shared" si="2"/>
        <v>629.24295315638767</v>
      </c>
      <c r="J26" s="26">
        <f t="shared" si="3"/>
        <v>160422.05386588027</v>
      </c>
      <c r="K26" s="70"/>
      <c r="L26" s="98"/>
      <c r="M26" s="98"/>
      <c r="N26" s="98"/>
    </row>
    <row r="27" spans="1:14" s="71" customFormat="1" x14ac:dyDescent="0.35">
      <c r="A27" s="23">
        <v>43497</v>
      </c>
      <c r="B27" s="68" t="s">
        <v>145</v>
      </c>
      <c r="C27" s="26"/>
      <c r="D27" s="26">
        <f>2*1.7+1.5+1.4+1+0.9+2*0.7+4</f>
        <v>13.600000000000001</v>
      </c>
      <c r="E27" s="42">
        <f t="shared" si="0"/>
        <v>7570.9999999999982</v>
      </c>
      <c r="F27" s="43"/>
      <c r="G27" s="26">
        <f t="shared" si="1"/>
        <v>21.151023635508835</v>
      </c>
      <c r="H27" s="43"/>
      <c r="I27" s="26">
        <f t="shared" si="2"/>
        <v>287.65392144292019</v>
      </c>
      <c r="J27" s="26">
        <f t="shared" si="3"/>
        <v>160134.39994443735</v>
      </c>
      <c r="K27" s="70"/>
      <c r="L27" s="98"/>
      <c r="M27" s="98"/>
      <c r="N27" s="98"/>
    </row>
    <row r="28" spans="1:14" s="71" customFormat="1" x14ac:dyDescent="0.35">
      <c r="A28" s="23">
        <v>43498</v>
      </c>
      <c r="B28" s="68" t="s">
        <v>148</v>
      </c>
      <c r="C28" s="26"/>
      <c r="D28" s="26">
        <f>9*0.5</f>
        <v>4.5</v>
      </c>
      <c r="E28" s="42">
        <f t="shared" si="0"/>
        <v>7566.4999999999982</v>
      </c>
      <c r="F28" s="43"/>
      <c r="G28" s="26">
        <f t="shared" si="1"/>
        <v>21.151023635508835</v>
      </c>
      <c r="H28" s="43"/>
      <c r="I28" s="26">
        <f t="shared" si="2"/>
        <v>95.179606359789759</v>
      </c>
      <c r="J28" s="26">
        <f t="shared" si="3"/>
        <v>160039.22033807755</v>
      </c>
      <c r="K28" s="70"/>
      <c r="L28" s="98"/>
      <c r="M28" s="98"/>
      <c r="N28" s="98"/>
    </row>
    <row r="29" spans="1:14" s="71" customFormat="1" x14ac:dyDescent="0.35">
      <c r="A29" s="23">
        <v>43498</v>
      </c>
      <c r="B29" s="68" t="s">
        <v>149</v>
      </c>
      <c r="C29" s="26"/>
      <c r="D29" s="26">
        <v>0</v>
      </c>
      <c r="E29" s="42">
        <f t="shared" ref="E29:E75" si="4">+E28-D29</f>
        <v>7566.4999999999982</v>
      </c>
      <c r="F29" s="43"/>
      <c r="G29" s="26">
        <f t="shared" ref="G29:G75" si="5">+J28/E28</f>
        <v>21.151023635508832</v>
      </c>
      <c r="H29" s="43"/>
      <c r="I29" s="26">
        <f t="shared" ref="I29:I75" si="6">+D29*G29</f>
        <v>0</v>
      </c>
      <c r="J29" s="26">
        <f t="shared" ref="J29:J75" si="7">+J28-I29</f>
        <v>160039.22033807755</v>
      </c>
      <c r="K29" s="70"/>
      <c r="L29" s="98"/>
      <c r="M29" s="98"/>
      <c r="N29" s="98"/>
    </row>
    <row r="30" spans="1:14" s="37" customFormat="1" x14ac:dyDescent="0.35">
      <c r="A30" s="31">
        <v>43502</v>
      </c>
      <c r="B30" s="32" t="s">
        <v>158</v>
      </c>
      <c r="C30" s="33"/>
      <c r="D30" s="33">
        <f>4*3.2</f>
        <v>12.8</v>
      </c>
      <c r="E30" s="85">
        <f t="shared" si="4"/>
        <v>7553.699999999998</v>
      </c>
      <c r="F30" s="86"/>
      <c r="G30" s="33">
        <f t="shared" si="5"/>
        <v>21.151023635508832</v>
      </c>
      <c r="H30" s="86"/>
      <c r="I30" s="33">
        <f t="shared" si="6"/>
        <v>270.73310253451308</v>
      </c>
      <c r="J30" s="33">
        <f t="shared" si="7"/>
        <v>159768.48723554303</v>
      </c>
      <c r="K30" s="34"/>
      <c r="L30" s="35">
        <f>SUM(I24:I30)</f>
        <v>5576.4673815019032</v>
      </c>
      <c r="M30" s="114"/>
      <c r="N30" s="36">
        <v>43511</v>
      </c>
    </row>
    <row r="31" spans="1:14" s="71" customFormat="1" x14ac:dyDescent="0.35">
      <c r="A31" s="23">
        <v>43517</v>
      </c>
      <c r="B31" s="68" t="s">
        <v>427</v>
      </c>
      <c r="C31" s="26"/>
      <c r="D31" s="26">
        <f>7*5.7+4*4.4</f>
        <v>57.5</v>
      </c>
      <c r="E31" s="42">
        <f t="shared" si="4"/>
        <v>7496.199999999998</v>
      </c>
      <c r="F31" s="43"/>
      <c r="G31" s="26">
        <f t="shared" si="5"/>
        <v>21.151023635508832</v>
      </c>
      <c r="H31" s="43"/>
      <c r="I31" s="26">
        <f t="shared" si="6"/>
        <v>1216.1838590417578</v>
      </c>
      <c r="J31" s="26">
        <f t="shared" si="7"/>
        <v>158552.30337650128</v>
      </c>
      <c r="K31" s="70"/>
      <c r="L31" s="98"/>
      <c r="M31" s="98"/>
      <c r="N31" s="98"/>
    </row>
    <row r="32" spans="1:14" s="71" customFormat="1" x14ac:dyDescent="0.35">
      <c r="A32" s="23">
        <v>43518</v>
      </c>
      <c r="B32" s="68" t="s">
        <v>190</v>
      </c>
      <c r="C32" s="26"/>
      <c r="D32" s="26">
        <f>6*2</f>
        <v>12</v>
      </c>
      <c r="E32" s="42">
        <f t="shared" si="4"/>
        <v>7484.199999999998</v>
      </c>
      <c r="F32" s="43"/>
      <c r="G32" s="26">
        <f t="shared" si="5"/>
        <v>21.151023635508835</v>
      </c>
      <c r="H32" s="43"/>
      <c r="I32" s="26">
        <f t="shared" si="6"/>
        <v>253.81228362610602</v>
      </c>
      <c r="J32" s="26">
        <f t="shared" si="7"/>
        <v>158298.49109287516</v>
      </c>
      <c r="K32" s="70"/>
      <c r="L32" s="98"/>
      <c r="M32" s="98"/>
      <c r="N32" s="98"/>
    </row>
    <row r="33" spans="1:14" s="37" customFormat="1" x14ac:dyDescent="0.35">
      <c r="A33" s="31">
        <v>43523</v>
      </c>
      <c r="B33" s="32" t="s">
        <v>200</v>
      </c>
      <c r="C33" s="33"/>
      <c r="D33" s="33">
        <f>13*5.8+7*4.25+0.75</f>
        <v>105.89999999999999</v>
      </c>
      <c r="E33" s="85">
        <f t="shared" si="4"/>
        <v>7378.2999999999984</v>
      </c>
      <c r="F33" s="86"/>
      <c r="G33" s="33">
        <f t="shared" si="5"/>
        <v>21.151023635508832</v>
      </c>
      <c r="H33" s="86"/>
      <c r="I33" s="33">
        <f t="shared" si="6"/>
        <v>2239.8934030003852</v>
      </c>
      <c r="J33" s="33">
        <f t="shared" si="7"/>
        <v>156058.59768987479</v>
      </c>
      <c r="K33" s="34"/>
      <c r="L33" s="35">
        <f>SUM(I31:I33)</f>
        <v>3709.889545668249</v>
      </c>
      <c r="M33" s="35">
        <f>SUM(L30:L33)</f>
        <v>9286.3569271701526</v>
      </c>
      <c r="N33" s="36">
        <v>43524</v>
      </c>
    </row>
    <row r="34" spans="1:14" s="71" customFormat="1" x14ac:dyDescent="0.35">
      <c r="A34" s="23">
        <v>43540</v>
      </c>
      <c r="B34" s="68" t="s">
        <v>231</v>
      </c>
      <c r="C34" s="26"/>
      <c r="D34" s="26">
        <f>16*4.4+5*4.2+6*3.3</f>
        <v>111.2</v>
      </c>
      <c r="E34" s="42">
        <f t="shared" si="4"/>
        <v>7267.0999999999985</v>
      </c>
      <c r="F34" s="43"/>
      <c r="G34" s="26">
        <f t="shared" si="5"/>
        <v>21.151023635508832</v>
      </c>
      <c r="H34" s="43"/>
      <c r="I34" s="26">
        <f t="shared" si="6"/>
        <v>2351.9938282685821</v>
      </c>
      <c r="J34" s="26">
        <f t="shared" si="7"/>
        <v>153706.60386160621</v>
      </c>
      <c r="K34" s="70"/>
      <c r="L34" s="98"/>
      <c r="M34" s="98"/>
      <c r="N34" s="98"/>
    </row>
    <row r="35" spans="1:14" s="71" customFormat="1" x14ac:dyDescent="0.35">
      <c r="A35" s="23">
        <v>43545</v>
      </c>
      <c r="B35" s="68" t="s">
        <v>240</v>
      </c>
      <c r="C35" s="26"/>
      <c r="D35" s="26">
        <f>30*5.6+5</f>
        <v>173</v>
      </c>
      <c r="E35" s="42">
        <f t="shared" si="4"/>
        <v>7094.0999999999985</v>
      </c>
      <c r="F35" s="43"/>
      <c r="G35" s="26">
        <f t="shared" si="5"/>
        <v>21.151023635508835</v>
      </c>
      <c r="H35" s="43"/>
      <c r="I35" s="26">
        <f t="shared" si="6"/>
        <v>3659.1270889430284</v>
      </c>
      <c r="J35" s="26">
        <f t="shared" si="7"/>
        <v>150047.47677266318</v>
      </c>
      <c r="K35" s="70"/>
      <c r="L35" s="98"/>
      <c r="M35" s="98"/>
      <c r="N35" s="98"/>
    </row>
    <row r="36" spans="1:14" s="71" customFormat="1" x14ac:dyDescent="0.35">
      <c r="A36" s="23">
        <v>43547</v>
      </c>
      <c r="B36" s="68" t="s">
        <v>428</v>
      </c>
      <c r="C36" s="26"/>
      <c r="D36" s="26">
        <f>2*3.3</f>
        <v>6.6</v>
      </c>
      <c r="E36" s="42">
        <f t="shared" ref="E36:E38" si="8">+E35-D36</f>
        <v>7087.4999999999982</v>
      </c>
      <c r="F36" s="43"/>
      <c r="G36" s="26">
        <f t="shared" ref="G36:G38" si="9">+J35/E35</f>
        <v>21.151023635508832</v>
      </c>
      <c r="H36" s="43"/>
      <c r="I36" s="26">
        <f t="shared" ref="I36:I38" si="10">+D36*G36</f>
        <v>139.59675599435829</v>
      </c>
      <c r="J36" s="26">
        <f t="shared" ref="J36:J38" si="11">+J35-I36</f>
        <v>149907.88001666882</v>
      </c>
      <c r="K36" s="70"/>
      <c r="L36" s="98"/>
      <c r="M36" s="98"/>
      <c r="N36" s="98"/>
    </row>
    <row r="37" spans="1:14" s="71" customFormat="1" x14ac:dyDescent="0.35">
      <c r="A37" s="23">
        <v>43547</v>
      </c>
      <c r="B37" s="68" t="s">
        <v>247</v>
      </c>
      <c r="C37" s="26"/>
      <c r="D37" s="26">
        <f>6*0.9</f>
        <v>5.4</v>
      </c>
      <c r="E37" s="42">
        <f t="shared" si="8"/>
        <v>7082.0999999999985</v>
      </c>
      <c r="F37" s="43"/>
      <c r="G37" s="26">
        <f t="shared" si="9"/>
        <v>21.151023635508832</v>
      </c>
      <c r="H37" s="43"/>
      <c r="I37" s="26">
        <f t="shared" si="10"/>
        <v>114.2155276317477</v>
      </c>
      <c r="J37" s="26">
        <f t="shared" si="11"/>
        <v>149793.66448903707</v>
      </c>
      <c r="K37" s="70"/>
      <c r="L37" s="98"/>
      <c r="M37" s="98"/>
      <c r="N37" s="98"/>
    </row>
    <row r="38" spans="1:14" s="71" customFormat="1" x14ac:dyDescent="0.35">
      <c r="A38" s="23">
        <v>43553</v>
      </c>
      <c r="B38" s="68" t="s">
        <v>256</v>
      </c>
      <c r="C38" s="26"/>
      <c r="D38" s="26">
        <v>2</v>
      </c>
      <c r="E38" s="42">
        <f t="shared" si="8"/>
        <v>7080.0999999999985</v>
      </c>
      <c r="F38" s="43"/>
      <c r="G38" s="26">
        <f t="shared" si="9"/>
        <v>21.151023635508832</v>
      </c>
      <c r="H38" s="43"/>
      <c r="I38" s="26">
        <f t="shared" si="10"/>
        <v>42.302047271017663</v>
      </c>
      <c r="J38" s="26">
        <f t="shared" si="11"/>
        <v>149751.36244176605</v>
      </c>
      <c r="K38" s="70"/>
      <c r="L38" s="98"/>
      <c r="M38" s="98"/>
      <c r="N38" s="98"/>
    </row>
    <row r="39" spans="1:14" s="71" customFormat="1" x14ac:dyDescent="0.35">
      <c r="A39" s="23">
        <v>43553</v>
      </c>
      <c r="B39" s="68" t="s">
        <v>258</v>
      </c>
      <c r="C39" s="26"/>
      <c r="D39" s="26">
        <f>15*7.6+6+3+4</f>
        <v>127</v>
      </c>
      <c r="E39" s="42">
        <f t="shared" si="4"/>
        <v>6953.0999999999985</v>
      </c>
      <c r="F39" s="43"/>
      <c r="G39" s="26">
        <f t="shared" si="5"/>
        <v>21.151023635508832</v>
      </c>
      <c r="H39" s="43"/>
      <c r="I39" s="26">
        <f t="shared" si="6"/>
        <v>2686.1800017096216</v>
      </c>
      <c r="J39" s="26">
        <f t="shared" si="7"/>
        <v>147065.18244005644</v>
      </c>
      <c r="K39" s="70"/>
      <c r="L39" s="98"/>
      <c r="M39" s="98"/>
      <c r="N39" s="98"/>
    </row>
    <row r="40" spans="1:14" s="37" customFormat="1" x14ac:dyDescent="0.35">
      <c r="A40" s="31">
        <v>43553</v>
      </c>
      <c r="B40" s="32" t="s">
        <v>259</v>
      </c>
      <c r="C40" s="33"/>
      <c r="D40" s="33">
        <f>8*3</f>
        <v>24</v>
      </c>
      <c r="E40" s="85">
        <f t="shared" si="4"/>
        <v>6929.0999999999985</v>
      </c>
      <c r="F40" s="86"/>
      <c r="G40" s="33">
        <f t="shared" si="5"/>
        <v>21.151023635508832</v>
      </c>
      <c r="H40" s="86"/>
      <c r="I40" s="33">
        <f t="shared" si="6"/>
        <v>507.62456725221193</v>
      </c>
      <c r="J40" s="33">
        <f t="shared" si="7"/>
        <v>146557.55787280423</v>
      </c>
      <c r="K40" s="34"/>
      <c r="L40" s="35">
        <f>SUM(I34:I40)</f>
        <v>9501.0398170705685</v>
      </c>
      <c r="M40" s="35">
        <f>SUM(L40)</f>
        <v>9501.0398170705685</v>
      </c>
      <c r="N40" s="36">
        <v>43555</v>
      </c>
    </row>
    <row r="41" spans="1:14" s="37" customFormat="1" x14ac:dyDescent="0.35">
      <c r="A41" s="31">
        <v>43558</v>
      </c>
      <c r="B41" s="32" t="s">
        <v>430</v>
      </c>
      <c r="C41" s="33"/>
      <c r="D41" s="33">
        <f>4+5</f>
        <v>9</v>
      </c>
      <c r="E41" s="85">
        <f t="shared" ref="E41" si="12">+E40-D41</f>
        <v>6920.0999999999985</v>
      </c>
      <c r="F41" s="86"/>
      <c r="G41" s="33">
        <f t="shared" ref="G41" si="13">+J40/E40</f>
        <v>21.151023635508835</v>
      </c>
      <c r="H41" s="86"/>
      <c r="I41" s="33">
        <f t="shared" ref="I41" si="14">+D41*G41</f>
        <v>190.35921271957952</v>
      </c>
      <c r="J41" s="33">
        <f t="shared" ref="J41" si="15">+J40-I41</f>
        <v>146367.19866008466</v>
      </c>
      <c r="K41" s="34"/>
      <c r="L41" s="35">
        <f>SUM(I41)</f>
        <v>190.35921271957952</v>
      </c>
      <c r="M41" s="114"/>
      <c r="N41" s="36">
        <v>43570</v>
      </c>
    </row>
    <row r="42" spans="1:14" s="71" customFormat="1" x14ac:dyDescent="0.35">
      <c r="A42" s="23">
        <v>43582</v>
      </c>
      <c r="B42" s="68" t="s">
        <v>318</v>
      </c>
      <c r="C42" s="26"/>
      <c r="D42" s="26">
        <v>4.9000000000000004</v>
      </c>
      <c r="E42" s="42">
        <f t="shared" ref="E42" si="16">+E41-D42</f>
        <v>6915.1999999999989</v>
      </c>
      <c r="F42" s="43"/>
      <c r="G42" s="26">
        <f t="shared" ref="G42" si="17">+J41/E41</f>
        <v>21.151023635508835</v>
      </c>
      <c r="H42" s="43"/>
      <c r="I42" s="26">
        <f t="shared" ref="I42" si="18">+D42*G42</f>
        <v>103.6400158139933</v>
      </c>
      <c r="J42" s="26">
        <f t="shared" ref="J42" si="19">+J41-I42</f>
        <v>146263.55864427067</v>
      </c>
      <c r="K42" s="70"/>
      <c r="L42" s="98"/>
      <c r="M42" s="98"/>
      <c r="N42" s="98"/>
    </row>
    <row r="43" spans="1:14" s="37" customFormat="1" x14ac:dyDescent="0.35">
      <c r="A43" s="31">
        <v>43582</v>
      </c>
      <c r="B43" s="32" t="s">
        <v>319</v>
      </c>
      <c r="C43" s="33"/>
      <c r="D43" s="33">
        <v>0</v>
      </c>
      <c r="E43" s="85">
        <f t="shared" si="4"/>
        <v>6915.1999999999989</v>
      </c>
      <c r="F43" s="86"/>
      <c r="G43" s="33">
        <f t="shared" si="5"/>
        <v>21.151023635508835</v>
      </c>
      <c r="H43" s="86"/>
      <c r="I43" s="33">
        <f t="shared" si="6"/>
        <v>0</v>
      </c>
      <c r="J43" s="33">
        <f t="shared" si="7"/>
        <v>146263.55864427067</v>
      </c>
      <c r="K43" s="34"/>
      <c r="L43" s="35">
        <f>SUM(I42:I43)</f>
        <v>103.6400158139933</v>
      </c>
      <c r="M43" s="35">
        <f>SUM(L41:L43)</f>
        <v>293.99922853357282</v>
      </c>
      <c r="N43" s="36">
        <v>43585</v>
      </c>
    </row>
    <row r="44" spans="1:14" s="71" customFormat="1" x14ac:dyDescent="0.35">
      <c r="A44" s="23">
        <v>43592</v>
      </c>
      <c r="B44" s="68" t="s">
        <v>333</v>
      </c>
      <c r="C44" s="26"/>
      <c r="D44" s="26">
        <f>13*5.1</f>
        <v>66.3</v>
      </c>
      <c r="E44" s="42">
        <f t="shared" si="4"/>
        <v>6848.8999999999987</v>
      </c>
      <c r="F44" s="43"/>
      <c r="G44" s="26">
        <f t="shared" si="5"/>
        <v>21.151023635508835</v>
      </c>
      <c r="H44" s="43"/>
      <c r="I44" s="26">
        <f t="shared" si="6"/>
        <v>1402.3128670342358</v>
      </c>
      <c r="J44" s="26">
        <f t="shared" si="7"/>
        <v>144861.24577723644</v>
      </c>
      <c r="K44" s="70"/>
      <c r="L44" s="98"/>
      <c r="M44" s="98"/>
      <c r="N44" s="98"/>
    </row>
    <row r="45" spans="1:14" s="37" customFormat="1" x14ac:dyDescent="0.35">
      <c r="A45" s="31">
        <v>43595</v>
      </c>
      <c r="B45" s="32" t="s">
        <v>338</v>
      </c>
      <c r="C45" s="33"/>
      <c r="D45" s="33">
        <f>12*5.5</f>
        <v>66</v>
      </c>
      <c r="E45" s="85">
        <f t="shared" si="4"/>
        <v>6782.8999999999987</v>
      </c>
      <c r="F45" s="86"/>
      <c r="G45" s="33">
        <f t="shared" si="5"/>
        <v>21.151023635508835</v>
      </c>
      <c r="H45" s="86"/>
      <c r="I45" s="33">
        <f t="shared" si="6"/>
        <v>1395.9675599435832</v>
      </c>
      <c r="J45" s="33">
        <f t="shared" si="7"/>
        <v>143465.27821729286</v>
      </c>
      <c r="K45" s="34"/>
      <c r="L45" s="35">
        <f>SUM(I44:I45)</f>
        <v>2798.2804269778189</v>
      </c>
      <c r="M45" s="114"/>
      <c r="N45" s="36">
        <v>43600</v>
      </c>
    </row>
    <row r="46" spans="1:14" s="71" customFormat="1" x14ac:dyDescent="0.35">
      <c r="A46" s="23">
        <v>43613</v>
      </c>
      <c r="B46" s="68" t="s">
        <v>433</v>
      </c>
      <c r="C46" s="26"/>
      <c r="D46" s="26">
        <f>4*3+4*2.5+2*2.71+2*2.85+2*2.98+2*3.07+1.67</f>
        <v>46.890000000000008</v>
      </c>
      <c r="E46" s="42">
        <f t="shared" si="4"/>
        <v>6736.0099999999984</v>
      </c>
      <c r="F46" s="43"/>
      <c r="G46" s="26">
        <f t="shared" si="5"/>
        <v>21.151023635508835</v>
      </c>
      <c r="H46" s="43"/>
      <c r="I46" s="26">
        <f t="shared" si="6"/>
        <v>991.7714982690095</v>
      </c>
      <c r="J46" s="26">
        <f t="shared" si="7"/>
        <v>142473.50671902383</v>
      </c>
      <c r="K46" s="70"/>
      <c r="L46" s="98"/>
      <c r="M46" s="98"/>
      <c r="N46" s="98"/>
    </row>
    <row r="47" spans="1:14" s="37" customFormat="1" x14ac:dyDescent="0.35">
      <c r="A47" s="31">
        <v>43616</v>
      </c>
      <c r="B47" s="32" t="s">
        <v>374</v>
      </c>
      <c r="C47" s="33"/>
      <c r="D47" s="33">
        <f>10*4</f>
        <v>40</v>
      </c>
      <c r="E47" s="85">
        <f t="shared" si="4"/>
        <v>6696.0099999999984</v>
      </c>
      <c r="F47" s="86"/>
      <c r="G47" s="33">
        <f t="shared" si="5"/>
        <v>21.151023635508835</v>
      </c>
      <c r="H47" s="86"/>
      <c r="I47" s="33">
        <f t="shared" si="6"/>
        <v>846.04094542035341</v>
      </c>
      <c r="J47" s="33">
        <f t="shared" si="7"/>
        <v>141627.46577360347</v>
      </c>
      <c r="K47" s="34"/>
      <c r="L47" s="35">
        <f>SUM(I46:I47)</f>
        <v>1837.8124436893629</v>
      </c>
      <c r="M47" s="35">
        <f>SUM(L45:L47)</f>
        <v>4636.0928706671821</v>
      </c>
      <c r="N47" s="36">
        <v>43616</v>
      </c>
    </row>
    <row r="48" spans="1:14" s="71" customFormat="1" x14ac:dyDescent="0.35">
      <c r="A48" s="23">
        <v>43620</v>
      </c>
      <c r="B48" s="68" t="s">
        <v>382</v>
      </c>
      <c r="C48" s="26"/>
      <c r="D48" s="26">
        <f>10*5.65+7*5.3+3*3.1</f>
        <v>102.89999999999999</v>
      </c>
      <c r="E48" s="42">
        <f t="shared" si="4"/>
        <v>6593.1099999999988</v>
      </c>
      <c r="F48" s="43"/>
      <c r="G48" s="26">
        <f t="shared" si="5"/>
        <v>21.151023635508835</v>
      </c>
      <c r="H48" s="43"/>
      <c r="I48" s="26">
        <f t="shared" si="6"/>
        <v>2176.4403320938591</v>
      </c>
      <c r="J48" s="26">
        <f t="shared" si="7"/>
        <v>139451.02544150961</v>
      </c>
      <c r="K48" s="70"/>
      <c r="L48" s="98"/>
      <c r="M48" s="98"/>
      <c r="N48" s="98"/>
    </row>
    <row r="49" spans="1:14" s="71" customFormat="1" x14ac:dyDescent="0.35">
      <c r="A49" s="23">
        <v>43620</v>
      </c>
      <c r="B49" s="68" t="s">
        <v>384</v>
      </c>
      <c r="C49" s="26"/>
      <c r="D49" s="26">
        <f>9*5.15</f>
        <v>46.35</v>
      </c>
      <c r="E49" s="42">
        <f t="shared" si="4"/>
        <v>6546.7599999999984</v>
      </c>
      <c r="F49" s="43"/>
      <c r="G49" s="26">
        <f t="shared" si="5"/>
        <v>21.151023635508832</v>
      </c>
      <c r="H49" s="43"/>
      <c r="I49" s="26">
        <f t="shared" si="6"/>
        <v>980.3499455058344</v>
      </c>
      <c r="J49" s="26">
        <f t="shared" si="7"/>
        <v>138470.67549600377</v>
      </c>
      <c r="K49" s="70"/>
      <c r="L49" s="98"/>
      <c r="M49" s="98"/>
      <c r="N49" s="98"/>
    </row>
    <row r="50" spans="1:14" s="71" customFormat="1" x14ac:dyDescent="0.35">
      <c r="A50" s="23">
        <v>43621</v>
      </c>
      <c r="B50" s="68" t="s">
        <v>385</v>
      </c>
      <c r="C50" s="26"/>
      <c r="D50" s="26">
        <f>22*5.9</f>
        <v>129.80000000000001</v>
      </c>
      <c r="E50" s="42">
        <f t="shared" si="4"/>
        <v>6416.9599999999982</v>
      </c>
      <c r="F50" s="43"/>
      <c r="G50" s="26">
        <f t="shared" si="5"/>
        <v>21.151023635508832</v>
      </c>
      <c r="H50" s="43"/>
      <c r="I50" s="26">
        <f t="shared" si="6"/>
        <v>2745.4028678890468</v>
      </c>
      <c r="J50" s="26">
        <f t="shared" si="7"/>
        <v>135725.2726281147</v>
      </c>
      <c r="K50" s="70"/>
      <c r="L50" s="98"/>
      <c r="M50" s="98"/>
      <c r="N50" s="98"/>
    </row>
    <row r="51" spans="1:14" s="71" customFormat="1" x14ac:dyDescent="0.35">
      <c r="A51" s="23">
        <v>43624</v>
      </c>
      <c r="B51" s="68" t="s">
        <v>392</v>
      </c>
      <c r="C51" s="26"/>
      <c r="D51" s="26">
        <f>5*4.34+7*4.2</f>
        <v>51.1</v>
      </c>
      <c r="E51" s="42">
        <f t="shared" si="4"/>
        <v>6365.8599999999979</v>
      </c>
      <c r="F51" s="43"/>
      <c r="G51" s="26">
        <f t="shared" si="5"/>
        <v>21.151023635508832</v>
      </c>
      <c r="H51" s="43"/>
      <c r="I51" s="26">
        <f t="shared" si="6"/>
        <v>1080.8173077745014</v>
      </c>
      <c r="J51" s="26">
        <f t="shared" si="7"/>
        <v>134644.4553203402</v>
      </c>
      <c r="K51" s="70"/>
      <c r="L51" s="98"/>
      <c r="M51" s="98"/>
      <c r="N51" s="98"/>
    </row>
    <row r="52" spans="1:14" s="71" customFormat="1" x14ac:dyDescent="0.35">
      <c r="A52" s="23">
        <v>43626</v>
      </c>
      <c r="B52" s="68" t="s">
        <v>393</v>
      </c>
      <c r="C52" s="26"/>
      <c r="D52" s="26">
        <f>16*5.2+5*4.35+18*4.4+2*3.5+3*2.65+2*1.75+4.45+3.7</f>
        <v>210.74999999999997</v>
      </c>
      <c r="E52" s="42">
        <f t="shared" si="4"/>
        <v>6155.1099999999979</v>
      </c>
      <c r="F52" s="43"/>
      <c r="G52" s="26">
        <f t="shared" si="5"/>
        <v>21.151023635508832</v>
      </c>
      <c r="H52" s="43"/>
      <c r="I52" s="26">
        <f t="shared" si="6"/>
        <v>4457.5782311834855</v>
      </c>
      <c r="J52" s="26">
        <f t="shared" si="7"/>
        <v>130186.87708915671</v>
      </c>
      <c r="K52" s="70"/>
      <c r="L52" s="98"/>
      <c r="M52" s="98"/>
      <c r="N52" s="98"/>
    </row>
    <row r="53" spans="1:14" s="71" customFormat="1" x14ac:dyDescent="0.35">
      <c r="A53" s="23">
        <v>43626</v>
      </c>
      <c r="B53" s="68" t="s">
        <v>394</v>
      </c>
      <c r="C53" s="26"/>
      <c r="D53" s="26">
        <f>2*2.9+2*2.1+4*4.65+4*5.35+2*3.15+3*3.85+3*1.3+4.2</f>
        <v>75.95</v>
      </c>
      <c r="E53" s="42">
        <f t="shared" si="4"/>
        <v>6079.159999999998</v>
      </c>
      <c r="F53" s="43"/>
      <c r="G53" s="26">
        <f t="shared" si="5"/>
        <v>21.151023635508832</v>
      </c>
      <c r="H53" s="43"/>
      <c r="I53" s="26">
        <f t="shared" si="6"/>
        <v>1606.4202451168958</v>
      </c>
      <c r="J53" s="26">
        <f t="shared" si="7"/>
        <v>128580.45684403981</v>
      </c>
      <c r="K53" s="70"/>
      <c r="L53" s="98"/>
      <c r="M53" s="98"/>
      <c r="N53" s="98"/>
    </row>
    <row r="54" spans="1:14" s="71" customFormat="1" x14ac:dyDescent="0.35">
      <c r="A54" s="23">
        <v>43626</v>
      </c>
      <c r="B54" s="68" t="s">
        <v>395</v>
      </c>
      <c r="C54" s="26"/>
      <c r="D54" s="26">
        <f>3.4+1.85+1.05+4+2.25+1.4+3+2.35</f>
        <v>19.300000000000004</v>
      </c>
      <c r="E54" s="42">
        <f t="shared" si="4"/>
        <v>6059.8599999999979</v>
      </c>
      <c r="F54" s="43"/>
      <c r="G54" s="26">
        <f t="shared" si="5"/>
        <v>21.151023635508828</v>
      </c>
      <c r="H54" s="43"/>
      <c r="I54" s="26">
        <f t="shared" si="6"/>
        <v>408.21475616532047</v>
      </c>
      <c r="J54" s="26">
        <f t="shared" si="7"/>
        <v>128172.24208787449</v>
      </c>
      <c r="K54" s="70"/>
      <c r="L54" s="98"/>
      <c r="M54" s="98"/>
      <c r="N54" s="98"/>
    </row>
    <row r="55" spans="1:14" s="71" customFormat="1" x14ac:dyDescent="0.35">
      <c r="A55" s="23">
        <v>43626</v>
      </c>
      <c r="B55" s="68" t="s">
        <v>396</v>
      </c>
      <c r="C55" s="26"/>
      <c r="D55" s="26">
        <f>2.1+0.5+20</f>
        <v>22.6</v>
      </c>
      <c r="E55" s="42">
        <f t="shared" si="4"/>
        <v>6037.2599999999975</v>
      </c>
      <c r="F55" s="43"/>
      <c r="G55" s="26">
        <f t="shared" si="5"/>
        <v>21.151023635508828</v>
      </c>
      <c r="H55" s="43"/>
      <c r="I55" s="26">
        <f t="shared" si="6"/>
        <v>478.01313416249957</v>
      </c>
      <c r="J55" s="26">
        <f t="shared" si="7"/>
        <v>127694.22895371199</v>
      </c>
      <c r="K55" s="70"/>
      <c r="L55" s="98"/>
      <c r="M55" s="98"/>
      <c r="N55" s="98"/>
    </row>
    <row r="56" spans="1:14" s="37" customFormat="1" x14ac:dyDescent="0.35">
      <c r="A56" s="31">
        <v>43631</v>
      </c>
      <c r="B56" s="32" t="s">
        <v>406</v>
      </c>
      <c r="C56" s="33"/>
      <c r="D56" s="33">
        <f>28*3.56</f>
        <v>99.68</v>
      </c>
      <c r="E56" s="85">
        <f t="shared" si="4"/>
        <v>5937.5799999999972</v>
      </c>
      <c r="F56" s="86"/>
      <c r="G56" s="33">
        <f t="shared" si="5"/>
        <v>21.151023635508832</v>
      </c>
      <c r="H56" s="86"/>
      <c r="I56" s="33">
        <f t="shared" si="6"/>
        <v>2108.3340359875206</v>
      </c>
      <c r="J56" s="33">
        <f t="shared" si="7"/>
        <v>125585.89491772448</v>
      </c>
      <c r="K56" s="34"/>
      <c r="L56" s="35">
        <f>SUM(I48:I56)</f>
        <v>16041.570855878965</v>
      </c>
      <c r="M56" s="114"/>
      <c r="N56" s="36">
        <v>43631</v>
      </c>
    </row>
    <row r="57" spans="1:14" s="71" customFormat="1" x14ac:dyDescent="0.35">
      <c r="A57" s="23">
        <v>43633</v>
      </c>
      <c r="B57" s="68" t="s">
        <v>411</v>
      </c>
      <c r="C57" s="26"/>
      <c r="D57" s="26">
        <f>14*3.5</f>
        <v>49</v>
      </c>
      <c r="E57" s="42">
        <f t="shared" si="4"/>
        <v>5888.5799999999972</v>
      </c>
      <c r="F57" s="43"/>
      <c r="G57" s="26">
        <f t="shared" si="5"/>
        <v>21.151023635508832</v>
      </c>
      <c r="H57" s="43"/>
      <c r="I57" s="26">
        <f t="shared" si="6"/>
        <v>1036.4001581399327</v>
      </c>
      <c r="J57" s="26">
        <f t="shared" si="7"/>
        <v>124549.49475958454</v>
      </c>
      <c r="K57" s="70"/>
      <c r="L57" s="96"/>
      <c r="M57" s="98"/>
      <c r="N57" s="98"/>
    </row>
    <row r="58" spans="1:14" s="71" customFormat="1" x14ac:dyDescent="0.35">
      <c r="A58" s="23">
        <v>43635</v>
      </c>
      <c r="B58" s="68" t="s">
        <v>415</v>
      </c>
      <c r="C58" s="26"/>
      <c r="D58" s="26">
        <f>167.2+3+4</f>
        <v>174.2</v>
      </c>
      <c r="E58" s="42">
        <f t="shared" si="4"/>
        <v>5714.3799999999974</v>
      </c>
      <c r="F58" s="43"/>
      <c r="G58" s="26">
        <f t="shared" si="5"/>
        <v>21.151023635508832</v>
      </c>
      <c r="H58" s="43"/>
      <c r="I58" s="26">
        <f t="shared" si="6"/>
        <v>3684.5083173056382</v>
      </c>
      <c r="J58" s="26">
        <f t="shared" si="7"/>
        <v>120864.98644227891</v>
      </c>
      <c r="K58" s="70"/>
      <c r="L58" s="98"/>
      <c r="M58" s="98"/>
      <c r="N58" s="98"/>
    </row>
    <row r="59" spans="1:14" s="71" customFormat="1" x14ac:dyDescent="0.35">
      <c r="A59" s="23">
        <v>43641</v>
      </c>
      <c r="B59" s="68" t="s">
        <v>424</v>
      </c>
      <c r="C59" s="26"/>
      <c r="D59" s="26">
        <f>6*4.7</f>
        <v>28.200000000000003</v>
      </c>
      <c r="E59" s="42">
        <f t="shared" si="4"/>
        <v>5686.1799999999976</v>
      </c>
      <c r="F59" s="43"/>
      <c r="G59" s="26">
        <f t="shared" si="5"/>
        <v>21.151023635508832</v>
      </c>
      <c r="H59" s="43"/>
      <c r="I59" s="26">
        <f t="shared" si="6"/>
        <v>596.45886652134914</v>
      </c>
      <c r="J59" s="26">
        <f t="shared" si="7"/>
        <v>120268.52757575756</v>
      </c>
      <c r="K59" s="70"/>
      <c r="L59" s="98"/>
      <c r="M59" s="98"/>
      <c r="N59" s="98"/>
    </row>
    <row r="60" spans="1:14" s="37" customFormat="1" x14ac:dyDescent="0.35">
      <c r="A60" s="31">
        <v>43642</v>
      </c>
      <c r="B60" s="32" t="s">
        <v>435</v>
      </c>
      <c r="C60" s="33"/>
      <c r="D60" s="33">
        <f>6*3.7</f>
        <v>22.200000000000003</v>
      </c>
      <c r="E60" s="85">
        <f t="shared" si="4"/>
        <v>5663.9799999999977</v>
      </c>
      <c r="F60" s="86"/>
      <c r="G60" s="33">
        <f t="shared" si="5"/>
        <v>21.151023635508832</v>
      </c>
      <c r="H60" s="86"/>
      <c r="I60" s="33">
        <f t="shared" si="6"/>
        <v>469.55272470829613</v>
      </c>
      <c r="J60" s="33">
        <f t="shared" si="7"/>
        <v>119798.97485104926</v>
      </c>
      <c r="K60" s="34"/>
      <c r="L60" s="35">
        <f>SUM(I57:I60)</f>
        <v>5786.9200666752158</v>
      </c>
      <c r="M60" s="35">
        <f>SUM(L56:L60)</f>
        <v>21828.490922554181</v>
      </c>
      <c r="N60" s="36">
        <v>43646</v>
      </c>
    </row>
    <row r="61" spans="1:14" s="71" customFormat="1" x14ac:dyDescent="0.35">
      <c r="A61" s="23">
        <v>43651</v>
      </c>
      <c r="B61" s="68" t="s">
        <v>457</v>
      </c>
      <c r="C61" s="26"/>
      <c r="D61" s="26">
        <f>12*2.5+12*1</f>
        <v>42</v>
      </c>
      <c r="E61" s="42">
        <f t="shared" si="4"/>
        <v>5621.9799999999977</v>
      </c>
      <c r="F61" s="43"/>
      <c r="G61" s="26">
        <f t="shared" si="5"/>
        <v>21.151023635508832</v>
      </c>
      <c r="H61" s="43"/>
      <c r="I61" s="26">
        <f t="shared" si="6"/>
        <v>888.34299269137091</v>
      </c>
      <c r="J61" s="26">
        <f t="shared" si="7"/>
        <v>118910.6318583579</v>
      </c>
      <c r="K61" s="70"/>
      <c r="L61" s="98"/>
      <c r="M61" s="98"/>
      <c r="N61" s="98"/>
    </row>
    <row r="62" spans="1:14" s="71" customFormat="1" x14ac:dyDescent="0.35">
      <c r="A62" s="23">
        <v>43655</v>
      </c>
      <c r="B62" s="68" t="s">
        <v>458</v>
      </c>
      <c r="C62" s="26"/>
      <c r="D62" s="26">
        <f>59*3.1+14</f>
        <v>196.9</v>
      </c>
      <c r="E62" s="42">
        <f t="shared" si="4"/>
        <v>5425.0799999999981</v>
      </c>
      <c r="F62" s="43"/>
      <c r="G62" s="26">
        <f t="shared" si="5"/>
        <v>21.151023635508832</v>
      </c>
      <c r="H62" s="43"/>
      <c r="I62" s="26">
        <f t="shared" si="6"/>
        <v>4164.6365538316895</v>
      </c>
      <c r="J62" s="26">
        <f t="shared" si="7"/>
        <v>114745.99530452621</v>
      </c>
      <c r="K62" s="70"/>
      <c r="L62" s="98"/>
      <c r="M62" s="98"/>
      <c r="N62" s="98"/>
    </row>
    <row r="63" spans="1:14" s="71" customFormat="1" x14ac:dyDescent="0.35">
      <c r="A63" s="23">
        <v>43657</v>
      </c>
      <c r="B63" s="68" t="s">
        <v>463</v>
      </c>
      <c r="C63" s="26"/>
      <c r="D63" s="26">
        <f>9*2+9*2.5+8*4</f>
        <v>72.5</v>
      </c>
      <c r="E63" s="42">
        <f t="shared" si="4"/>
        <v>5352.5799999999981</v>
      </c>
      <c r="F63" s="43"/>
      <c r="G63" s="26">
        <f t="shared" si="5"/>
        <v>21.151023635508832</v>
      </c>
      <c r="H63" s="43"/>
      <c r="I63" s="26">
        <f t="shared" si="6"/>
        <v>1533.4492135743903</v>
      </c>
      <c r="J63" s="26">
        <f t="shared" si="7"/>
        <v>113212.54609095182</v>
      </c>
      <c r="K63" s="70"/>
      <c r="L63" s="98"/>
      <c r="M63" s="98"/>
      <c r="N63" s="98"/>
    </row>
    <row r="64" spans="1:14" s="71" customFormat="1" x14ac:dyDescent="0.35">
      <c r="A64" s="23">
        <v>43658</v>
      </c>
      <c r="B64" s="68" t="s">
        <v>464</v>
      </c>
      <c r="C64" s="26"/>
      <c r="D64" s="26">
        <v>4</v>
      </c>
      <c r="E64" s="42">
        <f t="shared" si="4"/>
        <v>5348.5799999999981</v>
      </c>
      <c r="F64" s="43"/>
      <c r="G64" s="26">
        <f t="shared" si="5"/>
        <v>21.151023635508832</v>
      </c>
      <c r="H64" s="43"/>
      <c r="I64" s="26">
        <f t="shared" si="6"/>
        <v>84.604094542035327</v>
      </c>
      <c r="J64" s="26">
        <f t="shared" si="7"/>
        <v>113127.94199640978</v>
      </c>
      <c r="K64" s="70"/>
      <c r="L64" s="98"/>
      <c r="M64" s="98"/>
      <c r="N64" s="98"/>
    </row>
    <row r="65" spans="1:14 16384:16384" s="37" customFormat="1" x14ac:dyDescent="0.35">
      <c r="A65" s="31">
        <v>43658</v>
      </c>
      <c r="B65" s="32" t="s">
        <v>465</v>
      </c>
      <c r="C65" s="33"/>
      <c r="D65" s="33">
        <f>5*4.37+9*5.75</f>
        <v>73.599999999999994</v>
      </c>
      <c r="E65" s="85">
        <f t="shared" si="4"/>
        <v>5274.9799999999977</v>
      </c>
      <c r="F65" s="86"/>
      <c r="G65" s="33">
        <f t="shared" si="5"/>
        <v>21.151023635508828</v>
      </c>
      <c r="H65" s="86"/>
      <c r="I65" s="33">
        <f t="shared" si="6"/>
        <v>1556.7153395734497</v>
      </c>
      <c r="J65" s="33">
        <f t="shared" si="7"/>
        <v>111571.22665683633</v>
      </c>
      <c r="K65" s="34"/>
      <c r="L65" s="35">
        <f>SUM(I61:I65)</f>
        <v>8227.7481942129361</v>
      </c>
      <c r="M65" s="114"/>
      <c r="N65" s="36">
        <v>43661</v>
      </c>
      <c r="XFD65" s="41">
        <f>SUM(D65:XFC65)</f>
        <v>170386.42121425824</v>
      </c>
    </row>
    <row r="66" spans="1:14 16384:16384" s="71" customFormat="1" x14ac:dyDescent="0.35">
      <c r="A66" s="23">
        <v>43663</v>
      </c>
      <c r="B66" s="68" t="s">
        <v>470</v>
      </c>
      <c r="C66" s="26"/>
      <c r="D66" s="26">
        <v>3</v>
      </c>
      <c r="E66" s="42">
        <f t="shared" si="4"/>
        <v>5271.9799999999977</v>
      </c>
      <c r="F66" s="43"/>
      <c r="G66" s="26">
        <f t="shared" si="5"/>
        <v>21.151023635508832</v>
      </c>
      <c r="H66" s="43"/>
      <c r="I66" s="26">
        <f t="shared" si="6"/>
        <v>63.453070906526492</v>
      </c>
      <c r="J66" s="26">
        <f t="shared" si="7"/>
        <v>111507.7735859298</v>
      </c>
      <c r="K66" s="70"/>
      <c r="L66" s="98"/>
      <c r="M66" s="98"/>
      <c r="N66" s="98"/>
    </row>
    <row r="67" spans="1:14 16384:16384" s="37" customFormat="1" x14ac:dyDescent="0.35">
      <c r="A67" s="31">
        <v>43664</v>
      </c>
      <c r="B67" s="32" t="s">
        <v>472</v>
      </c>
      <c r="C67" s="33"/>
      <c r="D67" s="33">
        <f>10*2.1+10*2.02+4</f>
        <v>45.2</v>
      </c>
      <c r="E67" s="85">
        <f t="shared" si="4"/>
        <v>5226.7799999999979</v>
      </c>
      <c r="F67" s="86"/>
      <c r="G67" s="33">
        <f t="shared" si="5"/>
        <v>21.151023635508832</v>
      </c>
      <c r="H67" s="86"/>
      <c r="I67" s="33">
        <f t="shared" si="6"/>
        <v>956.02626832499925</v>
      </c>
      <c r="J67" s="33">
        <f t="shared" si="7"/>
        <v>110551.74731760479</v>
      </c>
      <c r="K67" s="34"/>
      <c r="L67" s="35">
        <f>SUM(I66:I67)</f>
        <v>1019.4793392315257</v>
      </c>
      <c r="M67" s="35">
        <f>SUM(L65:L67)</f>
        <v>9247.2275334444621</v>
      </c>
      <c r="N67" s="36">
        <v>43677</v>
      </c>
    </row>
    <row r="68" spans="1:14 16384:16384" s="37" customFormat="1" x14ac:dyDescent="0.35">
      <c r="A68" s="31">
        <v>43682</v>
      </c>
      <c r="B68" s="32" t="s">
        <v>501</v>
      </c>
      <c r="C68" s="33"/>
      <c r="D68" s="33">
        <f>97*3.1+33*2.5</f>
        <v>383.2</v>
      </c>
      <c r="E68" s="85">
        <f t="shared" si="4"/>
        <v>4843.5799999999981</v>
      </c>
      <c r="F68" s="86"/>
      <c r="G68" s="33">
        <f t="shared" si="5"/>
        <v>21.151023635508828</v>
      </c>
      <c r="H68" s="86"/>
      <c r="I68" s="33">
        <f t="shared" si="6"/>
        <v>8105.0722571269825</v>
      </c>
      <c r="J68" s="33">
        <f t="shared" si="7"/>
        <v>102446.67506047781</v>
      </c>
      <c r="K68" s="34"/>
      <c r="L68" s="35">
        <f>SUM(I68)</f>
        <v>8105.0722571269825</v>
      </c>
      <c r="M68" s="114"/>
      <c r="N68" s="36">
        <v>43692</v>
      </c>
    </row>
    <row r="69" spans="1:14 16384:16384" s="71" customFormat="1" x14ac:dyDescent="0.35">
      <c r="A69" s="23">
        <v>43694</v>
      </c>
      <c r="B69" s="68" t="s">
        <v>527</v>
      </c>
      <c r="C69" s="26"/>
      <c r="D69" s="26">
        <f>12*2.5</f>
        <v>30</v>
      </c>
      <c r="E69" s="42">
        <f t="shared" ref="E69" si="20">+E68-D69</f>
        <v>4813.5799999999981</v>
      </c>
      <c r="F69" s="43"/>
      <c r="G69" s="26">
        <f t="shared" ref="G69" si="21">+J68/E68</f>
        <v>21.151023635508828</v>
      </c>
      <c r="H69" s="43"/>
      <c r="I69" s="26">
        <f t="shared" ref="I69" si="22">+D69*G69</f>
        <v>634.53070906526489</v>
      </c>
      <c r="J69" s="26">
        <f t="shared" ref="J69" si="23">+J68-I69</f>
        <v>101812.14435141254</v>
      </c>
      <c r="K69" s="70"/>
      <c r="L69" s="98"/>
      <c r="M69" s="98"/>
      <c r="N69" s="98"/>
    </row>
    <row r="70" spans="1:14 16384:16384" s="71" customFormat="1" x14ac:dyDescent="0.35">
      <c r="A70" s="23">
        <v>43697</v>
      </c>
      <c r="B70" s="68" t="s">
        <v>532</v>
      </c>
      <c r="C70" s="26"/>
      <c r="D70" s="26">
        <v>2.5</v>
      </c>
      <c r="E70" s="42">
        <f t="shared" si="4"/>
        <v>4811.0799999999981</v>
      </c>
      <c r="F70" s="43"/>
      <c r="G70" s="26">
        <f t="shared" si="5"/>
        <v>21.151023635508828</v>
      </c>
      <c r="H70" s="43"/>
      <c r="I70" s="26">
        <f t="shared" si="6"/>
        <v>52.877559088772074</v>
      </c>
      <c r="J70" s="26">
        <f t="shared" si="7"/>
        <v>101759.26679232378</v>
      </c>
      <c r="K70" s="70"/>
      <c r="L70" s="98"/>
      <c r="M70" s="98"/>
      <c r="N70" s="98"/>
    </row>
    <row r="71" spans="1:14 16384:16384" s="71" customFormat="1" x14ac:dyDescent="0.35">
      <c r="A71" s="23">
        <v>43697</v>
      </c>
      <c r="B71" s="68" t="s">
        <v>533</v>
      </c>
      <c r="C71" s="26"/>
      <c r="D71" s="26">
        <f>13*6+7*3.5</f>
        <v>102.5</v>
      </c>
      <c r="E71" s="42">
        <f t="shared" si="4"/>
        <v>4708.5799999999981</v>
      </c>
      <c r="F71" s="43"/>
      <c r="G71" s="26">
        <f t="shared" si="5"/>
        <v>21.151023635508828</v>
      </c>
      <c r="H71" s="43"/>
      <c r="I71" s="26">
        <f t="shared" si="6"/>
        <v>2167.9799226396549</v>
      </c>
      <c r="J71" s="26">
        <f t="shared" si="7"/>
        <v>99591.286869684118</v>
      </c>
      <c r="K71" s="70"/>
      <c r="L71" s="98"/>
      <c r="M71" s="98"/>
      <c r="N71" s="98"/>
    </row>
    <row r="72" spans="1:14 16384:16384" s="71" customFormat="1" x14ac:dyDescent="0.35">
      <c r="A72" s="23">
        <v>43697</v>
      </c>
      <c r="B72" s="68" t="s">
        <v>534</v>
      </c>
      <c r="C72" s="26"/>
      <c r="D72" s="26">
        <f>20*6.5+5*3</f>
        <v>145</v>
      </c>
      <c r="E72" s="42">
        <f t="shared" si="4"/>
        <v>4563.5799999999981</v>
      </c>
      <c r="F72" s="43"/>
      <c r="G72" s="26">
        <f t="shared" si="5"/>
        <v>21.151023635508828</v>
      </c>
      <c r="H72" s="43"/>
      <c r="I72" s="26">
        <f t="shared" si="6"/>
        <v>3066.8984271487802</v>
      </c>
      <c r="J72" s="26">
        <f t="shared" si="7"/>
        <v>96524.388442535332</v>
      </c>
      <c r="K72" s="70"/>
      <c r="L72" s="98"/>
      <c r="M72" s="98"/>
      <c r="N72" s="98"/>
    </row>
    <row r="73" spans="1:14 16384:16384" s="71" customFormat="1" x14ac:dyDescent="0.35">
      <c r="A73" s="23">
        <v>43699</v>
      </c>
      <c r="B73" s="68" t="s">
        <v>538</v>
      </c>
      <c r="C73" s="26"/>
      <c r="D73" s="26">
        <f>62*5.3</f>
        <v>328.59999999999997</v>
      </c>
      <c r="E73" s="42">
        <f t="shared" si="4"/>
        <v>4234.9799999999977</v>
      </c>
      <c r="F73" s="43"/>
      <c r="G73" s="26">
        <f t="shared" si="5"/>
        <v>21.151023635508828</v>
      </c>
      <c r="H73" s="43"/>
      <c r="I73" s="26">
        <f t="shared" si="6"/>
        <v>6950.2263666282006</v>
      </c>
      <c r="J73" s="26">
        <f t="shared" si="7"/>
        <v>89574.162075907137</v>
      </c>
      <c r="K73" s="70"/>
      <c r="L73" s="98"/>
      <c r="M73" s="98"/>
      <c r="N73" s="98"/>
    </row>
    <row r="74" spans="1:14 16384:16384" s="71" customFormat="1" x14ac:dyDescent="0.35">
      <c r="A74" s="23">
        <v>43703</v>
      </c>
      <c r="B74" s="68" t="s">
        <v>542</v>
      </c>
      <c r="C74" s="26"/>
      <c r="D74" s="26">
        <f>6*2.4</f>
        <v>14.399999999999999</v>
      </c>
      <c r="E74" s="42">
        <f t="shared" si="4"/>
        <v>4220.5799999999981</v>
      </c>
      <c r="F74" s="43"/>
      <c r="G74" s="26">
        <f t="shared" si="5"/>
        <v>21.151023635508832</v>
      </c>
      <c r="H74" s="43"/>
      <c r="I74" s="26">
        <f t="shared" si="6"/>
        <v>304.57474035132714</v>
      </c>
      <c r="J74" s="26">
        <f t="shared" si="7"/>
        <v>89269.587335555814</v>
      </c>
      <c r="K74" s="70"/>
      <c r="L74" s="98"/>
      <c r="M74" s="98"/>
      <c r="N74" s="98"/>
    </row>
    <row r="75" spans="1:14 16384:16384" s="71" customFormat="1" x14ac:dyDescent="0.35">
      <c r="A75" s="23">
        <v>43703</v>
      </c>
      <c r="B75" s="68" t="s">
        <v>544</v>
      </c>
      <c r="C75" s="26"/>
      <c r="D75" s="26">
        <f>8*4.6</f>
        <v>36.799999999999997</v>
      </c>
      <c r="E75" s="42">
        <f t="shared" si="4"/>
        <v>4183.7799999999979</v>
      </c>
      <c r="F75" s="43"/>
      <c r="G75" s="26">
        <f t="shared" si="5"/>
        <v>21.151023635508828</v>
      </c>
      <c r="H75" s="43"/>
      <c r="I75" s="26">
        <f t="shared" si="6"/>
        <v>778.35766978672484</v>
      </c>
      <c r="J75" s="26">
        <f t="shared" si="7"/>
        <v>88491.229665769089</v>
      </c>
      <c r="K75" s="70"/>
      <c r="L75" s="98"/>
      <c r="M75" s="98"/>
      <c r="N75" s="98"/>
    </row>
    <row r="76" spans="1:14 16384:16384" s="71" customFormat="1" x14ac:dyDescent="0.35">
      <c r="A76" s="23">
        <v>43707</v>
      </c>
      <c r="B76" s="68" t="s">
        <v>559</v>
      </c>
      <c r="C76" s="26"/>
      <c r="D76" s="26">
        <f>5*4</f>
        <v>20</v>
      </c>
      <c r="E76" s="42">
        <f t="shared" ref="E76:E106" si="24">+E75-D76</f>
        <v>4163.7799999999979</v>
      </c>
      <c r="F76" s="43"/>
      <c r="G76" s="26">
        <f t="shared" ref="G76:G106" si="25">+J75/E75</f>
        <v>21.151023635508832</v>
      </c>
      <c r="H76" s="43"/>
      <c r="I76" s="26">
        <f t="shared" ref="I76:I106" si="26">+D76*G76</f>
        <v>423.02047271017665</v>
      </c>
      <c r="J76" s="26">
        <f t="shared" ref="J76:J106" si="27">+J75-I76</f>
        <v>88068.209193058909</v>
      </c>
      <c r="K76" s="70"/>
      <c r="L76" s="98"/>
      <c r="M76" s="98"/>
      <c r="N76" s="98"/>
    </row>
    <row r="77" spans="1:14 16384:16384" s="37" customFormat="1" x14ac:dyDescent="0.35">
      <c r="A77" s="31">
        <v>43707</v>
      </c>
      <c r="B77" s="32" t="s">
        <v>562</v>
      </c>
      <c r="C77" s="33"/>
      <c r="D77" s="33">
        <v>4</v>
      </c>
      <c r="E77" s="85">
        <f t="shared" si="24"/>
        <v>4159.7799999999979</v>
      </c>
      <c r="F77" s="86"/>
      <c r="G77" s="33">
        <f t="shared" si="25"/>
        <v>21.151023635508828</v>
      </c>
      <c r="H77" s="86"/>
      <c r="I77" s="33">
        <f t="shared" si="26"/>
        <v>84.604094542035313</v>
      </c>
      <c r="J77" s="33">
        <f t="shared" si="27"/>
        <v>87983.605098516869</v>
      </c>
      <c r="K77" s="34"/>
      <c r="L77" s="35">
        <f>SUM(I69:I77)</f>
        <v>14463.069961960937</v>
      </c>
      <c r="M77" s="35">
        <f>SUM(L68:L77)</f>
        <v>22568.14221908792</v>
      </c>
      <c r="N77" s="36">
        <v>43708</v>
      </c>
    </row>
    <row r="78" spans="1:14 16384:16384" s="71" customFormat="1" x14ac:dyDescent="0.35">
      <c r="A78" s="23">
        <v>43711</v>
      </c>
      <c r="B78" s="68" t="s">
        <v>567</v>
      </c>
      <c r="C78" s="26"/>
      <c r="D78" s="26">
        <f>15*5.15</f>
        <v>77.25</v>
      </c>
      <c r="E78" s="42">
        <f t="shared" si="24"/>
        <v>4082.5299999999979</v>
      </c>
      <c r="F78" s="43"/>
      <c r="G78" s="26">
        <f t="shared" si="25"/>
        <v>21.151023635508828</v>
      </c>
      <c r="H78" s="43"/>
      <c r="I78" s="26">
        <f t="shared" si="26"/>
        <v>1633.916575843057</v>
      </c>
      <c r="J78" s="26">
        <f t="shared" si="27"/>
        <v>86349.688522673809</v>
      </c>
      <c r="K78" s="70"/>
      <c r="L78" s="98"/>
      <c r="M78" s="98"/>
      <c r="N78" s="98"/>
    </row>
    <row r="79" spans="1:14 16384:16384" s="71" customFormat="1" x14ac:dyDescent="0.35">
      <c r="A79" s="23">
        <v>43713</v>
      </c>
      <c r="B79" s="68" t="s">
        <v>572</v>
      </c>
      <c r="C79" s="26"/>
      <c r="D79" s="26">
        <v>54.45</v>
      </c>
      <c r="E79" s="42">
        <f t="shared" si="24"/>
        <v>4028.0799999999981</v>
      </c>
      <c r="F79" s="43"/>
      <c r="G79" s="26">
        <f t="shared" si="25"/>
        <v>21.151023635508828</v>
      </c>
      <c r="H79" s="43"/>
      <c r="I79" s="26">
        <f t="shared" si="26"/>
        <v>1151.6732369534557</v>
      </c>
      <c r="J79" s="26">
        <f t="shared" si="27"/>
        <v>85198.01528572035</v>
      </c>
      <c r="K79" s="70"/>
      <c r="L79" s="98"/>
      <c r="M79" s="98"/>
      <c r="N79" s="98"/>
    </row>
    <row r="80" spans="1:14 16384:16384" s="71" customFormat="1" x14ac:dyDescent="0.35">
      <c r="A80" s="23">
        <v>43714</v>
      </c>
      <c r="B80" s="68" t="s">
        <v>575</v>
      </c>
      <c r="C80" s="26"/>
      <c r="D80" s="26">
        <f>10*9.75</f>
        <v>97.5</v>
      </c>
      <c r="E80" s="42">
        <f t="shared" si="24"/>
        <v>3930.5799999999981</v>
      </c>
      <c r="F80" s="43"/>
      <c r="G80" s="26">
        <f t="shared" si="25"/>
        <v>21.151023635508825</v>
      </c>
      <c r="H80" s="43"/>
      <c r="I80" s="26">
        <f t="shared" si="26"/>
        <v>2062.2248044621106</v>
      </c>
      <c r="J80" s="26">
        <f t="shared" si="27"/>
        <v>83135.790481258242</v>
      </c>
      <c r="K80" s="70"/>
      <c r="L80" s="98"/>
      <c r="M80" s="98"/>
      <c r="N80" s="98"/>
    </row>
    <row r="81" spans="1:14" s="71" customFormat="1" x14ac:dyDescent="0.35">
      <c r="A81" s="23">
        <v>43717</v>
      </c>
      <c r="B81" s="68" t="s">
        <v>580</v>
      </c>
      <c r="C81" s="26"/>
      <c r="D81" s="26">
        <f>10*4</f>
        <v>40</v>
      </c>
      <c r="E81" s="42">
        <f t="shared" si="24"/>
        <v>3890.5799999999981</v>
      </c>
      <c r="F81" s="43"/>
      <c r="G81" s="26">
        <f t="shared" si="25"/>
        <v>21.151023635508825</v>
      </c>
      <c r="H81" s="43"/>
      <c r="I81" s="26">
        <f t="shared" si="26"/>
        <v>846.04094542035295</v>
      </c>
      <c r="J81" s="26">
        <f t="shared" si="27"/>
        <v>82289.749535837895</v>
      </c>
      <c r="K81" s="70"/>
      <c r="L81" s="98"/>
      <c r="M81" s="98"/>
      <c r="N81" s="98"/>
    </row>
    <row r="82" spans="1:14" s="37" customFormat="1" x14ac:dyDescent="0.35">
      <c r="A82" s="31">
        <v>43721</v>
      </c>
      <c r="B82" s="32" t="s">
        <v>587</v>
      </c>
      <c r="C82" s="33"/>
      <c r="D82" s="33">
        <f>3*2.8</f>
        <v>8.3999999999999986</v>
      </c>
      <c r="E82" s="85">
        <f t="shared" si="24"/>
        <v>3882.179999999998</v>
      </c>
      <c r="F82" s="86"/>
      <c r="G82" s="33">
        <f t="shared" si="25"/>
        <v>21.151023635508828</v>
      </c>
      <c r="H82" s="86"/>
      <c r="I82" s="33">
        <f t="shared" si="26"/>
        <v>177.66859853827413</v>
      </c>
      <c r="J82" s="33">
        <f t="shared" si="27"/>
        <v>82112.080937299615</v>
      </c>
      <c r="K82" s="34"/>
      <c r="L82" s="35">
        <f>SUM(I78:I82)</f>
        <v>5871.5241612172504</v>
      </c>
      <c r="M82" s="114"/>
      <c r="N82" s="36">
        <v>43723</v>
      </c>
    </row>
    <row r="83" spans="1:14" s="71" customFormat="1" x14ac:dyDescent="0.35">
      <c r="A83" s="23">
        <v>43724</v>
      </c>
      <c r="B83" s="68" t="s">
        <v>783</v>
      </c>
      <c r="C83" s="26">
        <v>8215.68</v>
      </c>
      <c r="D83" s="26"/>
      <c r="E83" s="42">
        <f>+E82+C83</f>
        <v>12097.859999999999</v>
      </c>
      <c r="F83" s="43">
        <f>+H83/C83</f>
        <v>20.294182587442549</v>
      </c>
      <c r="G83" s="26"/>
      <c r="H83" s="43">
        <v>166730.51</v>
      </c>
      <c r="I83" s="26"/>
      <c r="J83" s="26">
        <f>+J82+H83</f>
        <v>248842.59093729962</v>
      </c>
      <c r="K83" s="70"/>
      <c r="L83" s="98"/>
      <c r="M83" s="98"/>
      <c r="N83" s="98"/>
    </row>
    <row r="84" spans="1:14" s="71" customFormat="1" x14ac:dyDescent="0.35">
      <c r="A84" s="23">
        <v>43725</v>
      </c>
      <c r="B84" s="68" t="s">
        <v>595</v>
      </c>
      <c r="C84" s="26"/>
      <c r="D84" s="26">
        <f>6*3.4</f>
        <v>20.399999999999999</v>
      </c>
      <c r="E84" s="42">
        <f>+E83-D84</f>
        <v>12077.46</v>
      </c>
      <c r="F84" s="43"/>
      <c r="G84" s="26">
        <f>+J83/E83</f>
        <v>20.569141231366512</v>
      </c>
      <c r="H84" s="43"/>
      <c r="I84" s="26">
        <f t="shared" si="26"/>
        <v>419.61048111987679</v>
      </c>
      <c r="J84" s="26">
        <f>+J83-I84</f>
        <v>248422.98045617974</v>
      </c>
      <c r="K84" s="70"/>
      <c r="L84" s="98"/>
      <c r="M84" s="98"/>
      <c r="N84" s="98"/>
    </row>
    <row r="85" spans="1:14" s="71" customFormat="1" x14ac:dyDescent="0.35">
      <c r="A85" s="23">
        <v>43731</v>
      </c>
      <c r="B85" s="68" t="s">
        <v>609</v>
      </c>
      <c r="C85" s="26"/>
      <c r="D85" s="26">
        <v>9</v>
      </c>
      <c r="E85" s="42">
        <f t="shared" si="24"/>
        <v>12068.46</v>
      </c>
      <c r="F85" s="43"/>
      <c r="G85" s="26">
        <f t="shared" si="25"/>
        <v>20.569141231366508</v>
      </c>
      <c r="H85" s="43"/>
      <c r="I85" s="26">
        <f t="shared" si="26"/>
        <v>185.12227108229857</v>
      </c>
      <c r="J85" s="26">
        <f t="shared" si="27"/>
        <v>248237.85818509743</v>
      </c>
      <c r="K85" s="70"/>
      <c r="L85" s="98"/>
      <c r="M85" s="98"/>
      <c r="N85" s="98"/>
    </row>
    <row r="86" spans="1:14" s="37" customFormat="1" x14ac:dyDescent="0.35">
      <c r="A86" s="31">
        <v>43732</v>
      </c>
      <c r="B86" s="32" t="s">
        <v>611</v>
      </c>
      <c r="C86" s="33"/>
      <c r="D86" s="33">
        <f>11*4.7</f>
        <v>51.7</v>
      </c>
      <c r="E86" s="85">
        <f t="shared" si="24"/>
        <v>12016.759999999998</v>
      </c>
      <c r="F86" s="86"/>
      <c r="G86" s="33">
        <f t="shared" si="25"/>
        <v>20.569141231366508</v>
      </c>
      <c r="H86" s="86"/>
      <c r="I86" s="33">
        <f t="shared" si="26"/>
        <v>1063.4246016616485</v>
      </c>
      <c r="J86" s="33">
        <f t="shared" si="27"/>
        <v>247174.43358343578</v>
      </c>
      <c r="K86" s="34"/>
      <c r="L86" s="35">
        <f>SUM(I84:I86)</f>
        <v>1668.1573538638238</v>
      </c>
      <c r="M86" s="35">
        <f>SUM(L82:L86)</f>
        <v>7539.6815150810744</v>
      </c>
      <c r="N86" s="36">
        <v>43738</v>
      </c>
    </row>
    <row r="87" spans="1:14" s="71" customFormat="1" x14ac:dyDescent="0.35">
      <c r="A87" s="23">
        <v>43742</v>
      </c>
      <c r="B87" s="68" t="s">
        <v>640</v>
      </c>
      <c r="C87" s="26"/>
      <c r="D87" s="26">
        <f>6*5.15+7*5.85</f>
        <v>71.849999999999994</v>
      </c>
      <c r="E87" s="42">
        <f t="shared" si="24"/>
        <v>11944.909999999998</v>
      </c>
      <c r="F87" s="43"/>
      <c r="G87" s="26">
        <f t="shared" si="25"/>
        <v>20.569141231366508</v>
      </c>
      <c r="H87" s="43"/>
      <c r="I87" s="26">
        <f t="shared" si="26"/>
        <v>1477.8927974736835</v>
      </c>
      <c r="J87" s="26">
        <f t="shared" si="27"/>
        <v>245696.5407859621</v>
      </c>
      <c r="K87" s="70"/>
      <c r="L87" s="98"/>
      <c r="M87" s="98"/>
      <c r="N87" s="98"/>
    </row>
    <row r="88" spans="1:14" s="71" customFormat="1" x14ac:dyDescent="0.35">
      <c r="A88" s="23">
        <v>43746</v>
      </c>
      <c r="B88" s="68" t="s">
        <v>655</v>
      </c>
      <c r="C88" s="26"/>
      <c r="D88" s="26">
        <f>10*5.15</f>
        <v>51.5</v>
      </c>
      <c r="E88" s="42">
        <f t="shared" si="24"/>
        <v>11893.409999999998</v>
      </c>
      <c r="F88" s="43"/>
      <c r="G88" s="26">
        <f t="shared" si="25"/>
        <v>20.569141231366512</v>
      </c>
      <c r="H88" s="43"/>
      <c r="I88" s="26">
        <f t="shared" si="26"/>
        <v>1059.3107734153753</v>
      </c>
      <c r="J88" s="26">
        <f t="shared" si="27"/>
        <v>244637.23001254673</v>
      </c>
      <c r="K88" s="70"/>
      <c r="L88" s="98"/>
      <c r="M88" s="98"/>
      <c r="N88" s="98"/>
    </row>
    <row r="89" spans="1:14" s="37" customFormat="1" x14ac:dyDescent="0.35">
      <c r="A89" s="31">
        <v>43747</v>
      </c>
      <c r="B89" s="32" t="s">
        <v>660</v>
      </c>
      <c r="C89" s="33"/>
      <c r="D89" s="33">
        <f>3*4</f>
        <v>12</v>
      </c>
      <c r="E89" s="85">
        <f t="shared" si="24"/>
        <v>11881.409999999998</v>
      </c>
      <c r="F89" s="86"/>
      <c r="G89" s="33">
        <f t="shared" si="25"/>
        <v>20.569141231366512</v>
      </c>
      <c r="H89" s="86"/>
      <c r="I89" s="33">
        <f t="shared" si="26"/>
        <v>246.82969477639813</v>
      </c>
      <c r="J89" s="33">
        <f t="shared" si="27"/>
        <v>244390.40031777034</v>
      </c>
      <c r="K89" s="34"/>
      <c r="L89" s="35">
        <f>SUM(I87:I89)</f>
        <v>2784.0332656654573</v>
      </c>
      <c r="M89" s="35"/>
      <c r="N89" s="36">
        <v>43753</v>
      </c>
    </row>
    <row r="90" spans="1:14" s="71" customFormat="1" x14ac:dyDescent="0.35">
      <c r="A90" s="23">
        <v>43755</v>
      </c>
      <c r="B90" s="68" t="s">
        <v>680</v>
      </c>
      <c r="C90" s="26"/>
      <c r="D90" s="26">
        <f>3*3.9+3*4.7</f>
        <v>25.8</v>
      </c>
      <c r="E90" s="42">
        <f t="shared" si="24"/>
        <v>11855.609999999999</v>
      </c>
      <c r="F90" s="43"/>
      <c r="G90" s="26">
        <f t="shared" si="25"/>
        <v>20.569141231366512</v>
      </c>
      <c r="H90" s="43"/>
      <c r="I90" s="26">
        <f t="shared" si="26"/>
        <v>530.68384376925599</v>
      </c>
      <c r="J90" s="26">
        <f t="shared" si="27"/>
        <v>243859.71647400109</v>
      </c>
      <c r="K90" s="70"/>
      <c r="L90" s="98"/>
      <c r="M90" s="98"/>
      <c r="N90" s="98"/>
    </row>
    <row r="91" spans="1:14" s="71" customFormat="1" x14ac:dyDescent="0.35">
      <c r="A91" s="23">
        <v>43757</v>
      </c>
      <c r="B91" s="68" t="s">
        <v>687</v>
      </c>
      <c r="C91" s="26"/>
      <c r="D91" s="26">
        <f>16*3.45+24*0.55+4*1.1</f>
        <v>72.800000000000011</v>
      </c>
      <c r="E91" s="42">
        <f t="shared" si="24"/>
        <v>11782.81</v>
      </c>
      <c r="F91" s="43"/>
      <c r="G91" s="26">
        <f t="shared" si="25"/>
        <v>20.569141231366512</v>
      </c>
      <c r="H91" s="43"/>
      <c r="I91" s="26">
        <f t="shared" si="26"/>
        <v>1497.4334816434823</v>
      </c>
      <c r="J91" s="26">
        <f t="shared" si="27"/>
        <v>242362.28299235762</v>
      </c>
      <c r="K91" s="70"/>
      <c r="L91" s="98"/>
      <c r="M91" s="98"/>
      <c r="N91" s="98"/>
    </row>
    <row r="92" spans="1:14" s="71" customFormat="1" x14ac:dyDescent="0.35">
      <c r="A92" s="23">
        <v>43757</v>
      </c>
      <c r="B92" s="68" t="s">
        <v>690</v>
      </c>
      <c r="C92" s="26"/>
      <c r="D92" s="26">
        <f>10*5.55</f>
        <v>55.5</v>
      </c>
      <c r="E92" s="42">
        <f t="shared" si="24"/>
        <v>11727.31</v>
      </c>
      <c r="F92" s="43"/>
      <c r="G92" s="26">
        <f t="shared" si="25"/>
        <v>20.569141231366512</v>
      </c>
      <c r="H92" s="43"/>
      <c r="I92" s="26">
        <f t="shared" si="26"/>
        <v>1141.5873383408414</v>
      </c>
      <c r="J92" s="26">
        <f t="shared" si="27"/>
        <v>241220.69565401677</v>
      </c>
      <c r="K92" s="70"/>
      <c r="L92" s="98"/>
      <c r="M92" s="98"/>
      <c r="N92" s="98"/>
    </row>
    <row r="93" spans="1:14" s="71" customFormat="1" x14ac:dyDescent="0.35">
      <c r="A93" s="23">
        <v>43761</v>
      </c>
      <c r="B93" s="68" t="s">
        <v>698</v>
      </c>
      <c r="C93" s="26"/>
      <c r="D93" s="26">
        <f>14*5+14*4.3+6</f>
        <v>136.19999999999999</v>
      </c>
      <c r="E93" s="42">
        <f t="shared" si="24"/>
        <v>11591.109999999999</v>
      </c>
      <c r="F93" s="43"/>
      <c r="G93" s="26">
        <f t="shared" si="25"/>
        <v>20.569141231366508</v>
      </c>
      <c r="H93" s="43"/>
      <c r="I93" s="26">
        <f t="shared" si="26"/>
        <v>2801.5170357121183</v>
      </c>
      <c r="J93" s="26">
        <f t="shared" si="27"/>
        <v>238419.17861830466</v>
      </c>
      <c r="K93" s="70"/>
      <c r="L93" s="98"/>
      <c r="M93" s="98"/>
      <c r="N93" s="98"/>
    </row>
    <row r="94" spans="1:14" s="37" customFormat="1" x14ac:dyDescent="0.35">
      <c r="A94" s="31">
        <v>43762</v>
      </c>
      <c r="B94" s="32" t="s">
        <v>703</v>
      </c>
      <c r="C94" s="33"/>
      <c r="D94" s="33">
        <f>2*6.3</f>
        <v>12.6</v>
      </c>
      <c r="E94" s="85">
        <f t="shared" si="24"/>
        <v>11578.509999999998</v>
      </c>
      <c r="F94" s="86"/>
      <c r="G94" s="33">
        <f t="shared" si="25"/>
        <v>20.569141231366512</v>
      </c>
      <c r="H94" s="86"/>
      <c r="I94" s="33">
        <f t="shared" si="26"/>
        <v>259.17117951521806</v>
      </c>
      <c r="J94" s="33">
        <f t="shared" si="27"/>
        <v>238160.00743878944</v>
      </c>
      <c r="K94" s="34"/>
      <c r="L94" s="35">
        <f>SUM(I90:I94)</f>
        <v>6230.3928789809152</v>
      </c>
      <c r="M94" s="35">
        <f>SUM(L89:L94)</f>
        <v>9014.4261446463715</v>
      </c>
      <c r="N94" s="36">
        <v>43769</v>
      </c>
    </row>
    <row r="95" spans="1:14" s="71" customFormat="1" x14ac:dyDescent="0.35">
      <c r="A95" s="23">
        <v>43770</v>
      </c>
      <c r="B95" s="68" t="s">
        <v>720</v>
      </c>
      <c r="C95" s="26"/>
      <c r="D95" s="26">
        <f>4*6.1</f>
        <v>24.4</v>
      </c>
      <c r="E95" s="42">
        <f t="shared" si="24"/>
        <v>11554.109999999999</v>
      </c>
      <c r="F95" s="43"/>
      <c r="G95" s="26">
        <f t="shared" si="25"/>
        <v>20.569141231366512</v>
      </c>
      <c r="H95" s="43"/>
      <c r="I95" s="26">
        <f t="shared" si="26"/>
        <v>501.88704604534286</v>
      </c>
      <c r="J95" s="26">
        <f t="shared" si="27"/>
        <v>237658.12039274411</v>
      </c>
      <c r="K95" s="70"/>
      <c r="L95" s="98"/>
      <c r="M95" s="98"/>
      <c r="N95" s="98"/>
    </row>
    <row r="96" spans="1:14" s="71" customFormat="1" x14ac:dyDescent="0.35">
      <c r="A96" s="23">
        <v>43778</v>
      </c>
      <c r="B96" s="68" t="s">
        <v>730</v>
      </c>
      <c r="C96" s="26"/>
      <c r="D96" s="26">
        <f>13*5.6</f>
        <v>72.8</v>
      </c>
      <c r="E96" s="42">
        <f t="shared" si="24"/>
        <v>11481.31</v>
      </c>
      <c r="F96" s="43"/>
      <c r="G96" s="26">
        <f t="shared" si="25"/>
        <v>20.569141231366512</v>
      </c>
      <c r="H96" s="43"/>
      <c r="I96" s="26">
        <f t="shared" si="26"/>
        <v>1497.4334816434821</v>
      </c>
      <c r="J96" s="26">
        <f t="shared" si="27"/>
        <v>236160.68691110064</v>
      </c>
      <c r="K96" s="70"/>
      <c r="L96" s="98"/>
      <c r="M96" s="98"/>
      <c r="N96" s="98"/>
    </row>
    <row r="97" spans="1:14" s="71" customFormat="1" x14ac:dyDescent="0.35">
      <c r="A97" s="23">
        <v>43784</v>
      </c>
      <c r="B97" s="68" t="s">
        <v>738</v>
      </c>
      <c r="C97" s="26"/>
      <c r="D97" s="26">
        <f>10*7.25+6.45+5.51+4.6+3.65+2.75+1.8+1</f>
        <v>98.26</v>
      </c>
      <c r="E97" s="42">
        <f t="shared" si="24"/>
        <v>11383.05</v>
      </c>
      <c r="F97" s="43"/>
      <c r="G97" s="26">
        <f t="shared" si="25"/>
        <v>20.569141231366512</v>
      </c>
      <c r="H97" s="43"/>
      <c r="I97" s="26">
        <f t="shared" si="26"/>
        <v>2021.1238173940735</v>
      </c>
      <c r="J97" s="26">
        <f t="shared" si="27"/>
        <v>234139.56309370656</v>
      </c>
      <c r="K97" s="70"/>
      <c r="L97" s="98"/>
      <c r="M97" s="98"/>
      <c r="N97" s="98"/>
    </row>
    <row r="98" spans="1:14" s="71" customFormat="1" x14ac:dyDescent="0.35">
      <c r="A98" s="23">
        <v>43784</v>
      </c>
      <c r="B98" s="68" t="s">
        <v>739</v>
      </c>
      <c r="C98" s="26"/>
      <c r="D98" s="26">
        <f>6.15+5.5+4.8+4.1+3.4+2.75+2.05</f>
        <v>28.749999999999996</v>
      </c>
      <c r="E98" s="42">
        <f t="shared" si="24"/>
        <v>11354.3</v>
      </c>
      <c r="F98" s="43"/>
      <c r="G98" s="26">
        <f t="shared" si="25"/>
        <v>20.569141231366512</v>
      </c>
      <c r="H98" s="43"/>
      <c r="I98" s="26">
        <f t="shared" si="26"/>
        <v>591.3628104017871</v>
      </c>
      <c r="J98" s="26">
        <f t="shared" si="27"/>
        <v>233548.20028330476</v>
      </c>
      <c r="K98" s="70"/>
      <c r="L98" s="98"/>
      <c r="M98" s="98"/>
      <c r="N98" s="98"/>
    </row>
    <row r="99" spans="1:14" s="37" customFormat="1" x14ac:dyDescent="0.35">
      <c r="A99" s="31">
        <v>43784</v>
      </c>
      <c r="B99" s="32" t="s">
        <v>740</v>
      </c>
      <c r="C99" s="33"/>
      <c r="D99" s="33">
        <f>1.35+0.7+6</f>
        <v>8.0500000000000007</v>
      </c>
      <c r="E99" s="85">
        <f t="shared" si="24"/>
        <v>11346.25</v>
      </c>
      <c r="F99" s="86"/>
      <c r="G99" s="33">
        <f t="shared" si="25"/>
        <v>20.569141231366512</v>
      </c>
      <c r="H99" s="86"/>
      <c r="I99" s="33">
        <f t="shared" si="26"/>
        <v>165.58158691250043</v>
      </c>
      <c r="J99" s="33">
        <f t="shared" si="27"/>
        <v>233382.61869639225</v>
      </c>
      <c r="K99" s="34"/>
      <c r="L99" s="35">
        <f>SUM(I95:I99)</f>
        <v>4777.3887423971864</v>
      </c>
      <c r="M99" s="114"/>
      <c r="N99" s="36">
        <v>43784</v>
      </c>
    </row>
    <row r="100" spans="1:14" s="71" customFormat="1" x14ac:dyDescent="0.35">
      <c r="A100" s="23">
        <v>43794</v>
      </c>
      <c r="B100" s="68" t="s">
        <v>755</v>
      </c>
      <c r="C100" s="26"/>
      <c r="D100" s="26">
        <f>15*5.5</f>
        <v>82.5</v>
      </c>
      <c r="E100" s="42">
        <f t="shared" si="24"/>
        <v>11263.75</v>
      </c>
      <c r="F100" s="43"/>
      <c r="G100" s="26">
        <f t="shared" si="25"/>
        <v>20.569141231366508</v>
      </c>
      <c r="H100" s="43"/>
      <c r="I100" s="26">
        <f t="shared" si="26"/>
        <v>1696.954151587737</v>
      </c>
      <c r="J100" s="26">
        <f t="shared" si="27"/>
        <v>231685.66454480452</v>
      </c>
      <c r="K100" s="70"/>
      <c r="L100" s="98"/>
      <c r="M100" s="98"/>
      <c r="N100" s="98"/>
    </row>
    <row r="101" spans="1:14" s="71" customFormat="1" x14ac:dyDescent="0.35">
      <c r="A101" s="23">
        <v>43795</v>
      </c>
      <c r="B101" s="68" t="s">
        <v>759</v>
      </c>
      <c r="C101" s="26"/>
      <c r="D101" s="26">
        <f>14*6+3.2</f>
        <v>87.2</v>
      </c>
      <c r="E101" s="42">
        <f t="shared" si="24"/>
        <v>11176.55</v>
      </c>
      <c r="F101" s="43"/>
      <c r="G101" s="26">
        <f t="shared" si="25"/>
        <v>20.569141231366508</v>
      </c>
      <c r="H101" s="43"/>
      <c r="I101" s="26">
        <f t="shared" si="26"/>
        <v>1793.6291153751595</v>
      </c>
      <c r="J101" s="26">
        <f t="shared" si="27"/>
        <v>229892.03542942935</v>
      </c>
      <c r="K101" s="70"/>
      <c r="L101" s="98"/>
      <c r="M101" s="98"/>
      <c r="N101" s="98"/>
    </row>
    <row r="102" spans="1:14" s="71" customFormat="1" x14ac:dyDescent="0.35">
      <c r="A102" s="23">
        <v>43796</v>
      </c>
      <c r="B102" s="68" t="s">
        <v>761</v>
      </c>
      <c r="C102" s="26"/>
      <c r="D102" s="26">
        <f>12*0.3</f>
        <v>3.5999999999999996</v>
      </c>
      <c r="E102" s="42">
        <f t="shared" si="24"/>
        <v>11172.949999999999</v>
      </c>
      <c r="F102" s="43"/>
      <c r="G102" s="26">
        <f t="shared" si="25"/>
        <v>20.569141231366508</v>
      </c>
      <c r="H102" s="43"/>
      <c r="I102" s="26">
        <f t="shared" si="26"/>
        <v>74.048908432919418</v>
      </c>
      <c r="J102" s="26">
        <f t="shared" si="27"/>
        <v>229817.98652099643</v>
      </c>
      <c r="K102" s="70"/>
      <c r="L102" s="98"/>
      <c r="M102" s="98"/>
      <c r="N102" s="98"/>
    </row>
    <row r="103" spans="1:14" s="71" customFormat="1" x14ac:dyDescent="0.35">
      <c r="A103" s="23">
        <v>43797</v>
      </c>
      <c r="B103" s="68" t="s">
        <v>768</v>
      </c>
      <c r="C103" s="26"/>
      <c r="D103" s="26">
        <f>5*5.5+4.5</f>
        <v>32</v>
      </c>
      <c r="E103" s="42">
        <f t="shared" si="24"/>
        <v>11140.949999999999</v>
      </c>
      <c r="F103" s="43"/>
      <c r="G103" s="26">
        <f t="shared" si="25"/>
        <v>20.569141231366512</v>
      </c>
      <c r="H103" s="43"/>
      <c r="I103" s="26">
        <f t="shared" si="26"/>
        <v>658.21251940372838</v>
      </c>
      <c r="J103" s="26">
        <f t="shared" si="27"/>
        <v>229159.77400159271</v>
      </c>
      <c r="K103" s="70"/>
      <c r="L103" s="98"/>
      <c r="M103" s="98"/>
      <c r="N103" s="98"/>
    </row>
    <row r="104" spans="1:14" s="71" customFormat="1" x14ac:dyDescent="0.35">
      <c r="A104" s="23">
        <v>43798</v>
      </c>
      <c r="B104" s="68" t="s">
        <v>770</v>
      </c>
      <c r="C104" s="26"/>
      <c r="D104" s="26">
        <f>20*7</f>
        <v>140</v>
      </c>
      <c r="E104" s="42">
        <f t="shared" si="24"/>
        <v>11000.949999999999</v>
      </c>
      <c r="F104" s="43"/>
      <c r="G104" s="26">
        <f t="shared" si="25"/>
        <v>20.569141231366512</v>
      </c>
      <c r="H104" s="43"/>
      <c r="I104" s="26">
        <f t="shared" si="26"/>
        <v>2879.6797723913119</v>
      </c>
      <c r="J104" s="26">
        <f t="shared" si="27"/>
        <v>226280.09422920141</v>
      </c>
      <c r="K104" s="70"/>
      <c r="L104" s="98"/>
      <c r="M104" s="98"/>
      <c r="N104" s="98"/>
    </row>
    <row r="105" spans="1:14" s="71" customFormat="1" x14ac:dyDescent="0.35">
      <c r="A105" s="23">
        <v>43798</v>
      </c>
      <c r="B105" s="68" t="s">
        <v>771</v>
      </c>
      <c r="C105" s="26"/>
      <c r="D105" s="26">
        <f>6*4</f>
        <v>24</v>
      </c>
      <c r="E105" s="42">
        <f t="shared" si="24"/>
        <v>10976.949999999999</v>
      </c>
      <c r="F105" s="43"/>
      <c r="G105" s="26">
        <f t="shared" si="25"/>
        <v>20.569141231366512</v>
      </c>
      <c r="H105" s="43"/>
      <c r="I105" s="26">
        <f t="shared" si="26"/>
        <v>493.65938955279626</v>
      </c>
      <c r="J105" s="26">
        <f t="shared" si="27"/>
        <v>225786.4348396486</v>
      </c>
      <c r="K105" s="70"/>
      <c r="L105" s="98"/>
      <c r="M105" s="98"/>
      <c r="N105" s="98"/>
    </row>
    <row r="106" spans="1:14" s="37" customFormat="1" x14ac:dyDescent="0.35">
      <c r="A106" s="31">
        <v>43799</v>
      </c>
      <c r="B106" s="32" t="s">
        <v>775</v>
      </c>
      <c r="C106" s="33"/>
      <c r="D106" s="33">
        <f>5*4.6</f>
        <v>23</v>
      </c>
      <c r="E106" s="85">
        <f t="shared" si="24"/>
        <v>10953.949999999999</v>
      </c>
      <c r="F106" s="86"/>
      <c r="G106" s="33">
        <f t="shared" si="25"/>
        <v>20.569141231366512</v>
      </c>
      <c r="H106" s="86"/>
      <c r="I106" s="33">
        <f t="shared" si="26"/>
        <v>473.09024832142978</v>
      </c>
      <c r="J106" s="33">
        <f t="shared" si="27"/>
        <v>225313.34459132719</v>
      </c>
      <c r="K106" s="34"/>
      <c r="L106" s="35">
        <f>SUM(I100:I106)</f>
        <v>8069.2741050650811</v>
      </c>
      <c r="M106" s="115">
        <f>SUM(L99:L106)</f>
        <v>12846.662847462267</v>
      </c>
      <c r="N106" s="36">
        <v>43799</v>
      </c>
    </row>
    <row r="107" spans="1:14" x14ac:dyDescent="0.35">
      <c r="A107" s="91"/>
      <c r="B107" s="91" t="s">
        <v>832</v>
      </c>
      <c r="C107" s="28">
        <f>SUM(C9:C106)</f>
        <v>16638.599999999999</v>
      </c>
      <c r="D107" s="28">
        <f>SUM(D9:D106)</f>
        <v>5684.6499999999987</v>
      </c>
      <c r="E107" s="91"/>
      <c r="F107" s="91"/>
      <c r="G107" s="91"/>
      <c r="H107" s="28">
        <f t="shared" ref="H107:I107" si="28">SUM(H9:H106)</f>
        <v>344883.89</v>
      </c>
      <c r="I107" s="28">
        <f t="shared" si="28"/>
        <v>119570.5454086729</v>
      </c>
      <c r="J107" s="91"/>
      <c r="K107" s="91"/>
      <c r="L107" s="1"/>
      <c r="M107" s="55">
        <f>SUM(M23:M106)</f>
        <v>119570.54540867284</v>
      </c>
      <c r="N107" s="1"/>
    </row>
    <row r="108" spans="1:14" x14ac:dyDescent="0.35">
      <c r="I108" s="56"/>
      <c r="J108" s="56"/>
    </row>
    <row r="109" spans="1:14" x14ac:dyDescent="0.35">
      <c r="A109" s="57" t="s">
        <v>23</v>
      </c>
      <c r="B109" s="5"/>
      <c r="C109" s="4"/>
      <c r="D109" s="4"/>
      <c r="E109" s="4"/>
      <c r="F109" s="4"/>
      <c r="G109" s="1"/>
      <c r="H109" s="1"/>
      <c r="I109" s="1"/>
      <c r="J109" s="1"/>
    </row>
    <row r="110" spans="1:14" x14ac:dyDescent="0.35">
      <c r="A110" s="57" t="s">
        <v>669</v>
      </c>
      <c r="B110" s="5"/>
      <c r="C110" s="4"/>
      <c r="D110" s="4"/>
      <c r="E110" s="4"/>
      <c r="F110" s="4"/>
      <c r="G110" s="1"/>
      <c r="H110" s="1"/>
      <c r="I110" s="1"/>
      <c r="J110" s="58">
        <f>+E106*F83</f>
        <v>222301.46135371629</v>
      </c>
    </row>
    <row r="111" spans="1:14" x14ac:dyDescent="0.35">
      <c r="A111" s="57" t="s">
        <v>24</v>
      </c>
      <c r="B111" s="5"/>
      <c r="C111" s="4"/>
      <c r="D111" s="4"/>
      <c r="E111" s="4"/>
      <c r="F111" s="4"/>
      <c r="G111" s="1"/>
      <c r="H111" s="1"/>
      <c r="I111" s="1"/>
      <c r="J111" s="59">
        <f>+J106</f>
        <v>225313.34459132719</v>
      </c>
    </row>
    <row r="112" spans="1:14" ht="15" thickBot="1" x14ac:dyDescent="0.4">
      <c r="A112" s="57"/>
      <c r="B112" s="5" t="s">
        <v>25</v>
      </c>
      <c r="C112" s="4"/>
      <c r="D112" s="4"/>
      <c r="E112" s="4"/>
      <c r="F112" s="4"/>
      <c r="G112" s="1"/>
      <c r="H112" s="1"/>
      <c r="I112" s="1"/>
      <c r="J112" s="60">
        <f>+J110-J111</f>
        <v>-3011.8832376108912</v>
      </c>
    </row>
    <row r="113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84B6-DB70-456A-8B78-18D938166D3A}">
  <sheetPr>
    <tabColor rgb="FFC00000"/>
  </sheetPr>
  <dimension ref="A1:M159"/>
  <sheetViews>
    <sheetView tabSelected="1" workbookViewId="0">
      <selection activeCell="G29" sqref="G29"/>
    </sheetView>
  </sheetViews>
  <sheetFormatPr baseColWidth="10" defaultRowHeight="14.5" x14ac:dyDescent="0.35"/>
  <sheetData>
    <row r="1" spans="1:13" x14ac:dyDescent="0.35">
      <c r="A1" s="219" t="s">
        <v>846</v>
      </c>
      <c r="B1" s="210"/>
      <c r="C1" s="169"/>
      <c r="D1" s="169"/>
      <c r="E1" s="169"/>
      <c r="F1" s="169"/>
      <c r="G1" s="169"/>
      <c r="H1" s="169"/>
      <c r="I1" s="169"/>
      <c r="J1" s="170"/>
      <c r="K1" s="171"/>
      <c r="L1" s="171"/>
      <c r="M1" s="171"/>
    </row>
    <row r="2" spans="1:13" x14ac:dyDescent="0.35">
      <c r="A2" s="220" t="s">
        <v>847</v>
      </c>
      <c r="B2" s="173"/>
      <c r="C2" s="172"/>
      <c r="D2" s="172"/>
      <c r="E2" s="172"/>
      <c r="F2" s="172"/>
      <c r="G2" s="172"/>
      <c r="H2" s="173" t="s">
        <v>1</v>
      </c>
      <c r="I2" s="172"/>
      <c r="J2" s="174"/>
      <c r="K2" s="171"/>
      <c r="L2" s="171"/>
      <c r="M2" s="171"/>
    </row>
    <row r="3" spans="1:13" x14ac:dyDescent="0.35">
      <c r="A3" s="221" t="s">
        <v>4</v>
      </c>
      <c r="B3" s="222"/>
      <c r="C3" s="172"/>
      <c r="D3" s="172"/>
      <c r="E3" s="172"/>
      <c r="F3" s="172"/>
      <c r="G3" s="172"/>
      <c r="H3" s="173" t="s">
        <v>848</v>
      </c>
      <c r="I3" s="172"/>
      <c r="J3" s="174"/>
      <c r="K3" s="171"/>
      <c r="L3" s="171"/>
      <c r="M3" s="171"/>
    </row>
    <row r="4" spans="1:13" x14ac:dyDescent="0.35">
      <c r="A4" s="175"/>
      <c r="B4" s="172"/>
      <c r="C4" s="172"/>
      <c r="D4" s="223" t="s">
        <v>6</v>
      </c>
      <c r="E4" s="223"/>
      <c r="F4" s="223"/>
      <c r="G4" s="223"/>
      <c r="H4" s="172" t="s">
        <v>849</v>
      </c>
      <c r="I4" s="172"/>
      <c r="J4" s="174"/>
      <c r="K4" s="171"/>
      <c r="L4" s="171"/>
      <c r="M4" s="189"/>
    </row>
    <row r="5" spans="1:13" x14ac:dyDescent="0.35">
      <c r="A5" s="168" t="s">
        <v>850</v>
      </c>
      <c r="B5" s="154"/>
      <c r="C5" s="154"/>
      <c r="D5" s="154"/>
      <c r="E5" s="154"/>
      <c r="F5" s="154"/>
      <c r="G5" s="154"/>
      <c r="H5" s="154"/>
      <c r="I5" s="154"/>
      <c r="J5" s="174"/>
      <c r="K5" s="171"/>
      <c r="L5" s="171"/>
      <c r="M5" s="171"/>
    </row>
    <row r="6" spans="1:13" x14ac:dyDescent="0.35">
      <c r="A6" s="230" t="s">
        <v>7</v>
      </c>
      <c r="B6" s="231"/>
      <c r="C6" s="231"/>
      <c r="D6" s="231"/>
      <c r="E6" s="231"/>
      <c r="F6" s="231"/>
      <c r="G6" s="231"/>
      <c r="H6" s="231"/>
      <c r="I6" s="231"/>
      <c r="J6" s="232"/>
      <c r="K6" s="171"/>
      <c r="L6" s="171"/>
      <c r="M6" s="171"/>
    </row>
    <row r="7" spans="1:13" x14ac:dyDescent="0.35">
      <c r="A7" s="175"/>
      <c r="B7" s="172"/>
      <c r="C7" s="172"/>
      <c r="D7" s="172"/>
      <c r="E7" s="172"/>
      <c r="F7" s="172"/>
      <c r="G7" s="172"/>
      <c r="H7" s="172"/>
      <c r="I7" s="172"/>
      <c r="J7" s="174"/>
      <c r="K7" s="171"/>
      <c r="L7" s="190"/>
      <c r="M7" s="171"/>
    </row>
    <row r="8" spans="1:13" x14ac:dyDescent="0.35">
      <c r="A8" s="175"/>
      <c r="B8" s="172"/>
      <c r="C8" s="172"/>
      <c r="D8" s="172"/>
      <c r="E8" s="172"/>
      <c r="F8" s="172"/>
      <c r="G8" s="172"/>
      <c r="H8" s="172"/>
      <c r="I8" s="172"/>
      <c r="J8" s="174"/>
      <c r="K8" s="171"/>
      <c r="L8" s="171"/>
      <c r="M8" s="171"/>
    </row>
    <row r="9" spans="1:13" x14ac:dyDescent="0.35">
      <c r="A9" s="176" t="s">
        <v>8</v>
      </c>
      <c r="B9" s="177" t="s">
        <v>9</v>
      </c>
      <c r="C9" s="233" t="s">
        <v>10</v>
      </c>
      <c r="D9" s="234"/>
      <c r="E9" s="235"/>
      <c r="F9" s="236" t="s">
        <v>11</v>
      </c>
      <c r="G9" s="237"/>
      <c r="H9" s="233" t="s">
        <v>12</v>
      </c>
      <c r="I9" s="234"/>
      <c r="J9" s="238"/>
      <c r="K9" s="171"/>
      <c r="L9" s="171"/>
      <c r="M9" s="171"/>
    </row>
    <row r="10" spans="1:13" x14ac:dyDescent="0.35">
      <c r="A10" s="178"/>
      <c r="B10" s="179"/>
      <c r="C10" s="180" t="s">
        <v>842</v>
      </c>
      <c r="D10" s="181" t="s">
        <v>14</v>
      </c>
      <c r="E10" s="182" t="s">
        <v>20</v>
      </c>
      <c r="F10" s="181" t="s">
        <v>16</v>
      </c>
      <c r="G10" s="181" t="s">
        <v>17</v>
      </c>
      <c r="H10" s="180" t="s">
        <v>18</v>
      </c>
      <c r="I10" s="181" t="s">
        <v>19</v>
      </c>
      <c r="J10" s="183" t="s">
        <v>20</v>
      </c>
      <c r="K10" s="171"/>
      <c r="L10" s="171"/>
      <c r="M10" s="171"/>
    </row>
    <row r="11" spans="1:13" x14ac:dyDescent="0.35">
      <c r="A11" s="184">
        <v>43467</v>
      </c>
      <c r="B11" s="185" t="s">
        <v>851</v>
      </c>
      <c r="C11" s="186">
        <v>78</v>
      </c>
      <c r="D11" s="186"/>
      <c r="E11" s="186">
        <v>78</v>
      </c>
      <c r="F11" s="186">
        <v>12.018283378746593</v>
      </c>
      <c r="G11" s="186"/>
      <c r="H11" s="186">
        <v>937.42610354223427</v>
      </c>
      <c r="I11" s="186"/>
      <c r="J11" s="187">
        <v>937.42610354223427</v>
      </c>
      <c r="K11" s="188"/>
      <c r="L11" s="171"/>
      <c r="M11" s="171"/>
    </row>
    <row r="12" spans="1:13" x14ac:dyDescent="0.35">
      <c r="A12" s="184">
        <v>43467</v>
      </c>
      <c r="B12" s="185" t="s">
        <v>852</v>
      </c>
      <c r="C12" s="191"/>
      <c r="D12" s="191">
        <v>2</v>
      </c>
      <c r="E12" s="191">
        <v>76</v>
      </c>
      <c r="F12" s="191"/>
      <c r="G12" s="191">
        <v>12.018283378746593</v>
      </c>
      <c r="H12" s="191"/>
      <c r="I12" s="191">
        <v>24.036566757493187</v>
      </c>
      <c r="J12" s="187">
        <v>913.38953678474104</v>
      </c>
      <c r="K12" s="188"/>
      <c r="L12" s="171"/>
      <c r="M12" s="171"/>
    </row>
    <row r="13" spans="1:13" x14ac:dyDescent="0.35">
      <c r="A13" s="184">
        <v>43469</v>
      </c>
      <c r="B13" s="185" t="s">
        <v>853</v>
      </c>
      <c r="C13" s="191"/>
      <c r="D13" s="191">
        <v>2</v>
      </c>
      <c r="E13" s="191">
        <v>74</v>
      </c>
      <c r="F13" s="191"/>
      <c r="G13" s="191">
        <v>12.018283378746593</v>
      </c>
      <c r="H13" s="191"/>
      <c r="I13" s="191">
        <v>24.036566757493187</v>
      </c>
      <c r="J13" s="187">
        <v>889.35297002724781</v>
      </c>
      <c r="K13" s="188"/>
      <c r="L13" s="171"/>
      <c r="M13" s="171"/>
    </row>
    <row r="14" spans="1:13" x14ac:dyDescent="0.35">
      <c r="A14" s="184">
        <v>43470</v>
      </c>
      <c r="B14" s="185" t="s">
        <v>854</v>
      </c>
      <c r="C14" s="191"/>
      <c r="D14" s="191">
        <v>1</v>
      </c>
      <c r="E14" s="191">
        <v>73</v>
      </c>
      <c r="F14" s="191"/>
      <c r="G14" s="191">
        <v>12.018283378746592</v>
      </c>
      <c r="H14" s="191"/>
      <c r="I14" s="191">
        <v>12.018283378746592</v>
      </c>
      <c r="J14" s="187">
        <v>877.33468664850125</v>
      </c>
      <c r="K14" s="188"/>
      <c r="L14" s="171"/>
      <c r="M14" s="171"/>
    </row>
    <row r="15" spans="1:13" x14ac:dyDescent="0.35">
      <c r="A15" s="192">
        <v>43474</v>
      </c>
      <c r="B15" s="212" t="s">
        <v>855</v>
      </c>
      <c r="C15" s="193"/>
      <c r="D15" s="193">
        <v>3</v>
      </c>
      <c r="E15" s="193">
        <v>70</v>
      </c>
      <c r="F15" s="193"/>
      <c r="G15" s="193">
        <v>12.018283378746592</v>
      </c>
      <c r="H15" s="193"/>
      <c r="I15" s="193">
        <v>36.054850136239779</v>
      </c>
      <c r="J15" s="213">
        <v>841.27983651226145</v>
      </c>
      <c r="K15" s="188">
        <v>96.146267029972748</v>
      </c>
      <c r="L15" s="197"/>
      <c r="M15" s="194">
        <v>43480</v>
      </c>
    </row>
    <row r="16" spans="1:13" x14ac:dyDescent="0.35">
      <c r="A16" s="184">
        <v>43482</v>
      </c>
      <c r="B16" s="185" t="s">
        <v>856</v>
      </c>
      <c r="C16" s="191"/>
      <c r="D16" s="191">
        <v>1</v>
      </c>
      <c r="E16" s="191">
        <v>69</v>
      </c>
      <c r="F16" s="191"/>
      <c r="G16" s="191">
        <v>12.018283378746592</v>
      </c>
      <c r="H16" s="191"/>
      <c r="I16" s="191">
        <v>12.018283378746592</v>
      </c>
      <c r="J16" s="187">
        <v>829.26155313351489</v>
      </c>
      <c r="K16" s="188"/>
      <c r="L16" s="171"/>
      <c r="M16" s="171"/>
    </row>
    <row r="17" spans="1:13" x14ac:dyDescent="0.35">
      <c r="A17" s="195">
        <v>43482</v>
      </c>
      <c r="B17" s="196" t="s">
        <v>857</v>
      </c>
      <c r="C17" s="186"/>
      <c r="D17" s="186">
        <v>2</v>
      </c>
      <c r="E17" s="186">
        <v>67</v>
      </c>
      <c r="F17" s="186"/>
      <c r="G17" s="186">
        <v>12.018283378746593</v>
      </c>
      <c r="H17" s="186"/>
      <c r="I17" s="186">
        <v>24.036566757493187</v>
      </c>
      <c r="J17" s="206">
        <v>805.22498637602166</v>
      </c>
      <c r="K17" s="202"/>
      <c r="L17" s="202"/>
      <c r="M17" s="204"/>
    </row>
    <row r="18" spans="1:13" x14ac:dyDescent="0.35">
      <c r="A18" s="195">
        <v>43482</v>
      </c>
      <c r="B18" s="185" t="s">
        <v>858</v>
      </c>
      <c r="C18" s="186"/>
      <c r="D18" s="186">
        <v>1</v>
      </c>
      <c r="E18" s="191">
        <v>66</v>
      </c>
      <c r="F18" s="191"/>
      <c r="G18" s="191">
        <v>12.018283378746592</v>
      </c>
      <c r="H18" s="191"/>
      <c r="I18" s="191">
        <v>12.018283378746592</v>
      </c>
      <c r="J18" s="187">
        <v>793.2067029972751</v>
      </c>
      <c r="K18" s="188"/>
      <c r="L18" s="171"/>
      <c r="M18" s="171"/>
    </row>
    <row r="19" spans="1:13" x14ac:dyDescent="0.35">
      <c r="A19" s="195">
        <v>43482</v>
      </c>
      <c r="B19" s="196" t="s">
        <v>859</v>
      </c>
      <c r="C19" s="186"/>
      <c r="D19" s="186">
        <v>1</v>
      </c>
      <c r="E19" s="186">
        <v>65</v>
      </c>
      <c r="F19" s="186"/>
      <c r="G19" s="186">
        <v>12.018283378746592</v>
      </c>
      <c r="H19" s="186"/>
      <c r="I19" s="186">
        <v>12.018283378746592</v>
      </c>
      <c r="J19" s="206">
        <v>781.18841961852854</v>
      </c>
      <c r="K19" s="202"/>
      <c r="L19" s="202"/>
      <c r="M19" s="204"/>
    </row>
    <row r="20" spans="1:13" x14ac:dyDescent="0.35">
      <c r="A20" s="195">
        <v>43483</v>
      </c>
      <c r="B20" s="185" t="s">
        <v>860</v>
      </c>
      <c r="C20" s="186"/>
      <c r="D20" s="186">
        <v>5</v>
      </c>
      <c r="E20" s="191">
        <v>60</v>
      </c>
      <c r="F20" s="191"/>
      <c r="G20" s="191">
        <v>12.018283378746593</v>
      </c>
      <c r="H20" s="191"/>
      <c r="I20" s="191">
        <v>60.091416893732969</v>
      </c>
      <c r="J20" s="187">
        <v>721.09700272479563</v>
      </c>
      <c r="K20" s="188"/>
      <c r="L20" s="171"/>
      <c r="M20" s="171"/>
    </row>
    <row r="21" spans="1:13" x14ac:dyDescent="0.35">
      <c r="A21" s="195">
        <v>43483</v>
      </c>
      <c r="B21" s="185" t="s">
        <v>861</v>
      </c>
      <c r="C21" s="186"/>
      <c r="D21" s="186">
        <v>3</v>
      </c>
      <c r="E21" s="191">
        <v>57</v>
      </c>
      <c r="F21" s="191"/>
      <c r="G21" s="191">
        <v>12.018283378746593</v>
      </c>
      <c r="H21" s="191"/>
      <c r="I21" s="191">
        <v>36.054850136239779</v>
      </c>
      <c r="J21" s="187">
        <v>685.04215258855584</v>
      </c>
      <c r="K21" s="188"/>
      <c r="L21" s="188"/>
      <c r="M21" s="194"/>
    </row>
    <row r="22" spans="1:13" x14ac:dyDescent="0.35">
      <c r="A22" s="195">
        <v>43483</v>
      </c>
      <c r="B22" s="185" t="s">
        <v>862</v>
      </c>
      <c r="C22" s="186"/>
      <c r="D22" s="186">
        <v>4</v>
      </c>
      <c r="E22" s="191">
        <v>53</v>
      </c>
      <c r="F22" s="191"/>
      <c r="G22" s="191">
        <v>12.018283378746593</v>
      </c>
      <c r="H22" s="191"/>
      <c r="I22" s="191">
        <v>48.073133514986374</v>
      </c>
      <c r="J22" s="187">
        <v>636.96901907356948</v>
      </c>
      <c r="K22" s="188"/>
      <c r="L22" s="171"/>
      <c r="M22" s="171"/>
    </row>
    <row r="23" spans="1:13" x14ac:dyDescent="0.35">
      <c r="A23" s="184">
        <v>43486</v>
      </c>
      <c r="B23" s="185" t="s">
        <v>863</v>
      </c>
      <c r="C23" s="191"/>
      <c r="D23" s="191">
        <v>1.5</v>
      </c>
      <c r="E23" s="191">
        <v>51.5</v>
      </c>
      <c r="F23" s="191"/>
      <c r="G23" s="191">
        <v>12.018283378746593</v>
      </c>
      <c r="H23" s="191"/>
      <c r="I23" s="191">
        <v>18.027425068119889</v>
      </c>
      <c r="J23" s="187">
        <v>618.94159400544959</v>
      </c>
      <c r="K23" s="188"/>
      <c r="L23" s="171"/>
      <c r="M23" s="171"/>
    </row>
    <row r="24" spans="1:13" x14ac:dyDescent="0.35">
      <c r="A24" s="184">
        <v>43488</v>
      </c>
      <c r="B24" s="185" t="s">
        <v>864</v>
      </c>
      <c r="C24" s="191"/>
      <c r="D24" s="191">
        <v>5</v>
      </c>
      <c r="E24" s="191">
        <v>46.5</v>
      </c>
      <c r="F24" s="191"/>
      <c r="G24" s="191">
        <v>12.018283378746593</v>
      </c>
      <c r="H24" s="191"/>
      <c r="I24" s="191">
        <v>60.091416893732969</v>
      </c>
      <c r="J24" s="187">
        <v>558.85017711171668</v>
      </c>
      <c r="K24" s="188"/>
      <c r="L24" s="171"/>
      <c r="M24" s="171"/>
    </row>
    <row r="25" spans="1:13" x14ac:dyDescent="0.35">
      <c r="A25" s="195">
        <v>43490</v>
      </c>
      <c r="B25" s="196" t="s">
        <v>865</v>
      </c>
      <c r="C25" s="186"/>
      <c r="D25" s="186">
        <v>1</v>
      </c>
      <c r="E25" s="186">
        <v>45.5</v>
      </c>
      <c r="F25" s="186"/>
      <c r="G25" s="186">
        <v>12.018283378746595</v>
      </c>
      <c r="H25" s="186"/>
      <c r="I25" s="186">
        <v>12.018283378746595</v>
      </c>
      <c r="J25" s="206">
        <v>546.83189373297012</v>
      </c>
      <c r="K25" s="202"/>
      <c r="L25" s="203"/>
      <c r="M25" s="204"/>
    </row>
    <row r="26" spans="1:13" x14ac:dyDescent="0.35">
      <c r="A26" s="192">
        <v>43493</v>
      </c>
      <c r="B26" s="212" t="s">
        <v>866</v>
      </c>
      <c r="C26" s="193"/>
      <c r="D26" s="193">
        <v>3</v>
      </c>
      <c r="E26" s="193">
        <v>42.5</v>
      </c>
      <c r="F26" s="193"/>
      <c r="G26" s="193">
        <v>12.018283378746595</v>
      </c>
      <c r="H26" s="193"/>
      <c r="I26" s="193">
        <v>36.054850136239786</v>
      </c>
      <c r="J26" s="213">
        <v>510.77704359673032</v>
      </c>
      <c r="K26" s="188">
        <v>330.50279291553136</v>
      </c>
      <c r="L26" s="188">
        <v>426.64905994550412</v>
      </c>
      <c r="M26" s="194">
        <v>43496</v>
      </c>
    </row>
    <row r="27" spans="1:13" x14ac:dyDescent="0.35">
      <c r="A27" s="195">
        <v>43502</v>
      </c>
      <c r="B27" s="185" t="s">
        <v>867</v>
      </c>
      <c r="C27" s="193"/>
      <c r="D27" s="186">
        <v>1</v>
      </c>
      <c r="E27" s="191">
        <v>41.5</v>
      </c>
      <c r="F27" s="191"/>
      <c r="G27" s="191">
        <v>12.018283378746595</v>
      </c>
      <c r="H27" s="191"/>
      <c r="I27" s="191">
        <v>12.018283378746595</v>
      </c>
      <c r="J27" s="187">
        <v>498.75876021798371</v>
      </c>
      <c r="K27" s="188"/>
      <c r="L27" s="188"/>
      <c r="M27" s="194"/>
    </row>
    <row r="28" spans="1:13" x14ac:dyDescent="0.35">
      <c r="A28" s="192">
        <v>43508</v>
      </c>
      <c r="B28" s="212" t="s">
        <v>868</v>
      </c>
      <c r="C28" s="193"/>
      <c r="D28" s="193">
        <v>4</v>
      </c>
      <c r="E28" s="193">
        <v>37.5</v>
      </c>
      <c r="F28" s="193"/>
      <c r="G28" s="193">
        <v>12.018283378746595</v>
      </c>
      <c r="H28" s="193"/>
      <c r="I28" s="193">
        <v>48.073133514986381</v>
      </c>
      <c r="J28" s="213">
        <v>450.6856267029973</v>
      </c>
      <c r="K28" s="188">
        <v>60.091416893732976</v>
      </c>
      <c r="L28" s="188"/>
      <c r="M28" s="194">
        <v>43511</v>
      </c>
    </row>
    <row r="29" spans="1:13" x14ac:dyDescent="0.35">
      <c r="A29" s="195">
        <v>43512</v>
      </c>
      <c r="B29" s="185" t="s">
        <v>869</v>
      </c>
      <c r="C29" s="193"/>
      <c r="D29" s="186">
        <v>4</v>
      </c>
      <c r="E29" s="191">
        <v>33.5</v>
      </c>
      <c r="F29" s="191"/>
      <c r="G29" s="191">
        <v>12.018283378746595</v>
      </c>
      <c r="H29" s="191"/>
      <c r="I29" s="191">
        <v>48.073133514986381</v>
      </c>
      <c r="J29" s="187">
        <v>402.61249318801094</v>
      </c>
      <c r="K29" s="188"/>
      <c r="L29" s="188"/>
      <c r="M29" s="194"/>
    </row>
    <row r="30" spans="1:13" x14ac:dyDescent="0.35">
      <c r="A30" s="195">
        <v>43514</v>
      </c>
      <c r="B30" s="196" t="s">
        <v>870</v>
      </c>
      <c r="C30" s="186"/>
      <c r="D30" s="186">
        <v>2</v>
      </c>
      <c r="E30" s="186">
        <v>31.5</v>
      </c>
      <c r="F30" s="186"/>
      <c r="G30" s="186">
        <v>12.018283378746595</v>
      </c>
      <c r="H30" s="186"/>
      <c r="I30" s="186">
        <v>24.03656675749319</v>
      </c>
      <c r="J30" s="206">
        <v>378.57592643051777</v>
      </c>
      <c r="K30" s="202"/>
      <c r="L30" s="202"/>
      <c r="M30" s="204"/>
    </row>
    <row r="31" spans="1:13" x14ac:dyDescent="0.35">
      <c r="A31" s="195">
        <v>43156</v>
      </c>
      <c r="B31" s="185" t="s">
        <v>871</v>
      </c>
      <c r="C31" s="193"/>
      <c r="D31" s="186">
        <v>1</v>
      </c>
      <c r="E31" s="191">
        <v>30.5</v>
      </c>
      <c r="F31" s="191"/>
      <c r="G31" s="191">
        <v>12.018283378746595</v>
      </c>
      <c r="H31" s="191"/>
      <c r="I31" s="191">
        <v>12.018283378746595</v>
      </c>
      <c r="J31" s="187">
        <v>366.55764305177115</v>
      </c>
      <c r="K31" s="188"/>
      <c r="L31" s="188"/>
      <c r="M31" s="194"/>
    </row>
    <row r="32" spans="1:13" x14ac:dyDescent="0.35">
      <c r="A32" s="192">
        <v>43523</v>
      </c>
      <c r="B32" s="212" t="s">
        <v>872</v>
      </c>
      <c r="C32" s="193"/>
      <c r="D32" s="193">
        <v>0</v>
      </c>
      <c r="E32" s="193">
        <v>30.5</v>
      </c>
      <c r="F32" s="193"/>
      <c r="G32" s="193">
        <v>12.018283378746595</v>
      </c>
      <c r="H32" s="193"/>
      <c r="I32" s="193">
        <v>0</v>
      </c>
      <c r="J32" s="213">
        <v>366.55764305177115</v>
      </c>
      <c r="K32" s="188">
        <v>84.127983651226174</v>
      </c>
      <c r="L32" s="188">
        <v>144.21940054495914</v>
      </c>
      <c r="M32" s="194">
        <v>43524</v>
      </c>
    </row>
    <row r="33" spans="1:13" x14ac:dyDescent="0.35">
      <c r="A33" s="195">
        <v>43526</v>
      </c>
      <c r="B33" s="185" t="s">
        <v>873</v>
      </c>
      <c r="C33" s="193"/>
      <c r="D33" s="186">
        <v>2</v>
      </c>
      <c r="E33" s="191">
        <v>28.5</v>
      </c>
      <c r="F33" s="191"/>
      <c r="G33" s="191">
        <v>12.018283378746595</v>
      </c>
      <c r="H33" s="191"/>
      <c r="I33" s="191">
        <v>24.03656675749319</v>
      </c>
      <c r="J33" s="187">
        <v>342.52107629427798</v>
      </c>
      <c r="K33" s="188"/>
      <c r="L33" s="188"/>
      <c r="M33" s="194"/>
    </row>
    <row r="34" spans="1:13" x14ac:dyDescent="0.35">
      <c r="A34" s="195">
        <v>43532</v>
      </c>
      <c r="B34" s="185" t="s">
        <v>874</v>
      </c>
      <c r="C34" s="193"/>
      <c r="D34" s="186">
        <v>1</v>
      </c>
      <c r="E34" s="191">
        <v>27.5</v>
      </c>
      <c r="F34" s="191"/>
      <c r="G34" s="191">
        <v>12.018283378746595</v>
      </c>
      <c r="H34" s="191"/>
      <c r="I34" s="191">
        <v>12.018283378746595</v>
      </c>
      <c r="J34" s="187">
        <v>330.50279291553136</v>
      </c>
      <c r="K34" s="188"/>
      <c r="L34" s="188"/>
      <c r="M34" s="194"/>
    </row>
    <row r="35" spans="1:13" x14ac:dyDescent="0.35">
      <c r="A35" s="192">
        <v>43535</v>
      </c>
      <c r="B35" s="212" t="s">
        <v>875</v>
      </c>
      <c r="C35" s="193"/>
      <c r="D35" s="193">
        <v>1</v>
      </c>
      <c r="E35" s="193">
        <v>26.5</v>
      </c>
      <c r="F35" s="193"/>
      <c r="G35" s="193">
        <v>12.018283378746595</v>
      </c>
      <c r="H35" s="193"/>
      <c r="I35" s="193">
        <v>12.018283378746595</v>
      </c>
      <c r="J35" s="213">
        <v>318.48450953678474</v>
      </c>
      <c r="K35" s="188">
        <v>48.073133514986381</v>
      </c>
      <c r="L35" s="188"/>
      <c r="M35" s="194">
        <v>43539</v>
      </c>
    </row>
    <row r="36" spans="1:13" x14ac:dyDescent="0.35">
      <c r="A36" s="195">
        <v>43545</v>
      </c>
      <c r="B36" s="185" t="s">
        <v>876</v>
      </c>
      <c r="C36" s="193"/>
      <c r="D36" s="186">
        <v>6</v>
      </c>
      <c r="E36" s="191">
        <v>20.5</v>
      </c>
      <c r="F36" s="191"/>
      <c r="G36" s="191">
        <v>12.018283378746593</v>
      </c>
      <c r="H36" s="191"/>
      <c r="I36" s="191">
        <v>72.109700272479557</v>
      </c>
      <c r="J36" s="187">
        <v>246.37480926430518</v>
      </c>
      <c r="K36" s="188"/>
      <c r="L36" s="188"/>
      <c r="M36" s="194"/>
    </row>
    <row r="37" spans="1:13" x14ac:dyDescent="0.35">
      <c r="A37" s="195">
        <v>43545</v>
      </c>
      <c r="B37" s="185" t="s">
        <v>877</v>
      </c>
      <c r="C37" s="193"/>
      <c r="D37" s="186">
        <v>3</v>
      </c>
      <c r="E37" s="191">
        <v>17.5</v>
      </c>
      <c r="F37" s="191"/>
      <c r="G37" s="191">
        <v>12.018283378746595</v>
      </c>
      <c r="H37" s="191"/>
      <c r="I37" s="191">
        <v>36.054850136239786</v>
      </c>
      <c r="J37" s="187">
        <v>210.31995912806539</v>
      </c>
      <c r="K37" s="188"/>
      <c r="L37" s="188"/>
      <c r="M37" s="194"/>
    </row>
    <row r="38" spans="1:13" x14ac:dyDescent="0.35">
      <c r="A38" s="195">
        <v>43549</v>
      </c>
      <c r="B38" s="185" t="s">
        <v>878</v>
      </c>
      <c r="C38" s="193"/>
      <c r="D38" s="186">
        <v>3</v>
      </c>
      <c r="E38" s="191">
        <v>14.5</v>
      </c>
      <c r="F38" s="191"/>
      <c r="G38" s="191">
        <v>12.018283378746593</v>
      </c>
      <c r="H38" s="191"/>
      <c r="I38" s="191">
        <v>36.054850136239779</v>
      </c>
      <c r="J38" s="187">
        <v>174.26510899182563</v>
      </c>
      <c r="K38" s="188"/>
      <c r="L38" s="188"/>
      <c r="M38" s="194"/>
    </row>
    <row r="39" spans="1:13" x14ac:dyDescent="0.35">
      <c r="A39" s="195">
        <v>43553</v>
      </c>
      <c r="B39" s="185" t="s">
        <v>879</v>
      </c>
      <c r="C39" s="193"/>
      <c r="D39" s="186">
        <v>1</v>
      </c>
      <c r="E39" s="191">
        <v>13.5</v>
      </c>
      <c r="F39" s="191"/>
      <c r="G39" s="191">
        <v>12.018283378746595</v>
      </c>
      <c r="H39" s="191"/>
      <c r="I39" s="191">
        <v>12.018283378746595</v>
      </c>
      <c r="J39" s="187">
        <v>162.24682561307904</v>
      </c>
      <c r="K39" s="188"/>
      <c r="L39" s="188"/>
      <c r="M39" s="194"/>
    </row>
    <row r="40" spans="1:13" x14ac:dyDescent="0.35">
      <c r="A40" s="192">
        <v>43553</v>
      </c>
      <c r="B40" s="212" t="s">
        <v>880</v>
      </c>
      <c r="C40" s="193"/>
      <c r="D40" s="193">
        <v>4</v>
      </c>
      <c r="E40" s="193">
        <v>9.5</v>
      </c>
      <c r="F40" s="193"/>
      <c r="G40" s="193">
        <v>12.018283378746595</v>
      </c>
      <c r="H40" s="193"/>
      <c r="I40" s="193">
        <v>48.073133514986381</v>
      </c>
      <c r="J40" s="213">
        <v>114.17369209809266</v>
      </c>
      <c r="K40" s="188">
        <v>204.31081743869208</v>
      </c>
      <c r="L40" s="188">
        <v>252.38395095367846</v>
      </c>
      <c r="M40" s="194">
        <v>43555</v>
      </c>
    </row>
    <row r="41" spans="1:13" x14ac:dyDescent="0.35">
      <c r="A41" s="195">
        <v>43556</v>
      </c>
      <c r="B41" s="185" t="s">
        <v>881</v>
      </c>
      <c r="C41" s="193"/>
      <c r="D41" s="186">
        <v>2</v>
      </c>
      <c r="E41" s="191">
        <v>7.5</v>
      </c>
      <c r="F41" s="191"/>
      <c r="G41" s="191">
        <v>12.018283378746595</v>
      </c>
      <c r="H41" s="191"/>
      <c r="I41" s="191">
        <v>24.03656675749319</v>
      </c>
      <c r="J41" s="187">
        <v>90.137125340599468</v>
      </c>
      <c r="K41" s="188"/>
      <c r="L41" s="188"/>
      <c r="M41" s="194"/>
    </row>
    <row r="42" spans="1:13" x14ac:dyDescent="0.35">
      <c r="A42" s="195">
        <v>43559</v>
      </c>
      <c r="B42" s="196" t="s">
        <v>882</v>
      </c>
      <c r="C42" s="186"/>
      <c r="D42" s="186">
        <v>3</v>
      </c>
      <c r="E42" s="186">
        <v>4.5</v>
      </c>
      <c r="F42" s="186"/>
      <c r="G42" s="186">
        <v>12.018283378746595</v>
      </c>
      <c r="H42" s="186"/>
      <c r="I42" s="186">
        <v>36.054850136239786</v>
      </c>
      <c r="J42" s="206">
        <v>54.082275204359682</v>
      </c>
      <c r="K42" s="202"/>
      <c r="L42" s="202"/>
      <c r="M42" s="204"/>
    </row>
    <row r="43" spans="1:13" x14ac:dyDescent="0.35">
      <c r="A43" s="195">
        <v>43559</v>
      </c>
      <c r="B43" s="196" t="s">
        <v>883</v>
      </c>
      <c r="C43" s="186"/>
      <c r="D43" s="186">
        <v>1</v>
      </c>
      <c r="E43" s="186">
        <v>3.5</v>
      </c>
      <c r="F43" s="186"/>
      <c r="G43" s="186">
        <v>12.018283378746595</v>
      </c>
      <c r="H43" s="186"/>
      <c r="I43" s="186">
        <v>12.018283378746595</v>
      </c>
      <c r="J43" s="206">
        <v>42.063991825613087</v>
      </c>
      <c r="K43" s="202"/>
      <c r="L43" s="202"/>
      <c r="M43" s="204"/>
    </row>
    <row r="44" spans="1:13" x14ac:dyDescent="0.35">
      <c r="A44" s="195">
        <v>43559</v>
      </c>
      <c r="B44" s="196" t="s">
        <v>884</v>
      </c>
      <c r="C44" s="186"/>
      <c r="D44" s="186">
        <v>1</v>
      </c>
      <c r="E44" s="186">
        <v>2.5</v>
      </c>
      <c r="F44" s="186"/>
      <c r="G44" s="186">
        <v>12.018283378746597</v>
      </c>
      <c r="H44" s="186"/>
      <c r="I44" s="186">
        <v>12.018283378746597</v>
      </c>
      <c r="J44" s="206">
        <v>30.045708446866492</v>
      </c>
      <c r="K44" s="202"/>
      <c r="L44" s="202"/>
      <c r="M44" s="204"/>
    </row>
    <row r="45" spans="1:13" x14ac:dyDescent="0.35">
      <c r="A45" s="195">
        <v>43559</v>
      </c>
      <c r="B45" s="196" t="s">
        <v>885</v>
      </c>
      <c r="C45" s="186">
        <v>23</v>
      </c>
      <c r="D45" s="186"/>
      <c r="E45" s="186">
        <v>25.5</v>
      </c>
      <c r="F45" s="186">
        <v>13.239130434782609</v>
      </c>
      <c r="G45" s="186"/>
      <c r="H45" s="186">
        <v>304.5</v>
      </c>
      <c r="I45" s="186"/>
      <c r="J45" s="206">
        <v>334.54570844686651</v>
      </c>
      <c r="K45" s="202"/>
      <c r="L45" s="202"/>
      <c r="M45" s="204"/>
    </row>
    <row r="46" spans="1:13" x14ac:dyDescent="0.35">
      <c r="A46" s="195">
        <v>43559</v>
      </c>
      <c r="B46" s="196" t="s">
        <v>886</v>
      </c>
      <c r="C46" s="186"/>
      <c r="D46" s="186">
        <v>3</v>
      </c>
      <c r="E46" s="186">
        <v>22.5</v>
      </c>
      <c r="F46" s="186"/>
      <c r="G46" s="186">
        <v>13.119439546935942</v>
      </c>
      <c r="H46" s="186"/>
      <c r="I46" s="186">
        <v>39.358318640807823</v>
      </c>
      <c r="J46" s="206">
        <v>295.18738980605872</v>
      </c>
      <c r="K46" s="202"/>
      <c r="L46" s="202"/>
      <c r="M46" s="204"/>
    </row>
    <row r="47" spans="1:13" x14ac:dyDescent="0.35">
      <c r="A47" s="195">
        <v>43560</v>
      </c>
      <c r="B47" s="196" t="s">
        <v>887</v>
      </c>
      <c r="C47" s="186"/>
      <c r="D47" s="186">
        <v>1</v>
      </c>
      <c r="E47" s="186">
        <v>21.5</v>
      </c>
      <c r="F47" s="186"/>
      <c r="G47" s="186">
        <v>13.119439546935943</v>
      </c>
      <c r="H47" s="186"/>
      <c r="I47" s="186">
        <v>13.119439546935943</v>
      </c>
      <c r="J47" s="206">
        <v>282.06795025912277</v>
      </c>
      <c r="K47" s="202"/>
      <c r="L47" s="202"/>
      <c r="M47" s="204"/>
    </row>
    <row r="48" spans="1:13" x14ac:dyDescent="0.35">
      <c r="A48" s="195">
        <v>43563</v>
      </c>
      <c r="B48" s="185" t="s">
        <v>888</v>
      </c>
      <c r="C48" s="193"/>
      <c r="D48" s="186">
        <v>4</v>
      </c>
      <c r="E48" s="191">
        <v>17.5</v>
      </c>
      <c r="F48" s="191"/>
      <c r="G48" s="191">
        <v>13.119439546935943</v>
      </c>
      <c r="H48" s="191"/>
      <c r="I48" s="191">
        <v>52.477758187743774</v>
      </c>
      <c r="J48" s="187">
        <v>229.59019207137899</v>
      </c>
      <c r="K48" s="188"/>
      <c r="L48" s="188"/>
      <c r="M48" s="194"/>
    </row>
    <row r="49" spans="1:13" x14ac:dyDescent="0.35">
      <c r="A49" s="195">
        <v>43568</v>
      </c>
      <c r="B49" s="185" t="s">
        <v>889</v>
      </c>
      <c r="C49" s="193"/>
      <c r="D49" s="186">
        <v>2</v>
      </c>
      <c r="E49" s="191">
        <v>15.5</v>
      </c>
      <c r="F49" s="191"/>
      <c r="G49" s="191">
        <v>13.119439546935942</v>
      </c>
      <c r="H49" s="191"/>
      <c r="I49" s="191">
        <v>26.238879093871883</v>
      </c>
      <c r="J49" s="187">
        <v>203.35131297750712</v>
      </c>
      <c r="K49" s="188"/>
      <c r="L49" s="188"/>
      <c r="M49" s="194"/>
    </row>
    <row r="50" spans="1:13" x14ac:dyDescent="0.35">
      <c r="A50" s="195">
        <v>43570</v>
      </c>
      <c r="B50" s="196" t="s">
        <v>890</v>
      </c>
      <c r="C50" s="186"/>
      <c r="D50" s="186">
        <v>4</v>
      </c>
      <c r="E50" s="186">
        <v>11.5</v>
      </c>
      <c r="F50" s="186"/>
      <c r="G50" s="186">
        <v>13.119439546935943</v>
      </c>
      <c r="H50" s="186"/>
      <c r="I50" s="186">
        <v>52.477758187743774</v>
      </c>
      <c r="J50" s="206">
        <v>150.87355478976335</v>
      </c>
      <c r="K50" s="202"/>
      <c r="L50" s="202"/>
      <c r="M50" s="204"/>
    </row>
    <row r="51" spans="1:13" x14ac:dyDescent="0.35">
      <c r="A51" s="192">
        <v>43570</v>
      </c>
      <c r="B51" s="212" t="s">
        <v>891</v>
      </c>
      <c r="C51" s="193">
        <v>138</v>
      </c>
      <c r="D51" s="193"/>
      <c r="E51" s="193">
        <v>149.5</v>
      </c>
      <c r="F51" s="193">
        <v>11.847130434782608</v>
      </c>
      <c r="G51" s="193"/>
      <c r="H51" s="193">
        <v>1634.904</v>
      </c>
      <c r="I51" s="193"/>
      <c r="J51" s="213">
        <v>1785.7775547897634</v>
      </c>
      <c r="K51" s="188">
        <v>267.80013730832934</v>
      </c>
      <c r="L51" s="188"/>
      <c r="M51" s="194">
        <v>43570</v>
      </c>
    </row>
    <row r="52" spans="1:13" x14ac:dyDescent="0.35">
      <c r="A52" s="195">
        <v>43579</v>
      </c>
      <c r="B52" s="185" t="s">
        <v>892</v>
      </c>
      <c r="C52" s="193"/>
      <c r="D52" s="186">
        <v>4</v>
      </c>
      <c r="E52" s="191">
        <v>145.5</v>
      </c>
      <c r="F52" s="191"/>
      <c r="G52" s="191">
        <v>11.945000366486711</v>
      </c>
      <c r="H52" s="191"/>
      <c r="I52" s="191">
        <v>47.780001465946846</v>
      </c>
      <c r="J52" s="187">
        <v>1737.9975533238164</v>
      </c>
      <c r="K52" s="188"/>
      <c r="L52" s="188"/>
      <c r="M52" s="194"/>
    </row>
    <row r="53" spans="1:13" x14ac:dyDescent="0.35">
      <c r="A53" s="195">
        <v>43580</v>
      </c>
      <c r="B53" s="185" t="s">
        <v>893</v>
      </c>
      <c r="C53" s="193"/>
      <c r="D53" s="186">
        <v>2</v>
      </c>
      <c r="E53" s="191">
        <v>143.5</v>
      </c>
      <c r="F53" s="191"/>
      <c r="G53" s="191">
        <v>11.945000366486711</v>
      </c>
      <c r="H53" s="191"/>
      <c r="I53" s="191">
        <v>23.890000732973423</v>
      </c>
      <c r="J53" s="187">
        <v>1714.1075525908429</v>
      </c>
      <c r="K53" s="188"/>
      <c r="L53" s="188"/>
      <c r="M53" s="194"/>
    </row>
    <row r="54" spans="1:13" x14ac:dyDescent="0.35">
      <c r="A54" s="192">
        <v>43580</v>
      </c>
      <c r="B54" s="212" t="s">
        <v>894</v>
      </c>
      <c r="C54" s="193"/>
      <c r="D54" s="193">
        <v>6</v>
      </c>
      <c r="E54" s="193">
        <v>137.5</v>
      </c>
      <c r="F54" s="193"/>
      <c r="G54" s="193">
        <v>11.94500036648671</v>
      </c>
      <c r="H54" s="193"/>
      <c r="I54" s="193">
        <v>71.670002198920258</v>
      </c>
      <c r="J54" s="213">
        <v>1642.4375503919227</v>
      </c>
      <c r="K54" s="188">
        <v>143.34000439784052</v>
      </c>
      <c r="L54" s="188">
        <v>411.14014170616986</v>
      </c>
      <c r="M54" s="194">
        <v>43585</v>
      </c>
    </row>
    <row r="55" spans="1:13" x14ac:dyDescent="0.35">
      <c r="A55" s="195">
        <v>43588</v>
      </c>
      <c r="B55" s="185" t="s">
        <v>895</v>
      </c>
      <c r="C55" s="193"/>
      <c r="D55" s="186">
        <v>2</v>
      </c>
      <c r="E55" s="191">
        <v>135.5</v>
      </c>
      <c r="F55" s="191"/>
      <c r="G55" s="191">
        <v>11.945000366486711</v>
      </c>
      <c r="H55" s="191"/>
      <c r="I55" s="191">
        <v>23.890000732973423</v>
      </c>
      <c r="J55" s="187">
        <v>1618.5475496589493</v>
      </c>
      <c r="K55" s="188"/>
      <c r="L55" s="188"/>
      <c r="M55" s="194"/>
    </row>
    <row r="56" spans="1:13" x14ac:dyDescent="0.35">
      <c r="A56" s="195">
        <v>43588</v>
      </c>
      <c r="B56" s="185" t="s">
        <v>896</v>
      </c>
      <c r="C56" s="193"/>
      <c r="D56" s="186">
        <v>0.5</v>
      </c>
      <c r="E56" s="191">
        <v>135</v>
      </c>
      <c r="F56" s="191"/>
      <c r="G56" s="191">
        <v>11.94500036648671</v>
      </c>
      <c r="H56" s="191"/>
      <c r="I56" s="191">
        <v>5.9725001832433549</v>
      </c>
      <c r="J56" s="187">
        <v>1612.575049475706</v>
      </c>
      <c r="K56" s="188"/>
      <c r="L56" s="188"/>
      <c r="M56" s="194"/>
    </row>
    <row r="57" spans="1:13" x14ac:dyDescent="0.35">
      <c r="A57" s="184">
        <v>43591</v>
      </c>
      <c r="B57" s="185" t="s">
        <v>897</v>
      </c>
      <c r="C57" s="191"/>
      <c r="D57" s="186">
        <v>3</v>
      </c>
      <c r="E57" s="191">
        <v>132</v>
      </c>
      <c r="F57" s="191"/>
      <c r="G57" s="191">
        <v>11.945000366486711</v>
      </c>
      <c r="H57" s="191"/>
      <c r="I57" s="191">
        <v>35.835001099460136</v>
      </c>
      <c r="J57" s="187">
        <v>1576.7400483762458</v>
      </c>
      <c r="K57" s="171"/>
      <c r="L57" s="171"/>
      <c r="M57" s="171"/>
    </row>
    <row r="58" spans="1:13" x14ac:dyDescent="0.35">
      <c r="A58" s="184">
        <v>43592</v>
      </c>
      <c r="B58" s="185" t="s">
        <v>898</v>
      </c>
      <c r="C58" s="191"/>
      <c r="D58" s="186">
        <v>3</v>
      </c>
      <c r="E58" s="191">
        <v>129</v>
      </c>
      <c r="F58" s="191"/>
      <c r="G58" s="191">
        <v>11.94500036648671</v>
      </c>
      <c r="H58" s="191"/>
      <c r="I58" s="191">
        <v>35.835001099460129</v>
      </c>
      <c r="J58" s="187">
        <v>1540.9050472767856</v>
      </c>
      <c r="K58" s="171"/>
      <c r="L58" s="171"/>
      <c r="M58" s="171"/>
    </row>
    <row r="59" spans="1:13" x14ac:dyDescent="0.35">
      <c r="A59" s="192">
        <v>43593</v>
      </c>
      <c r="B59" s="212" t="s">
        <v>899</v>
      </c>
      <c r="C59" s="193"/>
      <c r="D59" s="193">
        <v>2</v>
      </c>
      <c r="E59" s="193">
        <v>127</v>
      </c>
      <c r="F59" s="193"/>
      <c r="G59" s="193">
        <v>11.94500036648671</v>
      </c>
      <c r="H59" s="193"/>
      <c r="I59" s="193">
        <v>23.890000732973419</v>
      </c>
      <c r="J59" s="213">
        <v>1517.0150465438121</v>
      </c>
      <c r="K59" s="188">
        <v>125.42250384811047</v>
      </c>
      <c r="L59" s="197"/>
      <c r="M59" s="194">
        <v>43600</v>
      </c>
    </row>
    <row r="60" spans="1:13" x14ac:dyDescent="0.35">
      <c r="A60" s="195">
        <v>43601</v>
      </c>
      <c r="B60" s="196" t="s">
        <v>900</v>
      </c>
      <c r="C60" s="186"/>
      <c r="D60" s="186">
        <v>1</v>
      </c>
      <c r="E60" s="186">
        <v>126</v>
      </c>
      <c r="F60" s="186"/>
      <c r="G60" s="186">
        <v>11.94500036648671</v>
      </c>
      <c r="H60" s="186"/>
      <c r="I60" s="186">
        <v>11.94500036648671</v>
      </c>
      <c r="J60" s="206">
        <v>1505.0700461773254</v>
      </c>
      <c r="K60" s="202"/>
      <c r="L60" s="202"/>
      <c r="M60" s="204"/>
    </row>
    <row r="61" spans="1:13" x14ac:dyDescent="0.35">
      <c r="A61" s="195">
        <v>43602</v>
      </c>
      <c r="B61" s="196" t="s">
        <v>901</v>
      </c>
      <c r="C61" s="186"/>
      <c r="D61" s="186">
        <v>2</v>
      </c>
      <c r="E61" s="186">
        <v>124</v>
      </c>
      <c r="F61" s="186"/>
      <c r="G61" s="186">
        <v>11.94500036648671</v>
      </c>
      <c r="H61" s="186"/>
      <c r="I61" s="186">
        <v>23.890000732973419</v>
      </c>
      <c r="J61" s="206">
        <v>1481.1800454443519</v>
      </c>
      <c r="K61" s="202"/>
      <c r="L61" s="203"/>
      <c r="M61" s="204"/>
    </row>
    <row r="62" spans="1:13" x14ac:dyDescent="0.35">
      <c r="A62" s="184">
        <v>43603</v>
      </c>
      <c r="B62" s="185" t="s">
        <v>902</v>
      </c>
      <c r="C62" s="191"/>
      <c r="D62" s="186">
        <v>2</v>
      </c>
      <c r="E62" s="191">
        <v>122</v>
      </c>
      <c r="F62" s="191"/>
      <c r="G62" s="191">
        <v>11.945000366486708</v>
      </c>
      <c r="H62" s="191"/>
      <c r="I62" s="191">
        <v>23.890000732973416</v>
      </c>
      <c r="J62" s="187">
        <v>1457.2900447113784</v>
      </c>
      <c r="K62" s="171"/>
      <c r="L62" s="171"/>
      <c r="M62" s="171"/>
    </row>
    <row r="63" spans="1:13" x14ac:dyDescent="0.35">
      <c r="A63" s="184">
        <v>43607</v>
      </c>
      <c r="B63" s="185" t="s">
        <v>903</v>
      </c>
      <c r="C63" s="191"/>
      <c r="D63" s="186">
        <v>0</v>
      </c>
      <c r="E63" s="191">
        <v>122</v>
      </c>
      <c r="F63" s="191"/>
      <c r="G63" s="191">
        <v>11.945000366486708</v>
      </c>
      <c r="H63" s="191"/>
      <c r="I63" s="191">
        <v>0</v>
      </c>
      <c r="J63" s="187">
        <v>1457.2900447113784</v>
      </c>
      <c r="K63" s="171"/>
      <c r="L63" s="171"/>
      <c r="M63" s="171"/>
    </row>
    <row r="64" spans="1:13" x14ac:dyDescent="0.35">
      <c r="A64" s="195">
        <v>43607</v>
      </c>
      <c r="B64" s="185" t="s">
        <v>904</v>
      </c>
      <c r="C64" s="193"/>
      <c r="D64" s="186">
        <v>1</v>
      </c>
      <c r="E64" s="191">
        <v>121</v>
      </c>
      <c r="F64" s="191"/>
      <c r="G64" s="191">
        <v>11.945000366486708</v>
      </c>
      <c r="H64" s="191"/>
      <c r="I64" s="191">
        <v>11.945000366486708</v>
      </c>
      <c r="J64" s="187">
        <v>1445.3450443448917</v>
      </c>
      <c r="K64" s="188"/>
      <c r="L64" s="188"/>
      <c r="M64" s="194"/>
    </row>
    <row r="65" spans="1:13" x14ac:dyDescent="0.35">
      <c r="A65" s="195">
        <v>43616</v>
      </c>
      <c r="B65" s="196" t="s">
        <v>905</v>
      </c>
      <c r="C65" s="186"/>
      <c r="D65" s="186">
        <v>3</v>
      </c>
      <c r="E65" s="186">
        <v>118</v>
      </c>
      <c r="F65" s="186"/>
      <c r="G65" s="186">
        <v>11.945000366486708</v>
      </c>
      <c r="H65" s="186"/>
      <c r="I65" s="186">
        <v>35.835001099460122</v>
      </c>
      <c r="J65" s="206">
        <v>1409.5100432454315</v>
      </c>
      <c r="K65" s="202"/>
      <c r="L65" s="202"/>
      <c r="M65" s="204"/>
    </row>
    <row r="66" spans="1:13" x14ac:dyDescent="0.35">
      <c r="A66" s="192">
        <v>43616</v>
      </c>
      <c r="B66" s="212" t="s">
        <v>906</v>
      </c>
      <c r="C66" s="193"/>
      <c r="D66" s="193">
        <v>2</v>
      </c>
      <c r="E66" s="193">
        <v>116</v>
      </c>
      <c r="F66" s="193"/>
      <c r="G66" s="193">
        <v>11.945000366486708</v>
      </c>
      <c r="H66" s="193"/>
      <c r="I66" s="193">
        <v>23.890000732973416</v>
      </c>
      <c r="J66" s="213">
        <v>1385.620042512458</v>
      </c>
      <c r="K66" s="188">
        <v>131.39500403135381</v>
      </c>
      <c r="L66" s="188">
        <v>256.8175078794643</v>
      </c>
      <c r="M66" s="194">
        <v>43616</v>
      </c>
    </row>
    <row r="67" spans="1:13" x14ac:dyDescent="0.35">
      <c r="A67" s="184">
        <v>43617</v>
      </c>
      <c r="B67" s="185" t="s">
        <v>907</v>
      </c>
      <c r="C67" s="191"/>
      <c r="D67" s="186">
        <v>2</v>
      </c>
      <c r="E67" s="191">
        <v>114</v>
      </c>
      <c r="F67" s="191"/>
      <c r="G67" s="191">
        <v>11.945000366486706</v>
      </c>
      <c r="H67" s="191"/>
      <c r="I67" s="191">
        <v>23.890000732973412</v>
      </c>
      <c r="J67" s="187">
        <v>1361.7300417794845</v>
      </c>
      <c r="K67" s="171"/>
      <c r="L67" s="171"/>
      <c r="M67" s="171"/>
    </row>
    <row r="68" spans="1:13" x14ac:dyDescent="0.35">
      <c r="A68" s="198">
        <v>43620</v>
      </c>
      <c r="B68" s="185" t="s">
        <v>908</v>
      </c>
      <c r="C68" s="193"/>
      <c r="D68" s="186">
        <v>3</v>
      </c>
      <c r="E68" s="191">
        <v>111</v>
      </c>
      <c r="F68" s="191"/>
      <c r="G68" s="191">
        <v>11.945000366486706</v>
      </c>
      <c r="H68" s="191"/>
      <c r="I68" s="191">
        <v>35.835001099460115</v>
      </c>
      <c r="J68" s="187">
        <v>1325.8950406800243</v>
      </c>
      <c r="K68" s="188"/>
      <c r="L68" s="197"/>
      <c r="M68" s="194"/>
    </row>
    <row r="69" spans="1:13" x14ac:dyDescent="0.35">
      <c r="A69" s="199">
        <v>43621</v>
      </c>
      <c r="B69" s="185" t="s">
        <v>909</v>
      </c>
      <c r="C69" s="191"/>
      <c r="D69" s="186">
        <v>5</v>
      </c>
      <c r="E69" s="191">
        <v>106</v>
      </c>
      <c r="F69" s="191"/>
      <c r="G69" s="191">
        <v>11.945000366486706</v>
      </c>
      <c r="H69" s="191"/>
      <c r="I69" s="191">
        <v>59.725001832433534</v>
      </c>
      <c r="J69" s="187">
        <v>1266.1700388475908</v>
      </c>
      <c r="K69" s="171"/>
      <c r="L69" s="171"/>
      <c r="M69" s="171"/>
    </row>
    <row r="70" spans="1:13" x14ac:dyDescent="0.35">
      <c r="A70" s="199">
        <v>43621</v>
      </c>
      <c r="B70" s="185" t="s">
        <v>910</v>
      </c>
      <c r="C70" s="191"/>
      <c r="D70" s="186">
        <v>2</v>
      </c>
      <c r="E70" s="191">
        <v>104</v>
      </c>
      <c r="F70" s="191"/>
      <c r="G70" s="191">
        <v>11.945000366486706</v>
      </c>
      <c r="H70" s="191"/>
      <c r="I70" s="191">
        <v>23.890000732973412</v>
      </c>
      <c r="J70" s="187">
        <v>1242.2800381146174</v>
      </c>
      <c r="K70" s="171"/>
      <c r="L70" s="171"/>
      <c r="M70" s="171"/>
    </row>
    <row r="71" spans="1:13" x14ac:dyDescent="0.35">
      <c r="A71" s="198">
        <v>43631</v>
      </c>
      <c r="B71" s="196" t="s">
        <v>911</v>
      </c>
      <c r="C71" s="186"/>
      <c r="D71" s="186">
        <v>3</v>
      </c>
      <c r="E71" s="186">
        <v>101</v>
      </c>
      <c r="F71" s="186"/>
      <c r="G71" s="186">
        <v>11.945000366486706</v>
      </c>
      <c r="H71" s="186"/>
      <c r="I71" s="186">
        <v>35.835001099460115</v>
      </c>
      <c r="J71" s="206">
        <v>1206.4450370151571</v>
      </c>
      <c r="K71" s="202"/>
      <c r="L71" s="203"/>
      <c r="M71" s="204"/>
    </row>
    <row r="72" spans="1:13" x14ac:dyDescent="0.35">
      <c r="A72" s="200">
        <v>43631</v>
      </c>
      <c r="B72" s="212" t="s">
        <v>912</v>
      </c>
      <c r="C72" s="193"/>
      <c r="D72" s="193">
        <v>1</v>
      </c>
      <c r="E72" s="193">
        <v>100</v>
      </c>
      <c r="F72" s="193"/>
      <c r="G72" s="193">
        <v>11.945000366486704</v>
      </c>
      <c r="H72" s="193"/>
      <c r="I72" s="193">
        <v>11.945000366486704</v>
      </c>
      <c r="J72" s="213">
        <v>1194.5000366486704</v>
      </c>
      <c r="K72" s="188">
        <v>191.12000586378733</v>
      </c>
      <c r="L72" s="197"/>
      <c r="M72" s="194">
        <v>43631</v>
      </c>
    </row>
    <row r="73" spans="1:13" x14ac:dyDescent="0.35">
      <c r="A73" s="195">
        <v>43635</v>
      </c>
      <c r="B73" s="196" t="s">
        <v>913</v>
      </c>
      <c r="C73" s="186"/>
      <c r="D73" s="186">
        <v>0</v>
      </c>
      <c r="E73" s="186">
        <v>100</v>
      </c>
      <c r="F73" s="186"/>
      <c r="G73" s="186">
        <v>11.945000366486704</v>
      </c>
      <c r="H73" s="186"/>
      <c r="I73" s="186">
        <v>0</v>
      </c>
      <c r="J73" s="206">
        <v>1194.5000366486704</v>
      </c>
      <c r="K73" s="202"/>
      <c r="L73" s="202"/>
      <c r="M73" s="204"/>
    </row>
    <row r="74" spans="1:13" x14ac:dyDescent="0.35">
      <c r="A74" s="184">
        <v>43635</v>
      </c>
      <c r="B74" s="185" t="s">
        <v>914</v>
      </c>
      <c r="C74" s="191"/>
      <c r="D74" s="186">
        <v>3</v>
      </c>
      <c r="E74" s="191">
        <v>97</v>
      </c>
      <c r="F74" s="191"/>
      <c r="G74" s="191">
        <v>11.945000366486704</v>
      </c>
      <c r="H74" s="191"/>
      <c r="I74" s="191">
        <v>35.835001099460115</v>
      </c>
      <c r="J74" s="187">
        <v>1158.6650355492102</v>
      </c>
      <c r="K74" s="171"/>
      <c r="L74" s="171"/>
      <c r="M74" s="171"/>
    </row>
    <row r="75" spans="1:13" x14ac:dyDescent="0.35">
      <c r="A75" s="184">
        <v>43642</v>
      </c>
      <c r="B75" s="185" t="s">
        <v>915</v>
      </c>
      <c r="C75" s="191"/>
      <c r="D75" s="186">
        <v>1</v>
      </c>
      <c r="E75" s="191">
        <v>96</v>
      </c>
      <c r="F75" s="191"/>
      <c r="G75" s="191">
        <v>11.945000366486703</v>
      </c>
      <c r="H75" s="191"/>
      <c r="I75" s="191">
        <v>11.945000366486703</v>
      </c>
      <c r="J75" s="187">
        <v>1146.7200351827234</v>
      </c>
      <c r="K75" s="171"/>
      <c r="L75" s="171"/>
      <c r="M75" s="171"/>
    </row>
    <row r="76" spans="1:13" x14ac:dyDescent="0.35">
      <c r="A76" s="184">
        <v>43645</v>
      </c>
      <c r="B76" s="185" t="s">
        <v>916</v>
      </c>
      <c r="C76" s="191"/>
      <c r="D76" s="186">
        <v>2</v>
      </c>
      <c r="E76" s="191">
        <v>94</v>
      </c>
      <c r="F76" s="191"/>
      <c r="G76" s="191">
        <v>11.945000366486703</v>
      </c>
      <c r="H76" s="191"/>
      <c r="I76" s="191">
        <v>23.890000732973405</v>
      </c>
      <c r="J76" s="187">
        <v>1122.83003444975</v>
      </c>
      <c r="K76" s="171"/>
      <c r="L76" s="171"/>
      <c r="M76" s="171"/>
    </row>
    <row r="77" spans="1:13" x14ac:dyDescent="0.35">
      <c r="A77" s="192">
        <v>43645</v>
      </c>
      <c r="B77" s="212" t="s">
        <v>917</v>
      </c>
      <c r="C77" s="193"/>
      <c r="D77" s="193">
        <v>2</v>
      </c>
      <c r="E77" s="193">
        <v>92</v>
      </c>
      <c r="F77" s="193"/>
      <c r="G77" s="193">
        <v>11.945000366486703</v>
      </c>
      <c r="H77" s="193"/>
      <c r="I77" s="193">
        <v>23.890000732973405</v>
      </c>
      <c r="J77" s="213">
        <v>1098.9400337167765</v>
      </c>
      <c r="K77" s="188">
        <v>95.560002931893635</v>
      </c>
      <c r="L77" s="188">
        <v>286.68000879568098</v>
      </c>
      <c r="M77" s="194">
        <v>43646</v>
      </c>
    </row>
    <row r="78" spans="1:13" x14ac:dyDescent="0.35">
      <c r="A78" s="184">
        <v>43647</v>
      </c>
      <c r="B78" s="185" t="s">
        <v>918</v>
      </c>
      <c r="C78" s="191"/>
      <c r="D78" s="186">
        <v>2</v>
      </c>
      <c r="E78" s="191">
        <v>90</v>
      </c>
      <c r="F78" s="191"/>
      <c r="G78" s="191">
        <v>11.945000366486701</v>
      </c>
      <c r="H78" s="191"/>
      <c r="I78" s="191">
        <v>23.890000732973402</v>
      </c>
      <c r="J78" s="187">
        <v>1075.050032983803</v>
      </c>
      <c r="K78" s="171"/>
      <c r="L78" s="171"/>
      <c r="M78" s="171"/>
    </row>
    <row r="79" spans="1:13" x14ac:dyDescent="0.35">
      <c r="A79" s="195">
        <v>43648</v>
      </c>
      <c r="B79" s="196" t="s">
        <v>919</v>
      </c>
      <c r="C79" s="186"/>
      <c r="D79" s="186">
        <v>6</v>
      </c>
      <c r="E79" s="186">
        <v>84</v>
      </c>
      <c r="F79" s="186"/>
      <c r="G79" s="186">
        <v>11.945000366486701</v>
      </c>
      <c r="H79" s="186"/>
      <c r="I79" s="186">
        <v>71.670002198920201</v>
      </c>
      <c r="J79" s="206">
        <v>1003.3800307848828</v>
      </c>
      <c r="K79" s="202"/>
      <c r="L79" s="202"/>
      <c r="M79" s="204"/>
    </row>
    <row r="80" spans="1:13" x14ac:dyDescent="0.35">
      <c r="A80" s="184">
        <v>43648</v>
      </c>
      <c r="B80" s="185" t="s">
        <v>920</v>
      </c>
      <c r="C80" s="191"/>
      <c r="D80" s="191">
        <v>1</v>
      </c>
      <c r="E80" s="191">
        <v>83</v>
      </c>
      <c r="F80" s="191"/>
      <c r="G80" s="191">
        <v>11.945000366486701</v>
      </c>
      <c r="H80" s="191"/>
      <c r="I80" s="191">
        <v>11.945000366486701</v>
      </c>
      <c r="J80" s="187">
        <v>991.43503041839608</v>
      </c>
      <c r="K80" s="171"/>
      <c r="L80" s="171"/>
      <c r="M80" s="171"/>
    </row>
    <row r="81" spans="1:13" x14ac:dyDescent="0.35">
      <c r="A81" s="184">
        <v>43648</v>
      </c>
      <c r="B81" s="185" t="s">
        <v>921</v>
      </c>
      <c r="C81" s="191"/>
      <c r="D81" s="191">
        <v>1</v>
      </c>
      <c r="E81" s="191">
        <v>82</v>
      </c>
      <c r="F81" s="191"/>
      <c r="G81" s="191">
        <v>11.945000366486699</v>
      </c>
      <c r="H81" s="191"/>
      <c r="I81" s="191">
        <v>11.945000366486699</v>
      </c>
      <c r="J81" s="187">
        <v>979.49003005190934</v>
      </c>
      <c r="K81" s="171"/>
      <c r="L81" s="171"/>
      <c r="M81" s="171"/>
    </row>
    <row r="82" spans="1:13" x14ac:dyDescent="0.35">
      <c r="A82" s="184">
        <v>43649</v>
      </c>
      <c r="B82" s="185" t="s">
        <v>922</v>
      </c>
      <c r="C82" s="191"/>
      <c r="D82" s="191">
        <v>3</v>
      </c>
      <c r="E82" s="191">
        <v>79</v>
      </c>
      <c r="F82" s="191"/>
      <c r="G82" s="191">
        <v>11.945000366486699</v>
      </c>
      <c r="H82" s="191"/>
      <c r="I82" s="191">
        <v>35.835001099460101</v>
      </c>
      <c r="J82" s="187">
        <v>943.65502895244924</v>
      </c>
      <c r="K82" s="171"/>
      <c r="L82" s="171"/>
      <c r="M82" s="171"/>
    </row>
    <row r="83" spans="1:13" x14ac:dyDescent="0.35">
      <c r="A83" s="184">
        <v>43650</v>
      </c>
      <c r="B83" s="185" t="s">
        <v>923</v>
      </c>
      <c r="C83" s="191"/>
      <c r="D83" s="191">
        <v>0</v>
      </c>
      <c r="E83" s="191">
        <v>79</v>
      </c>
      <c r="F83" s="191"/>
      <c r="G83" s="191">
        <v>11.945000366486699</v>
      </c>
      <c r="H83" s="191"/>
      <c r="I83" s="191">
        <v>0</v>
      </c>
      <c r="J83" s="187">
        <v>943.65502895244924</v>
      </c>
      <c r="K83" s="171"/>
      <c r="L83" s="171"/>
      <c r="M83" s="171"/>
    </row>
    <row r="84" spans="1:13" x14ac:dyDescent="0.35">
      <c r="A84" s="184">
        <v>43650</v>
      </c>
      <c r="B84" s="185" t="s">
        <v>924</v>
      </c>
      <c r="C84" s="191"/>
      <c r="D84" s="191">
        <v>1</v>
      </c>
      <c r="E84" s="191">
        <v>78</v>
      </c>
      <c r="F84" s="191"/>
      <c r="G84" s="191">
        <v>11.945000366486699</v>
      </c>
      <c r="H84" s="191"/>
      <c r="I84" s="191">
        <v>11.945000366486699</v>
      </c>
      <c r="J84" s="187">
        <v>931.7100285859625</v>
      </c>
      <c r="K84" s="171"/>
      <c r="L84" s="171"/>
      <c r="M84" s="171"/>
    </row>
    <row r="85" spans="1:13" x14ac:dyDescent="0.35">
      <c r="A85" s="184">
        <v>43655</v>
      </c>
      <c r="B85" s="185" t="s">
        <v>925</v>
      </c>
      <c r="C85" s="191"/>
      <c r="D85" s="191">
        <v>1</v>
      </c>
      <c r="E85" s="191">
        <v>77</v>
      </c>
      <c r="F85" s="191"/>
      <c r="G85" s="191">
        <v>11.945000366486699</v>
      </c>
      <c r="H85" s="191"/>
      <c r="I85" s="191">
        <v>11.945000366486699</v>
      </c>
      <c r="J85" s="187">
        <v>919.76502821947577</v>
      </c>
      <c r="K85" s="171"/>
      <c r="L85" s="171"/>
      <c r="M85" s="171"/>
    </row>
    <row r="86" spans="1:13" x14ac:dyDescent="0.35">
      <c r="A86" s="192">
        <v>43657</v>
      </c>
      <c r="B86" s="212" t="s">
        <v>926</v>
      </c>
      <c r="C86" s="193"/>
      <c r="D86" s="193">
        <v>4</v>
      </c>
      <c r="E86" s="193">
        <v>73</v>
      </c>
      <c r="F86" s="193"/>
      <c r="G86" s="193">
        <v>11.945000366486699</v>
      </c>
      <c r="H86" s="193"/>
      <c r="I86" s="193">
        <v>47.780001465946796</v>
      </c>
      <c r="J86" s="213">
        <v>871.98502675352893</v>
      </c>
      <c r="K86" s="188">
        <v>226.95500696324729</v>
      </c>
      <c r="L86" s="197"/>
      <c r="M86" s="194">
        <v>43661</v>
      </c>
    </row>
    <row r="87" spans="1:13" x14ac:dyDescent="0.35">
      <c r="A87" s="195">
        <v>43666</v>
      </c>
      <c r="B87" s="196" t="s">
        <v>927</v>
      </c>
      <c r="C87" s="186"/>
      <c r="D87" s="186">
        <v>1</v>
      </c>
      <c r="E87" s="186">
        <v>72</v>
      </c>
      <c r="F87" s="186"/>
      <c r="G87" s="186">
        <v>11.945000366486697</v>
      </c>
      <c r="H87" s="186"/>
      <c r="I87" s="186">
        <v>11.945000366486697</v>
      </c>
      <c r="J87" s="206">
        <v>860.04002638704219</v>
      </c>
      <c r="K87" s="202"/>
      <c r="L87" s="202"/>
      <c r="M87" s="204"/>
    </row>
    <row r="88" spans="1:13" x14ac:dyDescent="0.35">
      <c r="A88" s="184">
        <v>43666</v>
      </c>
      <c r="B88" s="185" t="s">
        <v>928</v>
      </c>
      <c r="C88" s="191"/>
      <c r="D88" s="191">
        <v>3</v>
      </c>
      <c r="E88" s="191">
        <v>69</v>
      </c>
      <c r="F88" s="191"/>
      <c r="G88" s="191">
        <v>11.945000366486697</v>
      </c>
      <c r="H88" s="191"/>
      <c r="I88" s="191">
        <v>35.835001099460094</v>
      </c>
      <c r="J88" s="187">
        <v>824.20502528758209</v>
      </c>
      <c r="K88" s="171"/>
      <c r="L88" s="171"/>
      <c r="M88" s="171"/>
    </row>
    <row r="89" spans="1:13" x14ac:dyDescent="0.35">
      <c r="A89" s="192">
        <v>43670</v>
      </c>
      <c r="B89" s="212" t="s">
        <v>929</v>
      </c>
      <c r="C89" s="193"/>
      <c r="D89" s="193">
        <v>1</v>
      </c>
      <c r="E89" s="193">
        <v>68</v>
      </c>
      <c r="F89" s="193"/>
      <c r="G89" s="193">
        <v>11.945000366486697</v>
      </c>
      <c r="H89" s="193"/>
      <c r="I89" s="193">
        <v>11.945000366486697</v>
      </c>
      <c r="J89" s="213">
        <v>812.26002492109535</v>
      </c>
      <c r="K89" s="188">
        <v>59.725001832433485</v>
      </c>
      <c r="L89" s="188">
        <v>286.68000879568075</v>
      </c>
      <c r="M89" s="194">
        <v>43677</v>
      </c>
    </row>
    <row r="90" spans="1:13" x14ac:dyDescent="0.35">
      <c r="A90" s="184">
        <v>43679</v>
      </c>
      <c r="B90" s="185" t="s">
        <v>930</v>
      </c>
      <c r="C90" s="191"/>
      <c r="D90" s="191">
        <v>0</v>
      </c>
      <c r="E90" s="191">
        <v>68</v>
      </c>
      <c r="F90" s="191"/>
      <c r="G90" s="191">
        <v>11.945000366486695</v>
      </c>
      <c r="H90" s="191"/>
      <c r="I90" s="191">
        <v>0</v>
      </c>
      <c r="J90" s="187">
        <v>812.26002492109535</v>
      </c>
      <c r="K90" s="171"/>
      <c r="L90" s="171"/>
      <c r="M90" s="171"/>
    </row>
    <row r="91" spans="1:13" x14ac:dyDescent="0.35">
      <c r="A91" s="195">
        <v>43679</v>
      </c>
      <c r="B91" s="185" t="s">
        <v>931</v>
      </c>
      <c r="C91" s="193"/>
      <c r="D91" s="186">
        <v>2</v>
      </c>
      <c r="E91" s="191">
        <v>66</v>
      </c>
      <c r="F91" s="191"/>
      <c r="G91" s="191">
        <v>11.945000366486695</v>
      </c>
      <c r="H91" s="191"/>
      <c r="I91" s="191">
        <v>23.890000732973391</v>
      </c>
      <c r="J91" s="187">
        <v>788.37002418812199</v>
      </c>
      <c r="K91" s="188"/>
      <c r="L91" s="197"/>
      <c r="M91" s="194"/>
    </row>
    <row r="92" spans="1:13" x14ac:dyDescent="0.35">
      <c r="A92" s="184">
        <v>43679</v>
      </c>
      <c r="B92" s="185" t="s">
        <v>932</v>
      </c>
      <c r="C92" s="191"/>
      <c r="D92" s="191">
        <v>2</v>
      </c>
      <c r="E92" s="191">
        <v>64</v>
      </c>
      <c r="F92" s="191"/>
      <c r="G92" s="191">
        <v>11.945000366486697</v>
      </c>
      <c r="H92" s="191"/>
      <c r="I92" s="191">
        <v>23.890000732973395</v>
      </c>
      <c r="J92" s="187">
        <v>764.48002345514863</v>
      </c>
      <c r="K92" s="171"/>
      <c r="L92" s="171"/>
      <c r="M92" s="171"/>
    </row>
    <row r="93" spans="1:13" x14ac:dyDescent="0.35">
      <c r="A93" s="192">
        <v>43680</v>
      </c>
      <c r="B93" s="212" t="s">
        <v>933</v>
      </c>
      <c r="C93" s="193"/>
      <c r="D93" s="193">
        <v>12</v>
      </c>
      <c r="E93" s="193">
        <v>52</v>
      </c>
      <c r="F93" s="193"/>
      <c r="G93" s="193">
        <v>11.945000366486697</v>
      </c>
      <c r="H93" s="193"/>
      <c r="I93" s="193">
        <v>143.34000439784037</v>
      </c>
      <c r="J93" s="213">
        <v>621.14001905730822</v>
      </c>
      <c r="K93" s="188">
        <v>191.12000586378716</v>
      </c>
      <c r="L93" s="197"/>
      <c r="M93" s="194">
        <v>43692</v>
      </c>
    </row>
    <row r="94" spans="1:13" x14ac:dyDescent="0.35">
      <c r="A94" s="195">
        <v>43696</v>
      </c>
      <c r="B94" s="185" t="s">
        <v>934</v>
      </c>
      <c r="C94" s="193"/>
      <c r="D94" s="201">
        <v>2</v>
      </c>
      <c r="E94" s="191">
        <v>50</v>
      </c>
      <c r="F94" s="191"/>
      <c r="G94" s="191">
        <v>11.945000366486697</v>
      </c>
      <c r="H94" s="191"/>
      <c r="I94" s="191">
        <v>23.890000732973395</v>
      </c>
      <c r="J94" s="187">
        <v>597.25001832433486</v>
      </c>
      <c r="K94" s="188"/>
      <c r="L94" s="188"/>
      <c r="M94" s="194"/>
    </row>
    <row r="95" spans="1:13" x14ac:dyDescent="0.35">
      <c r="A95" s="184">
        <v>43696</v>
      </c>
      <c r="B95" s="185" t="s">
        <v>935</v>
      </c>
      <c r="C95" s="191"/>
      <c r="D95" s="191">
        <v>2</v>
      </c>
      <c r="E95" s="191">
        <v>48</v>
      </c>
      <c r="F95" s="191"/>
      <c r="G95" s="191">
        <v>11.945000366486697</v>
      </c>
      <c r="H95" s="191"/>
      <c r="I95" s="191">
        <v>23.890000732973395</v>
      </c>
      <c r="J95" s="187">
        <v>573.3600175913615</v>
      </c>
      <c r="K95" s="171"/>
      <c r="L95" s="171"/>
      <c r="M95" s="171"/>
    </row>
    <row r="96" spans="1:13" x14ac:dyDescent="0.35">
      <c r="A96" s="184">
        <v>43704</v>
      </c>
      <c r="B96" s="185" t="s">
        <v>936</v>
      </c>
      <c r="C96" s="191"/>
      <c r="D96" s="191">
        <v>2</v>
      </c>
      <c r="E96" s="191">
        <v>46</v>
      </c>
      <c r="F96" s="191"/>
      <c r="G96" s="191">
        <v>11.945000366486697</v>
      </c>
      <c r="H96" s="191"/>
      <c r="I96" s="191">
        <v>23.890000732973395</v>
      </c>
      <c r="J96" s="187">
        <v>549.47001685838814</v>
      </c>
      <c r="K96" s="171"/>
      <c r="L96" s="171"/>
      <c r="M96" s="171"/>
    </row>
    <row r="97" spans="1:13" x14ac:dyDescent="0.35">
      <c r="A97" s="215">
        <v>43704</v>
      </c>
      <c r="B97" s="196" t="s">
        <v>937</v>
      </c>
      <c r="C97" s="201"/>
      <c r="D97" s="201">
        <v>1</v>
      </c>
      <c r="E97" s="186">
        <v>45</v>
      </c>
      <c r="F97" s="186"/>
      <c r="G97" s="186">
        <v>11.945000366486699</v>
      </c>
      <c r="H97" s="186"/>
      <c r="I97" s="186">
        <v>11.945000366486699</v>
      </c>
      <c r="J97" s="206">
        <v>537.5250164919014</v>
      </c>
      <c r="K97" s="216"/>
      <c r="L97" s="216"/>
      <c r="M97" s="217"/>
    </row>
    <row r="98" spans="1:13" x14ac:dyDescent="0.35">
      <c r="A98" s="184">
        <v>43705</v>
      </c>
      <c r="B98" s="185" t="s">
        <v>938</v>
      </c>
      <c r="C98" s="191"/>
      <c r="D98" s="191">
        <v>1</v>
      </c>
      <c r="E98" s="191">
        <v>44</v>
      </c>
      <c r="F98" s="191"/>
      <c r="G98" s="191">
        <v>11.945000366486697</v>
      </c>
      <c r="H98" s="191"/>
      <c r="I98" s="191">
        <v>11.945000366486697</v>
      </c>
      <c r="J98" s="187">
        <v>525.58001612541466</v>
      </c>
      <c r="K98" s="171"/>
      <c r="L98" s="171"/>
      <c r="M98" s="171"/>
    </row>
    <row r="99" spans="1:13" x14ac:dyDescent="0.35">
      <c r="A99" s="195">
        <v>43707</v>
      </c>
      <c r="B99" s="196" t="s">
        <v>939</v>
      </c>
      <c r="C99" s="186"/>
      <c r="D99" s="186">
        <v>3</v>
      </c>
      <c r="E99" s="186">
        <v>41</v>
      </c>
      <c r="F99" s="186"/>
      <c r="G99" s="186">
        <v>11.945000366486697</v>
      </c>
      <c r="H99" s="186"/>
      <c r="I99" s="186">
        <v>35.835001099460094</v>
      </c>
      <c r="J99" s="206">
        <v>489.74501502595456</v>
      </c>
      <c r="K99" s="202"/>
      <c r="L99" s="203"/>
      <c r="M99" s="204"/>
    </row>
    <row r="100" spans="1:13" x14ac:dyDescent="0.35">
      <c r="A100" s="195">
        <v>43707</v>
      </c>
      <c r="B100" s="185" t="s">
        <v>940</v>
      </c>
      <c r="C100" s="186"/>
      <c r="D100" s="186">
        <v>6</v>
      </c>
      <c r="E100" s="191">
        <v>35</v>
      </c>
      <c r="F100" s="191"/>
      <c r="G100" s="191">
        <v>11.945000366486697</v>
      </c>
      <c r="H100" s="191"/>
      <c r="I100" s="191">
        <v>71.670002198920187</v>
      </c>
      <c r="J100" s="187">
        <v>418.07501282703436</v>
      </c>
      <c r="K100" s="202"/>
      <c r="L100" s="203"/>
      <c r="M100" s="204"/>
    </row>
    <row r="101" spans="1:13" x14ac:dyDescent="0.35">
      <c r="A101" s="192">
        <v>43707</v>
      </c>
      <c r="B101" s="212" t="s">
        <v>941</v>
      </c>
      <c r="C101" s="193"/>
      <c r="D101" s="193">
        <v>1</v>
      </c>
      <c r="E101" s="193">
        <v>34</v>
      </c>
      <c r="F101" s="193"/>
      <c r="G101" s="193">
        <v>11.945000366486695</v>
      </c>
      <c r="H101" s="193"/>
      <c r="I101" s="193">
        <v>11.945000366486695</v>
      </c>
      <c r="J101" s="213">
        <v>406.13001246054768</v>
      </c>
      <c r="K101" s="188">
        <v>215.01000659676055</v>
      </c>
      <c r="L101" s="188">
        <v>406.13001246054773</v>
      </c>
      <c r="M101" s="194">
        <v>43708</v>
      </c>
    </row>
    <row r="102" spans="1:13" x14ac:dyDescent="0.35">
      <c r="A102" s="184">
        <v>43710</v>
      </c>
      <c r="B102" s="185" t="s">
        <v>942</v>
      </c>
      <c r="C102" s="191"/>
      <c r="D102" s="191">
        <v>1</v>
      </c>
      <c r="E102" s="191">
        <v>33</v>
      </c>
      <c r="F102" s="191"/>
      <c r="G102" s="191">
        <v>11.945000366486695</v>
      </c>
      <c r="H102" s="191"/>
      <c r="I102" s="191">
        <v>11.945000366486695</v>
      </c>
      <c r="J102" s="187">
        <v>394.18501209406099</v>
      </c>
      <c r="K102" s="171"/>
      <c r="L102" s="171"/>
      <c r="M102" s="171"/>
    </row>
    <row r="103" spans="1:13" x14ac:dyDescent="0.35">
      <c r="A103" s="184">
        <v>43710</v>
      </c>
      <c r="B103" s="185" t="s">
        <v>943</v>
      </c>
      <c r="C103" s="191"/>
      <c r="D103" s="191">
        <v>1</v>
      </c>
      <c r="E103" s="191">
        <v>32</v>
      </c>
      <c r="F103" s="191"/>
      <c r="G103" s="191">
        <v>11.945000366486697</v>
      </c>
      <c r="H103" s="191"/>
      <c r="I103" s="191">
        <v>11.945000366486697</v>
      </c>
      <c r="J103" s="187">
        <v>382.24001172757431</v>
      </c>
      <c r="K103" s="171"/>
      <c r="L103" s="171"/>
      <c r="M103" s="171"/>
    </row>
    <row r="104" spans="1:13" x14ac:dyDescent="0.35">
      <c r="A104" s="184">
        <v>43713</v>
      </c>
      <c r="B104" s="185" t="s">
        <v>944</v>
      </c>
      <c r="C104" s="191"/>
      <c r="D104" s="191">
        <v>2</v>
      </c>
      <c r="E104" s="191">
        <v>30</v>
      </c>
      <c r="F104" s="191"/>
      <c r="G104" s="191">
        <v>11.945000366486697</v>
      </c>
      <c r="H104" s="191"/>
      <c r="I104" s="191">
        <v>23.890000732973395</v>
      </c>
      <c r="J104" s="187">
        <v>358.35001099460089</v>
      </c>
      <c r="K104" s="171"/>
      <c r="L104" s="171"/>
      <c r="M104" s="171"/>
    </row>
    <row r="105" spans="1:13" x14ac:dyDescent="0.35">
      <c r="A105" s="195">
        <v>43714</v>
      </c>
      <c r="B105" s="185" t="s">
        <v>945</v>
      </c>
      <c r="C105" s="186">
        <v>184</v>
      </c>
      <c r="D105" s="186"/>
      <c r="E105" s="191">
        <v>214</v>
      </c>
      <c r="F105" s="191">
        <v>11.847130434782608</v>
      </c>
      <c r="G105" s="191"/>
      <c r="H105" s="191">
        <v>2179.8719999999998</v>
      </c>
      <c r="I105" s="191"/>
      <c r="J105" s="187">
        <v>2538.2220109946006</v>
      </c>
      <c r="K105" s="202"/>
      <c r="L105" s="202"/>
      <c r="M105" s="204"/>
    </row>
    <row r="106" spans="1:13" x14ac:dyDescent="0.35">
      <c r="A106" s="184">
        <v>43718</v>
      </c>
      <c r="B106" s="185" t="s">
        <v>946</v>
      </c>
      <c r="C106" s="191"/>
      <c r="D106" s="191">
        <v>3</v>
      </c>
      <c r="E106" s="191">
        <v>211</v>
      </c>
      <c r="F106" s="191"/>
      <c r="G106" s="191">
        <v>11.860850518666359</v>
      </c>
      <c r="H106" s="191"/>
      <c r="I106" s="191">
        <v>35.582551555999075</v>
      </c>
      <c r="J106" s="187">
        <v>2502.6394594386015</v>
      </c>
      <c r="K106" s="171"/>
      <c r="L106" s="171"/>
      <c r="M106" s="171"/>
    </row>
    <row r="107" spans="1:13" x14ac:dyDescent="0.35">
      <c r="A107" s="195">
        <v>43718</v>
      </c>
      <c r="B107" s="185" t="s">
        <v>947</v>
      </c>
      <c r="C107" s="186"/>
      <c r="D107" s="186">
        <v>1</v>
      </c>
      <c r="E107" s="191">
        <v>210</v>
      </c>
      <c r="F107" s="191"/>
      <c r="G107" s="191">
        <v>11.860850518666359</v>
      </c>
      <c r="H107" s="191"/>
      <c r="I107" s="191">
        <v>11.860850518666359</v>
      </c>
      <c r="J107" s="187">
        <v>2490.7786089199353</v>
      </c>
      <c r="K107" s="202"/>
      <c r="L107" s="203"/>
      <c r="M107" s="204"/>
    </row>
    <row r="108" spans="1:13" x14ac:dyDescent="0.35">
      <c r="A108" s="192">
        <v>43722</v>
      </c>
      <c r="B108" s="212" t="s">
        <v>948</v>
      </c>
      <c r="C108" s="193"/>
      <c r="D108" s="193">
        <v>2</v>
      </c>
      <c r="E108" s="193">
        <v>208</v>
      </c>
      <c r="F108" s="193"/>
      <c r="G108" s="193">
        <v>11.860850518666359</v>
      </c>
      <c r="H108" s="193"/>
      <c r="I108" s="193">
        <v>23.721701037332718</v>
      </c>
      <c r="J108" s="213">
        <v>2467.0569078826024</v>
      </c>
      <c r="K108" s="188">
        <v>118.94510457794493</v>
      </c>
      <c r="L108" s="197"/>
      <c r="M108" s="194">
        <v>43723</v>
      </c>
    </row>
    <row r="109" spans="1:13" x14ac:dyDescent="0.35">
      <c r="A109" s="184">
        <v>43725</v>
      </c>
      <c r="B109" s="185" t="s">
        <v>949</v>
      </c>
      <c r="C109" s="186"/>
      <c r="D109" s="186">
        <v>4</v>
      </c>
      <c r="E109" s="191">
        <v>204</v>
      </c>
      <c r="F109" s="191"/>
      <c r="G109" s="191">
        <v>11.860850518666357</v>
      </c>
      <c r="H109" s="191"/>
      <c r="I109" s="191">
        <v>47.443402074665428</v>
      </c>
      <c r="J109" s="187">
        <v>2419.6135058079371</v>
      </c>
      <c r="K109" s="171"/>
      <c r="L109" s="171"/>
      <c r="M109" s="171"/>
    </row>
    <row r="110" spans="1:13" x14ac:dyDescent="0.35">
      <c r="A110" s="184">
        <v>43732</v>
      </c>
      <c r="B110" s="185" t="s">
        <v>950</v>
      </c>
      <c r="C110" s="186"/>
      <c r="D110" s="186">
        <v>3</v>
      </c>
      <c r="E110" s="191">
        <v>201</v>
      </c>
      <c r="F110" s="191"/>
      <c r="G110" s="191">
        <v>11.860850518666359</v>
      </c>
      <c r="H110" s="191"/>
      <c r="I110" s="191">
        <v>35.582551555999075</v>
      </c>
      <c r="J110" s="187">
        <v>2384.0309542519381</v>
      </c>
      <c r="K110" s="171"/>
      <c r="L110" s="171"/>
      <c r="M110" s="171"/>
    </row>
    <row r="111" spans="1:13" x14ac:dyDescent="0.35">
      <c r="A111" s="184">
        <v>43733</v>
      </c>
      <c r="B111" s="185" t="s">
        <v>951</v>
      </c>
      <c r="C111" s="186"/>
      <c r="D111" s="186">
        <v>1</v>
      </c>
      <c r="E111" s="191">
        <v>200</v>
      </c>
      <c r="F111" s="191"/>
      <c r="G111" s="191">
        <v>11.860850518666359</v>
      </c>
      <c r="H111" s="191"/>
      <c r="I111" s="191">
        <v>11.860850518666359</v>
      </c>
      <c r="J111" s="187">
        <v>2372.1701037332718</v>
      </c>
      <c r="K111" s="171"/>
      <c r="L111" s="171"/>
      <c r="M111" s="171"/>
    </row>
    <row r="112" spans="1:13" x14ac:dyDescent="0.35">
      <c r="A112" s="192">
        <v>43734</v>
      </c>
      <c r="B112" s="212" t="s">
        <v>952</v>
      </c>
      <c r="C112" s="193"/>
      <c r="D112" s="193">
        <v>1</v>
      </c>
      <c r="E112" s="193">
        <v>199</v>
      </c>
      <c r="F112" s="193"/>
      <c r="G112" s="193">
        <v>11.860850518666359</v>
      </c>
      <c r="H112" s="193"/>
      <c r="I112" s="193">
        <v>11.860850518666359</v>
      </c>
      <c r="J112" s="213">
        <v>2360.3092532146056</v>
      </c>
      <c r="K112" s="188">
        <v>106.74765466799721</v>
      </c>
      <c r="L112" s="188">
        <v>225.69275924594214</v>
      </c>
      <c r="M112" s="194">
        <v>43738</v>
      </c>
    </row>
    <row r="113" spans="1:13" x14ac:dyDescent="0.35">
      <c r="A113" s="195">
        <v>43741</v>
      </c>
      <c r="B113" s="185" t="s">
        <v>953</v>
      </c>
      <c r="C113" s="193"/>
      <c r="D113" s="186">
        <v>2</v>
      </c>
      <c r="E113" s="191">
        <v>197</v>
      </c>
      <c r="F113" s="191"/>
      <c r="G113" s="191">
        <v>11.860850518666361</v>
      </c>
      <c r="H113" s="191"/>
      <c r="I113" s="191">
        <v>23.721701037332721</v>
      </c>
      <c r="J113" s="187">
        <v>2336.5875521772728</v>
      </c>
      <c r="K113" s="188"/>
      <c r="L113" s="188"/>
      <c r="M113" s="194"/>
    </row>
    <row r="114" spans="1:13" x14ac:dyDescent="0.35">
      <c r="A114" s="184">
        <v>43741</v>
      </c>
      <c r="B114" s="185" t="s">
        <v>954</v>
      </c>
      <c r="C114" s="186"/>
      <c r="D114" s="186">
        <v>1</v>
      </c>
      <c r="E114" s="191">
        <v>196</v>
      </c>
      <c r="F114" s="191"/>
      <c r="G114" s="191">
        <v>11.860850518666359</v>
      </c>
      <c r="H114" s="191"/>
      <c r="I114" s="191">
        <v>11.860850518666359</v>
      </c>
      <c r="J114" s="187">
        <v>2324.7267016586065</v>
      </c>
      <c r="K114" s="171"/>
      <c r="L114" s="171"/>
      <c r="M114" s="171"/>
    </row>
    <row r="115" spans="1:13" x14ac:dyDescent="0.35">
      <c r="A115" s="195">
        <v>43741</v>
      </c>
      <c r="B115" s="185" t="s">
        <v>955</v>
      </c>
      <c r="C115" s="186"/>
      <c r="D115" s="186">
        <v>3</v>
      </c>
      <c r="E115" s="191">
        <v>193</v>
      </c>
      <c r="F115" s="191"/>
      <c r="G115" s="191">
        <v>11.860850518666361</v>
      </c>
      <c r="H115" s="191"/>
      <c r="I115" s="191">
        <v>35.582551555999082</v>
      </c>
      <c r="J115" s="187">
        <v>2289.1441501026075</v>
      </c>
      <c r="K115" s="202"/>
      <c r="L115" s="202"/>
      <c r="M115" s="204"/>
    </row>
    <row r="116" spans="1:13" x14ac:dyDescent="0.35">
      <c r="A116" s="184">
        <v>43741</v>
      </c>
      <c r="B116" s="185" t="s">
        <v>956</v>
      </c>
      <c r="C116" s="186"/>
      <c r="D116" s="186">
        <v>2</v>
      </c>
      <c r="E116" s="191">
        <v>191</v>
      </c>
      <c r="F116" s="191"/>
      <c r="G116" s="191">
        <v>11.860850518666361</v>
      </c>
      <c r="H116" s="191"/>
      <c r="I116" s="191">
        <v>23.721701037332721</v>
      </c>
      <c r="J116" s="187">
        <v>2265.4224490652746</v>
      </c>
      <c r="K116" s="171"/>
      <c r="L116" s="171"/>
      <c r="M116" s="171"/>
    </row>
    <row r="117" spans="1:13" x14ac:dyDescent="0.35">
      <c r="A117" s="184">
        <v>43742</v>
      </c>
      <c r="B117" s="185" t="s">
        <v>957</v>
      </c>
      <c r="C117" s="186"/>
      <c r="D117" s="186">
        <v>4</v>
      </c>
      <c r="E117" s="191">
        <v>187</v>
      </c>
      <c r="F117" s="191"/>
      <c r="G117" s="191">
        <v>11.860850518666359</v>
      </c>
      <c r="H117" s="191"/>
      <c r="I117" s="191">
        <v>47.443402074665435</v>
      </c>
      <c r="J117" s="187">
        <v>2217.9790469906093</v>
      </c>
      <c r="K117" s="171"/>
      <c r="L117" s="171"/>
      <c r="M117" s="171"/>
    </row>
    <row r="118" spans="1:13" x14ac:dyDescent="0.35">
      <c r="A118" s="195">
        <v>43746</v>
      </c>
      <c r="B118" s="185" t="s">
        <v>958</v>
      </c>
      <c r="C118" s="186"/>
      <c r="D118" s="186">
        <v>3</v>
      </c>
      <c r="E118" s="191">
        <v>184</v>
      </c>
      <c r="F118" s="191"/>
      <c r="G118" s="191">
        <v>11.860850518666361</v>
      </c>
      <c r="H118" s="191"/>
      <c r="I118" s="191">
        <v>35.582551555999082</v>
      </c>
      <c r="J118" s="187">
        <v>2182.3964954346102</v>
      </c>
      <c r="K118" s="202"/>
      <c r="L118" s="202"/>
      <c r="M118" s="204"/>
    </row>
    <row r="119" spans="1:13" x14ac:dyDescent="0.35">
      <c r="A119" s="184">
        <v>43747</v>
      </c>
      <c r="B119" s="185" t="s">
        <v>959</v>
      </c>
      <c r="C119" s="186"/>
      <c r="D119" s="186">
        <v>6</v>
      </c>
      <c r="E119" s="191">
        <v>178</v>
      </c>
      <c r="F119" s="191"/>
      <c r="G119" s="191">
        <v>11.860850518666359</v>
      </c>
      <c r="H119" s="191"/>
      <c r="I119" s="191">
        <v>71.16510311199815</v>
      </c>
      <c r="J119" s="187">
        <v>2111.231392322612</v>
      </c>
      <c r="K119" s="171"/>
      <c r="L119" s="171"/>
      <c r="M119" s="171"/>
    </row>
    <row r="120" spans="1:13" x14ac:dyDescent="0.35">
      <c r="A120" s="195">
        <v>43747</v>
      </c>
      <c r="B120" s="196" t="s">
        <v>960</v>
      </c>
      <c r="C120" s="186"/>
      <c r="D120" s="186">
        <v>8</v>
      </c>
      <c r="E120" s="186">
        <v>170</v>
      </c>
      <c r="F120" s="186"/>
      <c r="G120" s="186">
        <v>11.860850518666359</v>
      </c>
      <c r="H120" s="186"/>
      <c r="I120" s="186">
        <v>94.886804149330871</v>
      </c>
      <c r="J120" s="206">
        <v>2016.3445881732812</v>
      </c>
      <c r="K120" s="202"/>
      <c r="L120" s="203"/>
      <c r="M120" s="204"/>
    </row>
    <row r="121" spans="1:13" x14ac:dyDescent="0.35">
      <c r="A121" s="184">
        <v>43747</v>
      </c>
      <c r="B121" s="185" t="s">
        <v>961</v>
      </c>
      <c r="C121" s="186"/>
      <c r="D121" s="186">
        <v>4</v>
      </c>
      <c r="E121" s="191">
        <v>166</v>
      </c>
      <c r="F121" s="191"/>
      <c r="G121" s="191">
        <v>11.860850518666361</v>
      </c>
      <c r="H121" s="191"/>
      <c r="I121" s="191">
        <v>47.443402074665443</v>
      </c>
      <c r="J121" s="187">
        <v>1968.9011860986157</v>
      </c>
      <c r="K121" s="171"/>
      <c r="L121" s="171"/>
      <c r="M121" s="171"/>
    </row>
    <row r="122" spans="1:13" x14ac:dyDescent="0.35">
      <c r="A122" s="184">
        <v>43747</v>
      </c>
      <c r="B122" s="185" t="s">
        <v>962</v>
      </c>
      <c r="C122" s="186"/>
      <c r="D122" s="186">
        <v>1</v>
      </c>
      <c r="E122" s="191">
        <v>165</v>
      </c>
      <c r="F122" s="191"/>
      <c r="G122" s="191">
        <v>11.860850518666359</v>
      </c>
      <c r="H122" s="191"/>
      <c r="I122" s="191">
        <v>11.860850518666359</v>
      </c>
      <c r="J122" s="187">
        <v>1957.0403355799492</v>
      </c>
      <c r="K122" s="171"/>
      <c r="L122" s="171"/>
      <c r="M122" s="171"/>
    </row>
    <row r="123" spans="1:13" x14ac:dyDescent="0.35">
      <c r="A123" s="184">
        <v>43747</v>
      </c>
      <c r="B123" s="185" t="s">
        <v>963</v>
      </c>
      <c r="C123" s="186"/>
      <c r="D123" s="186">
        <v>1</v>
      </c>
      <c r="E123" s="191">
        <v>164</v>
      </c>
      <c r="F123" s="191"/>
      <c r="G123" s="191">
        <v>11.860850518666359</v>
      </c>
      <c r="H123" s="191"/>
      <c r="I123" s="191">
        <v>11.860850518666359</v>
      </c>
      <c r="J123" s="187">
        <v>1945.1794850612828</v>
      </c>
      <c r="K123" s="171"/>
      <c r="L123" s="171"/>
      <c r="M123" s="171"/>
    </row>
    <row r="124" spans="1:13" x14ac:dyDescent="0.35">
      <c r="A124" s="184">
        <v>43749</v>
      </c>
      <c r="B124" s="185" t="s">
        <v>964</v>
      </c>
      <c r="C124" s="186"/>
      <c r="D124" s="186">
        <v>6</v>
      </c>
      <c r="E124" s="191">
        <v>158</v>
      </c>
      <c r="F124" s="191"/>
      <c r="G124" s="191">
        <v>11.860850518666359</v>
      </c>
      <c r="H124" s="191"/>
      <c r="I124" s="191">
        <v>71.16510311199815</v>
      </c>
      <c r="J124" s="187">
        <v>1874.0143819492846</v>
      </c>
      <c r="K124" s="171"/>
      <c r="L124" s="171"/>
      <c r="M124" s="171"/>
    </row>
    <row r="125" spans="1:13" x14ac:dyDescent="0.35">
      <c r="A125" s="192">
        <v>43753</v>
      </c>
      <c r="B125" s="212" t="s">
        <v>965</v>
      </c>
      <c r="C125" s="193"/>
      <c r="D125" s="193">
        <v>2</v>
      </c>
      <c r="E125" s="193">
        <v>156</v>
      </c>
      <c r="F125" s="193"/>
      <c r="G125" s="193">
        <v>11.860850518666359</v>
      </c>
      <c r="H125" s="193"/>
      <c r="I125" s="193">
        <v>23.721701037332718</v>
      </c>
      <c r="J125" s="213">
        <v>1850.2926809119519</v>
      </c>
      <c r="K125" s="188">
        <v>510.01657230265351</v>
      </c>
      <c r="L125" s="197"/>
      <c r="M125" s="194">
        <v>43753</v>
      </c>
    </row>
    <row r="126" spans="1:13" x14ac:dyDescent="0.35">
      <c r="A126" s="195">
        <v>43757</v>
      </c>
      <c r="B126" s="196" t="s">
        <v>966</v>
      </c>
      <c r="C126" s="186"/>
      <c r="D126" s="186">
        <v>2</v>
      </c>
      <c r="E126" s="186">
        <v>154</v>
      </c>
      <c r="F126" s="186"/>
      <c r="G126" s="186">
        <v>11.860850518666359</v>
      </c>
      <c r="H126" s="186"/>
      <c r="I126" s="186">
        <v>23.721701037332718</v>
      </c>
      <c r="J126" s="206">
        <v>1826.5709798746193</v>
      </c>
      <c r="K126" s="202"/>
      <c r="L126" s="202"/>
      <c r="M126" s="204"/>
    </row>
    <row r="127" spans="1:13" x14ac:dyDescent="0.35">
      <c r="A127" s="195">
        <v>43757</v>
      </c>
      <c r="B127" s="196" t="s">
        <v>967</v>
      </c>
      <c r="C127" s="186"/>
      <c r="D127" s="186">
        <v>1</v>
      </c>
      <c r="E127" s="186">
        <v>153</v>
      </c>
      <c r="F127" s="186"/>
      <c r="G127" s="186">
        <v>11.860850518666359</v>
      </c>
      <c r="H127" s="186"/>
      <c r="I127" s="186">
        <v>11.860850518666359</v>
      </c>
      <c r="J127" s="206">
        <v>1814.7101293559529</v>
      </c>
      <c r="K127" s="203"/>
      <c r="L127" s="203"/>
      <c r="M127" s="203"/>
    </row>
    <row r="128" spans="1:13" x14ac:dyDescent="0.35">
      <c r="A128" s="195">
        <v>43759</v>
      </c>
      <c r="B128" s="196" t="s">
        <v>968</v>
      </c>
      <c r="C128" s="186"/>
      <c r="D128" s="186">
        <v>5</v>
      </c>
      <c r="E128" s="186">
        <v>148</v>
      </c>
      <c r="F128" s="186"/>
      <c r="G128" s="186">
        <v>11.860850518666359</v>
      </c>
      <c r="H128" s="186"/>
      <c r="I128" s="186">
        <v>59.304252593331796</v>
      </c>
      <c r="J128" s="206">
        <v>1755.4058767626211</v>
      </c>
      <c r="K128" s="203"/>
      <c r="L128" s="203"/>
      <c r="M128" s="203"/>
    </row>
    <row r="129" spans="1:13" x14ac:dyDescent="0.35">
      <c r="A129" s="195">
        <v>43761</v>
      </c>
      <c r="B129" s="196" t="s">
        <v>969</v>
      </c>
      <c r="C129" s="186"/>
      <c r="D129" s="186">
        <v>4</v>
      </c>
      <c r="E129" s="186">
        <v>144</v>
      </c>
      <c r="F129" s="186"/>
      <c r="G129" s="186">
        <v>11.860850518666359</v>
      </c>
      <c r="H129" s="186"/>
      <c r="I129" s="186">
        <v>47.443402074665435</v>
      </c>
      <c r="J129" s="206">
        <v>1707.9624746879556</v>
      </c>
      <c r="K129" s="203"/>
      <c r="L129" s="203"/>
      <c r="M129" s="203"/>
    </row>
    <row r="130" spans="1:13" x14ac:dyDescent="0.35">
      <c r="A130" s="195">
        <v>43761</v>
      </c>
      <c r="B130" s="196" t="s">
        <v>970</v>
      </c>
      <c r="C130" s="186"/>
      <c r="D130" s="186">
        <v>4</v>
      </c>
      <c r="E130" s="186">
        <v>140</v>
      </c>
      <c r="F130" s="186"/>
      <c r="G130" s="186">
        <v>11.860850518666359</v>
      </c>
      <c r="H130" s="186"/>
      <c r="I130" s="186">
        <v>47.443402074665435</v>
      </c>
      <c r="J130" s="206">
        <v>1660.5190726132901</v>
      </c>
      <c r="K130" s="203"/>
      <c r="L130" s="203"/>
      <c r="M130" s="203"/>
    </row>
    <row r="131" spans="1:13" x14ac:dyDescent="0.35">
      <c r="A131" s="195">
        <v>43762</v>
      </c>
      <c r="B131" s="196" t="s">
        <v>971</v>
      </c>
      <c r="C131" s="186"/>
      <c r="D131" s="186">
        <v>0.5</v>
      </c>
      <c r="E131" s="186">
        <v>139.5</v>
      </c>
      <c r="F131" s="186"/>
      <c r="G131" s="186">
        <v>11.860850518666357</v>
      </c>
      <c r="H131" s="186"/>
      <c r="I131" s="186">
        <v>5.9304252593331785</v>
      </c>
      <c r="J131" s="206">
        <v>1654.588647353957</v>
      </c>
      <c r="K131" s="203"/>
      <c r="L131" s="203"/>
      <c r="M131" s="203"/>
    </row>
    <row r="132" spans="1:13" x14ac:dyDescent="0.35">
      <c r="A132" s="195">
        <v>43763</v>
      </c>
      <c r="B132" s="196" t="s">
        <v>972</v>
      </c>
      <c r="C132" s="186"/>
      <c r="D132" s="186">
        <v>4</v>
      </c>
      <c r="E132" s="186">
        <v>135.5</v>
      </c>
      <c r="F132" s="186"/>
      <c r="G132" s="186">
        <v>11.860850518666359</v>
      </c>
      <c r="H132" s="186"/>
      <c r="I132" s="186">
        <v>47.443402074665435</v>
      </c>
      <c r="J132" s="206">
        <v>1607.1452452792914</v>
      </c>
      <c r="K132" s="203"/>
      <c r="L132" s="203"/>
      <c r="M132" s="203"/>
    </row>
    <row r="133" spans="1:13" x14ac:dyDescent="0.35">
      <c r="A133" s="192">
        <v>43767</v>
      </c>
      <c r="B133" s="212" t="s">
        <v>973</v>
      </c>
      <c r="C133" s="193"/>
      <c r="D133" s="193">
        <v>4</v>
      </c>
      <c r="E133" s="193">
        <v>131.5</v>
      </c>
      <c r="F133" s="193"/>
      <c r="G133" s="193">
        <v>11.860850518666357</v>
      </c>
      <c r="H133" s="193"/>
      <c r="I133" s="193">
        <v>47.443402074665428</v>
      </c>
      <c r="J133" s="213">
        <v>1559.7018432046259</v>
      </c>
      <c r="K133" s="211">
        <v>290.59083770732582</v>
      </c>
      <c r="L133" s="188">
        <v>800.60741000997928</v>
      </c>
      <c r="M133" s="194">
        <v>43769</v>
      </c>
    </row>
    <row r="134" spans="1:13" x14ac:dyDescent="0.35">
      <c r="A134" s="195">
        <v>43770</v>
      </c>
      <c r="B134" s="196" t="s">
        <v>974</v>
      </c>
      <c r="C134" s="186"/>
      <c r="D134" s="186">
        <v>3</v>
      </c>
      <c r="E134" s="186">
        <v>128.5</v>
      </c>
      <c r="F134" s="186"/>
      <c r="G134" s="186">
        <v>11.860850518666357</v>
      </c>
      <c r="H134" s="186"/>
      <c r="I134" s="186">
        <v>35.582551555999075</v>
      </c>
      <c r="J134" s="206">
        <v>1524.1192916486268</v>
      </c>
      <c r="K134" s="202"/>
      <c r="L134" s="203"/>
      <c r="M134" s="204"/>
    </row>
    <row r="135" spans="1:13" x14ac:dyDescent="0.35">
      <c r="A135" s="192">
        <v>43778</v>
      </c>
      <c r="B135" s="212" t="s">
        <v>975</v>
      </c>
      <c r="C135" s="193"/>
      <c r="D135" s="193">
        <v>3</v>
      </c>
      <c r="E135" s="193">
        <v>125.5</v>
      </c>
      <c r="F135" s="193"/>
      <c r="G135" s="193">
        <v>11.860850518666357</v>
      </c>
      <c r="H135" s="193"/>
      <c r="I135" s="193">
        <v>35.582551555999075</v>
      </c>
      <c r="J135" s="213">
        <v>1488.5367400926277</v>
      </c>
      <c r="K135" s="188">
        <v>71.16510311199815</v>
      </c>
      <c r="L135" s="188"/>
      <c r="M135" s="194">
        <v>43784</v>
      </c>
    </row>
    <row r="136" spans="1:13" x14ac:dyDescent="0.35">
      <c r="A136" s="195">
        <v>43794</v>
      </c>
      <c r="B136" s="196" t="s">
        <v>976</v>
      </c>
      <c r="C136" s="186"/>
      <c r="D136" s="186">
        <v>4</v>
      </c>
      <c r="E136" s="186">
        <v>121.5</v>
      </c>
      <c r="F136" s="186"/>
      <c r="G136" s="186">
        <v>11.860850518666357</v>
      </c>
      <c r="H136" s="186"/>
      <c r="I136" s="186">
        <v>47.443402074665428</v>
      </c>
      <c r="J136" s="206">
        <v>1441.0933380179622</v>
      </c>
      <c r="K136" s="202"/>
      <c r="L136" s="202"/>
      <c r="M136" s="204"/>
    </row>
    <row r="137" spans="1:13" x14ac:dyDescent="0.35">
      <c r="A137" s="195">
        <v>43794</v>
      </c>
      <c r="B137" s="196" t="s">
        <v>977</v>
      </c>
      <c r="C137" s="186"/>
      <c r="D137" s="186">
        <v>0</v>
      </c>
      <c r="E137" s="186">
        <v>121.5</v>
      </c>
      <c r="F137" s="186"/>
      <c r="G137" s="186">
        <v>11.860850518666355</v>
      </c>
      <c r="H137" s="186"/>
      <c r="I137" s="186">
        <v>0</v>
      </c>
      <c r="J137" s="206">
        <v>1441.0933380179622</v>
      </c>
      <c r="K137" s="202"/>
      <c r="L137" s="202"/>
      <c r="M137" s="204"/>
    </row>
    <row r="138" spans="1:13" x14ac:dyDescent="0.35">
      <c r="A138" s="195">
        <v>43794</v>
      </c>
      <c r="B138" s="196" t="s">
        <v>978</v>
      </c>
      <c r="C138" s="186"/>
      <c r="D138" s="186">
        <v>0</v>
      </c>
      <c r="E138" s="186">
        <v>121.5</v>
      </c>
      <c r="F138" s="186"/>
      <c r="G138" s="186">
        <v>11.860850518666355</v>
      </c>
      <c r="H138" s="186"/>
      <c r="I138" s="186">
        <v>0</v>
      </c>
      <c r="J138" s="206">
        <v>1441.0933380179622</v>
      </c>
      <c r="K138" s="202"/>
      <c r="L138" s="202"/>
      <c r="M138" s="204"/>
    </row>
    <row r="139" spans="1:13" x14ac:dyDescent="0.35">
      <c r="A139" s="195">
        <v>43794</v>
      </c>
      <c r="B139" s="196" t="s">
        <v>979</v>
      </c>
      <c r="C139" s="186"/>
      <c r="D139" s="186">
        <v>10</v>
      </c>
      <c r="E139" s="186">
        <v>111.5</v>
      </c>
      <c r="F139" s="186"/>
      <c r="G139" s="186">
        <v>11.860850518666355</v>
      </c>
      <c r="H139" s="186"/>
      <c r="I139" s="186">
        <v>118.60850518666355</v>
      </c>
      <c r="J139" s="206">
        <v>1322.4848328312987</v>
      </c>
      <c r="K139" s="202"/>
      <c r="L139" s="202"/>
      <c r="M139" s="204"/>
    </row>
    <row r="140" spans="1:13" x14ac:dyDescent="0.35">
      <c r="A140" s="195">
        <v>43794</v>
      </c>
      <c r="B140" s="196" t="s">
        <v>980</v>
      </c>
      <c r="C140" s="186"/>
      <c r="D140" s="186">
        <v>1</v>
      </c>
      <c r="E140" s="186">
        <v>110.5</v>
      </c>
      <c r="F140" s="186"/>
      <c r="G140" s="186">
        <v>11.860850518666357</v>
      </c>
      <c r="H140" s="186"/>
      <c r="I140" s="186">
        <v>11.860850518666357</v>
      </c>
      <c r="J140" s="206">
        <v>1310.6239823126323</v>
      </c>
      <c r="K140" s="202"/>
      <c r="L140" s="202"/>
      <c r="M140" s="204"/>
    </row>
    <row r="141" spans="1:13" x14ac:dyDescent="0.35">
      <c r="A141" s="195">
        <v>43797</v>
      </c>
      <c r="B141" s="196" t="s">
        <v>981</v>
      </c>
      <c r="C141" s="186"/>
      <c r="D141" s="186">
        <v>1</v>
      </c>
      <c r="E141" s="186">
        <v>109.5</v>
      </c>
      <c r="F141" s="186"/>
      <c r="G141" s="186">
        <v>11.860850518666355</v>
      </c>
      <c r="H141" s="186"/>
      <c r="I141" s="186">
        <v>11.860850518666355</v>
      </c>
      <c r="J141" s="206">
        <v>1298.7631317939658</v>
      </c>
      <c r="K141" s="202"/>
      <c r="L141" s="202"/>
      <c r="M141" s="204"/>
    </row>
    <row r="142" spans="1:13" x14ac:dyDescent="0.35">
      <c r="A142" s="195">
        <v>43798</v>
      </c>
      <c r="B142" s="196" t="s">
        <v>982</v>
      </c>
      <c r="C142" s="186"/>
      <c r="D142" s="186">
        <v>1</v>
      </c>
      <c r="E142" s="186">
        <v>108.5</v>
      </c>
      <c r="F142" s="186"/>
      <c r="G142" s="186">
        <v>11.860850518666355</v>
      </c>
      <c r="H142" s="186"/>
      <c r="I142" s="186">
        <v>11.860850518666355</v>
      </c>
      <c r="J142" s="206">
        <v>1286.9022812752994</v>
      </c>
      <c r="K142" s="202"/>
      <c r="L142" s="202"/>
      <c r="M142" s="204"/>
    </row>
    <row r="143" spans="1:13" x14ac:dyDescent="0.35">
      <c r="A143" s="192">
        <v>43799</v>
      </c>
      <c r="B143" s="212" t="s">
        <v>983</v>
      </c>
      <c r="C143" s="193"/>
      <c r="D143" s="193">
        <v>1</v>
      </c>
      <c r="E143" s="193">
        <v>107.5</v>
      </c>
      <c r="F143" s="193"/>
      <c r="G143" s="193">
        <v>11.860850518666354</v>
      </c>
      <c r="H143" s="193"/>
      <c r="I143" s="193">
        <v>11.860850518666354</v>
      </c>
      <c r="J143" s="213">
        <v>1275.041430756633</v>
      </c>
      <c r="K143" s="188">
        <v>213.49530933599439</v>
      </c>
      <c r="L143" s="188">
        <v>284.66041244799254</v>
      </c>
      <c r="M143" s="194">
        <v>43799</v>
      </c>
    </row>
    <row r="144" spans="1:13" x14ac:dyDescent="0.35">
      <c r="A144" s="195">
        <v>43801</v>
      </c>
      <c r="B144" s="196" t="s">
        <v>984</v>
      </c>
      <c r="C144" s="186"/>
      <c r="D144" s="186">
        <v>1</v>
      </c>
      <c r="E144" s="186">
        <v>106.5</v>
      </c>
      <c r="F144" s="186"/>
      <c r="G144" s="186">
        <v>11.860850518666354</v>
      </c>
      <c r="H144" s="186"/>
      <c r="I144" s="186">
        <v>11.860850518666354</v>
      </c>
      <c r="J144" s="206">
        <v>1263.1805802379665</v>
      </c>
      <c r="K144" s="202"/>
      <c r="L144" s="202"/>
      <c r="M144" s="204"/>
    </row>
    <row r="145" spans="1:13" x14ac:dyDescent="0.35">
      <c r="A145" s="195">
        <v>43804</v>
      </c>
      <c r="B145" s="196" t="s">
        <v>985</v>
      </c>
      <c r="C145" s="186"/>
      <c r="D145" s="186">
        <v>2</v>
      </c>
      <c r="E145" s="186">
        <v>104.5</v>
      </c>
      <c r="F145" s="186"/>
      <c r="G145" s="186">
        <v>11.860850518666352</v>
      </c>
      <c r="H145" s="186"/>
      <c r="I145" s="186">
        <v>23.721701037332704</v>
      </c>
      <c r="J145" s="206">
        <v>1239.4588792006339</v>
      </c>
      <c r="K145" s="202"/>
      <c r="L145" s="202"/>
      <c r="M145" s="204"/>
    </row>
    <row r="146" spans="1:13" x14ac:dyDescent="0.35">
      <c r="A146" s="195">
        <v>43804</v>
      </c>
      <c r="B146" s="196" t="s">
        <v>986</v>
      </c>
      <c r="C146" s="186"/>
      <c r="D146" s="186">
        <v>1</v>
      </c>
      <c r="E146" s="186">
        <v>103.5</v>
      </c>
      <c r="F146" s="186"/>
      <c r="G146" s="186">
        <v>11.860850518666354</v>
      </c>
      <c r="H146" s="186"/>
      <c r="I146" s="186">
        <v>11.860850518666354</v>
      </c>
      <c r="J146" s="206">
        <v>1227.5980286819674</v>
      </c>
      <c r="K146" s="202"/>
      <c r="L146" s="202"/>
      <c r="M146" s="204"/>
    </row>
    <row r="147" spans="1:13" x14ac:dyDescent="0.35">
      <c r="A147" s="195">
        <v>43809</v>
      </c>
      <c r="B147" s="196" t="s">
        <v>987</v>
      </c>
      <c r="C147" s="186"/>
      <c r="D147" s="186">
        <v>1</v>
      </c>
      <c r="E147" s="186">
        <v>102.5</v>
      </c>
      <c r="F147" s="186"/>
      <c r="G147" s="186">
        <v>11.860850518666352</v>
      </c>
      <c r="H147" s="186"/>
      <c r="I147" s="186">
        <v>11.860850518666352</v>
      </c>
      <c r="J147" s="206">
        <v>1215.737178163301</v>
      </c>
      <c r="K147" s="202"/>
      <c r="L147" s="202"/>
      <c r="M147" s="204"/>
    </row>
    <row r="148" spans="1:13" x14ac:dyDescent="0.35">
      <c r="A148" s="192">
        <v>43809</v>
      </c>
      <c r="B148" s="212" t="s">
        <v>988</v>
      </c>
      <c r="C148" s="193"/>
      <c r="D148" s="193">
        <v>2</v>
      </c>
      <c r="E148" s="193">
        <v>100.5</v>
      </c>
      <c r="F148" s="193"/>
      <c r="G148" s="193">
        <v>11.860850518666352</v>
      </c>
      <c r="H148" s="193"/>
      <c r="I148" s="193">
        <v>23.721701037332704</v>
      </c>
      <c r="J148" s="213">
        <v>1192.0154771259683</v>
      </c>
      <c r="K148" s="188">
        <v>83.025953630664475</v>
      </c>
      <c r="L148" s="188"/>
      <c r="M148" s="194">
        <v>43814</v>
      </c>
    </row>
    <row r="149" spans="1:13" x14ac:dyDescent="0.35">
      <c r="A149" s="195">
        <v>43817</v>
      </c>
      <c r="B149" s="196" t="s">
        <v>989</v>
      </c>
      <c r="C149" s="186"/>
      <c r="D149" s="186">
        <v>0.6</v>
      </c>
      <c r="E149" s="186">
        <v>99.9</v>
      </c>
      <c r="F149" s="186"/>
      <c r="G149" s="186">
        <v>11.860850518666352</v>
      </c>
      <c r="H149" s="186"/>
      <c r="I149" s="186">
        <v>7.1165103111998107</v>
      </c>
      <c r="J149" s="206">
        <v>1184.8989668147685</v>
      </c>
      <c r="K149" s="202"/>
      <c r="L149" s="202"/>
      <c r="M149" s="204"/>
    </row>
    <row r="150" spans="1:13" x14ac:dyDescent="0.35">
      <c r="A150" s="195">
        <v>43822</v>
      </c>
      <c r="B150" s="196" t="s">
        <v>990</v>
      </c>
      <c r="C150" s="186"/>
      <c r="D150" s="186">
        <v>7</v>
      </c>
      <c r="E150" s="186">
        <v>92.9</v>
      </c>
      <c r="F150" s="186"/>
      <c r="G150" s="186">
        <v>11.860850518666352</v>
      </c>
      <c r="H150" s="186"/>
      <c r="I150" s="186">
        <v>83.025953630664461</v>
      </c>
      <c r="J150" s="206">
        <v>1101.8730131841041</v>
      </c>
      <c r="K150" s="202"/>
      <c r="L150" s="202"/>
      <c r="M150" s="204"/>
    </row>
    <row r="151" spans="1:13" x14ac:dyDescent="0.35">
      <c r="A151" s="195">
        <v>43825</v>
      </c>
      <c r="B151" s="196" t="s">
        <v>991</v>
      </c>
      <c r="C151" s="186"/>
      <c r="D151" s="186">
        <v>0</v>
      </c>
      <c r="E151" s="186">
        <v>92.9</v>
      </c>
      <c r="F151" s="186"/>
      <c r="G151" s="186">
        <v>11.860850518666352</v>
      </c>
      <c r="H151" s="186"/>
      <c r="I151" s="186">
        <v>0</v>
      </c>
      <c r="J151" s="206">
        <v>1101.8730131841041</v>
      </c>
      <c r="K151" s="202"/>
      <c r="L151" s="202"/>
      <c r="M151" s="204"/>
    </row>
    <row r="152" spans="1:13" x14ac:dyDescent="0.35">
      <c r="A152" s="192">
        <v>43825</v>
      </c>
      <c r="B152" s="212" t="s">
        <v>992</v>
      </c>
      <c r="C152" s="193"/>
      <c r="D152" s="193">
        <v>2</v>
      </c>
      <c r="E152" s="193">
        <v>90.9</v>
      </c>
      <c r="F152" s="193"/>
      <c r="G152" s="193">
        <v>11.860850518666352</v>
      </c>
      <c r="H152" s="193"/>
      <c r="I152" s="193">
        <v>23.721701037332704</v>
      </c>
      <c r="J152" s="213">
        <v>1078.1513121467715</v>
      </c>
      <c r="K152" s="188">
        <v>113.86416497919697</v>
      </c>
      <c r="L152" s="188">
        <v>196.89011860986145</v>
      </c>
      <c r="M152" s="194">
        <v>43830</v>
      </c>
    </row>
    <row r="153" spans="1:13" ht="15" thickBot="1" x14ac:dyDescent="0.4">
      <c r="A153" s="224"/>
      <c r="B153" s="224" t="s">
        <v>832</v>
      </c>
      <c r="C153" s="214">
        <v>423</v>
      </c>
      <c r="D153" s="214">
        <v>332.1</v>
      </c>
      <c r="E153" s="224"/>
      <c r="F153" s="224"/>
      <c r="G153" s="224"/>
      <c r="H153" s="214">
        <v>5056.702103542234</v>
      </c>
      <c r="I153" s="214">
        <v>3978.5507913954598</v>
      </c>
      <c r="J153" s="224"/>
      <c r="K153" s="218"/>
      <c r="L153" s="207">
        <v>3978.5507913954602</v>
      </c>
      <c r="M153" s="218"/>
    </row>
    <row r="154" spans="1:13" ht="15" thickTop="1" x14ac:dyDescent="0.35">
      <c r="A154" s="218"/>
      <c r="B154" s="218"/>
      <c r="C154" s="205"/>
      <c r="D154" s="205"/>
      <c r="E154" s="218"/>
      <c r="F154" s="218"/>
      <c r="G154" s="218"/>
      <c r="H154" s="218"/>
      <c r="I154" s="218"/>
      <c r="J154" s="218"/>
      <c r="K154" s="218"/>
      <c r="L154" s="218"/>
      <c r="M154" s="218"/>
    </row>
    <row r="155" spans="1:13" x14ac:dyDescent="0.35">
      <c r="A155" s="208" t="s">
        <v>993</v>
      </c>
      <c r="B155" s="173"/>
      <c r="C155" s="209"/>
      <c r="D155" s="209"/>
      <c r="E155" s="225"/>
      <c r="F155" s="225"/>
      <c r="G155" s="218"/>
      <c r="H155" s="218"/>
      <c r="I155" s="218"/>
      <c r="J155" s="218"/>
      <c r="K155" s="218"/>
      <c r="L155" s="218"/>
      <c r="M155" s="218"/>
    </row>
    <row r="156" spans="1:13" x14ac:dyDescent="0.35">
      <c r="A156" s="208"/>
      <c r="B156" s="173"/>
      <c r="C156" s="225"/>
      <c r="D156" s="225"/>
      <c r="E156" s="225"/>
      <c r="F156" s="225"/>
      <c r="G156" s="218"/>
      <c r="H156" s="218"/>
      <c r="I156" s="218"/>
      <c r="J156" s="218"/>
      <c r="K156" s="218"/>
      <c r="L156" s="218"/>
      <c r="M156" s="226"/>
    </row>
    <row r="157" spans="1:13" x14ac:dyDescent="0.35">
      <c r="A157" s="208" t="s">
        <v>669</v>
      </c>
      <c r="B157" s="173"/>
      <c r="C157" s="225"/>
      <c r="D157" s="225"/>
      <c r="E157" s="225"/>
      <c r="F157" s="225"/>
      <c r="G157" s="218"/>
      <c r="H157" s="218"/>
      <c r="I157" s="218"/>
      <c r="J157" s="227">
        <v>1076.9041565217392</v>
      </c>
      <c r="K157" s="218"/>
      <c r="L157" s="218"/>
      <c r="M157" s="226"/>
    </row>
    <row r="158" spans="1:13" x14ac:dyDescent="0.35">
      <c r="A158" s="208" t="s">
        <v>24</v>
      </c>
      <c r="B158" s="173"/>
      <c r="C158" s="225"/>
      <c r="D158" s="225"/>
      <c r="E158" s="225"/>
      <c r="F158" s="225"/>
      <c r="G158" s="218"/>
      <c r="H158" s="218"/>
      <c r="I158" s="218"/>
      <c r="J158" s="228">
        <v>1078.1513121467715</v>
      </c>
      <c r="K158" s="218"/>
      <c r="L158" s="218"/>
      <c r="M158" s="218"/>
    </row>
    <row r="159" spans="1:13" ht="15" thickBot="1" x14ac:dyDescent="0.4">
      <c r="A159" s="208"/>
      <c r="B159" s="173" t="s">
        <v>25</v>
      </c>
      <c r="C159" s="225"/>
      <c r="D159" s="225"/>
      <c r="E159" s="225"/>
      <c r="F159" s="225"/>
      <c r="G159" s="218"/>
      <c r="H159" s="218"/>
      <c r="I159" s="218"/>
      <c r="J159" s="229">
        <v>-1.2471556250322919</v>
      </c>
      <c r="K159" s="218"/>
      <c r="L159" s="218"/>
      <c r="M159" s="218"/>
    </row>
  </sheetData>
  <mergeCells count="5">
    <mergeCell ref="A5:I5"/>
    <mergeCell ref="A6:J6"/>
    <mergeCell ref="C9:E9"/>
    <mergeCell ref="F9:G9"/>
    <mergeCell ref="H9:J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N60"/>
  <sheetViews>
    <sheetView topLeftCell="A34" workbookViewId="0">
      <selection activeCell="H56" sqref="H56:H57"/>
    </sheetView>
  </sheetViews>
  <sheetFormatPr baseColWidth="10" defaultRowHeight="14.5" x14ac:dyDescent="0.35"/>
  <cols>
    <col min="2" max="2" width="34.36328125" customWidth="1"/>
    <col min="12" max="12" width="9.54296875" customWidth="1"/>
    <col min="13" max="13" width="9.36328125" customWidth="1"/>
    <col min="14" max="14" width="9.179687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30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5">
      <c r="A9" s="23">
        <v>43467</v>
      </c>
      <c r="B9" s="24" t="s">
        <v>22</v>
      </c>
      <c r="C9" s="25"/>
      <c r="D9" s="26"/>
      <c r="E9" s="27" t="e">
        <f>+#REF!</f>
        <v>#REF!</v>
      </c>
      <c r="F9" s="26" t="e">
        <f>+H9/E9</f>
        <v>#REF!</v>
      </c>
      <c r="G9" s="26"/>
      <c r="H9" s="28" t="e">
        <f>+#REF!</f>
        <v>#REF!</v>
      </c>
      <c r="I9" s="29"/>
      <c r="J9" s="29" t="e">
        <f>+H9</f>
        <v>#REF!</v>
      </c>
      <c r="K9" s="30"/>
    </row>
    <row r="10" spans="1:14" s="37" customFormat="1" x14ac:dyDescent="0.35">
      <c r="A10" s="31">
        <v>43109</v>
      </c>
      <c r="B10" s="32" t="s">
        <v>50</v>
      </c>
      <c r="C10" s="33"/>
      <c r="D10" s="33">
        <f>15*5.25+3+2</f>
        <v>83.75</v>
      </c>
      <c r="E10" s="85" t="e">
        <f>+E9-D10</f>
        <v>#REF!</v>
      </c>
      <c r="F10" s="86"/>
      <c r="G10" s="33" t="e">
        <f>+J9/E9</f>
        <v>#REF!</v>
      </c>
      <c r="H10" s="86"/>
      <c r="I10" s="33" t="e">
        <f>+D10*G10</f>
        <v>#REF!</v>
      </c>
      <c r="J10" s="33" t="e">
        <f>+J9-I10</f>
        <v>#REF!</v>
      </c>
      <c r="K10" s="34"/>
      <c r="L10" s="35" t="e">
        <f>SUM(I10)</f>
        <v>#REF!</v>
      </c>
      <c r="M10" s="114"/>
      <c r="N10" s="36">
        <v>43480</v>
      </c>
    </row>
    <row r="11" spans="1:14" s="71" customFormat="1" x14ac:dyDescent="0.35">
      <c r="A11" s="23">
        <v>43486</v>
      </c>
      <c r="B11" s="68" t="s">
        <v>104</v>
      </c>
      <c r="C11" s="26"/>
      <c r="D11" s="26">
        <f>5*5.6</f>
        <v>28</v>
      </c>
      <c r="E11" s="42" t="e">
        <f>+E10-D11</f>
        <v>#REF!</v>
      </c>
      <c r="F11" s="43"/>
      <c r="G11" s="26" t="e">
        <f>+J10/E10</f>
        <v>#REF!</v>
      </c>
      <c r="H11" s="43"/>
      <c r="I11" s="26" t="e">
        <f>+D11*G11</f>
        <v>#REF!</v>
      </c>
      <c r="J11" s="26" t="e">
        <f>+J10-I11</f>
        <v>#REF!</v>
      </c>
      <c r="K11" s="70"/>
      <c r="L11" s="98"/>
      <c r="M11" s="98"/>
      <c r="N11" s="98"/>
    </row>
    <row r="12" spans="1:14" s="37" customFormat="1" x14ac:dyDescent="0.35">
      <c r="A12" s="31">
        <v>43495</v>
      </c>
      <c r="B12" s="32" t="s">
        <v>131</v>
      </c>
      <c r="C12" s="33"/>
      <c r="D12" s="33">
        <f>16*2.5*1.05</f>
        <v>42</v>
      </c>
      <c r="E12" s="85" t="e">
        <f t="shared" ref="E12:E21" si="0">+E11-D12</f>
        <v>#REF!</v>
      </c>
      <c r="F12" s="86"/>
      <c r="G12" s="33" t="e">
        <f t="shared" ref="G12:G21" si="1">+J11/E11</f>
        <v>#REF!</v>
      </c>
      <c r="H12" s="86"/>
      <c r="I12" s="33" t="e">
        <f t="shared" ref="I12:I21" si="2">+D12*G12</f>
        <v>#REF!</v>
      </c>
      <c r="J12" s="33" t="e">
        <f t="shared" ref="J12:J21" si="3">+J11-I12</f>
        <v>#REF!</v>
      </c>
      <c r="K12" s="34"/>
      <c r="L12" s="35" t="e">
        <f>SUM(I11:I12)</f>
        <v>#REF!</v>
      </c>
      <c r="M12" s="35" t="e">
        <f>SUM(L10:L12)</f>
        <v>#REF!</v>
      </c>
      <c r="N12" s="36">
        <v>43496</v>
      </c>
    </row>
    <row r="13" spans="1:14" s="71" customFormat="1" x14ac:dyDescent="0.35">
      <c r="A13" s="23">
        <v>43508</v>
      </c>
      <c r="B13" s="68" t="s">
        <v>167</v>
      </c>
      <c r="C13" s="26"/>
      <c r="D13" s="26">
        <f>6*5.5</f>
        <v>33</v>
      </c>
      <c r="E13" s="42" t="e">
        <f t="shared" si="0"/>
        <v>#REF!</v>
      </c>
      <c r="F13" s="43"/>
      <c r="G13" s="26" t="e">
        <f t="shared" si="1"/>
        <v>#REF!</v>
      </c>
      <c r="H13" s="43"/>
      <c r="I13" s="26" t="e">
        <f t="shared" si="2"/>
        <v>#REF!</v>
      </c>
      <c r="J13" s="26" t="e">
        <f t="shared" si="3"/>
        <v>#REF!</v>
      </c>
      <c r="K13" s="70"/>
      <c r="L13" s="98"/>
      <c r="M13" s="98"/>
      <c r="N13" s="98"/>
    </row>
    <row r="14" spans="1:14" s="71" customFormat="1" x14ac:dyDescent="0.35">
      <c r="A14" s="72">
        <v>43508</v>
      </c>
      <c r="B14" s="68" t="s">
        <v>172</v>
      </c>
      <c r="C14" s="69"/>
      <c r="D14" s="74">
        <f>97*7+1.58</f>
        <v>680.58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70"/>
      <c r="L14" s="98"/>
      <c r="M14" s="98"/>
      <c r="N14" s="98"/>
    </row>
    <row r="15" spans="1:14" s="37" customFormat="1" x14ac:dyDescent="0.35">
      <c r="A15" s="38">
        <v>43509</v>
      </c>
      <c r="B15" s="32" t="s">
        <v>173</v>
      </c>
      <c r="C15" s="39"/>
      <c r="D15" s="40">
        <f>4*2.75*1.05</f>
        <v>11.55</v>
      </c>
      <c r="E15" s="85" t="e">
        <f t="shared" si="0"/>
        <v>#REF!</v>
      </c>
      <c r="F15" s="86"/>
      <c r="G15" s="33" t="e">
        <f t="shared" si="1"/>
        <v>#REF!</v>
      </c>
      <c r="H15" s="86"/>
      <c r="I15" s="33" t="e">
        <f t="shared" si="2"/>
        <v>#REF!</v>
      </c>
      <c r="J15" s="33" t="e">
        <f t="shared" si="3"/>
        <v>#REF!</v>
      </c>
      <c r="K15" s="34"/>
      <c r="L15" s="35" t="e">
        <f>SUM(I13:I15)</f>
        <v>#REF!</v>
      </c>
      <c r="M15" s="35" t="e">
        <f>SUM(L15)</f>
        <v>#REF!</v>
      </c>
      <c r="N15" s="36">
        <v>43511</v>
      </c>
    </row>
    <row r="16" spans="1:14" s="71" customFormat="1" x14ac:dyDescent="0.35">
      <c r="A16" s="72">
        <v>43532</v>
      </c>
      <c r="B16" s="68" t="s">
        <v>218</v>
      </c>
      <c r="C16" s="69"/>
      <c r="D16" s="74">
        <v>2.6</v>
      </c>
      <c r="E16" s="42" t="e">
        <f t="shared" ref="E16" si="4">+E15-D16</f>
        <v>#REF!</v>
      </c>
      <c r="F16" s="43"/>
      <c r="G16" s="26" t="e">
        <f t="shared" ref="G16" si="5">+J15/E15</f>
        <v>#REF!</v>
      </c>
      <c r="H16" s="43"/>
      <c r="I16" s="26" t="e">
        <f t="shared" ref="I16" si="6">+D16*G16</f>
        <v>#REF!</v>
      </c>
      <c r="J16" s="26" t="e">
        <f t="shared" ref="J16" si="7">+J15-I16</f>
        <v>#REF!</v>
      </c>
      <c r="K16" s="70"/>
      <c r="L16" s="98"/>
      <c r="M16" s="98"/>
      <c r="N16" s="98"/>
    </row>
    <row r="17" spans="1:14" s="37" customFormat="1" x14ac:dyDescent="0.35">
      <c r="A17" s="31">
        <v>43535</v>
      </c>
      <c r="B17" s="32" t="s">
        <v>219</v>
      </c>
      <c r="C17" s="87"/>
      <c r="D17" s="87">
        <v>3</v>
      </c>
      <c r="E17" s="85" t="e">
        <f t="shared" si="0"/>
        <v>#REF!</v>
      </c>
      <c r="F17" s="86"/>
      <c r="G17" s="33" t="e">
        <f t="shared" si="1"/>
        <v>#REF!</v>
      </c>
      <c r="H17" s="86"/>
      <c r="I17" s="33" t="e">
        <f t="shared" si="2"/>
        <v>#REF!</v>
      </c>
      <c r="J17" s="33" t="e">
        <f t="shared" si="3"/>
        <v>#REF!</v>
      </c>
      <c r="K17" s="34"/>
      <c r="L17" s="35" t="e">
        <f>SUM(I16:I17)</f>
        <v>#REF!</v>
      </c>
      <c r="M17" s="114"/>
      <c r="N17" s="36">
        <v>43539</v>
      </c>
    </row>
    <row r="18" spans="1:14" s="71" customFormat="1" x14ac:dyDescent="0.35">
      <c r="A18" s="23">
        <v>43542</v>
      </c>
      <c r="B18" s="68" t="s">
        <v>234</v>
      </c>
      <c r="C18" s="26"/>
      <c r="D18" s="26">
        <f>+(27*5)*1.05+2.14</f>
        <v>143.88999999999999</v>
      </c>
      <c r="E18" s="42" t="e">
        <f t="shared" si="0"/>
        <v>#REF!</v>
      </c>
      <c r="F18" s="43"/>
      <c r="G18" s="26" t="e">
        <f t="shared" si="1"/>
        <v>#REF!</v>
      </c>
      <c r="H18" s="43"/>
      <c r="I18" s="26" t="e">
        <f t="shared" si="2"/>
        <v>#REF!</v>
      </c>
      <c r="J18" s="26" t="e">
        <f t="shared" si="3"/>
        <v>#REF!</v>
      </c>
      <c r="K18" s="70"/>
      <c r="L18" s="98"/>
      <c r="M18" s="98"/>
      <c r="N18" s="98"/>
    </row>
    <row r="19" spans="1:14" s="71" customFormat="1" x14ac:dyDescent="0.35">
      <c r="A19" s="23">
        <v>43544</v>
      </c>
      <c r="B19" s="68" t="s">
        <v>239</v>
      </c>
      <c r="C19" s="26"/>
      <c r="D19" s="26">
        <f>+(4+3+5.25)*1.05</f>
        <v>12.862500000000001</v>
      </c>
      <c r="E19" s="42" t="e">
        <f t="shared" si="0"/>
        <v>#REF!</v>
      </c>
      <c r="F19" s="43"/>
      <c r="G19" s="26" t="e">
        <f t="shared" si="1"/>
        <v>#REF!</v>
      </c>
      <c r="H19" s="43"/>
      <c r="I19" s="26" t="e">
        <f t="shared" si="2"/>
        <v>#REF!</v>
      </c>
      <c r="J19" s="26" t="e">
        <f t="shared" si="3"/>
        <v>#REF!</v>
      </c>
      <c r="K19" s="70"/>
      <c r="L19" s="98"/>
      <c r="M19" s="98"/>
      <c r="N19" s="98"/>
    </row>
    <row r="20" spans="1:14" s="71" customFormat="1" x14ac:dyDescent="0.35">
      <c r="A20" s="23">
        <v>43547</v>
      </c>
      <c r="B20" s="68" t="s">
        <v>246</v>
      </c>
      <c r="C20" s="26"/>
      <c r="D20" s="26">
        <v>1</v>
      </c>
      <c r="E20" s="42" t="e">
        <f t="shared" si="0"/>
        <v>#REF!</v>
      </c>
      <c r="F20" s="43"/>
      <c r="G20" s="26" t="e">
        <f t="shared" si="1"/>
        <v>#REF!</v>
      </c>
      <c r="H20" s="43"/>
      <c r="I20" s="26" t="e">
        <f t="shared" si="2"/>
        <v>#REF!</v>
      </c>
      <c r="J20" s="26" t="e">
        <f t="shared" si="3"/>
        <v>#REF!</v>
      </c>
      <c r="K20" s="70"/>
      <c r="L20" s="98"/>
      <c r="M20" s="98"/>
      <c r="N20" s="98"/>
    </row>
    <row r="21" spans="1:14" s="37" customFormat="1" x14ac:dyDescent="0.35">
      <c r="A21" s="31">
        <v>43550</v>
      </c>
      <c r="B21" s="32" t="s">
        <v>253</v>
      </c>
      <c r="C21" s="33"/>
      <c r="D21" s="33">
        <f>+(2*3.25+2*3.5+5*1.25+3*0.75)*1.05+1.5</f>
        <v>24.6</v>
      </c>
      <c r="E21" s="85" t="e">
        <f t="shared" si="0"/>
        <v>#REF!</v>
      </c>
      <c r="F21" s="86"/>
      <c r="G21" s="33" t="e">
        <f t="shared" si="1"/>
        <v>#REF!</v>
      </c>
      <c r="H21" s="86"/>
      <c r="I21" s="33" t="e">
        <f t="shared" si="2"/>
        <v>#REF!</v>
      </c>
      <c r="J21" s="33" t="e">
        <f t="shared" si="3"/>
        <v>#REF!</v>
      </c>
      <c r="K21" s="34"/>
      <c r="L21" s="35" t="e">
        <f>SUM(I18:I21)</f>
        <v>#REF!</v>
      </c>
      <c r="M21" s="35" t="e">
        <f>SUM(L17:L21)</f>
        <v>#REF!</v>
      </c>
      <c r="N21" s="36">
        <v>43555</v>
      </c>
    </row>
    <row r="22" spans="1:14" s="71" customFormat="1" x14ac:dyDescent="0.35">
      <c r="A22" s="23">
        <v>43571</v>
      </c>
      <c r="B22" s="68" t="s">
        <v>295</v>
      </c>
      <c r="C22" s="26"/>
      <c r="D22" s="26">
        <f>+(8*5.25+3.75)*1.05</f>
        <v>48.037500000000001</v>
      </c>
      <c r="E22" s="42" t="e">
        <f t="shared" ref="E22:E51" si="8">+E21-D22</f>
        <v>#REF!</v>
      </c>
      <c r="F22" s="43"/>
      <c r="G22" s="26" t="e">
        <f t="shared" ref="G22:G51" si="9">+J21/E21</f>
        <v>#REF!</v>
      </c>
      <c r="H22" s="43"/>
      <c r="I22" s="26" t="e">
        <f t="shared" ref="I22:I51" si="10">+D22*G22</f>
        <v>#REF!</v>
      </c>
      <c r="J22" s="26" t="e">
        <f t="shared" ref="J22:J51" si="11">+J21-I22</f>
        <v>#REF!</v>
      </c>
      <c r="K22" s="70"/>
      <c r="L22" s="98"/>
      <c r="M22" s="98"/>
      <c r="N22" s="98"/>
    </row>
    <row r="23" spans="1:14" s="37" customFormat="1" x14ac:dyDescent="0.35">
      <c r="A23" s="31">
        <v>43580</v>
      </c>
      <c r="B23" s="32" t="s">
        <v>316</v>
      </c>
      <c r="C23" s="33"/>
      <c r="D23" s="33">
        <f>6*3.35</f>
        <v>20.100000000000001</v>
      </c>
      <c r="E23" s="85" t="e">
        <f t="shared" si="8"/>
        <v>#REF!</v>
      </c>
      <c r="F23" s="86"/>
      <c r="G23" s="33" t="e">
        <f t="shared" si="9"/>
        <v>#REF!</v>
      </c>
      <c r="H23" s="86"/>
      <c r="I23" s="33" t="e">
        <f t="shared" si="10"/>
        <v>#REF!</v>
      </c>
      <c r="J23" s="33" t="e">
        <f t="shared" si="11"/>
        <v>#REF!</v>
      </c>
      <c r="K23" s="34"/>
      <c r="L23" s="35" t="e">
        <f>SUM(I22:I23)</f>
        <v>#REF!</v>
      </c>
      <c r="M23" s="35" t="e">
        <f>SUM(L23)</f>
        <v>#REF!</v>
      </c>
      <c r="N23" s="36">
        <v>43585</v>
      </c>
    </row>
    <row r="24" spans="1:14" s="71" customFormat="1" x14ac:dyDescent="0.35">
      <c r="A24" s="23">
        <v>43587</v>
      </c>
      <c r="B24" s="68" t="s">
        <v>325</v>
      </c>
      <c r="C24" s="26"/>
      <c r="D24" s="26">
        <f>22*5</f>
        <v>110</v>
      </c>
      <c r="E24" s="42" t="e">
        <f t="shared" si="8"/>
        <v>#REF!</v>
      </c>
      <c r="F24" s="43"/>
      <c r="G24" s="26" t="e">
        <f t="shared" si="9"/>
        <v>#REF!</v>
      </c>
      <c r="H24" s="43"/>
      <c r="I24" s="26" t="e">
        <f t="shared" si="10"/>
        <v>#REF!</v>
      </c>
      <c r="J24" s="26" t="e">
        <f t="shared" si="11"/>
        <v>#REF!</v>
      </c>
      <c r="K24" s="70"/>
      <c r="L24" s="98"/>
      <c r="M24" s="98"/>
      <c r="N24" s="98"/>
    </row>
    <row r="25" spans="1:14" s="71" customFormat="1" x14ac:dyDescent="0.35">
      <c r="A25" s="23">
        <v>43588</v>
      </c>
      <c r="B25" s="68" t="s">
        <v>327</v>
      </c>
      <c r="C25" s="26"/>
      <c r="D25" s="26">
        <f>10*6.7+7*5.8+5*4.3+8*1.75</f>
        <v>143.1</v>
      </c>
      <c r="E25" s="42" t="e">
        <f t="shared" si="8"/>
        <v>#REF!</v>
      </c>
      <c r="F25" s="43"/>
      <c r="G25" s="26" t="e">
        <f t="shared" si="9"/>
        <v>#REF!</v>
      </c>
      <c r="H25" s="43"/>
      <c r="I25" s="26" t="e">
        <f t="shared" si="10"/>
        <v>#REF!</v>
      </c>
      <c r="J25" s="26" t="e">
        <f t="shared" si="11"/>
        <v>#REF!</v>
      </c>
      <c r="K25" s="70"/>
      <c r="L25" s="98"/>
      <c r="M25" s="98"/>
      <c r="N25" s="98"/>
    </row>
    <row r="26" spans="1:14" s="71" customFormat="1" x14ac:dyDescent="0.35">
      <c r="A26" s="23">
        <v>43588</v>
      </c>
      <c r="B26" s="68" t="s">
        <v>328</v>
      </c>
      <c r="C26" s="26"/>
      <c r="D26" s="26">
        <f>5*4.2+8*6.05+12*6.62</f>
        <v>148.84</v>
      </c>
      <c r="E26" s="42" t="e">
        <f t="shared" si="8"/>
        <v>#REF!</v>
      </c>
      <c r="F26" s="43"/>
      <c r="G26" s="26" t="e">
        <f t="shared" si="9"/>
        <v>#REF!</v>
      </c>
      <c r="H26" s="43"/>
      <c r="I26" s="26" t="e">
        <f t="shared" si="10"/>
        <v>#REF!</v>
      </c>
      <c r="J26" s="26" t="e">
        <f t="shared" si="11"/>
        <v>#REF!</v>
      </c>
      <c r="K26" s="70"/>
      <c r="L26" s="98"/>
      <c r="M26" s="98"/>
      <c r="N26" s="98"/>
    </row>
    <row r="27" spans="1:14" s="71" customFormat="1" x14ac:dyDescent="0.35">
      <c r="A27" s="23">
        <v>43588</v>
      </c>
      <c r="B27" s="68" t="s">
        <v>329</v>
      </c>
      <c r="C27" s="26"/>
      <c r="D27" s="26">
        <f>(11*4.25)*1.05</f>
        <v>49.087499999999999</v>
      </c>
      <c r="E27" s="42" t="e">
        <f t="shared" si="8"/>
        <v>#REF!</v>
      </c>
      <c r="F27" s="43"/>
      <c r="G27" s="26" t="e">
        <f t="shared" si="9"/>
        <v>#REF!</v>
      </c>
      <c r="H27" s="43"/>
      <c r="I27" s="26" t="e">
        <f t="shared" si="10"/>
        <v>#REF!</v>
      </c>
      <c r="J27" s="26" t="e">
        <f t="shared" si="11"/>
        <v>#REF!</v>
      </c>
      <c r="K27" s="70"/>
      <c r="L27" s="98"/>
      <c r="M27" s="98"/>
      <c r="N27" s="98"/>
    </row>
    <row r="28" spans="1:14" s="71" customFormat="1" x14ac:dyDescent="0.35">
      <c r="A28" s="76">
        <v>43599</v>
      </c>
      <c r="B28" s="68" t="s">
        <v>347</v>
      </c>
      <c r="C28" s="74"/>
      <c r="D28" s="74">
        <v>37.380000000000003</v>
      </c>
      <c r="E28" s="42" t="e">
        <f t="shared" si="8"/>
        <v>#REF!</v>
      </c>
      <c r="F28" s="43"/>
      <c r="G28" s="26" t="e">
        <f t="shared" si="9"/>
        <v>#REF!</v>
      </c>
      <c r="H28" s="43"/>
      <c r="I28" s="26" t="e">
        <f t="shared" si="10"/>
        <v>#REF!</v>
      </c>
      <c r="J28" s="26" t="e">
        <f t="shared" si="11"/>
        <v>#REF!</v>
      </c>
      <c r="K28" s="69"/>
      <c r="L28" s="98"/>
      <c r="M28" s="98"/>
      <c r="N28" s="98"/>
    </row>
    <row r="29" spans="1:14" s="89" customFormat="1" x14ac:dyDescent="0.35">
      <c r="A29" s="88">
        <v>43600</v>
      </c>
      <c r="B29" s="32" t="s">
        <v>351</v>
      </c>
      <c r="C29" s="40"/>
      <c r="D29" s="40">
        <f>+(7*6.5+14*5.5)*1.05</f>
        <v>128.625</v>
      </c>
      <c r="E29" s="85" t="e">
        <f t="shared" si="8"/>
        <v>#REF!</v>
      </c>
      <c r="F29" s="86"/>
      <c r="G29" s="33" t="e">
        <f t="shared" si="9"/>
        <v>#REF!</v>
      </c>
      <c r="H29" s="86"/>
      <c r="I29" s="33" t="e">
        <f t="shared" si="10"/>
        <v>#REF!</v>
      </c>
      <c r="J29" s="33" t="e">
        <f t="shared" si="11"/>
        <v>#REF!</v>
      </c>
      <c r="K29" s="39"/>
      <c r="L29" s="116" t="e">
        <f>SUM(I24:I29)</f>
        <v>#REF!</v>
      </c>
      <c r="M29" s="117"/>
      <c r="N29" s="118">
        <v>43600</v>
      </c>
    </row>
    <row r="30" spans="1:14" s="90" customFormat="1" x14ac:dyDescent="0.35">
      <c r="A30" s="76">
        <v>43602</v>
      </c>
      <c r="B30" s="68" t="s">
        <v>358</v>
      </c>
      <c r="C30" s="74"/>
      <c r="D30" s="74">
        <f>18*2.25+7*4+2.45</f>
        <v>70.95</v>
      </c>
      <c r="E30" s="42" t="e">
        <f t="shared" si="8"/>
        <v>#REF!</v>
      </c>
      <c r="F30" s="43"/>
      <c r="G30" s="26" t="e">
        <f t="shared" si="9"/>
        <v>#REF!</v>
      </c>
      <c r="H30" s="43"/>
      <c r="I30" s="26" t="e">
        <f t="shared" si="10"/>
        <v>#REF!</v>
      </c>
      <c r="J30" s="26" t="e">
        <f t="shared" si="11"/>
        <v>#REF!</v>
      </c>
      <c r="K30" s="69"/>
      <c r="L30" s="113"/>
      <c r="M30" s="113"/>
      <c r="N30" s="113"/>
    </row>
    <row r="31" spans="1:14" s="90" customFormat="1" x14ac:dyDescent="0.35">
      <c r="A31" s="76">
        <v>43616</v>
      </c>
      <c r="B31" s="68" t="s">
        <v>372</v>
      </c>
      <c r="C31" s="74"/>
      <c r="D31" s="74">
        <v>0</v>
      </c>
      <c r="E31" s="42" t="e">
        <f t="shared" si="8"/>
        <v>#REF!</v>
      </c>
      <c r="F31" s="43"/>
      <c r="G31" s="26" t="e">
        <f t="shared" si="9"/>
        <v>#REF!</v>
      </c>
      <c r="H31" s="43"/>
      <c r="I31" s="26" t="e">
        <f t="shared" si="10"/>
        <v>#REF!</v>
      </c>
      <c r="J31" s="26" t="e">
        <f t="shared" si="11"/>
        <v>#REF!</v>
      </c>
      <c r="K31" s="69"/>
      <c r="L31" s="113"/>
      <c r="M31" s="113"/>
      <c r="N31" s="113"/>
    </row>
    <row r="32" spans="1:14" s="89" customFormat="1" x14ac:dyDescent="0.35">
      <c r="A32" s="88">
        <v>43616</v>
      </c>
      <c r="B32" s="32" t="s">
        <v>378</v>
      </c>
      <c r="C32" s="40"/>
      <c r="D32" s="40">
        <f>+(4*5.5)*1.05</f>
        <v>23.1</v>
      </c>
      <c r="E32" s="85" t="e">
        <f t="shared" si="8"/>
        <v>#REF!</v>
      </c>
      <c r="F32" s="86"/>
      <c r="G32" s="33" t="e">
        <f t="shared" si="9"/>
        <v>#REF!</v>
      </c>
      <c r="H32" s="86"/>
      <c r="I32" s="33" t="e">
        <f t="shared" si="10"/>
        <v>#REF!</v>
      </c>
      <c r="J32" s="33" t="e">
        <f t="shared" si="11"/>
        <v>#REF!</v>
      </c>
      <c r="K32" s="39"/>
      <c r="L32" s="116" t="e">
        <f>SUM(I30:I32)</f>
        <v>#REF!</v>
      </c>
      <c r="M32" s="116" t="e">
        <f>SUM(L29:L32)</f>
        <v>#REF!</v>
      </c>
      <c r="N32" s="118">
        <v>43616</v>
      </c>
    </row>
    <row r="33" spans="1:14" s="90" customFormat="1" x14ac:dyDescent="0.35">
      <c r="A33" s="76">
        <v>43620</v>
      </c>
      <c r="B33" s="68" t="s">
        <v>833</v>
      </c>
      <c r="C33" s="74"/>
      <c r="D33" s="74">
        <v>5</v>
      </c>
      <c r="E33" s="42" t="e">
        <f>+E32-D33</f>
        <v>#REF!</v>
      </c>
      <c r="F33" s="43"/>
      <c r="G33" s="26" t="e">
        <f t="shared" ref="G33" si="12">+J32/E32</f>
        <v>#REF!</v>
      </c>
      <c r="H33" s="43"/>
      <c r="I33" s="26" t="e">
        <f t="shared" ref="I33" si="13">+D33*G33</f>
        <v>#REF!</v>
      </c>
      <c r="J33" s="26" t="e">
        <f t="shared" ref="J33" si="14">+J32-I33</f>
        <v>#REF!</v>
      </c>
      <c r="K33" s="69"/>
      <c r="L33" s="109"/>
      <c r="M33" s="109"/>
      <c r="N33" s="108"/>
    </row>
    <row r="34" spans="1:14" s="89" customFormat="1" x14ac:dyDescent="0.35">
      <c r="A34" s="88">
        <v>43623</v>
      </c>
      <c r="B34" s="32" t="s">
        <v>390</v>
      </c>
      <c r="C34" s="40"/>
      <c r="D34" s="40">
        <f>+(10*4.25)*1.05+2.5</f>
        <v>47.125</v>
      </c>
      <c r="E34" s="85" t="e">
        <f>+E33-D34</f>
        <v>#REF!</v>
      </c>
      <c r="F34" s="86"/>
      <c r="G34" s="33" t="e">
        <f t="shared" ref="G34" si="15">+J33/E33</f>
        <v>#REF!</v>
      </c>
      <c r="H34" s="86"/>
      <c r="I34" s="33" t="e">
        <f t="shared" ref="I34" si="16">+D34*G34</f>
        <v>#REF!</v>
      </c>
      <c r="J34" s="33" t="e">
        <f t="shared" ref="J34" si="17">+J33-I34</f>
        <v>#REF!</v>
      </c>
      <c r="K34" s="39"/>
      <c r="L34" s="116" t="e">
        <f>SUM(I33:I34)</f>
        <v>#REF!</v>
      </c>
      <c r="M34" s="117"/>
      <c r="N34" s="118">
        <v>43631</v>
      </c>
    </row>
    <row r="35" spans="1:14" s="90" customFormat="1" x14ac:dyDescent="0.35">
      <c r="A35" s="76">
        <v>43635</v>
      </c>
      <c r="B35" s="68" t="s">
        <v>416</v>
      </c>
      <c r="C35" s="74"/>
      <c r="D35" s="74">
        <f>(8*5.75)*1.05</f>
        <v>48.300000000000004</v>
      </c>
      <c r="E35" s="42" t="e">
        <f t="shared" si="8"/>
        <v>#REF!</v>
      </c>
      <c r="F35" s="43"/>
      <c r="G35" s="26" t="e">
        <f t="shared" si="9"/>
        <v>#REF!</v>
      </c>
      <c r="H35" s="43"/>
      <c r="I35" s="26" t="e">
        <f t="shared" si="10"/>
        <v>#REF!</v>
      </c>
      <c r="J35" s="26" t="e">
        <f t="shared" si="11"/>
        <v>#REF!</v>
      </c>
      <c r="K35" s="69"/>
      <c r="L35" s="113"/>
      <c r="M35" s="113"/>
      <c r="N35" s="113"/>
    </row>
    <row r="36" spans="1:14" s="90" customFormat="1" x14ac:dyDescent="0.35">
      <c r="A36" s="76">
        <v>43635</v>
      </c>
      <c r="B36" s="68" t="s">
        <v>419</v>
      </c>
      <c r="C36" s="74"/>
      <c r="D36" s="74">
        <f>+(10*4.25)*1.05</f>
        <v>44.625</v>
      </c>
      <c r="E36" s="42" t="e">
        <f t="shared" si="8"/>
        <v>#REF!</v>
      </c>
      <c r="F36" s="43"/>
      <c r="G36" s="26" t="e">
        <f t="shared" si="9"/>
        <v>#REF!</v>
      </c>
      <c r="H36" s="43"/>
      <c r="I36" s="26" t="e">
        <f t="shared" si="10"/>
        <v>#REF!</v>
      </c>
      <c r="J36" s="26" t="e">
        <f t="shared" si="11"/>
        <v>#REF!</v>
      </c>
      <c r="K36" s="69"/>
      <c r="L36" s="113"/>
      <c r="M36" s="113"/>
      <c r="N36" s="113"/>
    </row>
    <row r="37" spans="1:14" s="90" customFormat="1" x14ac:dyDescent="0.35">
      <c r="A37" s="76">
        <v>43640</v>
      </c>
      <c r="B37" s="68" t="s">
        <v>421</v>
      </c>
      <c r="C37" s="74"/>
      <c r="D37" s="74">
        <f>+(6*6.25+10*2+4+5+4.25+4.5+5*3.75)*1.05</f>
        <v>98.7</v>
      </c>
      <c r="E37" s="42" t="e">
        <f t="shared" si="8"/>
        <v>#REF!</v>
      </c>
      <c r="F37" s="43"/>
      <c r="G37" s="26" t="e">
        <f t="shared" si="9"/>
        <v>#REF!</v>
      </c>
      <c r="H37" s="43"/>
      <c r="I37" s="26" t="e">
        <f t="shared" si="10"/>
        <v>#REF!</v>
      </c>
      <c r="J37" s="26" t="e">
        <f t="shared" si="11"/>
        <v>#REF!</v>
      </c>
      <c r="K37" s="69"/>
      <c r="L37" s="113"/>
      <c r="M37" s="113"/>
      <c r="N37" s="113"/>
    </row>
    <row r="38" spans="1:14" s="89" customFormat="1" x14ac:dyDescent="0.35">
      <c r="A38" s="88">
        <v>43644</v>
      </c>
      <c r="B38" s="32" t="s">
        <v>440</v>
      </c>
      <c r="C38" s="40"/>
      <c r="D38" s="40">
        <f>19*6*1.05</f>
        <v>119.7</v>
      </c>
      <c r="E38" s="85" t="e">
        <f t="shared" si="8"/>
        <v>#REF!</v>
      </c>
      <c r="F38" s="86"/>
      <c r="G38" s="33" t="e">
        <f t="shared" si="9"/>
        <v>#REF!</v>
      </c>
      <c r="H38" s="86"/>
      <c r="I38" s="33" t="e">
        <f t="shared" si="10"/>
        <v>#REF!</v>
      </c>
      <c r="J38" s="33" t="e">
        <f t="shared" si="11"/>
        <v>#REF!</v>
      </c>
      <c r="K38" s="39"/>
      <c r="L38" s="116" t="e">
        <f>SUM(I35:I38)</f>
        <v>#REF!</v>
      </c>
      <c r="M38" s="116" t="e">
        <f>SUM(L34:L38)</f>
        <v>#REF!</v>
      </c>
      <c r="N38" s="118">
        <v>43646</v>
      </c>
    </row>
    <row r="39" spans="1:14" s="90" customFormat="1" x14ac:dyDescent="0.35">
      <c r="A39" s="76">
        <v>43648</v>
      </c>
      <c r="B39" s="68" t="s">
        <v>446</v>
      </c>
      <c r="C39" s="74"/>
      <c r="D39" s="74">
        <f>+(13*5.75+4.5+2.75+2)*1.05</f>
        <v>88.2</v>
      </c>
      <c r="E39" s="42" t="e">
        <f t="shared" si="8"/>
        <v>#REF!</v>
      </c>
      <c r="F39" s="43"/>
      <c r="G39" s="26" t="e">
        <f t="shared" si="9"/>
        <v>#REF!</v>
      </c>
      <c r="H39" s="43"/>
      <c r="I39" s="26" t="e">
        <f t="shared" si="10"/>
        <v>#REF!</v>
      </c>
      <c r="J39" s="26" t="e">
        <f t="shared" si="11"/>
        <v>#REF!</v>
      </c>
      <c r="K39" s="69"/>
      <c r="L39" s="113"/>
      <c r="M39" s="113"/>
      <c r="N39" s="113"/>
    </row>
    <row r="40" spans="1:14" s="89" customFormat="1" x14ac:dyDescent="0.35">
      <c r="A40" s="88">
        <v>43659</v>
      </c>
      <c r="B40" s="32" t="s">
        <v>467</v>
      </c>
      <c r="C40" s="40"/>
      <c r="D40" s="40">
        <f>4*4.26</f>
        <v>17.04</v>
      </c>
      <c r="E40" s="85" t="e">
        <f t="shared" si="8"/>
        <v>#REF!</v>
      </c>
      <c r="F40" s="86"/>
      <c r="G40" s="33" t="e">
        <f t="shared" si="9"/>
        <v>#REF!</v>
      </c>
      <c r="H40" s="86"/>
      <c r="I40" s="33" t="e">
        <f t="shared" si="10"/>
        <v>#REF!</v>
      </c>
      <c r="J40" s="33" t="e">
        <f t="shared" si="11"/>
        <v>#REF!</v>
      </c>
      <c r="K40" s="39"/>
      <c r="L40" s="116" t="e">
        <f>SUM(I39:I40)</f>
        <v>#REF!</v>
      </c>
      <c r="M40" s="116" t="e">
        <f>SUM(L40)</f>
        <v>#REF!</v>
      </c>
      <c r="N40" s="118">
        <v>43661</v>
      </c>
    </row>
    <row r="41" spans="1:14" s="71" customFormat="1" x14ac:dyDescent="0.35">
      <c r="A41" s="76">
        <v>43690</v>
      </c>
      <c r="B41" s="68" t="s">
        <v>511</v>
      </c>
      <c r="C41" s="74"/>
      <c r="D41" s="74">
        <v>10</v>
      </c>
      <c r="E41" s="42" t="e">
        <f t="shared" si="8"/>
        <v>#REF!</v>
      </c>
      <c r="F41" s="43"/>
      <c r="G41" s="26" t="e">
        <f t="shared" si="9"/>
        <v>#REF!</v>
      </c>
      <c r="H41" s="43"/>
      <c r="I41" s="26" t="e">
        <f t="shared" si="10"/>
        <v>#REF!</v>
      </c>
      <c r="J41" s="26" t="e">
        <f t="shared" si="11"/>
        <v>#REF!</v>
      </c>
      <c r="K41" s="69"/>
      <c r="L41" s="98"/>
      <c r="M41" s="98"/>
      <c r="N41" s="98"/>
    </row>
    <row r="42" spans="1:14" s="37" customFormat="1" x14ac:dyDescent="0.35">
      <c r="A42" s="88">
        <v>43690</v>
      </c>
      <c r="B42" s="32" t="s">
        <v>514</v>
      </c>
      <c r="C42" s="40"/>
      <c r="D42" s="40">
        <f>+(4*5.25)*1.05</f>
        <v>22.05</v>
      </c>
      <c r="E42" s="85" t="e">
        <f t="shared" si="8"/>
        <v>#REF!</v>
      </c>
      <c r="F42" s="86"/>
      <c r="G42" s="33" t="e">
        <f t="shared" si="9"/>
        <v>#REF!</v>
      </c>
      <c r="H42" s="86"/>
      <c r="I42" s="33" t="e">
        <f t="shared" si="10"/>
        <v>#REF!</v>
      </c>
      <c r="J42" s="33" t="e">
        <f t="shared" si="11"/>
        <v>#REF!</v>
      </c>
      <c r="K42" s="39"/>
      <c r="L42" s="35" t="e">
        <f>SUM(I41:I42)</f>
        <v>#REF!</v>
      </c>
      <c r="M42" s="35" t="e">
        <f>SUM(L42)</f>
        <v>#REF!</v>
      </c>
      <c r="N42" s="36">
        <v>43692</v>
      </c>
    </row>
    <row r="43" spans="1:14" s="71" customFormat="1" x14ac:dyDescent="0.35">
      <c r="A43" s="76">
        <v>43706</v>
      </c>
      <c r="B43" s="68" t="s">
        <v>553</v>
      </c>
      <c r="C43" s="74"/>
      <c r="D43" s="74">
        <v>0</v>
      </c>
      <c r="E43" s="85" t="e">
        <f t="shared" ref="E43" si="18">+E42-D43</f>
        <v>#REF!</v>
      </c>
      <c r="F43" s="86"/>
      <c r="G43" s="33" t="e">
        <f t="shared" ref="G43" si="19">+J42/E42</f>
        <v>#REF!</v>
      </c>
      <c r="H43" s="86"/>
      <c r="I43" s="33" t="e">
        <f t="shared" ref="I43" si="20">+D43*G43</f>
        <v>#REF!</v>
      </c>
      <c r="J43" s="33" t="e">
        <f t="shared" ref="J43" si="21">+J42-I43</f>
        <v>#REF!</v>
      </c>
      <c r="K43" s="39"/>
      <c r="L43" s="98"/>
      <c r="M43" s="98"/>
      <c r="N43" s="98"/>
    </row>
    <row r="44" spans="1:14" s="71" customFormat="1" x14ac:dyDescent="0.35">
      <c r="A44" s="76">
        <v>43756</v>
      </c>
      <c r="B44" s="68" t="s">
        <v>782</v>
      </c>
      <c r="C44" s="74">
        <v>14776.08</v>
      </c>
      <c r="D44" s="74"/>
      <c r="E44" s="42" t="e">
        <f>+E43+C44</f>
        <v>#REF!</v>
      </c>
      <c r="F44" s="43">
        <f>+H44/C44</f>
        <v>22.521164611994521</v>
      </c>
      <c r="G44" s="26"/>
      <c r="H44" s="43">
        <v>332774.53000000003</v>
      </c>
      <c r="I44" s="26"/>
      <c r="J44" s="26" t="e">
        <f>+J43+H44</f>
        <v>#REF!</v>
      </c>
      <c r="K44" s="69"/>
      <c r="L44" s="98"/>
      <c r="M44" s="98"/>
      <c r="N44" s="98"/>
    </row>
    <row r="45" spans="1:14" s="71" customFormat="1" x14ac:dyDescent="0.35">
      <c r="A45" s="76">
        <v>43760</v>
      </c>
      <c r="B45" s="68" t="s">
        <v>695</v>
      </c>
      <c r="C45" s="74"/>
      <c r="D45" s="74">
        <f>3*3</f>
        <v>9</v>
      </c>
      <c r="E45" s="42" t="e">
        <f>+E44-D45</f>
        <v>#REF!</v>
      </c>
      <c r="F45" s="43"/>
      <c r="G45" s="26" t="e">
        <f>+J44/E44</f>
        <v>#REF!</v>
      </c>
      <c r="H45" s="43"/>
      <c r="I45" s="26" t="e">
        <f t="shared" si="10"/>
        <v>#REF!</v>
      </c>
      <c r="J45" s="26" t="e">
        <f>+J44-I45</f>
        <v>#REF!</v>
      </c>
      <c r="K45" s="69"/>
      <c r="L45" s="98"/>
      <c r="M45" s="98"/>
      <c r="N45" s="98"/>
    </row>
    <row r="46" spans="1:14" s="71" customFormat="1" x14ac:dyDescent="0.35">
      <c r="A46" s="76">
        <v>43764</v>
      </c>
      <c r="B46" s="68" t="s">
        <v>710</v>
      </c>
      <c r="C46" s="74"/>
      <c r="D46" s="74">
        <f>+(6*2.5+4*1)*1.05+4</f>
        <v>23.95</v>
      </c>
      <c r="E46" s="42" t="e">
        <f t="shared" si="8"/>
        <v>#REF!</v>
      </c>
      <c r="F46" s="43"/>
      <c r="G46" s="26" t="e">
        <f t="shared" si="9"/>
        <v>#REF!</v>
      </c>
      <c r="H46" s="43"/>
      <c r="I46" s="26" t="e">
        <f t="shared" si="10"/>
        <v>#REF!</v>
      </c>
      <c r="J46" s="26" t="e">
        <f t="shared" si="11"/>
        <v>#REF!</v>
      </c>
      <c r="K46" s="69"/>
      <c r="L46" s="98"/>
      <c r="M46" s="98"/>
      <c r="N46" s="98"/>
    </row>
    <row r="47" spans="1:14" s="71" customFormat="1" x14ac:dyDescent="0.35">
      <c r="A47" s="76">
        <v>43764</v>
      </c>
      <c r="B47" s="68" t="s">
        <v>713</v>
      </c>
      <c r="C47" s="74"/>
      <c r="D47" s="74">
        <v>4</v>
      </c>
      <c r="E47" s="42" t="e">
        <f t="shared" si="8"/>
        <v>#REF!</v>
      </c>
      <c r="F47" s="43"/>
      <c r="G47" s="26" t="e">
        <f t="shared" si="9"/>
        <v>#REF!</v>
      </c>
      <c r="H47" s="43"/>
      <c r="I47" s="26" t="e">
        <f t="shared" si="10"/>
        <v>#REF!</v>
      </c>
      <c r="J47" s="26" t="e">
        <f t="shared" si="11"/>
        <v>#REF!</v>
      </c>
      <c r="K47" s="69"/>
      <c r="L47" s="98"/>
      <c r="M47" s="98"/>
      <c r="N47" s="98"/>
    </row>
    <row r="48" spans="1:14" s="37" customFormat="1" x14ac:dyDescent="0.35">
      <c r="A48" s="88">
        <v>43764</v>
      </c>
      <c r="B48" s="32" t="s">
        <v>717</v>
      </c>
      <c r="C48" s="40"/>
      <c r="D48" s="40">
        <f>10*6.7</f>
        <v>67</v>
      </c>
      <c r="E48" s="85" t="e">
        <f t="shared" si="8"/>
        <v>#REF!</v>
      </c>
      <c r="F48" s="86"/>
      <c r="G48" s="33" t="e">
        <f t="shared" si="9"/>
        <v>#REF!</v>
      </c>
      <c r="H48" s="86"/>
      <c r="I48" s="33" t="e">
        <f t="shared" si="10"/>
        <v>#REF!</v>
      </c>
      <c r="J48" s="33" t="e">
        <f t="shared" si="11"/>
        <v>#REF!</v>
      </c>
      <c r="K48" s="39"/>
      <c r="L48" s="35" t="e">
        <f>SUM(I45:I48)</f>
        <v>#REF!</v>
      </c>
      <c r="M48" s="35" t="e">
        <f>SUM(L48)</f>
        <v>#REF!</v>
      </c>
      <c r="N48" s="36">
        <v>43769</v>
      </c>
    </row>
    <row r="49" spans="1:14" s="37" customFormat="1" x14ac:dyDescent="0.35">
      <c r="A49" s="88">
        <v>43770</v>
      </c>
      <c r="B49" s="32" t="s">
        <v>721</v>
      </c>
      <c r="C49" s="40"/>
      <c r="D49" s="40">
        <f>5*7.5</f>
        <v>37.5</v>
      </c>
      <c r="E49" s="85" t="e">
        <f t="shared" si="8"/>
        <v>#REF!</v>
      </c>
      <c r="F49" s="86"/>
      <c r="G49" s="33" t="e">
        <f t="shared" si="9"/>
        <v>#REF!</v>
      </c>
      <c r="H49" s="86"/>
      <c r="I49" s="33" t="e">
        <f t="shared" si="10"/>
        <v>#REF!</v>
      </c>
      <c r="J49" s="33" t="e">
        <f t="shared" si="11"/>
        <v>#REF!</v>
      </c>
      <c r="K49" s="39"/>
      <c r="L49" s="35" t="e">
        <f>SUM(I49)</f>
        <v>#REF!</v>
      </c>
      <c r="M49" s="114"/>
      <c r="N49" s="36">
        <v>43784</v>
      </c>
    </row>
    <row r="50" spans="1:14" s="71" customFormat="1" x14ac:dyDescent="0.35">
      <c r="A50" s="76">
        <v>43791</v>
      </c>
      <c r="B50" s="68" t="s">
        <v>752</v>
      </c>
      <c r="C50" s="74"/>
      <c r="D50" s="74">
        <f>106.75*1.05</f>
        <v>112.08750000000001</v>
      </c>
      <c r="E50" s="42" t="e">
        <f t="shared" si="8"/>
        <v>#REF!</v>
      </c>
      <c r="F50" s="43"/>
      <c r="G50" s="26" t="e">
        <f t="shared" si="9"/>
        <v>#REF!</v>
      </c>
      <c r="H50" s="43"/>
      <c r="I50" s="26" t="e">
        <f t="shared" si="10"/>
        <v>#REF!</v>
      </c>
      <c r="J50" s="26" t="e">
        <f t="shared" si="11"/>
        <v>#REF!</v>
      </c>
      <c r="K50" s="69"/>
      <c r="L50" s="98"/>
      <c r="M50" s="98"/>
      <c r="N50" s="98"/>
    </row>
    <row r="51" spans="1:14" s="37" customFormat="1" x14ac:dyDescent="0.35">
      <c r="A51" s="88">
        <v>43797</v>
      </c>
      <c r="B51" s="32" t="s">
        <v>765</v>
      </c>
      <c r="C51" s="40"/>
      <c r="D51" s="40">
        <f>10*5.5</f>
        <v>55</v>
      </c>
      <c r="E51" s="85" t="e">
        <f t="shared" si="8"/>
        <v>#REF!</v>
      </c>
      <c r="F51" s="86"/>
      <c r="G51" s="33" t="e">
        <f t="shared" si="9"/>
        <v>#REF!</v>
      </c>
      <c r="H51" s="86"/>
      <c r="I51" s="33" t="e">
        <f t="shared" si="10"/>
        <v>#REF!</v>
      </c>
      <c r="J51" s="33" t="e">
        <f t="shared" si="11"/>
        <v>#REF!</v>
      </c>
      <c r="K51" s="39"/>
      <c r="L51" s="35" t="e">
        <f>SUM(I50:I51)</f>
        <v>#REF!</v>
      </c>
      <c r="M51" s="115" t="e">
        <f>SUM(L49:L51)</f>
        <v>#REF!</v>
      </c>
      <c r="N51" s="36">
        <v>43799</v>
      </c>
    </row>
    <row r="52" spans="1:14" x14ac:dyDescent="0.35">
      <c r="A52" s="76"/>
      <c r="B52" s="68" t="s">
        <v>832</v>
      </c>
      <c r="C52" s="74">
        <f>SUM(C9:C51)</f>
        <v>14776.08</v>
      </c>
      <c r="D52" s="74">
        <f>SUM(D9:D51)</f>
        <v>2655.329999999999</v>
      </c>
      <c r="E52" s="42"/>
      <c r="F52" s="43"/>
      <c r="G52" s="26"/>
      <c r="H52" s="74" t="e">
        <f t="shared" ref="H52:I52" si="22">SUM(H9:H51)</f>
        <v>#REF!</v>
      </c>
      <c r="I52" s="74" t="e">
        <f t="shared" si="22"/>
        <v>#REF!</v>
      </c>
      <c r="J52" s="26"/>
      <c r="K52" s="69"/>
      <c r="L52" s="1"/>
      <c r="M52" s="55" t="e">
        <f>SUM(M12:M51)</f>
        <v>#REF!</v>
      </c>
      <c r="N52" s="1"/>
    </row>
    <row r="53" spans="1:14" x14ac:dyDescent="0.35">
      <c r="A53" s="108"/>
      <c r="B53" s="5"/>
      <c r="C53" s="109"/>
      <c r="D53" s="109"/>
      <c r="E53" s="110"/>
      <c r="F53" s="111"/>
      <c r="G53" s="112"/>
      <c r="H53" s="111"/>
      <c r="I53" s="112"/>
      <c r="J53" s="112"/>
      <c r="K53" s="113"/>
    </row>
    <row r="54" spans="1:14" x14ac:dyDescent="0.35">
      <c r="A54" s="108"/>
      <c r="B54" s="5"/>
      <c r="C54" s="109"/>
      <c r="D54" s="109"/>
      <c r="E54" s="110"/>
      <c r="F54" s="111"/>
      <c r="G54" s="112"/>
      <c r="H54" s="111"/>
      <c r="I54" s="112"/>
      <c r="J54" s="112"/>
      <c r="K54" s="113"/>
    </row>
    <row r="55" spans="1:14" x14ac:dyDescent="0.35">
      <c r="A55" s="108"/>
      <c r="B55" s="5"/>
      <c r="C55" s="109"/>
      <c r="D55" s="109"/>
      <c r="E55" s="110"/>
      <c r="F55" s="111"/>
      <c r="G55" s="112"/>
      <c r="H55" s="111"/>
      <c r="I55" s="112"/>
      <c r="J55" s="112"/>
      <c r="K55" s="113"/>
    </row>
    <row r="56" spans="1:14" x14ac:dyDescent="0.35">
      <c r="A56" s="57" t="s">
        <v>23</v>
      </c>
      <c r="B56" s="5"/>
      <c r="C56" s="4"/>
      <c r="D56" s="4"/>
      <c r="E56" s="4"/>
      <c r="F56" s="4"/>
      <c r="G56" s="1"/>
      <c r="H56" s="1"/>
      <c r="I56" s="1"/>
      <c r="J56" s="1"/>
      <c r="M56" s="56"/>
    </row>
    <row r="57" spans="1:14" x14ac:dyDescent="0.35">
      <c r="A57" s="57" t="s">
        <v>669</v>
      </c>
      <c r="B57" s="5"/>
      <c r="C57" s="4"/>
      <c r="D57" s="4"/>
      <c r="E57" s="4"/>
      <c r="F57" s="4"/>
      <c r="G57" s="1"/>
      <c r="H57" s="1"/>
      <c r="I57" s="1"/>
      <c r="J57" s="58" t="e">
        <f>+E51*F44</f>
        <v>#REF!</v>
      </c>
    </row>
    <row r="58" spans="1:14" x14ac:dyDescent="0.35">
      <c r="A58" s="57" t="s">
        <v>24</v>
      </c>
      <c r="B58" s="5"/>
      <c r="C58" s="4"/>
      <c r="D58" s="4"/>
      <c r="E58" s="4"/>
      <c r="F58" s="4"/>
      <c r="G58" s="1"/>
      <c r="H58" s="1"/>
      <c r="I58" s="1"/>
      <c r="J58" s="59" t="e">
        <f>+J51</f>
        <v>#REF!</v>
      </c>
    </row>
    <row r="59" spans="1:14" ht="15" thickBot="1" x14ac:dyDescent="0.4">
      <c r="A59" s="57"/>
      <c r="B59" s="5" t="s">
        <v>25</v>
      </c>
      <c r="C59" s="4"/>
      <c r="D59" s="4"/>
      <c r="E59" s="4"/>
      <c r="F59" s="4"/>
      <c r="G59" s="1"/>
      <c r="H59" s="1"/>
      <c r="I59" s="1"/>
      <c r="J59" s="60" t="e">
        <f>+J57-J58</f>
        <v>#REF!</v>
      </c>
    </row>
    <row r="60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XFD345"/>
  <sheetViews>
    <sheetView topLeftCell="B259" workbookViewId="0">
      <selection activeCell="G137" sqref="G137"/>
    </sheetView>
  </sheetViews>
  <sheetFormatPr baseColWidth="10" defaultRowHeight="14.5" x14ac:dyDescent="0.35"/>
  <cols>
    <col min="2" max="2" width="30.54296875" customWidth="1"/>
    <col min="12" max="12" width="10.453125" customWidth="1"/>
    <col min="13" max="13" width="10" customWidth="1"/>
    <col min="14" max="14" width="9.179687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31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  <c r="L8" s="1"/>
      <c r="M8" s="1"/>
      <c r="N8" s="1"/>
    </row>
    <row r="9" spans="1:14" x14ac:dyDescent="0.35">
      <c r="A9" s="23">
        <v>43467</v>
      </c>
      <c r="B9" s="24" t="s">
        <v>22</v>
      </c>
      <c r="C9" s="25"/>
      <c r="D9" s="26"/>
      <c r="E9" s="27" t="e">
        <f>+#REF!</f>
        <v>#REF!</v>
      </c>
      <c r="F9" s="26" t="e">
        <f>+H9/E9</f>
        <v>#REF!</v>
      </c>
      <c r="G9" s="26"/>
      <c r="H9" s="28">
        <v>714555.56</v>
      </c>
      <c r="I9" s="29"/>
      <c r="J9" s="29">
        <f>+H9</f>
        <v>714555.56</v>
      </c>
      <c r="K9" s="30"/>
      <c r="L9" s="1"/>
      <c r="M9" s="1"/>
      <c r="N9" s="1"/>
    </row>
    <row r="10" spans="1:14" s="71" customFormat="1" x14ac:dyDescent="0.35">
      <c r="A10" s="23">
        <v>43467</v>
      </c>
      <c r="B10" s="68" t="s">
        <v>35</v>
      </c>
      <c r="C10" s="26"/>
      <c r="D10" s="26">
        <f>16*6.3</f>
        <v>100.8</v>
      </c>
      <c r="E10" s="42" t="e">
        <f>+E9-D10</f>
        <v>#REF!</v>
      </c>
      <c r="F10" s="43"/>
      <c r="G10" s="26" t="e">
        <f>+J9/E9</f>
        <v>#REF!</v>
      </c>
      <c r="H10" s="43"/>
      <c r="I10" s="26" t="e">
        <f>+D10*G10</f>
        <v>#REF!</v>
      </c>
      <c r="J10" s="26" t="e">
        <f>+J9-I10</f>
        <v>#REF!</v>
      </c>
      <c r="K10" s="70"/>
      <c r="L10" s="98"/>
      <c r="M10" s="98"/>
      <c r="N10" s="98"/>
    </row>
    <row r="11" spans="1:14" s="71" customFormat="1" x14ac:dyDescent="0.35">
      <c r="A11" s="23">
        <v>43468</v>
      </c>
      <c r="B11" s="68" t="s">
        <v>37</v>
      </c>
      <c r="C11" s="26"/>
      <c r="D11" s="26">
        <f>6+5</f>
        <v>11</v>
      </c>
      <c r="E11" s="42" t="e">
        <f t="shared" ref="E11:E31" si="0">+E10-D11</f>
        <v>#REF!</v>
      </c>
      <c r="F11" s="43"/>
      <c r="G11" s="26" t="e">
        <f t="shared" ref="G11:G31" si="1">+J10/E10</f>
        <v>#REF!</v>
      </c>
      <c r="H11" s="43"/>
      <c r="I11" s="26" t="e">
        <f t="shared" ref="I11:I31" si="2">+D11*G11</f>
        <v>#REF!</v>
      </c>
      <c r="J11" s="26" t="e">
        <f t="shared" ref="J11:J31" si="3">+J10-I11</f>
        <v>#REF!</v>
      </c>
      <c r="K11" s="70"/>
      <c r="L11" s="98"/>
      <c r="M11" s="98"/>
      <c r="N11" s="98"/>
    </row>
    <row r="12" spans="1:14" s="71" customFormat="1" x14ac:dyDescent="0.35">
      <c r="A12" s="23">
        <v>43469</v>
      </c>
      <c r="B12" s="68" t="s">
        <v>38</v>
      </c>
      <c r="C12" s="26"/>
      <c r="D12" s="26">
        <f>5*5</f>
        <v>25</v>
      </c>
      <c r="E12" s="42" t="e">
        <f t="shared" si="0"/>
        <v>#REF!</v>
      </c>
      <c r="F12" s="43"/>
      <c r="G12" s="26" t="e">
        <f t="shared" si="1"/>
        <v>#REF!</v>
      </c>
      <c r="H12" s="43"/>
      <c r="I12" s="26" t="e">
        <f t="shared" si="2"/>
        <v>#REF!</v>
      </c>
      <c r="J12" s="26" t="e">
        <f t="shared" si="3"/>
        <v>#REF!</v>
      </c>
      <c r="K12" s="70"/>
      <c r="L12" s="98"/>
      <c r="M12" s="98"/>
      <c r="N12" s="98"/>
    </row>
    <row r="13" spans="1:14" s="71" customFormat="1" x14ac:dyDescent="0.35">
      <c r="A13" s="23">
        <v>43469</v>
      </c>
      <c r="B13" s="68" t="s">
        <v>39</v>
      </c>
      <c r="C13" s="26"/>
      <c r="D13" s="26">
        <f>10*6.7</f>
        <v>67</v>
      </c>
      <c r="E13" s="42" t="e">
        <f t="shared" si="0"/>
        <v>#REF!</v>
      </c>
      <c r="F13" s="43"/>
      <c r="G13" s="26" t="e">
        <f t="shared" si="1"/>
        <v>#REF!</v>
      </c>
      <c r="H13" s="43"/>
      <c r="I13" s="26" t="e">
        <f t="shared" si="2"/>
        <v>#REF!</v>
      </c>
      <c r="J13" s="26" t="e">
        <f t="shared" si="3"/>
        <v>#REF!</v>
      </c>
      <c r="K13" s="70"/>
      <c r="L13" s="98"/>
      <c r="M13" s="98"/>
      <c r="N13" s="98"/>
    </row>
    <row r="14" spans="1:14" s="71" customFormat="1" x14ac:dyDescent="0.35">
      <c r="A14" s="72">
        <v>43470</v>
      </c>
      <c r="B14" s="68" t="s">
        <v>41</v>
      </c>
      <c r="C14" s="69"/>
      <c r="D14" s="26">
        <f>8*3.5</f>
        <v>28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70"/>
      <c r="L14" s="98"/>
      <c r="M14" s="98"/>
      <c r="N14" s="98"/>
    </row>
    <row r="15" spans="1:14" s="71" customFormat="1" x14ac:dyDescent="0.35">
      <c r="A15" s="72">
        <v>43470</v>
      </c>
      <c r="B15" s="68" t="s">
        <v>42</v>
      </c>
      <c r="C15" s="69"/>
      <c r="D15" s="26">
        <v>2</v>
      </c>
      <c r="E15" s="42" t="e">
        <f t="shared" si="0"/>
        <v>#REF!</v>
      </c>
      <c r="F15" s="43"/>
      <c r="G15" s="26" t="e">
        <f t="shared" si="1"/>
        <v>#REF!</v>
      </c>
      <c r="H15" s="43"/>
      <c r="I15" s="26" t="e">
        <f t="shared" si="2"/>
        <v>#REF!</v>
      </c>
      <c r="J15" s="26" t="e">
        <f t="shared" si="3"/>
        <v>#REF!</v>
      </c>
      <c r="K15" s="70"/>
      <c r="L15" s="98"/>
      <c r="M15" s="98"/>
      <c r="N15" s="98"/>
    </row>
    <row r="16" spans="1:14" s="71" customFormat="1" x14ac:dyDescent="0.35">
      <c r="A16" s="72">
        <v>43472</v>
      </c>
      <c r="B16" s="68" t="s">
        <v>43</v>
      </c>
      <c r="C16" s="69"/>
      <c r="D16" s="26">
        <f>6*4</f>
        <v>24</v>
      </c>
      <c r="E16" s="42" t="e">
        <f t="shared" si="0"/>
        <v>#REF!</v>
      </c>
      <c r="F16" s="43"/>
      <c r="G16" s="26" t="e">
        <f t="shared" si="1"/>
        <v>#REF!</v>
      </c>
      <c r="H16" s="43"/>
      <c r="I16" s="26" t="e">
        <f t="shared" si="2"/>
        <v>#REF!</v>
      </c>
      <c r="J16" s="26" t="e">
        <f t="shared" si="3"/>
        <v>#REF!</v>
      </c>
      <c r="K16" s="70"/>
      <c r="L16" s="98"/>
      <c r="M16" s="98"/>
      <c r="N16" s="98"/>
    </row>
    <row r="17" spans="1:14" s="71" customFormat="1" x14ac:dyDescent="0.35">
      <c r="A17" s="72">
        <v>43473</v>
      </c>
      <c r="B17" s="68" t="s">
        <v>47</v>
      </c>
      <c r="C17" s="69"/>
      <c r="D17" s="26">
        <f>15*4.4+18*4.8+25*4.55</f>
        <v>266.14999999999998</v>
      </c>
      <c r="E17" s="42" t="e">
        <f t="shared" si="0"/>
        <v>#REF!</v>
      </c>
      <c r="F17" s="43"/>
      <c r="G17" s="26" t="e">
        <f t="shared" si="1"/>
        <v>#REF!</v>
      </c>
      <c r="H17" s="43"/>
      <c r="I17" s="26" t="e">
        <f t="shared" si="2"/>
        <v>#REF!</v>
      </c>
      <c r="J17" s="26" t="e">
        <f t="shared" si="3"/>
        <v>#REF!</v>
      </c>
      <c r="K17" s="70"/>
      <c r="L17" s="98"/>
      <c r="M17" s="98"/>
      <c r="N17" s="98"/>
    </row>
    <row r="18" spans="1:14" s="71" customFormat="1" x14ac:dyDescent="0.35">
      <c r="A18" s="72">
        <v>43473</v>
      </c>
      <c r="B18" s="68" t="s">
        <v>49</v>
      </c>
      <c r="C18" s="69"/>
      <c r="D18" s="26">
        <f>9*4</f>
        <v>36</v>
      </c>
      <c r="E18" s="42" t="e">
        <f t="shared" si="0"/>
        <v>#REF!</v>
      </c>
      <c r="F18" s="43"/>
      <c r="G18" s="26" t="e">
        <f t="shared" si="1"/>
        <v>#REF!</v>
      </c>
      <c r="H18" s="43"/>
      <c r="I18" s="26" t="e">
        <f t="shared" si="2"/>
        <v>#REF!</v>
      </c>
      <c r="J18" s="26" t="e">
        <f t="shared" si="3"/>
        <v>#REF!</v>
      </c>
      <c r="K18" s="70"/>
      <c r="L18" s="98"/>
      <c r="M18" s="98"/>
      <c r="N18" s="98"/>
    </row>
    <row r="19" spans="1:14" s="71" customFormat="1" x14ac:dyDescent="0.35">
      <c r="A19" s="23">
        <v>43474</v>
      </c>
      <c r="B19" s="68" t="s">
        <v>55</v>
      </c>
      <c r="C19" s="73"/>
      <c r="D19" s="26">
        <f>7*4.82</f>
        <v>33.74</v>
      </c>
      <c r="E19" s="42" t="e">
        <f t="shared" si="0"/>
        <v>#REF!</v>
      </c>
      <c r="F19" s="43"/>
      <c r="G19" s="26" t="e">
        <f t="shared" si="1"/>
        <v>#REF!</v>
      </c>
      <c r="H19" s="43"/>
      <c r="I19" s="26" t="e">
        <f t="shared" si="2"/>
        <v>#REF!</v>
      </c>
      <c r="J19" s="26" t="e">
        <f t="shared" si="3"/>
        <v>#REF!</v>
      </c>
      <c r="K19" s="70"/>
      <c r="L19" s="98"/>
      <c r="M19" s="98"/>
      <c r="N19" s="98"/>
    </row>
    <row r="20" spans="1:14" s="71" customFormat="1" x14ac:dyDescent="0.35">
      <c r="A20" s="23">
        <v>43475</v>
      </c>
      <c r="B20" s="68" t="s">
        <v>56</v>
      </c>
      <c r="C20" s="26"/>
      <c r="D20" s="26">
        <f>10*2.5</f>
        <v>25</v>
      </c>
      <c r="E20" s="42" t="e">
        <f t="shared" si="0"/>
        <v>#REF!</v>
      </c>
      <c r="F20" s="43"/>
      <c r="G20" s="26" t="e">
        <f t="shared" si="1"/>
        <v>#REF!</v>
      </c>
      <c r="H20" s="43"/>
      <c r="I20" s="26" t="e">
        <f t="shared" si="2"/>
        <v>#REF!</v>
      </c>
      <c r="J20" s="26" t="e">
        <f t="shared" si="3"/>
        <v>#REF!</v>
      </c>
      <c r="K20" s="70"/>
      <c r="L20" s="98"/>
      <c r="M20" s="98"/>
      <c r="N20" s="98"/>
    </row>
    <row r="21" spans="1:14" s="71" customFormat="1" x14ac:dyDescent="0.35">
      <c r="A21" s="23">
        <v>43475</v>
      </c>
      <c r="B21" s="68" t="s">
        <v>59</v>
      </c>
      <c r="C21" s="26"/>
      <c r="D21" s="26">
        <f>6*4.5</f>
        <v>27</v>
      </c>
      <c r="E21" s="42" t="e">
        <f t="shared" si="0"/>
        <v>#REF!</v>
      </c>
      <c r="F21" s="43"/>
      <c r="G21" s="26" t="e">
        <f t="shared" si="1"/>
        <v>#REF!</v>
      </c>
      <c r="H21" s="43"/>
      <c r="I21" s="26" t="e">
        <f t="shared" si="2"/>
        <v>#REF!</v>
      </c>
      <c r="J21" s="26" t="e">
        <f t="shared" si="3"/>
        <v>#REF!</v>
      </c>
      <c r="K21" s="70"/>
      <c r="L21" s="98"/>
      <c r="M21" s="98"/>
      <c r="N21" s="98"/>
    </row>
    <row r="22" spans="1:14" s="71" customFormat="1" x14ac:dyDescent="0.35">
      <c r="A22" s="23">
        <v>43477</v>
      </c>
      <c r="B22" s="68" t="s">
        <v>63</v>
      </c>
      <c r="C22" s="26"/>
      <c r="D22" s="26">
        <f>26*5+6*2.4</f>
        <v>144.4</v>
      </c>
      <c r="E22" s="42" t="e">
        <f t="shared" si="0"/>
        <v>#REF!</v>
      </c>
      <c r="F22" s="43"/>
      <c r="G22" s="26" t="e">
        <f t="shared" si="1"/>
        <v>#REF!</v>
      </c>
      <c r="H22" s="43"/>
      <c r="I22" s="26" t="e">
        <f t="shared" si="2"/>
        <v>#REF!</v>
      </c>
      <c r="J22" s="26" t="e">
        <f t="shared" si="3"/>
        <v>#REF!</v>
      </c>
      <c r="K22" s="70"/>
      <c r="L22" s="98"/>
      <c r="M22" s="98"/>
      <c r="N22" s="98"/>
    </row>
    <row r="23" spans="1:14" s="71" customFormat="1" x14ac:dyDescent="0.35">
      <c r="A23" s="23">
        <v>43479</v>
      </c>
      <c r="B23" s="68" t="s">
        <v>67</v>
      </c>
      <c r="C23" s="26"/>
      <c r="D23" s="26">
        <f>17*5.15</f>
        <v>87.550000000000011</v>
      </c>
      <c r="E23" s="42" t="e">
        <f t="shared" si="0"/>
        <v>#REF!</v>
      </c>
      <c r="F23" s="43"/>
      <c r="G23" s="26" t="e">
        <f t="shared" si="1"/>
        <v>#REF!</v>
      </c>
      <c r="H23" s="43"/>
      <c r="I23" s="26" t="e">
        <f t="shared" si="2"/>
        <v>#REF!</v>
      </c>
      <c r="J23" s="26" t="e">
        <f t="shared" si="3"/>
        <v>#REF!</v>
      </c>
      <c r="K23" s="70"/>
      <c r="L23" s="98"/>
      <c r="M23" s="98"/>
      <c r="N23" s="98"/>
    </row>
    <row r="24" spans="1:14" s="71" customFormat="1" x14ac:dyDescent="0.35">
      <c r="A24" s="23">
        <v>43479</v>
      </c>
      <c r="B24" s="68" t="s">
        <v>68</v>
      </c>
      <c r="C24" s="26"/>
      <c r="D24" s="26">
        <f>28*3</f>
        <v>84</v>
      </c>
      <c r="E24" s="42" t="e">
        <f t="shared" si="0"/>
        <v>#REF!</v>
      </c>
      <c r="F24" s="43"/>
      <c r="G24" s="26" t="e">
        <f t="shared" si="1"/>
        <v>#REF!</v>
      </c>
      <c r="H24" s="43"/>
      <c r="I24" s="26" t="e">
        <f t="shared" si="2"/>
        <v>#REF!</v>
      </c>
      <c r="J24" s="26" t="e">
        <f t="shared" si="3"/>
        <v>#REF!</v>
      </c>
      <c r="K24" s="70"/>
      <c r="L24" s="98"/>
      <c r="M24" s="98"/>
      <c r="N24" s="98"/>
    </row>
    <row r="25" spans="1:14" s="71" customFormat="1" x14ac:dyDescent="0.35">
      <c r="A25" s="23">
        <v>43480</v>
      </c>
      <c r="B25" s="68" t="s">
        <v>69</v>
      </c>
      <c r="C25" s="26"/>
      <c r="D25" s="26">
        <f>12*3.4</f>
        <v>40.799999999999997</v>
      </c>
      <c r="E25" s="42" t="e">
        <f t="shared" si="0"/>
        <v>#REF!</v>
      </c>
      <c r="F25" s="43"/>
      <c r="G25" s="26" t="e">
        <f t="shared" si="1"/>
        <v>#REF!</v>
      </c>
      <c r="H25" s="43"/>
      <c r="I25" s="26" t="e">
        <f t="shared" si="2"/>
        <v>#REF!</v>
      </c>
      <c r="J25" s="26" t="e">
        <f t="shared" si="3"/>
        <v>#REF!</v>
      </c>
      <c r="K25" s="70"/>
      <c r="L25" s="98"/>
      <c r="M25" s="98"/>
      <c r="N25" s="98"/>
    </row>
    <row r="26" spans="1:14" s="71" customFormat="1" x14ac:dyDescent="0.35">
      <c r="A26" s="23">
        <v>43115</v>
      </c>
      <c r="B26" s="68" t="s">
        <v>70</v>
      </c>
      <c r="C26" s="26"/>
      <c r="D26" s="26">
        <f>5*4.5</f>
        <v>22.5</v>
      </c>
      <c r="E26" s="42" t="e">
        <f t="shared" si="0"/>
        <v>#REF!</v>
      </c>
      <c r="F26" s="43"/>
      <c r="G26" s="26" t="e">
        <f t="shared" si="1"/>
        <v>#REF!</v>
      </c>
      <c r="H26" s="43"/>
      <c r="I26" s="26" t="e">
        <f t="shared" si="2"/>
        <v>#REF!</v>
      </c>
      <c r="J26" s="26" t="e">
        <f t="shared" si="3"/>
        <v>#REF!</v>
      </c>
      <c r="K26" s="70"/>
      <c r="L26" s="98"/>
      <c r="M26" s="98"/>
      <c r="N26" s="98"/>
    </row>
    <row r="27" spans="1:14" s="37" customFormat="1" x14ac:dyDescent="0.35">
      <c r="A27" s="31">
        <v>43480</v>
      </c>
      <c r="B27" s="32" t="s">
        <v>73</v>
      </c>
      <c r="C27" s="33"/>
      <c r="D27" s="33">
        <f>6*4.1</f>
        <v>24.599999999999998</v>
      </c>
      <c r="E27" s="85" t="e">
        <f t="shared" si="0"/>
        <v>#REF!</v>
      </c>
      <c r="F27" s="86"/>
      <c r="G27" s="33" t="e">
        <f t="shared" si="1"/>
        <v>#REF!</v>
      </c>
      <c r="H27" s="86"/>
      <c r="I27" s="33" t="e">
        <f t="shared" si="2"/>
        <v>#REF!</v>
      </c>
      <c r="J27" s="33" t="e">
        <f t="shared" si="3"/>
        <v>#REF!</v>
      </c>
      <c r="K27" s="34"/>
      <c r="L27" s="35" t="e">
        <f>SUM(I10:I27)</f>
        <v>#REF!</v>
      </c>
      <c r="M27" s="114"/>
      <c r="N27" s="36">
        <v>43480</v>
      </c>
    </row>
    <row r="28" spans="1:14" s="71" customFormat="1" x14ac:dyDescent="0.35">
      <c r="A28" s="75">
        <v>43481</v>
      </c>
      <c r="B28" s="68" t="s">
        <v>78</v>
      </c>
      <c r="C28" s="26"/>
      <c r="D28" s="26">
        <f>4*4.2</f>
        <v>16.8</v>
      </c>
      <c r="E28" s="42" t="e">
        <f t="shared" si="0"/>
        <v>#REF!</v>
      </c>
      <c r="F28" s="43"/>
      <c r="G28" s="26" t="e">
        <f t="shared" si="1"/>
        <v>#REF!</v>
      </c>
      <c r="H28" s="43"/>
      <c r="I28" s="26" t="e">
        <f t="shared" si="2"/>
        <v>#REF!</v>
      </c>
      <c r="J28" s="26" t="e">
        <f t="shared" si="3"/>
        <v>#REF!</v>
      </c>
      <c r="K28" s="68"/>
      <c r="L28" s="98"/>
      <c r="M28" s="98"/>
      <c r="N28" s="98"/>
    </row>
    <row r="29" spans="1:14" s="71" customFormat="1" x14ac:dyDescent="0.35">
      <c r="A29" s="75">
        <v>43481</v>
      </c>
      <c r="B29" s="68" t="s">
        <v>79</v>
      </c>
      <c r="C29" s="26"/>
      <c r="D29" s="26">
        <v>500</v>
      </c>
      <c r="E29" s="42" t="e">
        <f t="shared" si="0"/>
        <v>#REF!</v>
      </c>
      <c r="F29" s="43"/>
      <c r="G29" s="26" t="e">
        <f t="shared" si="1"/>
        <v>#REF!</v>
      </c>
      <c r="H29" s="43"/>
      <c r="I29" s="26" t="e">
        <f t="shared" si="2"/>
        <v>#REF!</v>
      </c>
      <c r="J29" s="26" t="e">
        <f t="shared" si="3"/>
        <v>#REF!</v>
      </c>
      <c r="K29" s="68"/>
      <c r="L29" s="98"/>
      <c r="M29" s="98"/>
      <c r="N29" s="98"/>
    </row>
    <row r="30" spans="1:14" s="71" customFormat="1" x14ac:dyDescent="0.35">
      <c r="A30" s="75">
        <v>43482</v>
      </c>
      <c r="B30" s="68" t="s">
        <v>80</v>
      </c>
      <c r="C30" s="26"/>
      <c r="D30" s="26">
        <f>10*3.6</f>
        <v>36</v>
      </c>
      <c r="E30" s="42" t="e">
        <f t="shared" si="0"/>
        <v>#REF!</v>
      </c>
      <c r="F30" s="43"/>
      <c r="G30" s="26" t="e">
        <f t="shared" si="1"/>
        <v>#REF!</v>
      </c>
      <c r="H30" s="43"/>
      <c r="I30" s="26" t="e">
        <f t="shared" si="2"/>
        <v>#REF!</v>
      </c>
      <c r="J30" s="26" t="e">
        <f t="shared" si="3"/>
        <v>#REF!</v>
      </c>
      <c r="K30" s="68"/>
      <c r="L30" s="98"/>
      <c r="M30" s="98"/>
      <c r="N30" s="98"/>
    </row>
    <row r="31" spans="1:14" s="71" customFormat="1" x14ac:dyDescent="0.35">
      <c r="A31" s="76">
        <v>43482</v>
      </c>
      <c r="B31" s="68" t="s">
        <v>81</v>
      </c>
      <c r="C31" s="74"/>
      <c r="D31" s="26">
        <f>17*0.4</f>
        <v>6.8000000000000007</v>
      </c>
      <c r="E31" s="42" t="e">
        <f t="shared" si="0"/>
        <v>#REF!</v>
      </c>
      <c r="F31" s="43"/>
      <c r="G31" s="26" t="e">
        <f t="shared" si="1"/>
        <v>#REF!</v>
      </c>
      <c r="H31" s="43"/>
      <c r="I31" s="26" t="e">
        <f t="shared" si="2"/>
        <v>#REF!</v>
      </c>
      <c r="J31" s="26" t="e">
        <f t="shared" si="3"/>
        <v>#REF!</v>
      </c>
      <c r="K31" s="69"/>
      <c r="L31" s="98"/>
      <c r="M31" s="98"/>
      <c r="N31" s="98"/>
    </row>
    <row r="32" spans="1:14" s="71" customFormat="1" x14ac:dyDescent="0.35">
      <c r="A32" s="76">
        <v>43482</v>
      </c>
      <c r="B32" s="68" t="s">
        <v>82</v>
      </c>
      <c r="C32" s="74"/>
      <c r="D32" s="26">
        <f>4*2.5</f>
        <v>10</v>
      </c>
      <c r="E32" s="42" t="e">
        <f t="shared" ref="E32:E57" si="4">+E31-D32</f>
        <v>#REF!</v>
      </c>
      <c r="F32" s="43"/>
      <c r="G32" s="26" t="e">
        <f t="shared" ref="G32:G57" si="5">+J31/E31</f>
        <v>#REF!</v>
      </c>
      <c r="H32" s="43"/>
      <c r="I32" s="26" t="e">
        <f t="shared" ref="I32:I57" si="6">+D32*G32</f>
        <v>#REF!</v>
      </c>
      <c r="J32" s="26" t="e">
        <f t="shared" ref="J32:J57" si="7">+J31-I32</f>
        <v>#REF!</v>
      </c>
      <c r="K32" s="69"/>
      <c r="L32" s="98"/>
      <c r="M32" s="98"/>
      <c r="N32" s="98"/>
    </row>
    <row r="33" spans="1:14" s="71" customFormat="1" x14ac:dyDescent="0.35">
      <c r="A33" s="76">
        <v>43483</v>
      </c>
      <c r="B33" s="68" t="s">
        <v>84</v>
      </c>
      <c r="C33" s="74"/>
      <c r="D33" s="26">
        <f>11*4+10*4.2+9*4.6+2</f>
        <v>129.4</v>
      </c>
      <c r="E33" s="42" t="e">
        <f t="shared" si="4"/>
        <v>#REF!</v>
      </c>
      <c r="F33" s="43"/>
      <c r="G33" s="26" t="e">
        <f t="shared" si="5"/>
        <v>#REF!</v>
      </c>
      <c r="H33" s="43"/>
      <c r="I33" s="26" t="e">
        <f t="shared" si="6"/>
        <v>#REF!</v>
      </c>
      <c r="J33" s="26" t="e">
        <f t="shared" si="7"/>
        <v>#REF!</v>
      </c>
      <c r="K33" s="69"/>
      <c r="L33" s="98"/>
      <c r="M33" s="98"/>
      <c r="N33" s="98"/>
    </row>
    <row r="34" spans="1:14" s="71" customFormat="1" x14ac:dyDescent="0.35">
      <c r="A34" s="76">
        <v>43483</v>
      </c>
      <c r="B34" s="68" t="s">
        <v>86</v>
      </c>
      <c r="C34" s="74"/>
      <c r="D34" s="26">
        <f>3*3.5</f>
        <v>10.5</v>
      </c>
      <c r="E34" s="42" t="e">
        <f t="shared" si="4"/>
        <v>#REF!</v>
      </c>
      <c r="F34" s="43"/>
      <c r="G34" s="26" t="e">
        <f t="shared" si="5"/>
        <v>#REF!</v>
      </c>
      <c r="H34" s="43"/>
      <c r="I34" s="26" t="e">
        <f t="shared" si="6"/>
        <v>#REF!</v>
      </c>
      <c r="J34" s="26" t="e">
        <f t="shared" si="7"/>
        <v>#REF!</v>
      </c>
      <c r="K34" s="69"/>
      <c r="L34" s="98"/>
      <c r="M34" s="98"/>
      <c r="N34" s="98"/>
    </row>
    <row r="35" spans="1:14" s="71" customFormat="1" x14ac:dyDescent="0.35">
      <c r="A35" s="76">
        <v>43484</v>
      </c>
      <c r="B35" s="68" t="s">
        <v>92</v>
      </c>
      <c r="C35" s="74"/>
      <c r="D35" s="26">
        <v>0</v>
      </c>
      <c r="E35" s="42" t="e">
        <f t="shared" si="4"/>
        <v>#REF!</v>
      </c>
      <c r="F35" s="43"/>
      <c r="G35" s="26" t="e">
        <f t="shared" si="5"/>
        <v>#REF!</v>
      </c>
      <c r="H35" s="43"/>
      <c r="I35" s="26" t="e">
        <f t="shared" si="6"/>
        <v>#REF!</v>
      </c>
      <c r="J35" s="26" t="e">
        <f t="shared" si="7"/>
        <v>#REF!</v>
      </c>
      <c r="K35" s="69"/>
      <c r="L35" s="98"/>
      <c r="M35" s="98"/>
      <c r="N35" s="98"/>
    </row>
    <row r="36" spans="1:14" s="71" customFormat="1" x14ac:dyDescent="0.35">
      <c r="A36" s="76">
        <v>43484</v>
      </c>
      <c r="B36" s="68" t="s">
        <v>93</v>
      </c>
      <c r="C36" s="74"/>
      <c r="D36" s="26">
        <f>22*3.5</f>
        <v>77</v>
      </c>
      <c r="E36" s="42" t="e">
        <f t="shared" si="4"/>
        <v>#REF!</v>
      </c>
      <c r="F36" s="43"/>
      <c r="G36" s="26" t="e">
        <f t="shared" si="5"/>
        <v>#REF!</v>
      </c>
      <c r="H36" s="43"/>
      <c r="I36" s="26" t="e">
        <f t="shared" si="6"/>
        <v>#REF!</v>
      </c>
      <c r="J36" s="26" t="e">
        <f t="shared" si="7"/>
        <v>#REF!</v>
      </c>
      <c r="K36" s="69"/>
      <c r="L36" s="98"/>
      <c r="M36" s="98"/>
      <c r="N36" s="98"/>
    </row>
    <row r="37" spans="1:14" s="71" customFormat="1" x14ac:dyDescent="0.35">
      <c r="A37" s="76">
        <v>43484</v>
      </c>
      <c r="B37" s="68" t="s">
        <v>95</v>
      </c>
      <c r="C37" s="74"/>
      <c r="D37" s="26">
        <f>8*4</f>
        <v>32</v>
      </c>
      <c r="E37" s="42" t="e">
        <f t="shared" si="4"/>
        <v>#REF!</v>
      </c>
      <c r="F37" s="43"/>
      <c r="G37" s="26" t="e">
        <f t="shared" si="5"/>
        <v>#REF!</v>
      </c>
      <c r="H37" s="43"/>
      <c r="I37" s="26" t="e">
        <f t="shared" si="6"/>
        <v>#REF!</v>
      </c>
      <c r="J37" s="26" t="e">
        <f t="shared" si="7"/>
        <v>#REF!</v>
      </c>
      <c r="K37" s="69"/>
      <c r="L37" s="98"/>
      <c r="M37" s="98"/>
      <c r="N37" s="98"/>
    </row>
    <row r="38" spans="1:14" s="71" customFormat="1" x14ac:dyDescent="0.35">
      <c r="A38" s="76">
        <v>43484</v>
      </c>
      <c r="B38" s="68" t="s">
        <v>97</v>
      </c>
      <c r="C38" s="74"/>
      <c r="D38" s="26">
        <f>18*6+5.2</f>
        <v>113.2</v>
      </c>
      <c r="E38" s="42" t="e">
        <f t="shared" si="4"/>
        <v>#REF!</v>
      </c>
      <c r="F38" s="43"/>
      <c r="G38" s="26" t="e">
        <f t="shared" si="5"/>
        <v>#REF!</v>
      </c>
      <c r="H38" s="43"/>
      <c r="I38" s="26" t="e">
        <f t="shared" si="6"/>
        <v>#REF!</v>
      </c>
      <c r="J38" s="26" t="e">
        <f t="shared" si="7"/>
        <v>#REF!</v>
      </c>
      <c r="K38" s="69"/>
      <c r="L38" s="98"/>
      <c r="M38" s="98"/>
      <c r="N38" s="98"/>
    </row>
    <row r="39" spans="1:14" s="71" customFormat="1" x14ac:dyDescent="0.35">
      <c r="A39" s="76">
        <v>43486</v>
      </c>
      <c r="B39" s="68" t="s">
        <v>99</v>
      </c>
      <c r="C39" s="74"/>
      <c r="D39" s="26">
        <f>3*1.5</f>
        <v>4.5</v>
      </c>
      <c r="E39" s="42" t="e">
        <f t="shared" si="4"/>
        <v>#REF!</v>
      </c>
      <c r="F39" s="43"/>
      <c r="G39" s="26" t="e">
        <f t="shared" si="5"/>
        <v>#REF!</v>
      </c>
      <c r="H39" s="43"/>
      <c r="I39" s="26" t="e">
        <f t="shared" si="6"/>
        <v>#REF!</v>
      </c>
      <c r="J39" s="26" t="e">
        <f t="shared" si="7"/>
        <v>#REF!</v>
      </c>
      <c r="K39" s="69"/>
      <c r="L39" s="98"/>
      <c r="M39" s="98"/>
      <c r="N39" s="98"/>
    </row>
    <row r="40" spans="1:14" s="71" customFormat="1" x14ac:dyDescent="0.35">
      <c r="A40" s="76">
        <v>43486</v>
      </c>
      <c r="B40" s="68" t="s">
        <v>108</v>
      </c>
      <c r="C40" s="74"/>
      <c r="D40" s="26">
        <f>10*6</f>
        <v>60</v>
      </c>
      <c r="E40" s="42" t="e">
        <f t="shared" si="4"/>
        <v>#REF!</v>
      </c>
      <c r="F40" s="43"/>
      <c r="G40" s="26" t="e">
        <f t="shared" si="5"/>
        <v>#REF!</v>
      </c>
      <c r="H40" s="43"/>
      <c r="I40" s="26" t="e">
        <f t="shared" si="6"/>
        <v>#REF!</v>
      </c>
      <c r="J40" s="26" t="e">
        <f t="shared" si="7"/>
        <v>#REF!</v>
      </c>
      <c r="K40" s="69"/>
      <c r="L40" s="98"/>
      <c r="M40" s="98"/>
      <c r="N40" s="98"/>
    </row>
    <row r="41" spans="1:14" s="71" customFormat="1" x14ac:dyDescent="0.35">
      <c r="A41" s="76">
        <v>43488</v>
      </c>
      <c r="B41" s="68" t="s">
        <v>109</v>
      </c>
      <c r="C41" s="74"/>
      <c r="D41" s="26">
        <f>6*3.8+5*4.5+3</f>
        <v>48.3</v>
      </c>
      <c r="E41" s="42" t="e">
        <f t="shared" si="4"/>
        <v>#REF!</v>
      </c>
      <c r="F41" s="43"/>
      <c r="G41" s="26" t="e">
        <f t="shared" si="5"/>
        <v>#REF!</v>
      </c>
      <c r="H41" s="43"/>
      <c r="I41" s="26" t="e">
        <f t="shared" si="6"/>
        <v>#REF!</v>
      </c>
      <c r="J41" s="26" t="e">
        <f t="shared" si="7"/>
        <v>#REF!</v>
      </c>
      <c r="K41" s="69"/>
      <c r="L41" s="98"/>
      <c r="M41" s="98"/>
      <c r="N41" s="98"/>
    </row>
    <row r="42" spans="1:14" s="71" customFormat="1" x14ac:dyDescent="0.35">
      <c r="A42" s="76">
        <v>43488</v>
      </c>
      <c r="B42" s="68" t="s">
        <v>111</v>
      </c>
      <c r="C42" s="74"/>
      <c r="D42" s="26">
        <f>9*4.8</f>
        <v>43.199999999999996</v>
      </c>
      <c r="E42" s="42" t="e">
        <f t="shared" si="4"/>
        <v>#REF!</v>
      </c>
      <c r="F42" s="43"/>
      <c r="G42" s="26" t="e">
        <f t="shared" si="5"/>
        <v>#REF!</v>
      </c>
      <c r="H42" s="43"/>
      <c r="I42" s="26" t="e">
        <f t="shared" si="6"/>
        <v>#REF!</v>
      </c>
      <c r="J42" s="26" t="e">
        <f t="shared" si="7"/>
        <v>#REF!</v>
      </c>
      <c r="K42" s="69"/>
      <c r="L42" s="98"/>
      <c r="M42" s="98"/>
      <c r="N42" s="98"/>
    </row>
    <row r="43" spans="1:14" s="71" customFormat="1" x14ac:dyDescent="0.35">
      <c r="A43" s="76">
        <v>43488</v>
      </c>
      <c r="B43" s="68" t="s">
        <v>113</v>
      </c>
      <c r="C43" s="74"/>
      <c r="D43" s="26">
        <f>3.4+4.5</f>
        <v>7.9</v>
      </c>
      <c r="E43" s="42" t="e">
        <f t="shared" si="4"/>
        <v>#REF!</v>
      </c>
      <c r="F43" s="43"/>
      <c r="G43" s="26" t="e">
        <f t="shared" si="5"/>
        <v>#REF!</v>
      </c>
      <c r="H43" s="43"/>
      <c r="I43" s="26" t="e">
        <f t="shared" si="6"/>
        <v>#REF!</v>
      </c>
      <c r="J43" s="26" t="e">
        <f t="shared" si="7"/>
        <v>#REF!</v>
      </c>
      <c r="K43" s="69"/>
      <c r="L43" s="98"/>
      <c r="M43" s="98"/>
      <c r="N43" s="98"/>
    </row>
    <row r="44" spans="1:14" s="71" customFormat="1" x14ac:dyDescent="0.35">
      <c r="A44" s="76">
        <v>43489</v>
      </c>
      <c r="B44" s="68" t="s">
        <v>116</v>
      </c>
      <c r="C44" s="74"/>
      <c r="D44" s="26">
        <v>0</v>
      </c>
      <c r="E44" s="42" t="e">
        <f t="shared" si="4"/>
        <v>#REF!</v>
      </c>
      <c r="F44" s="43"/>
      <c r="G44" s="26" t="e">
        <f t="shared" si="5"/>
        <v>#REF!</v>
      </c>
      <c r="H44" s="43"/>
      <c r="I44" s="26" t="e">
        <f t="shared" si="6"/>
        <v>#REF!</v>
      </c>
      <c r="J44" s="26" t="e">
        <f t="shared" si="7"/>
        <v>#REF!</v>
      </c>
      <c r="K44" s="69"/>
      <c r="L44" s="98"/>
      <c r="M44" s="98"/>
      <c r="N44" s="98"/>
    </row>
    <row r="45" spans="1:14" s="71" customFormat="1" x14ac:dyDescent="0.35">
      <c r="A45" s="76">
        <v>43489</v>
      </c>
      <c r="B45" s="68" t="s">
        <v>117</v>
      </c>
      <c r="C45" s="74"/>
      <c r="D45" s="26">
        <f>14*2.1</f>
        <v>29.400000000000002</v>
      </c>
      <c r="E45" s="42" t="e">
        <f t="shared" si="4"/>
        <v>#REF!</v>
      </c>
      <c r="F45" s="43"/>
      <c r="G45" s="26" t="e">
        <f t="shared" si="5"/>
        <v>#REF!</v>
      </c>
      <c r="H45" s="43"/>
      <c r="I45" s="26" t="e">
        <f t="shared" si="6"/>
        <v>#REF!</v>
      </c>
      <c r="J45" s="26" t="e">
        <f t="shared" si="7"/>
        <v>#REF!</v>
      </c>
      <c r="K45" s="69"/>
      <c r="L45" s="98"/>
      <c r="M45" s="98"/>
      <c r="N45" s="98"/>
    </row>
    <row r="46" spans="1:14" s="71" customFormat="1" x14ac:dyDescent="0.35">
      <c r="A46" s="76">
        <v>43489</v>
      </c>
      <c r="B46" s="68" t="s">
        <v>118</v>
      </c>
      <c r="C46" s="74"/>
      <c r="D46" s="26">
        <f>11*2.05</f>
        <v>22.549999999999997</v>
      </c>
      <c r="E46" s="42" t="e">
        <f t="shared" si="4"/>
        <v>#REF!</v>
      </c>
      <c r="F46" s="43"/>
      <c r="G46" s="26" t="e">
        <f t="shared" si="5"/>
        <v>#REF!</v>
      </c>
      <c r="H46" s="43"/>
      <c r="I46" s="26" t="e">
        <f t="shared" si="6"/>
        <v>#REF!</v>
      </c>
      <c r="J46" s="26" t="e">
        <f t="shared" si="7"/>
        <v>#REF!</v>
      </c>
      <c r="K46" s="69"/>
      <c r="L46" s="98"/>
      <c r="M46" s="98"/>
      <c r="N46" s="98"/>
    </row>
    <row r="47" spans="1:14" s="71" customFormat="1" x14ac:dyDescent="0.35">
      <c r="A47" s="76">
        <v>43490</v>
      </c>
      <c r="B47" s="68" t="s">
        <v>119</v>
      </c>
      <c r="C47" s="74"/>
      <c r="D47" s="26">
        <f>4*3.5</f>
        <v>14</v>
      </c>
      <c r="E47" s="42" t="e">
        <f t="shared" si="4"/>
        <v>#REF!</v>
      </c>
      <c r="F47" s="43"/>
      <c r="G47" s="26" t="e">
        <f t="shared" si="5"/>
        <v>#REF!</v>
      </c>
      <c r="H47" s="43"/>
      <c r="I47" s="26" t="e">
        <f t="shared" si="6"/>
        <v>#REF!</v>
      </c>
      <c r="J47" s="26" t="e">
        <f t="shared" si="7"/>
        <v>#REF!</v>
      </c>
      <c r="K47" s="69"/>
      <c r="L47" s="98"/>
      <c r="M47" s="98"/>
      <c r="N47" s="98"/>
    </row>
    <row r="48" spans="1:14" s="71" customFormat="1" x14ac:dyDescent="0.35">
      <c r="A48" s="76">
        <v>43490</v>
      </c>
      <c r="B48" s="68" t="s">
        <v>121</v>
      </c>
      <c r="C48" s="74"/>
      <c r="D48" s="26">
        <f>9*4.5</f>
        <v>40.5</v>
      </c>
      <c r="E48" s="42" t="e">
        <f t="shared" si="4"/>
        <v>#REF!</v>
      </c>
      <c r="F48" s="43"/>
      <c r="G48" s="26" t="e">
        <f t="shared" si="5"/>
        <v>#REF!</v>
      </c>
      <c r="H48" s="43"/>
      <c r="I48" s="26" t="e">
        <f t="shared" si="6"/>
        <v>#REF!</v>
      </c>
      <c r="J48" s="26" t="e">
        <f t="shared" si="7"/>
        <v>#REF!</v>
      </c>
      <c r="K48" s="69"/>
      <c r="L48" s="98"/>
      <c r="M48" s="98"/>
      <c r="N48" s="98"/>
    </row>
    <row r="49" spans="1:14" s="71" customFormat="1" x14ac:dyDescent="0.35">
      <c r="A49" s="76">
        <v>43490</v>
      </c>
      <c r="B49" s="68" t="s">
        <v>122</v>
      </c>
      <c r="C49" s="74"/>
      <c r="D49" s="26">
        <v>0</v>
      </c>
      <c r="E49" s="42" t="e">
        <f t="shared" si="4"/>
        <v>#REF!</v>
      </c>
      <c r="F49" s="43"/>
      <c r="G49" s="26" t="e">
        <f t="shared" si="5"/>
        <v>#REF!</v>
      </c>
      <c r="H49" s="43"/>
      <c r="I49" s="26" t="e">
        <f t="shared" si="6"/>
        <v>#REF!</v>
      </c>
      <c r="J49" s="26" t="e">
        <f t="shared" si="7"/>
        <v>#REF!</v>
      </c>
      <c r="K49" s="69"/>
      <c r="L49" s="98"/>
      <c r="M49" s="98"/>
      <c r="N49" s="98"/>
    </row>
    <row r="50" spans="1:14" s="71" customFormat="1" x14ac:dyDescent="0.35">
      <c r="A50" s="76">
        <v>43490</v>
      </c>
      <c r="B50" s="68" t="s">
        <v>123</v>
      </c>
      <c r="C50" s="74"/>
      <c r="D50" s="26">
        <f>8*4</f>
        <v>32</v>
      </c>
      <c r="E50" s="42" t="e">
        <f t="shared" si="4"/>
        <v>#REF!</v>
      </c>
      <c r="F50" s="43"/>
      <c r="G50" s="26" t="e">
        <f t="shared" si="5"/>
        <v>#REF!</v>
      </c>
      <c r="H50" s="43"/>
      <c r="I50" s="26" t="e">
        <f t="shared" si="6"/>
        <v>#REF!</v>
      </c>
      <c r="J50" s="26" t="e">
        <f t="shared" si="7"/>
        <v>#REF!</v>
      </c>
      <c r="K50" s="69"/>
      <c r="L50" s="98"/>
      <c r="M50" s="98"/>
      <c r="N50" s="98"/>
    </row>
    <row r="51" spans="1:14" s="71" customFormat="1" x14ac:dyDescent="0.35">
      <c r="A51" s="76">
        <v>43490</v>
      </c>
      <c r="B51" s="68" t="s">
        <v>124</v>
      </c>
      <c r="C51" s="74"/>
      <c r="D51" s="26">
        <f>8*4.8</f>
        <v>38.4</v>
      </c>
      <c r="E51" s="42" t="e">
        <f t="shared" si="4"/>
        <v>#REF!</v>
      </c>
      <c r="F51" s="43"/>
      <c r="G51" s="26" t="e">
        <f t="shared" si="5"/>
        <v>#REF!</v>
      </c>
      <c r="H51" s="43"/>
      <c r="I51" s="26" t="e">
        <f t="shared" si="6"/>
        <v>#REF!</v>
      </c>
      <c r="J51" s="26" t="e">
        <f t="shared" si="7"/>
        <v>#REF!</v>
      </c>
      <c r="K51" s="69"/>
      <c r="L51" s="98"/>
      <c r="M51" s="98"/>
      <c r="N51" s="98"/>
    </row>
    <row r="52" spans="1:14" s="71" customFormat="1" x14ac:dyDescent="0.35">
      <c r="A52" s="76">
        <v>43490</v>
      </c>
      <c r="B52" s="68" t="s">
        <v>125</v>
      </c>
      <c r="C52" s="74"/>
      <c r="D52" s="26">
        <f>13*6.3</f>
        <v>81.899999999999991</v>
      </c>
      <c r="E52" s="42" t="e">
        <f t="shared" si="4"/>
        <v>#REF!</v>
      </c>
      <c r="F52" s="43"/>
      <c r="G52" s="26" t="e">
        <f t="shared" si="5"/>
        <v>#REF!</v>
      </c>
      <c r="H52" s="43"/>
      <c r="I52" s="26" t="e">
        <f t="shared" si="6"/>
        <v>#REF!</v>
      </c>
      <c r="J52" s="26" t="e">
        <f t="shared" si="7"/>
        <v>#REF!</v>
      </c>
      <c r="K52" s="69"/>
      <c r="L52" s="98"/>
      <c r="M52" s="98"/>
      <c r="N52" s="98"/>
    </row>
    <row r="53" spans="1:14" s="71" customFormat="1" x14ac:dyDescent="0.35">
      <c r="A53" s="76">
        <v>43490</v>
      </c>
      <c r="B53" s="68" t="s">
        <v>126</v>
      </c>
      <c r="C53" s="74"/>
      <c r="D53" s="26">
        <f>4*2</f>
        <v>8</v>
      </c>
      <c r="E53" s="42" t="e">
        <f t="shared" si="4"/>
        <v>#REF!</v>
      </c>
      <c r="F53" s="43"/>
      <c r="G53" s="26" t="e">
        <f t="shared" si="5"/>
        <v>#REF!</v>
      </c>
      <c r="H53" s="43"/>
      <c r="I53" s="26" t="e">
        <f t="shared" si="6"/>
        <v>#REF!</v>
      </c>
      <c r="J53" s="26" t="e">
        <f t="shared" si="7"/>
        <v>#REF!</v>
      </c>
      <c r="K53" s="69"/>
      <c r="L53" s="98"/>
      <c r="M53" s="98"/>
      <c r="N53" s="98"/>
    </row>
    <row r="54" spans="1:14" s="71" customFormat="1" x14ac:dyDescent="0.35">
      <c r="A54" s="76">
        <v>43491</v>
      </c>
      <c r="B54" s="68" t="s">
        <v>127</v>
      </c>
      <c r="C54" s="74"/>
      <c r="D54" s="26">
        <f>5*3.2</f>
        <v>16</v>
      </c>
      <c r="E54" s="42" t="e">
        <f t="shared" si="4"/>
        <v>#REF!</v>
      </c>
      <c r="F54" s="43"/>
      <c r="G54" s="26" t="e">
        <f t="shared" si="5"/>
        <v>#REF!</v>
      </c>
      <c r="H54" s="43"/>
      <c r="I54" s="26" t="e">
        <f t="shared" si="6"/>
        <v>#REF!</v>
      </c>
      <c r="J54" s="26" t="e">
        <f t="shared" si="7"/>
        <v>#REF!</v>
      </c>
      <c r="K54" s="69"/>
      <c r="L54" s="98"/>
      <c r="M54" s="98"/>
      <c r="N54" s="98"/>
    </row>
    <row r="55" spans="1:14" s="71" customFormat="1" x14ac:dyDescent="0.35">
      <c r="A55" s="76">
        <v>43491</v>
      </c>
      <c r="B55" s="68" t="s">
        <v>128</v>
      </c>
      <c r="C55" s="74"/>
      <c r="D55" s="26">
        <f>3*3.4</f>
        <v>10.199999999999999</v>
      </c>
      <c r="E55" s="42" t="e">
        <f t="shared" si="4"/>
        <v>#REF!</v>
      </c>
      <c r="F55" s="43"/>
      <c r="G55" s="26" t="e">
        <f t="shared" si="5"/>
        <v>#REF!</v>
      </c>
      <c r="H55" s="43"/>
      <c r="I55" s="26" t="e">
        <f t="shared" si="6"/>
        <v>#REF!</v>
      </c>
      <c r="J55" s="26" t="e">
        <f t="shared" si="7"/>
        <v>#REF!</v>
      </c>
      <c r="K55" s="69"/>
      <c r="L55" s="98"/>
      <c r="M55" s="98"/>
      <c r="N55" s="98"/>
    </row>
    <row r="56" spans="1:14" s="71" customFormat="1" x14ac:dyDescent="0.35">
      <c r="A56" s="76">
        <v>43494</v>
      </c>
      <c r="B56" s="68" t="s">
        <v>130</v>
      </c>
      <c r="C56" s="74"/>
      <c r="D56" s="26">
        <f>5*4.7+4*4.5</f>
        <v>41.5</v>
      </c>
      <c r="E56" s="42" t="e">
        <f t="shared" si="4"/>
        <v>#REF!</v>
      </c>
      <c r="F56" s="43"/>
      <c r="G56" s="26" t="e">
        <f t="shared" si="5"/>
        <v>#REF!</v>
      </c>
      <c r="H56" s="43"/>
      <c r="I56" s="26" t="e">
        <f t="shared" si="6"/>
        <v>#REF!</v>
      </c>
      <c r="J56" s="26" t="e">
        <f t="shared" si="7"/>
        <v>#REF!</v>
      </c>
      <c r="K56" s="69"/>
      <c r="L56" s="98"/>
      <c r="M56" s="98"/>
      <c r="N56" s="98"/>
    </row>
    <row r="57" spans="1:14" x14ac:dyDescent="0.35">
      <c r="A57" s="76">
        <v>43495</v>
      </c>
      <c r="B57" s="68" t="s">
        <v>132</v>
      </c>
      <c r="C57" s="74"/>
      <c r="D57" s="26">
        <v>0</v>
      </c>
      <c r="E57" s="42" t="e">
        <f t="shared" si="4"/>
        <v>#REF!</v>
      </c>
      <c r="F57" s="43"/>
      <c r="G57" s="26" t="e">
        <f t="shared" si="5"/>
        <v>#REF!</v>
      </c>
      <c r="H57" s="43"/>
      <c r="I57" s="26" t="e">
        <f t="shared" si="6"/>
        <v>#REF!</v>
      </c>
      <c r="J57" s="26" t="e">
        <f t="shared" si="7"/>
        <v>#REF!</v>
      </c>
      <c r="K57" s="69"/>
      <c r="L57" s="1"/>
      <c r="M57" s="1"/>
      <c r="N57" s="1"/>
    </row>
    <row r="58" spans="1:14" s="37" customFormat="1" x14ac:dyDescent="0.35">
      <c r="A58" s="88">
        <v>43496</v>
      </c>
      <c r="B58" s="32" t="s">
        <v>137</v>
      </c>
      <c r="C58" s="40"/>
      <c r="D58" s="33">
        <f>7*5.7</f>
        <v>39.9</v>
      </c>
      <c r="E58" s="85" t="e">
        <f t="shared" ref="E58:E72" si="8">+E57-D58</f>
        <v>#REF!</v>
      </c>
      <c r="F58" s="86"/>
      <c r="G58" s="33" t="e">
        <f t="shared" ref="G58:G72" si="9">+J57/E57</f>
        <v>#REF!</v>
      </c>
      <c r="H58" s="86"/>
      <c r="I58" s="33" t="e">
        <f t="shared" ref="I58:I72" si="10">+D58*G58</f>
        <v>#REF!</v>
      </c>
      <c r="J58" s="33" t="e">
        <f t="shared" ref="J58:J72" si="11">+J57-I58</f>
        <v>#REF!</v>
      </c>
      <c r="K58" s="39"/>
      <c r="L58" s="35" t="e">
        <f>SUM(I28:I58)</f>
        <v>#REF!</v>
      </c>
      <c r="M58" s="35" t="e">
        <f>SUM(L27:L58)</f>
        <v>#REF!</v>
      </c>
      <c r="N58" s="36">
        <v>43496</v>
      </c>
    </row>
    <row r="59" spans="1:14" x14ac:dyDescent="0.35">
      <c r="A59" s="76">
        <v>43497</v>
      </c>
      <c r="B59" s="68" t="s">
        <v>138</v>
      </c>
      <c r="C59" s="74"/>
      <c r="D59" s="26">
        <f>5*5</f>
        <v>25</v>
      </c>
      <c r="E59" s="42" t="e">
        <f t="shared" si="8"/>
        <v>#REF!</v>
      </c>
      <c r="F59" s="43"/>
      <c r="G59" s="26" t="e">
        <f t="shared" si="9"/>
        <v>#REF!</v>
      </c>
      <c r="H59" s="43"/>
      <c r="I59" s="26" t="e">
        <f t="shared" si="10"/>
        <v>#REF!</v>
      </c>
      <c r="J59" s="26" t="e">
        <f t="shared" si="11"/>
        <v>#REF!</v>
      </c>
      <c r="K59" s="69"/>
      <c r="L59" s="1"/>
      <c r="M59" s="1"/>
      <c r="N59" s="1"/>
    </row>
    <row r="60" spans="1:14" x14ac:dyDescent="0.35">
      <c r="A60" s="76">
        <v>43497</v>
      </c>
      <c r="B60" s="68" t="s">
        <v>139</v>
      </c>
      <c r="C60" s="74"/>
      <c r="D60" s="26">
        <f>2*6.6</f>
        <v>13.2</v>
      </c>
      <c r="E60" s="42" t="e">
        <f t="shared" si="8"/>
        <v>#REF!</v>
      </c>
      <c r="F60" s="43"/>
      <c r="G60" s="26" t="e">
        <f t="shared" si="9"/>
        <v>#REF!</v>
      </c>
      <c r="H60" s="43"/>
      <c r="I60" s="26" t="e">
        <f t="shared" si="10"/>
        <v>#REF!</v>
      </c>
      <c r="J60" s="26" t="e">
        <f t="shared" si="11"/>
        <v>#REF!</v>
      </c>
      <c r="K60" s="69"/>
      <c r="L60" s="1"/>
      <c r="M60" s="1"/>
      <c r="N60" s="1"/>
    </row>
    <row r="61" spans="1:14" x14ac:dyDescent="0.35">
      <c r="A61" s="76">
        <v>43497</v>
      </c>
      <c r="B61" s="68" t="s">
        <v>140</v>
      </c>
      <c r="C61" s="74"/>
      <c r="D61" s="26">
        <f>12*3.6+12*2.7+5+1</f>
        <v>81.600000000000009</v>
      </c>
      <c r="E61" s="42" t="e">
        <f t="shared" si="8"/>
        <v>#REF!</v>
      </c>
      <c r="F61" s="43"/>
      <c r="G61" s="26" t="e">
        <f t="shared" si="9"/>
        <v>#REF!</v>
      </c>
      <c r="H61" s="43"/>
      <c r="I61" s="26" t="e">
        <f t="shared" si="10"/>
        <v>#REF!</v>
      </c>
      <c r="J61" s="26" t="e">
        <f t="shared" si="11"/>
        <v>#REF!</v>
      </c>
      <c r="K61" s="69"/>
      <c r="L61" s="1"/>
      <c r="M61" s="1"/>
      <c r="N61" s="1"/>
    </row>
    <row r="62" spans="1:14" x14ac:dyDescent="0.35">
      <c r="A62" s="76">
        <v>43498</v>
      </c>
      <c r="B62" s="68" t="s">
        <v>150</v>
      </c>
      <c r="C62" s="74"/>
      <c r="D62" s="26">
        <f>5*4.5+5*4.3</f>
        <v>44</v>
      </c>
      <c r="E62" s="42" t="e">
        <f t="shared" si="8"/>
        <v>#REF!</v>
      </c>
      <c r="F62" s="43"/>
      <c r="G62" s="26" t="e">
        <f t="shared" si="9"/>
        <v>#REF!</v>
      </c>
      <c r="H62" s="43"/>
      <c r="I62" s="26" t="e">
        <f t="shared" si="10"/>
        <v>#REF!</v>
      </c>
      <c r="J62" s="26" t="e">
        <f t="shared" si="11"/>
        <v>#REF!</v>
      </c>
      <c r="K62" s="69"/>
      <c r="L62" s="1"/>
      <c r="M62" s="1"/>
      <c r="N62" s="1"/>
    </row>
    <row r="63" spans="1:14" x14ac:dyDescent="0.35">
      <c r="A63" s="76">
        <v>43500</v>
      </c>
      <c r="B63" s="68" t="s">
        <v>151</v>
      </c>
      <c r="C63" s="74"/>
      <c r="D63" s="26">
        <f>6*3.9+3.5+3.35+3.15+2.8+2.6+2.4+3</f>
        <v>44.199999999999996</v>
      </c>
      <c r="E63" s="42" t="e">
        <f t="shared" si="8"/>
        <v>#REF!</v>
      </c>
      <c r="F63" s="43"/>
      <c r="G63" s="26" t="e">
        <f t="shared" si="9"/>
        <v>#REF!</v>
      </c>
      <c r="H63" s="43"/>
      <c r="I63" s="26" t="e">
        <f t="shared" si="10"/>
        <v>#REF!</v>
      </c>
      <c r="J63" s="26" t="e">
        <f t="shared" si="11"/>
        <v>#REF!</v>
      </c>
      <c r="K63" s="69"/>
      <c r="L63" s="1"/>
      <c r="M63" s="1"/>
      <c r="N63" s="1"/>
    </row>
    <row r="64" spans="1:14" x14ac:dyDescent="0.35">
      <c r="A64" s="76">
        <v>43501</v>
      </c>
      <c r="B64" s="68" t="s">
        <v>153</v>
      </c>
      <c r="C64" s="74"/>
      <c r="D64" s="26">
        <v>4</v>
      </c>
      <c r="E64" s="42" t="e">
        <f t="shared" si="8"/>
        <v>#REF!</v>
      </c>
      <c r="F64" s="43"/>
      <c r="G64" s="26" t="e">
        <f t="shared" si="9"/>
        <v>#REF!</v>
      </c>
      <c r="H64" s="43"/>
      <c r="I64" s="26" t="e">
        <f t="shared" si="10"/>
        <v>#REF!</v>
      </c>
      <c r="J64" s="26" t="e">
        <f t="shared" si="11"/>
        <v>#REF!</v>
      </c>
      <c r="K64" s="69"/>
      <c r="L64" s="1"/>
      <c r="M64" s="1"/>
      <c r="N64" s="1"/>
    </row>
    <row r="65" spans="1:14" x14ac:dyDescent="0.35">
      <c r="A65" s="76">
        <v>43501</v>
      </c>
      <c r="B65" s="68" t="s">
        <v>155</v>
      </c>
      <c r="C65" s="74"/>
      <c r="D65" s="26">
        <v>1</v>
      </c>
      <c r="E65" s="42" t="e">
        <f t="shared" si="8"/>
        <v>#REF!</v>
      </c>
      <c r="F65" s="43"/>
      <c r="G65" s="26" t="e">
        <f t="shared" si="9"/>
        <v>#REF!</v>
      </c>
      <c r="H65" s="43"/>
      <c r="I65" s="26" t="e">
        <f t="shared" si="10"/>
        <v>#REF!</v>
      </c>
      <c r="J65" s="26" t="e">
        <f t="shared" si="11"/>
        <v>#REF!</v>
      </c>
      <c r="K65" s="69"/>
      <c r="L65" s="1"/>
      <c r="M65" s="1"/>
      <c r="N65" s="1"/>
    </row>
    <row r="66" spans="1:14" x14ac:dyDescent="0.35">
      <c r="A66" s="76">
        <v>43501</v>
      </c>
      <c r="B66" s="68" t="s">
        <v>156</v>
      </c>
      <c r="C66" s="74"/>
      <c r="D66" s="26">
        <f>10*4.8</f>
        <v>48</v>
      </c>
      <c r="E66" s="42" t="e">
        <f t="shared" si="8"/>
        <v>#REF!</v>
      </c>
      <c r="F66" s="43"/>
      <c r="G66" s="26" t="e">
        <f t="shared" si="9"/>
        <v>#REF!</v>
      </c>
      <c r="H66" s="43"/>
      <c r="I66" s="26" t="e">
        <f t="shared" si="10"/>
        <v>#REF!</v>
      </c>
      <c r="J66" s="26" t="e">
        <f t="shared" si="11"/>
        <v>#REF!</v>
      </c>
      <c r="K66" s="69"/>
      <c r="L66" s="1"/>
      <c r="M66" s="1"/>
      <c r="N66" s="1"/>
    </row>
    <row r="67" spans="1:14" x14ac:dyDescent="0.35">
      <c r="A67" s="76">
        <v>43502</v>
      </c>
      <c r="B67" s="68" t="s">
        <v>159</v>
      </c>
      <c r="C67" s="74"/>
      <c r="D67" s="26">
        <f>12*5.65</f>
        <v>67.800000000000011</v>
      </c>
      <c r="E67" s="42" t="e">
        <f t="shared" si="8"/>
        <v>#REF!</v>
      </c>
      <c r="F67" s="43"/>
      <c r="G67" s="26" t="e">
        <f t="shared" si="9"/>
        <v>#REF!</v>
      </c>
      <c r="H67" s="43"/>
      <c r="I67" s="26" t="e">
        <f t="shared" si="10"/>
        <v>#REF!</v>
      </c>
      <c r="J67" s="26" t="e">
        <f t="shared" si="11"/>
        <v>#REF!</v>
      </c>
      <c r="K67" s="69"/>
      <c r="L67" s="1"/>
      <c r="M67" s="1"/>
      <c r="N67" s="1"/>
    </row>
    <row r="68" spans="1:14" x14ac:dyDescent="0.35">
      <c r="A68" s="76">
        <v>43504</v>
      </c>
      <c r="B68" s="68" t="s">
        <v>161</v>
      </c>
      <c r="C68" s="74"/>
      <c r="D68" s="26">
        <f>11*5.5</f>
        <v>60.5</v>
      </c>
      <c r="E68" s="42" t="e">
        <f t="shared" si="8"/>
        <v>#REF!</v>
      </c>
      <c r="F68" s="43"/>
      <c r="G68" s="26" t="e">
        <f t="shared" si="9"/>
        <v>#REF!</v>
      </c>
      <c r="H68" s="43"/>
      <c r="I68" s="26" t="e">
        <f t="shared" si="10"/>
        <v>#REF!</v>
      </c>
      <c r="J68" s="26" t="e">
        <f t="shared" si="11"/>
        <v>#REF!</v>
      </c>
      <c r="K68" s="69"/>
      <c r="L68" s="1"/>
      <c r="M68" s="1"/>
      <c r="N68" s="1"/>
    </row>
    <row r="69" spans="1:14" x14ac:dyDescent="0.35">
      <c r="A69" s="76">
        <v>43504</v>
      </c>
      <c r="B69" s="68" t="s">
        <v>162</v>
      </c>
      <c r="C69" s="74"/>
      <c r="D69" s="26">
        <f>7*4+3</f>
        <v>31</v>
      </c>
      <c r="E69" s="42" t="e">
        <f t="shared" si="8"/>
        <v>#REF!</v>
      </c>
      <c r="F69" s="43"/>
      <c r="G69" s="26" t="e">
        <f t="shared" si="9"/>
        <v>#REF!</v>
      </c>
      <c r="H69" s="43"/>
      <c r="I69" s="26" t="e">
        <f t="shared" si="10"/>
        <v>#REF!</v>
      </c>
      <c r="J69" s="26" t="e">
        <f t="shared" si="11"/>
        <v>#REF!</v>
      </c>
      <c r="K69" s="69"/>
      <c r="L69" s="1"/>
      <c r="M69" s="1"/>
      <c r="N69" s="1"/>
    </row>
    <row r="70" spans="1:14" x14ac:dyDescent="0.35">
      <c r="A70" s="76">
        <v>43505</v>
      </c>
      <c r="B70" s="68" t="s">
        <v>164</v>
      </c>
      <c r="C70" s="74"/>
      <c r="D70" s="26">
        <f>5*3.24</f>
        <v>16.200000000000003</v>
      </c>
      <c r="E70" s="42" t="e">
        <f t="shared" si="8"/>
        <v>#REF!</v>
      </c>
      <c r="F70" s="43"/>
      <c r="G70" s="26" t="e">
        <f t="shared" si="9"/>
        <v>#REF!</v>
      </c>
      <c r="H70" s="43"/>
      <c r="I70" s="26" t="e">
        <f t="shared" si="10"/>
        <v>#REF!</v>
      </c>
      <c r="J70" s="26" t="e">
        <f t="shared" si="11"/>
        <v>#REF!</v>
      </c>
      <c r="K70" s="69"/>
      <c r="L70" s="1"/>
      <c r="M70" s="1"/>
      <c r="N70" s="1"/>
    </row>
    <row r="71" spans="1:14" x14ac:dyDescent="0.35">
      <c r="A71" s="76">
        <v>43507</v>
      </c>
      <c r="B71" s="68" t="s">
        <v>165</v>
      </c>
      <c r="C71" s="74"/>
      <c r="D71" s="26">
        <f>3*4.6+2.3+5*3.1</f>
        <v>31.599999999999998</v>
      </c>
      <c r="E71" s="42" t="e">
        <f t="shared" si="8"/>
        <v>#REF!</v>
      </c>
      <c r="F71" s="43"/>
      <c r="G71" s="26" t="e">
        <f t="shared" si="9"/>
        <v>#REF!</v>
      </c>
      <c r="H71" s="43"/>
      <c r="I71" s="26" t="e">
        <f t="shared" si="10"/>
        <v>#REF!</v>
      </c>
      <c r="J71" s="26" t="e">
        <f t="shared" si="11"/>
        <v>#REF!</v>
      </c>
      <c r="K71" s="69"/>
      <c r="L71" s="1"/>
      <c r="M71" s="1"/>
      <c r="N71" s="1"/>
    </row>
    <row r="72" spans="1:14" x14ac:dyDescent="0.35">
      <c r="A72" s="76">
        <v>43508</v>
      </c>
      <c r="B72" s="68" t="s">
        <v>166</v>
      </c>
      <c r="C72" s="74"/>
      <c r="D72" s="26">
        <f>4*2.6</f>
        <v>10.4</v>
      </c>
      <c r="E72" s="42" t="e">
        <f t="shared" si="8"/>
        <v>#REF!</v>
      </c>
      <c r="F72" s="43"/>
      <c r="G72" s="26" t="e">
        <f t="shared" si="9"/>
        <v>#REF!</v>
      </c>
      <c r="H72" s="43"/>
      <c r="I72" s="26" t="e">
        <f t="shared" si="10"/>
        <v>#REF!</v>
      </c>
      <c r="J72" s="26" t="e">
        <f t="shared" si="11"/>
        <v>#REF!</v>
      </c>
      <c r="K72" s="69"/>
      <c r="L72" s="1"/>
      <c r="M72" s="1"/>
      <c r="N72" s="1"/>
    </row>
    <row r="73" spans="1:14" x14ac:dyDescent="0.35">
      <c r="A73" s="76">
        <v>43508</v>
      </c>
      <c r="B73" s="68" t="s">
        <v>169</v>
      </c>
      <c r="C73" s="74"/>
      <c r="D73" s="26">
        <v>0</v>
      </c>
      <c r="E73" s="42" t="e">
        <f t="shared" ref="E73" si="12">+E72-D73</f>
        <v>#REF!</v>
      </c>
      <c r="F73" s="43"/>
      <c r="G73" s="26" t="e">
        <f t="shared" ref="G73" si="13">+J72/E72</f>
        <v>#REF!</v>
      </c>
      <c r="H73" s="43"/>
      <c r="I73" s="26" t="e">
        <f t="shared" ref="I73" si="14">+D73*G73</f>
        <v>#REF!</v>
      </c>
      <c r="J73" s="26" t="e">
        <f t="shared" ref="J73" si="15">+J72-I73</f>
        <v>#REF!</v>
      </c>
      <c r="K73" s="69"/>
      <c r="L73" s="1"/>
      <c r="M73" s="1"/>
      <c r="N73" s="1"/>
    </row>
    <row r="74" spans="1:14" x14ac:dyDescent="0.35">
      <c r="A74" s="76">
        <v>43508</v>
      </c>
      <c r="B74" s="68" t="s">
        <v>170</v>
      </c>
      <c r="C74" s="74"/>
      <c r="D74" s="26">
        <f>15*7.9</f>
        <v>118.5</v>
      </c>
      <c r="E74" s="42" t="e">
        <f t="shared" ref="E74:E135" si="16">+E73-D74</f>
        <v>#REF!</v>
      </c>
      <c r="F74" s="43"/>
      <c r="G74" s="26" t="e">
        <f t="shared" ref="G74:G135" si="17">+J73/E73</f>
        <v>#REF!</v>
      </c>
      <c r="H74" s="43"/>
      <c r="I74" s="26" t="e">
        <f t="shared" ref="I74:I137" si="18">+D74*G74</f>
        <v>#REF!</v>
      </c>
      <c r="J74" s="26" t="e">
        <f t="shared" ref="J74:J135" si="19">+J73-I74</f>
        <v>#REF!</v>
      </c>
      <c r="K74" s="69"/>
      <c r="L74" s="1"/>
      <c r="M74" s="1"/>
      <c r="N74" s="1"/>
    </row>
    <row r="75" spans="1:14" x14ac:dyDescent="0.35">
      <c r="A75" s="76">
        <v>43508</v>
      </c>
      <c r="B75" s="68" t="s">
        <v>171</v>
      </c>
      <c r="C75" s="74"/>
      <c r="D75" s="26">
        <f>2*4.7+4+3</f>
        <v>16.399999999999999</v>
      </c>
      <c r="E75" s="42" t="e">
        <f t="shared" si="16"/>
        <v>#REF!</v>
      </c>
      <c r="F75" s="43"/>
      <c r="G75" s="26" t="e">
        <f t="shared" si="17"/>
        <v>#REF!</v>
      </c>
      <c r="H75" s="43"/>
      <c r="I75" s="26" t="e">
        <f t="shared" si="18"/>
        <v>#REF!</v>
      </c>
      <c r="J75" s="26" t="e">
        <f t="shared" si="19"/>
        <v>#REF!</v>
      </c>
      <c r="K75" s="69"/>
      <c r="L75" s="1"/>
      <c r="M75" s="1"/>
      <c r="N75" s="1"/>
    </row>
    <row r="76" spans="1:14" x14ac:dyDescent="0.35">
      <c r="A76" s="76">
        <v>43509</v>
      </c>
      <c r="B76" s="68" t="s">
        <v>175</v>
      </c>
      <c r="C76" s="74"/>
      <c r="D76" s="26">
        <f>6*2.4+9*6.7</f>
        <v>74.7</v>
      </c>
      <c r="E76" s="42" t="e">
        <f t="shared" si="16"/>
        <v>#REF!</v>
      </c>
      <c r="F76" s="43"/>
      <c r="G76" s="26" t="e">
        <f t="shared" si="17"/>
        <v>#REF!</v>
      </c>
      <c r="H76" s="43"/>
      <c r="I76" s="26" t="e">
        <f t="shared" si="18"/>
        <v>#REF!</v>
      </c>
      <c r="J76" s="26" t="e">
        <f t="shared" si="19"/>
        <v>#REF!</v>
      </c>
      <c r="K76" s="69"/>
      <c r="L76" s="1"/>
      <c r="M76" s="1"/>
      <c r="N76" s="1"/>
    </row>
    <row r="77" spans="1:14" s="37" customFormat="1" x14ac:dyDescent="0.35">
      <c r="A77" s="88">
        <v>43510</v>
      </c>
      <c r="B77" s="32" t="s">
        <v>177</v>
      </c>
      <c r="C77" s="40"/>
      <c r="D77" s="33">
        <f>8*4.3</f>
        <v>34.4</v>
      </c>
      <c r="E77" s="85" t="e">
        <f t="shared" si="16"/>
        <v>#REF!</v>
      </c>
      <c r="F77" s="86"/>
      <c r="G77" s="33" t="e">
        <f t="shared" si="17"/>
        <v>#REF!</v>
      </c>
      <c r="H77" s="86"/>
      <c r="I77" s="33" t="e">
        <f t="shared" si="18"/>
        <v>#REF!</v>
      </c>
      <c r="J77" s="33" t="e">
        <f t="shared" si="19"/>
        <v>#REF!</v>
      </c>
      <c r="K77" s="39"/>
      <c r="L77" s="35" t="e">
        <f>SUM(I59:I77)</f>
        <v>#REF!</v>
      </c>
      <c r="M77" s="114"/>
      <c r="N77" s="36">
        <v>43511</v>
      </c>
    </row>
    <row r="78" spans="1:14" x14ac:dyDescent="0.35">
      <c r="A78" s="76">
        <v>43514</v>
      </c>
      <c r="B78" s="68" t="s">
        <v>180</v>
      </c>
      <c r="C78" s="74"/>
      <c r="D78" s="26">
        <f>3*2.5</f>
        <v>7.5</v>
      </c>
      <c r="E78" s="42" t="e">
        <f t="shared" si="16"/>
        <v>#REF!</v>
      </c>
      <c r="F78" s="43"/>
      <c r="G78" s="26" t="e">
        <f t="shared" si="17"/>
        <v>#REF!</v>
      </c>
      <c r="H78" s="43"/>
      <c r="I78" s="26" t="e">
        <f t="shared" si="18"/>
        <v>#REF!</v>
      </c>
      <c r="J78" s="26" t="e">
        <f t="shared" si="19"/>
        <v>#REF!</v>
      </c>
      <c r="K78" s="69"/>
      <c r="L78" s="1"/>
      <c r="M78" s="1"/>
      <c r="N78" s="1"/>
    </row>
    <row r="79" spans="1:14" x14ac:dyDescent="0.35">
      <c r="A79" s="76">
        <v>43514</v>
      </c>
      <c r="B79" s="68" t="s">
        <v>181</v>
      </c>
      <c r="C79" s="74"/>
      <c r="D79" s="26">
        <f>12*2.85</f>
        <v>34.200000000000003</v>
      </c>
      <c r="E79" s="42" t="e">
        <f t="shared" si="16"/>
        <v>#REF!</v>
      </c>
      <c r="F79" s="43"/>
      <c r="G79" s="26" t="e">
        <f t="shared" si="17"/>
        <v>#REF!</v>
      </c>
      <c r="H79" s="43"/>
      <c r="I79" s="26" t="e">
        <f t="shared" si="18"/>
        <v>#REF!</v>
      </c>
      <c r="J79" s="26" t="e">
        <f t="shared" si="19"/>
        <v>#REF!</v>
      </c>
      <c r="K79" s="69"/>
      <c r="L79" s="1"/>
      <c r="M79" s="1"/>
      <c r="N79" s="1"/>
    </row>
    <row r="80" spans="1:14" x14ac:dyDescent="0.35">
      <c r="A80" s="76">
        <v>43516</v>
      </c>
      <c r="B80" s="68" t="s">
        <v>185</v>
      </c>
      <c r="C80" s="74"/>
      <c r="D80" s="26">
        <v>2</v>
      </c>
      <c r="E80" s="42" t="e">
        <f t="shared" si="16"/>
        <v>#REF!</v>
      </c>
      <c r="F80" s="43"/>
      <c r="G80" s="26" t="e">
        <f t="shared" si="17"/>
        <v>#REF!</v>
      </c>
      <c r="H80" s="43"/>
      <c r="I80" s="26" t="e">
        <f t="shared" si="18"/>
        <v>#REF!</v>
      </c>
      <c r="J80" s="26" t="e">
        <f t="shared" si="19"/>
        <v>#REF!</v>
      </c>
      <c r="K80" s="69"/>
      <c r="L80" s="1"/>
      <c r="M80" s="1"/>
      <c r="N80" s="1"/>
    </row>
    <row r="81" spans="1:14" x14ac:dyDescent="0.35">
      <c r="A81" s="76">
        <v>43517</v>
      </c>
      <c r="B81" s="68" t="s">
        <v>186</v>
      </c>
      <c r="C81" s="74"/>
      <c r="D81" s="26">
        <v>4.3499999999999996</v>
      </c>
      <c r="E81" s="42" t="e">
        <f t="shared" si="16"/>
        <v>#REF!</v>
      </c>
      <c r="F81" s="43"/>
      <c r="G81" s="26" t="e">
        <f t="shared" si="17"/>
        <v>#REF!</v>
      </c>
      <c r="H81" s="43"/>
      <c r="I81" s="26" t="e">
        <f t="shared" si="18"/>
        <v>#REF!</v>
      </c>
      <c r="J81" s="26" t="e">
        <f t="shared" si="19"/>
        <v>#REF!</v>
      </c>
      <c r="K81" s="69"/>
      <c r="L81" s="1"/>
      <c r="M81" s="1"/>
      <c r="N81" s="1"/>
    </row>
    <row r="82" spans="1:14" x14ac:dyDescent="0.35">
      <c r="A82" s="76">
        <v>43518</v>
      </c>
      <c r="B82" s="68" t="s">
        <v>191</v>
      </c>
      <c r="C82" s="74"/>
      <c r="D82" s="26">
        <f>4*3.7</f>
        <v>14.8</v>
      </c>
      <c r="E82" s="42" t="e">
        <f t="shared" si="16"/>
        <v>#REF!</v>
      </c>
      <c r="F82" s="43"/>
      <c r="G82" s="26" t="e">
        <f t="shared" si="17"/>
        <v>#REF!</v>
      </c>
      <c r="H82" s="43"/>
      <c r="I82" s="26" t="e">
        <f t="shared" si="18"/>
        <v>#REF!</v>
      </c>
      <c r="J82" s="26" t="e">
        <f t="shared" si="19"/>
        <v>#REF!</v>
      </c>
      <c r="K82" s="69"/>
      <c r="L82" s="1"/>
      <c r="M82" s="1"/>
      <c r="N82" s="1"/>
    </row>
    <row r="83" spans="1:14" x14ac:dyDescent="0.35">
      <c r="A83" s="76">
        <v>43518</v>
      </c>
      <c r="B83" s="68" t="s">
        <v>192</v>
      </c>
      <c r="C83" s="74"/>
      <c r="D83" s="26">
        <v>2</v>
      </c>
      <c r="E83" s="42" t="e">
        <f t="shared" si="16"/>
        <v>#REF!</v>
      </c>
      <c r="F83" s="43"/>
      <c r="G83" s="26" t="e">
        <f t="shared" si="17"/>
        <v>#REF!</v>
      </c>
      <c r="H83" s="43"/>
      <c r="I83" s="26" t="e">
        <f t="shared" si="18"/>
        <v>#REF!</v>
      </c>
      <c r="J83" s="26" t="e">
        <f t="shared" si="19"/>
        <v>#REF!</v>
      </c>
      <c r="K83" s="69"/>
      <c r="L83" s="1"/>
      <c r="M83" s="1"/>
      <c r="N83" s="1"/>
    </row>
    <row r="84" spans="1:14" x14ac:dyDescent="0.35">
      <c r="A84" s="76">
        <v>23</v>
      </c>
      <c r="B84" s="68" t="s">
        <v>193</v>
      </c>
      <c r="C84" s="74"/>
      <c r="D84" s="26">
        <f>2*1.6+7*1.2+5*3.6+4*2.2</f>
        <v>38.400000000000006</v>
      </c>
      <c r="E84" s="42" t="e">
        <f t="shared" si="16"/>
        <v>#REF!</v>
      </c>
      <c r="F84" s="43"/>
      <c r="G84" s="26" t="e">
        <f t="shared" si="17"/>
        <v>#REF!</v>
      </c>
      <c r="H84" s="43"/>
      <c r="I84" s="26" t="e">
        <f t="shared" si="18"/>
        <v>#REF!</v>
      </c>
      <c r="J84" s="26" t="e">
        <f t="shared" si="19"/>
        <v>#REF!</v>
      </c>
      <c r="K84" s="69"/>
      <c r="L84" s="1"/>
      <c r="M84" s="1"/>
      <c r="N84" s="1"/>
    </row>
    <row r="85" spans="1:14" x14ac:dyDescent="0.35">
      <c r="A85" s="76">
        <v>43519</v>
      </c>
      <c r="B85" s="68" t="s">
        <v>194</v>
      </c>
      <c r="C85" s="74"/>
      <c r="D85" s="26">
        <v>16.75</v>
      </c>
      <c r="E85" s="42" t="e">
        <f t="shared" si="16"/>
        <v>#REF!</v>
      </c>
      <c r="F85" s="43"/>
      <c r="G85" s="26" t="e">
        <f t="shared" si="17"/>
        <v>#REF!</v>
      </c>
      <c r="H85" s="43"/>
      <c r="I85" s="26" t="e">
        <f t="shared" si="18"/>
        <v>#REF!</v>
      </c>
      <c r="J85" s="26" t="e">
        <f t="shared" si="19"/>
        <v>#REF!</v>
      </c>
      <c r="K85" s="69"/>
      <c r="L85" s="1"/>
      <c r="M85" s="1"/>
      <c r="N85" s="1"/>
    </row>
    <row r="86" spans="1:14" x14ac:dyDescent="0.35">
      <c r="A86" s="76">
        <v>43519</v>
      </c>
      <c r="B86" s="68" t="s">
        <v>195</v>
      </c>
      <c r="C86" s="74"/>
      <c r="D86" s="26">
        <f>13*0.8+2*1.2+2*1.1+2*1+2*0.9+2.85</f>
        <v>21.650000000000002</v>
      </c>
      <c r="E86" s="42" t="e">
        <f t="shared" si="16"/>
        <v>#REF!</v>
      </c>
      <c r="F86" s="43"/>
      <c r="G86" s="26" t="e">
        <f t="shared" si="17"/>
        <v>#REF!</v>
      </c>
      <c r="H86" s="43"/>
      <c r="I86" s="26" t="e">
        <f t="shared" si="18"/>
        <v>#REF!</v>
      </c>
      <c r="J86" s="26" t="e">
        <f t="shared" si="19"/>
        <v>#REF!</v>
      </c>
      <c r="K86" s="69"/>
      <c r="L86" s="1"/>
      <c r="M86" s="1"/>
      <c r="N86" s="1"/>
    </row>
    <row r="87" spans="1:14" x14ac:dyDescent="0.35">
      <c r="A87" s="76">
        <v>43519</v>
      </c>
      <c r="B87" s="68" t="s">
        <v>196</v>
      </c>
      <c r="C87" s="74"/>
      <c r="D87" s="26">
        <f>15*5.6</f>
        <v>84</v>
      </c>
      <c r="E87" s="42" t="e">
        <f t="shared" si="16"/>
        <v>#REF!</v>
      </c>
      <c r="F87" s="43"/>
      <c r="G87" s="26" t="e">
        <f t="shared" si="17"/>
        <v>#REF!</v>
      </c>
      <c r="H87" s="43"/>
      <c r="I87" s="26" t="e">
        <f t="shared" si="18"/>
        <v>#REF!</v>
      </c>
      <c r="J87" s="26" t="e">
        <f t="shared" si="19"/>
        <v>#REF!</v>
      </c>
      <c r="K87" s="69"/>
      <c r="L87" s="1"/>
      <c r="M87" s="1"/>
      <c r="N87" s="1"/>
    </row>
    <row r="88" spans="1:14" x14ac:dyDescent="0.35">
      <c r="A88" s="76">
        <v>43522</v>
      </c>
      <c r="B88" s="68" t="s">
        <v>197</v>
      </c>
      <c r="C88" s="74"/>
      <c r="D88" s="26">
        <f>2*2.15</f>
        <v>4.3</v>
      </c>
      <c r="E88" s="42" t="e">
        <f t="shared" si="16"/>
        <v>#REF!</v>
      </c>
      <c r="F88" s="43"/>
      <c r="G88" s="26" t="e">
        <f t="shared" si="17"/>
        <v>#REF!</v>
      </c>
      <c r="H88" s="43"/>
      <c r="I88" s="26" t="e">
        <f t="shared" si="18"/>
        <v>#REF!</v>
      </c>
      <c r="J88" s="26" t="e">
        <f t="shared" si="19"/>
        <v>#REF!</v>
      </c>
      <c r="K88" s="69"/>
      <c r="L88" s="1"/>
      <c r="M88" s="1"/>
      <c r="N88" s="1"/>
    </row>
    <row r="89" spans="1:14" x14ac:dyDescent="0.35">
      <c r="A89" s="76">
        <v>43522</v>
      </c>
      <c r="B89" s="68" t="s">
        <v>198</v>
      </c>
      <c r="C89" s="74"/>
      <c r="D89" s="26">
        <f>19*5</f>
        <v>95</v>
      </c>
      <c r="E89" s="42" t="e">
        <f t="shared" si="16"/>
        <v>#REF!</v>
      </c>
      <c r="F89" s="43"/>
      <c r="G89" s="26" t="e">
        <f t="shared" si="17"/>
        <v>#REF!</v>
      </c>
      <c r="H89" s="43"/>
      <c r="I89" s="26" t="e">
        <f t="shared" si="18"/>
        <v>#REF!</v>
      </c>
      <c r="J89" s="26" t="e">
        <f t="shared" si="19"/>
        <v>#REF!</v>
      </c>
      <c r="K89" s="69"/>
      <c r="L89" s="1"/>
      <c r="M89" s="1"/>
      <c r="N89" s="1"/>
    </row>
    <row r="90" spans="1:14" x14ac:dyDescent="0.35">
      <c r="A90" s="76">
        <v>43522</v>
      </c>
      <c r="B90" s="68" t="s">
        <v>199</v>
      </c>
      <c r="C90" s="74"/>
      <c r="D90" s="26">
        <f>3*5.7+2*4.25+4.7</f>
        <v>30.3</v>
      </c>
      <c r="E90" s="42" t="e">
        <f t="shared" si="16"/>
        <v>#REF!</v>
      </c>
      <c r="F90" s="43"/>
      <c r="G90" s="26" t="e">
        <f t="shared" si="17"/>
        <v>#REF!</v>
      </c>
      <c r="H90" s="43"/>
      <c r="I90" s="26" t="e">
        <f t="shared" si="18"/>
        <v>#REF!</v>
      </c>
      <c r="J90" s="26" t="e">
        <f t="shared" si="19"/>
        <v>#REF!</v>
      </c>
      <c r="K90" s="69"/>
      <c r="L90" s="1"/>
      <c r="M90" s="1"/>
      <c r="N90" s="1"/>
    </row>
    <row r="91" spans="1:14" x14ac:dyDescent="0.35">
      <c r="A91" s="76">
        <v>43523</v>
      </c>
      <c r="B91" s="68" t="s">
        <v>202</v>
      </c>
      <c r="C91" s="74"/>
      <c r="D91" s="26">
        <f>11*3+11*2.45</f>
        <v>59.95</v>
      </c>
      <c r="E91" s="42" t="e">
        <f t="shared" si="16"/>
        <v>#REF!</v>
      </c>
      <c r="F91" s="43"/>
      <c r="G91" s="26" t="e">
        <f t="shared" si="17"/>
        <v>#REF!</v>
      </c>
      <c r="H91" s="43"/>
      <c r="I91" s="26" t="e">
        <f t="shared" si="18"/>
        <v>#REF!</v>
      </c>
      <c r="J91" s="26" t="e">
        <f t="shared" si="19"/>
        <v>#REF!</v>
      </c>
      <c r="K91" s="69"/>
      <c r="L91" s="1"/>
      <c r="M91" s="1"/>
      <c r="N91" s="1"/>
    </row>
    <row r="92" spans="1:14" x14ac:dyDescent="0.35">
      <c r="A92" s="76">
        <v>43523</v>
      </c>
      <c r="B92" s="68" t="s">
        <v>203</v>
      </c>
      <c r="C92" s="74"/>
      <c r="D92" s="26">
        <f>7*3</f>
        <v>21</v>
      </c>
      <c r="E92" s="42" t="e">
        <f t="shared" si="16"/>
        <v>#REF!</v>
      </c>
      <c r="F92" s="43"/>
      <c r="G92" s="26" t="e">
        <f t="shared" si="17"/>
        <v>#REF!</v>
      </c>
      <c r="H92" s="43"/>
      <c r="I92" s="26" t="e">
        <f t="shared" si="18"/>
        <v>#REF!</v>
      </c>
      <c r="J92" s="26" t="e">
        <f t="shared" si="19"/>
        <v>#REF!</v>
      </c>
      <c r="K92" s="69"/>
      <c r="L92" s="1"/>
      <c r="M92" s="1"/>
      <c r="N92" s="1"/>
    </row>
    <row r="93" spans="1:14" x14ac:dyDescent="0.35">
      <c r="A93" s="76">
        <v>43524</v>
      </c>
      <c r="B93" s="68" t="s">
        <v>204</v>
      </c>
      <c r="C93" s="74"/>
      <c r="D93" s="26">
        <f>2*1.5+8*1.55</f>
        <v>15.4</v>
      </c>
      <c r="E93" s="42" t="e">
        <f t="shared" si="16"/>
        <v>#REF!</v>
      </c>
      <c r="F93" s="43"/>
      <c r="G93" s="26" t="e">
        <f t="shared" si="17"/>
        <v>#REF!</v>
      </c>
      <c r="H93" s="43"/>
      <c r="I93" s="26" t="e">
        <f t="shared" si="18"/>
        <v>#REF!</v>
      </c>
      <c r="J93" s="26" t="e">
        <f t="shared" si="19"/>
        <v>#REF!</v>
      </c>
      <c r="K93" s="69"/>
      <c r="L93" s="1"/>
      <c r="M93" s="1"/>
      <c r="N93" s="1"/>
    </row>
    <row r="94" spans="1:14" s="37" customFormat="1" x14ac:dyDescent="0.35">
      <c r="A94" s="88">
        <v>43524</v>
      </c>
      <c r="B94" s="32" t="s">
        <v>206</v>
      </c>
      <c r="C94" s="40"/>
      <c r="D94" s="33">
        <f>3*2.8</f>
        <v>8.3999999999999986</v>
      </c>
      <c r="E94" s="85" t="e">
        <f t="shared" si="16"/>
        <v>#REF!</v>
      </c>
      <c r="F94" s="86"/>
      <c r="G94" s="33" t="e">
        <f t="shared" si="17"/>
        <v>#REF!</v>
      </c>
      <c r="H94" s="86"/>
      <c r="I94" s="33" t="e">
        <f t="shared" si="18"/>
        <v>#REF!</v>
      </c>
      <c r="J94" s="33" t="e">
        <f t="shared" si="19"/>
        <v>#REF!</v>
      </c>
      <c r="K94" s="39"/>
      <c r="L94" s="35" t="e">
        <f>SUM(I78:I94)</f>
        <v>#REF!</v>
      </c>
      <c r="M94" s="35" t="e">
        <f>SUM(L77:L94)</f>
        <v>#REF!</v>
      </c>
      <c r="N94" s="36">
        <v>43159</v>
      </c>
    </row>
    <row r="95" spans="1:14" x14ac:dyDescent="0.35">
      <c r="A95" s="76">
        <v>43525</v>
      </c>
      <c r="B95" s="68" t="s">
        <v>207</v>
      </c>
      <c r="C95" s="74"/>
      <c r="D95" s="26">
        <f>5*3.5</f>
        <v>17.5</v>
      </c>
      <c r="E95" s="42" t="e">
        <f t="shared" si="16"/>
        <v>#REF!</v>
      </c>
      <c r="F95" s="43"/>
      <c r="G95" s="26" t="e">
        <f t="shared" si="17"/>
        <v>#REF!</v>
      </c>
      <c r="H95" s="43"/>
      <c r="I95" s="26" t="e">
        <f t="shared" si="18"/>
        <v>#REF!</v>
      </c>
      <c r="J95" s="26" t="e">
        <f t="shared" si="19"/>
        <v>#REF!</v>
      </c>
      <c r="K95" s="69"/>
      <c r="L95" s="1"/>
      <c r="M95" s="1"/>
      <c r="N95" s="1"/>
    </row>
    <row r="96" spans="1:14" x14ac:dyDescent="0.35">
      <c r="A96" s="76">
        <v>43526</v>
      </c>
      <c r="B96" s="68" t="s">
        <v>208</v>
      </c>
      <c r="C96" s="74"/>
      <c r="D96" s="26">
        <f>32*3.07</f>
        <v>98.24</v>
      </c>
      <c r="E96" s="42" t="e">
        <f t="shared" si="16"/>
        <v>#REF!</v>
      </c>
      <c r="F96" s="43"/>
      <c r="G96" s="26" t="e">
        <f t="shared" si="17"/>
        <v>#REF!</v>
      </c>
      <c r="H96" s="43"/>
      <c r="I96" s="26" t="e">
        <f t="shared" si="18"/>
        <v>#REF!</v>
      </c>
      <c r="J96" s="26" t="e">
        <f t="shared" si="19"/>
        <v>#REF!</v>
      </c>
      <c r="K96" s="69"/>
      <c r="L96" s="1"/>
      <c r="M96" s="1"/>
      <c r="N96" s="1"/>
    </row>
    <row r="97" spans="1:14" x14ac:dyDescent="0.35">
      <c r="A97" s="76">
        <v>43161</v>
      </c>
      <c r="B97" s="68" t="s">
        <v>209</v>
      </c>
      <c r="C97" s="74"/>
      <c r="D97" s="26">
        <f>5*4.65</f>
        <v>23.25</v>
      </c>
      <c r="E97" s="42" t="e">
        <f t="shared" si="16"/>
        <v>#REF!</v>
      </c>
      <c r="F97" s="43"/>
      <c r="G97" s="26" t="e">
        <f t="shared" si="17"/>
        <v>#REF!</v>
      </c>
      <c r="H97" s="43"/>
      <c r="I97" s="26" t="e">
        <f t="shared" si="18"/>
        <v>#REF!</v>
      </c>
      <c r="J97" s="26" t="e">
        <f t="shared" si="19"/>
        <v>#REF!</v>
      </c>
      <c r="K97" s="69"/>
      <c r="L97" s="1"/>
      <c r="M97" s="1"/>
      <c r="N97" s="1"/>
    </row>
    <row r="98" spans="1:14" x14ac:dyDescent="0.35">
      <c r="A98" s="76">
        <v>43526</v>
      </c>
      <c r="B98" s="68" t="s">
        <v>211</v>
      </c>
      <c r="C98" s="74"/>
      <c r="D98" s="26">
        <f>5*3.5</f>
        <v>17.5</v>
      </c>
      <c r="E98" s="42" t="e">
        <f t="shared" si="16"/>
        <v>#REF!</v>
      </c>
      <c r="F98" s="43"/>
      <c r="G98" s="26" t="e">
        <f t="shared" si="17"/>
        <v>#REF!</v>
      </c>
      <c r="H98" s="43"/>
      <c r="I98" s="26" t="e">
        <f t="shared" si="18"/>
        <v>#REF!</v>
      </c>
      <c r="J98" s="26" t="e">
        <f t="shared" si="19"/>
        <v>#REF!</v>
      </c>
      <c r="K98" s="69"/>
      <c r="L98" s="1"/>
      <c r="M98" s="1"/>
      <c r="N98" s="1"/>
    </row>
    <row r="99" spans="1:14" x14ac:dyDescent="0.35">
      <c r="A99" s="76">
        <v>43530</v>
      </c>
      <c r="B99" s="68" t="s">
        <v>212</v>
      </c>
      <c r="C99" s="74"/>
      <c r="D99" s="26">
        <v>16.2</v>
      </c>
      <c r="E99" s="42" t="e">
        <f t="shared" si="16"/>
        <v>#REF!</v>
      </c>
      <c r="F99" s="43"/>
      <c r="G99" s="26" t="e">
        <f t="shared" si="17"/>
        <v>#REF!</v>
      </c>
      <c r="H99" s="43"/>
      <c r="I99" s="26" t="e">
        <f t="shared" si="18"/>
        <v>#REF!</v>
      </c>
      <c r="J99" s="26" t="e">
        <f t="shared" si="19"/>
        <v>#REF!</v>
      </c>
      <c r="K99" s="69"/>
      <c r="L99" s="1"/>
      <c r="M99" s="1"/>
      <c r="N99" s="1"/>
    </row>
    <row r="100" spans="1:14" x14ac:dyDescent="0.35">
      <c r="A100" s="76">
        <v>43532</v>
      </c>
      <c r="B100" s="68" t="s">
        <v>214</v>
      </c>
      <c r="C100" s="74"/>
      <c r="D100" s="26">
        <f>3*4.5+2.2</f>
        <v>15.7</v>
      </c>
      <c r="E100" s="42" t="e">
        <f t="shared" si="16"/>
        <v>#REF!</v>
      </c>
      <c r="F100" s="43"/>
      <c r="G100" s="26" t="e">
        <f t="shared" si="17"/>
        <v>#REF!</v>
      </c>
      <c r="H100" s="43"/>
      <c r="I100" s="26" t="e">
        <f t="shared" si="18"/>
        <v>#REF!</v>
      </c>
      <c r="J100" s="26" t="e">
        <f t="shared" si="19"/>
        <v>#REF!</v>
      </c>
      <c r="K100" s="69"/>
      <c r="L100" s="1"/>
      <c r="M100" s="1"/>
      <c r="N100" s="1"/>
    </row>
    <row r="101" spans="1:14" x14ac:dyDescent="0.35">
      <c r="A101" s="76">
        <v>43532</v>
      </c>
      <c r="B101" s="68" t="s">
        <v>216</v>
      </c>
      <c r="C101" s="74"/>
      <c r="D101" s="26">
        <f>6*5.16</f>
        <v>30.96</v>
      </c>
      <c r="E101" s="42" t="e">
        <f t="shared" si="16"/>
        <v>#REF!</v>
      </c>
      <c r="F101" s="43"/>
      <c r="G101" s="26" t="e">
        <f t="shared" si="17"/>
        <v>#REF!</v>
      </c>
      <c r="H101" s="43"/>
      <c r="I101" s="26" t="e">
        <f t="shared" si="18"/>
        <v>#REF!</v>
      </c>
      <c r="J101" s="26" t="e">
        <f t="shared" si="19"/>
        <v>#REF!</v>
      </c>
      <c r="K101" s="69"/>
      <c r="L101" s="1"/>
      <c r="M101" s="1"/>
      <c r="N101" s="1"/>
    </row>
    <row r="102" spans="1:14" x14ac:dyDescent="0.35">
      <c r="A102" s="76">
        <v>43535</v>
      </c>
      <c r="B102" s="68" t="s">
        <v>221</v>
      </c>
      <c r="C102" s="74"/>
      <c r="D102" s="26">
        <f>5*5</f>
        <v>25</v>
      </c>
      <c r="E102" s="42" t="e">
        <f t="shared" si="16"/>
        <v>#REF!</v>
      </c>
      <c r="F102" s="43"/>
      <c r="G102" s="26" t="e">
        <f t="shared" si="17"/>
        <v>#REF!</v>
      </c>
      <c r="H102" s="43"/>
      <c r="I102" s="26" t="e">
        <f t="shared" si="18"/>
        <v>#REF!</v>
      </c>
      <c r="J102" s="26" t="e">
        <f t="shared" si="19"/>
        <v>#REF!</v>
      </c>
      <c r="K102" s="69"/>
      <c r="L102" s="1"/>
      <c r="M102" s="1"/>
      <c r="N102" s="1"/>
    </row>
    <row r="103" spans="1:14" x14ac:dyDescent="0.35">
      <c r="A103" s="76">
        <v>43537</v>
      </c>
      <c r="B103" s="68" t="s">
        <v>222</v>
      </c>
      <c r="C103" s="74"/>
      <c r="D103" s="26">
        <f>8*6</f>
        <v>48</v>
      </c>
      <c r="E103" s="42" t="e">
        <f t="shared" si="16"/>
        <v>#REF!</v>
      </c>
      <c r="F103" s="43"/>
      <c r="G103" s="26" t="e">
        <f t="shared" si="17"/>
        <v>#REF!</v>
      </c>
      <c r="H103" s="43"/>
      <c r="I103" s="26" t="e">
        <f t="shared" si="18"/>
        <v>#REF!</v>
      </c>
      <c r="J103" s="26" t="e">
        <f t="shared" si="19"/>
        <v>#REF!</v>
      </c>
      <c r="K103" s="69"/>
      <c r="L103" s="1"/>
      <c r="M103" s="1"/>
      <c r="N103" s="1"/>
    </row>
    <row r="104" spans="1:14" x14ac:dyDescent="0.35">
      <c r="A104" s="76">
        <v>43537</v>
      </c>
      <c r="B104" s="68" t="s">
        <v>224</v>
      </c>
      <c r="C104" s="74"/>
      <c r="D104" s="26">
        <v>0</v>
      </c>
      <c r="E104" s="42" t="e">
        <f t="shared" si="16"/>
        <v>#REF!</v>
      </c>
      <c r="F104" s="43"/>
      <c r="G104" s="26" t="e">
        <f t="shared" si="17"/>
        <v>#REF!</v>
      </c>
      <c r="H104" s="43"/>
      <c r="I104" s="26" t="e">
        <f t="shared" si="18"/>
        <v>#REF!</v>
      </c>
      <c r="J104" s="26" t="e">
        <f t="shared" si="19"/>
        <v>#REF!</v>
      </c>
      <c r="K104" s="69"/>
      <c r="L104" s="1"/>
      <c r="M104" s="1"/>
      <c r="N104" s="1"/>
    </row>
    <row r="105" spans="1:14" x14ac:dyDescent="0.35">
      <c r="A105" s="76">
        <v>43537</v>
      </c>
      <c r="B105" s="68" t="s">
        <v>226</v>
      </c>
      <c r="C105" s="74"/>
      <c r="D105" s="26">
        <v>0</v>
      </c>
      <c r="E105" s="42" t="e">
        <f t="shared" si="16"/>
        <v>#REF!</v>
      </c>
      <c r="F105" s="43"/>
      <c r="G105" s="26" t="e">
        <f t="shared" si="17"/>
        <v>#REF!</v>
      </c>
      <c r="H105" s="43"/>
      <c r="I105" s="26" t="e">
        <f t="shared" si="18"/>
        <v>#REF!</v>
      </c>
      <c r="J105" s="26" t="e">
        <f t="shared" si="19"/>
        <v>#REF!</v>
      </c>
      <c r="K105" s="69"/>
      <c r="L105" s="1"/>
      <c r="M105" s="1"/>
      <c r="N105" s="1"/>
    </row>
    <row r="106" spans="1:14" x14ac:dyDescent="0.35">
      <c r="A106" s="76">
        <v>43537</v>
      </c>
      <c r="B106" s="68" t="s">
        <v>227</v>
      </c>
      <c r="C106" s="74"/>
      <c r="D106" s="26">
        <f>14*5.12+14*5.46+5.38</f>
        <v>153.5</v>
      </c>
      <c r="E106" s="42" t="e">
        <f t="shared" si="16"/>
        <v>#REF!</v>
      </c>
      <c r="F106" s="43"/>
      <c r="G106" s="26" t="e">
        <f t="shared" si="17"/>
        <v>#REF!</v>
      </c>
      <c r="H106" s="43"/>
      <c r="I106" s="26" t="e">
        <f t="shared" si="18"/>
        <v>#REF!</v>
      </c>
      <c r="J106" s="26" t="e">
        <f t="shared" si="19"/>
        <v>#REF!</v>
      </c>
      <c r="K106" s="69"/>
      <c r="L106" s="1"/>
      <c r="M106" s="1"/>
      <c r="N106" s="1"/>
    </row>
    <row r="107" spans="1:14" x14ac:dyDescent="0.35">
      <c r="A107" s="76">
        <v>43537</v>
      </c>
      <c r="B107" s="68" t="s">
        <v>228</v>
      </c>
      <c r="C107" s="74"/>
      <c r="D107" s="26">
        <f>6*2.5</f>
        <v>15</v>
      </c>
      <c r="E107" s="42" t="e">
        <f t="shared" si="16"/>
        <v>#REF!</v>
      </c>
      <c r="F107" s="43"/>
      <c r="G107" s="26" t="e">
        <f t="shared" si="17"/>
        <v>#REF!</v>
      </c>
      <c r="H107" s="43"/>
      <c r="I107" s="26" t="e">
        <f t="shared" si="18"/>
        <v>#REF!</v>
      </c>
      <c r="J107" s="26" t="e">
        <f t="shared" si="19"/>
        <v>#REF!</v>
      </c>
      <c r="K107" s="69"/>
      <c r="L107" s="1"/>
      <c r="M107" s="1"/>
      <c r="N107" s="1"/>
    </row>
    <row r="108" spans="1:14" x14ac:dyDescent="0.35">
      <c r="A108" s="76">
        <v>43537</v>
      </c>
      <c r="B108" s="68" t="s">
        <v>229</v>
      </c>
      <c r="C108" s="74"/>
      <c r="D108" s="26">
        <f>2*3</f>
        <v>6</v>
      </c>
      <c r="E108" s="42" t="e">
        <f t="shared" si="16"/>
        <v>#REF!</v>
      </c>
      <c r="F108" s="43"/>
      <c r="G108" s="26" t="e">
        <f t="shared" si="17"/>
        <v>#REF!</v>
      </c>
      <c r="H108" s="43"/>
      <c r="I108" s="26" t="e">
        <f t="shared" si="18"/>
        <v>#REF!</v>
      </c>
      <c r="J108" s="26" t="e">
        <f t="shared" si="19"/>
        <v>#REF!</v>
      </c>
      <c r="K108" s="69"/>
      <c r="L108" s="1"/>
      <c r="M108" s="1"/>
      <c r="N108" s="1"/>
    </row>
    <row r="109" spans="1:14" s="37" customFormat="1" x14ac:dyDescent="0.35">
      <c r="A109" s="88">
        <v>43537</v>
      </c>
      <c r="B109" s="32" t="s">
        <v>233</v>
      </c>
      <c r="C109" s="40"/>
      <c r="D109" s="33">
        <f>10*0.6</f>
        <v>6</v>
      </c>
      <c r="E109" s="85" t="e">
        <f t="shared" si="16"/>
        <v>#REF!</v>
      </c>
      <c r="F109" s="86"/>
      <c r="G109" s="33" t="e">
        <f t="shared" si="17"/>
        <v>#REF!</v>
      </c>
      <c r="H109" s="86"/>
      <c r="I109" s="33" t="e">
        <f t="shared" si="18"/>
        <v>#REF!</v>
      </c>
      <c r="J109" s="33" t="e">
        <f t="shared" si="19"/>
        <v>#REF!</v>
      </c>
      <c r="K109" s="39"/>
      <c r="L109" s="35" t="e">
        <f>SUM(I95:I109)</f>
        <v>#REF!</v>
      </c>
      <c r="M109" s="114"/>
      <c r="N109" s="36">
        <v>43539</v>
      </c>
    </row>
    <row r="110" spans="1:14" x14ac:dyDescent="0.35">
      <c r="A110" s="76">
        <v>43545</v>
      </c>
      <c r="B110" s="68" t="s">
        <v>243</v>
      </c>
      <c r="C110" s="74"/>
      <c r="D110" s="26">
        <v>4.5</v>
      </c>
      <c r="E110" s="42" t="e">
        <f t="shared" si="16"/>
        <v>#REF!</v>
      </c>
      <c r="F110" s="43"/>
      <c r="G110" s="26" t="e">
        <f t="shared" si="17"/>
        <v>#REF!</v>
      </c>
      <c r="H110" s="43"/>
      <c r="I110" s="26" t="e">
        <f t="shared" si="18"/>
        <v>#REF!</v>
      </c>
      <c r="J110" s="26" t="e">
        <f t="shared" si="19"/>
        <v>#REF!</v>
      </c>
      <c r="K110" s="69"/>
      <c r="L110" s="1"/>
      <c r="M110" s="1"/>
      <c r="N110" s="1"/>
    </row>
    <row r="111" spans="1:14" x14ac:dyDescent="0.35">
      <c r="A111" s="76">
        <v>43547</v>
      </c>
      <c r="B111" s="68" t="s">
        <v>248</v>
      </c>
      <c r="C111" s="74"/>
      <c r="D111" s="26">
        <f>2*2</f>
        <v>4</v>
      </c>
      <c r="E111" s="42" t="e">
        <f t="shared" si="16"/>
        <v>#REF!</v>
      </c>
      <c r="F111" s="43"/>
      <c r="G111" s="26" t="e">
        <f t="shared" si="17"/>
        <v>#REF!</v>
      </c>
      <c r="H111" s="43"/>
      <c r="I111" s="26" t="e">
        <f t="shared" si="18"/>
        <v>#REF!</v>
      </c>
      <c r="J111" s="26" t="e">
        <f t="shared" si="19"/>
        <v>#REF!</v>
      </c>
      <c r="K111" s="69"/>
      <c r="L111" s="1"/>
      <c r="M111" s="1"/>
      <c r="N111" s="1"/>
    </row>
    <row r="112" spans="1:14" x14ac:dyDescent="0.35">
      <c r="A112" s="76">
        <v>43547</v>
      </c>
      <c r="B112" s="68" t="s">
        <v>250</v>
      </c>
      <c r="C112" s="74"/>
      <c r="D112" s="26">
        <f>5*3.7+3*4+1.2</f>
        <v>31.7</v>
      </c>
      <c r="E112" s="42" t="e">
        <f t="shared" si="16"/>
        <v>#REF!</v>
      </c>
      <c r="F112" s="43"/>
      <c r="G112" s="26" t="e">
        <f t="shared" si="17"/>
        <v>#REF!</v>
      </c>
      <c r="H112" s="43"/>
      <c r="I112" s="26" t="e">
        <f t="shared" si="18"/>
        <v>#REF!</v>
      </c>
      <c r="J112" s="26" t="e">
        <f t="shared" si="19"/>
        <v>#REF!</v>
      </c>
      <c r="K112" s="69"/>
      <c r="L112" s="1"/>
      <c r="M112" s="1"/>
      <c r="N112" s="1"/>
    </row>
    <row r="113" spans="1:14" x14ac:dyDescent="0.35">
      <c r="A113" s="76">
        <v>43549</v>
      </c>
      <c r="B113" s="68" t="s">
        <v>252</v>
      </c>
      <c r="C113" s="74"/>
      <c r="D113" s="26">
        <f>4*4.5</f>
        <v>18</v>
      </c>
      <c r="E113" s="42" t="e">
        <f t="shared" si="16"/>
        <v>#REF!</v>
      </c>
      <c r="F113" s="43"/>
      <c r="G113" s="26" t="e">
        <f t="shared" si="17"/>
        <v>#REF!</v>
      </c>
      <c r="H113" s="43"/>
      <c r="I113" s="26" t="e">
        <f t="shared" si="18"/>
        <v>#REF!</v>
      </c>
      <c r="J113" s="26" t="e">
        <f t="shared" si="19"/>
        <v>#REF!</v>
      </c>
      <c r="K113" s="69"/>
      <c r="L113" s="1"/>
      <c r="M113" s="1"/>
      <c r="N113" s="1"/>
    </row>
    <row r="114" spans="1:14" x14ac:dyDescent="0.35">
      <c r="A114" s="76">
        <v>43552</v>
      </c>
      <c r="B114" s="68" t="s">
        <v>254</v>
      </c>
      <c r="C114" s="74"/>
      <c r="D114" s="26">
        <v>6.26</v>
      </c>
      <c r="E114" s="42" t="e">
        <f t="shared" si="16"/>
        <v>#REF!</v>
      </c>
      <c r="F114" s="43"/>
      <c r="G114" s="26" t="e">
        <f t="shared" si="17"/>
        <v>#REF!</v>
      </c>
      <c r="H114" s="43"/>
      <c r="I114" s="26" t="e">
        <f t="shared" si="18"/>
        <v>#REF!</v>
      </c>
      <c r="J114" s="26" t="e">
        <f t="shared" si="19"/>
        <v>#REF!</v>
      </c>
      <c r="K114" s="69"/>
      <c r="L114" s="1"/>
      <c r="M114" s="1"/>
      <c r="N114" s="1"/>
    </row>
    <row r="115" spans="1:14" x14ac:dyDescent="0.35">
      <c r="A115" s="76">
        <v>43553</v>
      </c>
      <c r="B115" s="68" t="s">
        <v>257</v>
      </c>
      <c r="C115" s="74"/>
      <c r="D115" s="26">
        <f>17*1.35</f>
        <v>22.950000000000003</v>
      </c>
      <c r="E115" s="42" t="e">
        <f t="shared" si="16"/>
        <v>#REF!</v>
      </c>
      <c r="F115" s="43"/>
      <c r="G115" s="26" t="e">
        <f t="shared" si="17"/>
        <v>#REF!</v>
      </c>
      <c r="H115" s="43"/>
      <c r="I115" s="26" t="e">
        <f t="shared" si="18"/>
        <v>#REF!</v>
      </c>
      <c r="J115" s="26" t="e">
        <f t="shared" si="19"/>
        <v>#REF!</v>
      </c>
      <c r="K115" s="69"/>
      <c r="L115" s="1"/>
      <c r="M115" s="1"/>
      <c r="N115" s="1"/>
    </row>
    <row r="116" spans="1:14" x14ac:dyDescent="0.35">
      <c r="A116" s="76">
        <v>43553</v>
      </c>
      <c r="B116" s="68" t="s">
        <v>260</v>
      </c>
      <c r="C116" s="74"/>
      <c r="D116" s="26">
        <f>10*4+10*4.4+6*6.7</f>
        <v>124.2</v>
      </c>
      <c r="E116" s="42" t="e">
        <f t="shared" si="16"/>
        <v>#REF!</v>
      </c>
      <c r="F116" s="43"/>
      <c r="G116" s="26" t="e">
        <f t="shared" si="17"/>
        <v>#REF!</v>
      </c>
      <c r="H116" s="43"/>
      <c r="I116" s="26" t="e">
        <f t="shared" si="18"/>
        <v>#REF!</v>
      </c>
      <c r="J116" s="26" t="e">
        <f t="shared" si="19"/>
        <v>#REF!</v>
      </c>
      <c r="K116" s="69"/>
      <c r="L116" s="1"/>
      <c r="M116" s="1"/>
      <c r="N116" s="1"/>
    </row>
    <row r="117" spans="1:14" x14ac:dyDescent="0.35">
      <c r="A117" s="76">
        <v>43554</v>
      </c>
      <c r="B117" s="68" t="s">
        <v>261</v>
      </c>
      <c r="C117" s="74"/>
      <c r="D117" s="26">
        <f>17*2.7</f>
        <v>45.900000000000006</v>
      </c>
      <c r="E117" s="42" t="e">
        <f t="shared" si="16"/>
        <v>#REF!</v>
      </c>
      <c r="F117" s="43"/>
      <c r="G117" s="26" t="e">
        <f t="shared" si="17"/>
        <v>#REF!</v>
      </c>
      <c r="H117" s="43"/>
      <c r="I117" s="26" t="e">
        <f t="shared" si="18"/>
        <v>#REF!</v>
      </c>
      <c r="J117" s="26" t="e">
        <f t="shared" si="19"/>
        <v>#REF!</v>
      </c>
      <c r="K117" s="69"/>
      <c r="L117" s="1"/>
      <c r="M117" s="1"/>
      <c r="N117" s="1"/>
    </row>
    <row r="118" spans="1:14" s="37" customFormat="1" x14ac:dyDescent="0.35">
      <c r="A118" s="88">
        <v>43554</v>
      </c>
      <c r="B118" s="32" t="s">
        <v>262</v>
      </c>
      <c r="C118" s="40"/>
      <c r="D118" s="33">
        <f>14*2.5</f>
        <v>35</v>
      </c>
      <c r="E118" s="85" t="e">
        <f t="shared" si="16"/>
        <v>#REF!</v>
      </c>
      <c r="F118" s="86"/>
      <c r="G118" s="33" t="e">
        <f t="shared" si="17"/>
        <v>#REF!</v>
      </c>
      <c r="H118" s="86"/>
      <c r="I118" s="33" t="e">
        <f t="shared" si="18"/>
        <v>#REF!</v>
      </c>
      <c r="J118" s="33" t="e">
        <f t="shared" si="19"/>
        <v>#REF!</v>
      </c>
      <c r="K118" s="39"/>
      <c r="L118" s="35" t="e">
        <f>SUM(I110:I118)</f>
        <v>#REF!</v>
      </c>
      <c r="M118" s="35" t="e">
        <f>SUM(L109:L118)</f>
        <v>#REF!</v>
      </c>
      <c r="N118" s="36">
        <v>43554</v>
      </c>
    </row>
    <row r="119" spans="1:14" x14ac:dyDescent="0.35">
      <c r="A119" s="76">
        <v>43556</v>
      </c>
      <c r="B119" s="68" t="s">
        <v>266</v>
      </c>
      <c r="C119" s="74"/>
      <c r="D119" s="26">
        <f>5*3</f>
        <v>15</v>
      </c>
      <c r="E119" s="42" t="e">
        <f t="shared" si="16"/>
        <v>#REF!</v>
      </c>
      <c r="F119" s="43"/>
      <c r="G119" s="26" t="e">
        <f t="shared" si="17"/>
        <v>#REF!</v>
      </c>
      <c r="H119" s="43"/>
      <c r="I119" s="26" t="e">
        <f t="shared" si="18"/>
        <v>#REF!</v>
      </c>
      <c r="J119" s="26" t="e">
        <f t="shared" si="19"/>
        <v>#REF!</v>
      </c>
      <c r="K119" s="69"/>
      <c r="L119" s="1"/>
      <c r="M119" s="1"/>
      <c r="N119" s="1"/>
    </row>
    <row r="120" spans="1:14" x14ac:dyDescent="0.35">
      <c r="A120" s="76">
        <v>43558</v>
      </c>
      <c r="B120" s="68" t="s">
        <v>269</v>
      </c>
      <c r="C120" s="74"/>
      <c r="D120" s="26">
        <v>0</v>
      </c>
      <c r="E120" s="42" t="e">
        <f t="shared" si="16"/>
        <v>#REF!</v>
      </c>
      <c r="F120" s="43"/>
      <c r="G120" s="26" t="e">
        <f t="shared" si="17"/>
        <v>#REF!</v>
      </c>
      <c r="H120" s="43"/>
      <c r="I120" s="26" t="e">
        <f t="shared" si="18"/>
        <v>#REF!</v>
      </c>
      <c r="J120" s="26" t="e">
        <f t="shared" si="19"/>
        <v>#REF!</v>
      </c>
      <c r="K120" s="69"/>
      <c r="L120" s="1"/>
      <c r="M120" s="1"/>
      <c r="N120" s="1"/>
    </row>
    <row r="121" spans="1:14" x14ac:dyDescent="0.35">
      <c r="A121" s="76">
        <v>43558</v>
      </c>
      <c r="B121" s="68" t="s">
        <v>270</v>
      </c>
      <c r="C121" s="74"/>
      <c r="D121" s="26">
        <f>32*6.8+14*4.2</f>
        <v>276.39999999999998</v>
      </c>
      <c r="E121" s="42" t="e">
        <f t="shared" si="16"/>
        <v>#REF!</v>
      </c>
      <c r="F121" s="43"/>
      <c r="G121" s="26" t="e">
        <f t="shared" si="17"/>
        <v>#REF!</v>
      </c>
      <c r="H121" s="43"/>
      <c r="I121" s="26" t="e">
        <f t="shared" si="18"/>
        <v>#REF!</v>
      </c>
      <c r="J121" s="26" t="e">
        <f t="shared" si="19"/>
        <v>#REF!</v>
      </c>
      <c r="K121" s="69"/>
      <c r="L121" s="1"/>
      <c r="M121" s="1"/>
      <c r="N121" s="1"/>
    </row>
    <row r="122" spans="1:14" x14ac:dyDescent="0.35">
      <c r="A122" s="76">
        <v>43558</v>
      </c>
      <c r="B122" s="68" t="s">
        <v>271</v>
      </c>
      <c r="C122" s="74"/>
      <c r="D122" s="26">
        <f>12*5</f>
        <v>60</v>
      </c>
      <c r="E122" s="42" t="e">
        <f t="shared" si="16"/>
        <v>#REF!</v>
      </c>
      <c r="F122" s="43"/>
      <c r="G122" s="26" t="e">
        <f t="shared" si="17"/>
        <v>#REF!</v>
      </c>
      <c r="H122" s="43"/>
      <c r="I122" s="26" t="e">
        <f t="shared" si="18"/>
        <v>#REF!</v>
      </c>
      <c r="J122" s="26" t="e">
        <f t="shared" si="19"/>
        <v>#REF!</v>
      </c>
      <c r="K122" s="69"/>
      <c r="L122" s="1"/>
      <c r="M122" s="1"/>
      <c r="N122" s="1"/>
    </row>
    <row r="123" spans="1:14" x14ac:dyDescent="0.35">
      <c r="A123" s="76">
        <v>43558</v>
      </c>
      <c r="B123" s="68" t="s">
        <v>431</v>
      </c>
      <c r="C123" s="74"/>
      <c r="D123" s="26">
        <f>4*4.4</f>
        <v>17.600000000000001</v>
      </c>
      <c r="E123" s="42" t="e">
        <f t="shared" ref="E123" si="20">+E122-D123</f>
        <v>#REF!</v>
      </c>
      <c r="F123" s="43"/>
      <c r="G123" s="26" t="e">
        <f t="shared" ref="G123" si="21">+J122/E122</f>
        <v>#REF!</v>
      </c>
      <c r="H123" s="43"/>
      <c r="I123" s="26" t="e">
        <f t="shared" ref="I123" si="22">+D123*G123</f>
        <v>#REF!</v>
      </c>
      <c r="J123" s="26" t="e">
        <f t="shared" ref="J123" si="23">+J122-I123</f>
        <v>#REF!</v>
      </c>
      <c r="K123" s="69"/>
      <c r="L123" s="1"/>
      <c r="M123" s="1"/>
      <c r="N123" s="1"/>
    </row>
    <row r="124" spans="1:14" x14ac:dyDescent="0.35">
      <c r="A124" s="76">
        <v>43560</v>
      </c>
      <c r="B124" s="68" t="s">
        <v>273</v>
      </c>
      <c r="C124" s="74"/>
      <c r="D124" s="26">
        <f>12*2.6</f>
        <v>31.200000000000003</v>
      </c>
      <c r="E124" s="42" t="e">
        <f t="shared" ref="E124" si="24">+E123-D124</f>
        <v>#REF!</v>
      </c>
      <c r="F124" s="43"/>
      <c r="G124" s="26" t="e">
        <f t="shared" ref="G124" si="25">+J123/E123</f>
        <v>#REF!</v>
      </c>
      <c r="H124" s="43"/>
      <c r="I124" s="26" t="e">
        <f t="shared" ref="I124" si="26">+D124*G124</f>
        <v>#REF!</v>
      </c>
      <c r="J124" s="26" t="e">
        <f t="shared" ref="J124" si="27">+J123-I124</f>
        <v>#REF!</v>
      </c>
      <c r="K124" s="69"/>
      <c r="L124" s="1"/>
      <c r="M124" s="1"/>
      <c r="N124" s="1"/>
    </row>
    <row r="125" spans="1:14" x14ac:dyDescent="0.35">
      <c r="A125" s="76">
        <v>43561</v>
      </c>
      <c r="B125" s="68" t="s">
        <v>277</v>
      </c>
      <c r="C125" s="74"/>
      <c r="D125" s="26">
        <f>13.8+13.6+13.4+13.2+13.1+13+12.8+12.6</f>
        <v>105.49999999999999</v>
      </c>
      <c r="E125" s="42" t="e">
        <f t="shared" si="16"/>
        <v>#REF!</v>
      </c>
      <c r="F125" s="43"/>
      <c r="G125" s="26" t="e">
        <f t="shared" si="17"/>
        <v>#REF!</v>
      </c>
      <c r="H125" s="43"/>
      <c r="I125" s="26" t="e">
        <f t="shared" si="18"/>
        <v>#REF!</v>
      </c>
      <c r="J125" s="26" t="e">
        <f t="shared" si="19"/>
        <v>#REF!</v>
      </c>
      <c r="K125" s="69"/>
      <c r="L125" s="1"/>
      <c r="M125" s="1"/>
      <c r="N125" s="1"/>
    </row>
    <row r="126" spans="1:14" x14ac:dyDescent="0.35">
      <c r="A126" s="76">
        <v>43561</v>
      </c>
      <c r="B126" s="68" t="s">
        <v>278</v>
      </c>
      <c r="C126" s="74"/>
      <c r="D126" s="26">
        <f>12.5+12.4+12.2+12+11.9+5*11.8</f>
        <v>120</v>
      </c>
      <c r="E126" s="42" t="e">
        <f t="shared" si="16"/>
        <v>#REF!</v>
      </c>
      <c r="F126" s="43"/>
      <c r="G126" s="26" t="e">
        <f t="shared" si="17"/>
        <v>#REF!</v>
      </c>
      <c r="H126" s="43"/>
      <c r="I126" s="26" t="e">
        <f t="shared" si="18"/>
        <v>#REF!</v>
      </c>
      <c r="J126" s="26" t="e">
        <f t="shared" si="19"/>
        <v>#REF!</v>
      </c>
      <c r="K126" s="69"/>
      <c r="L126" s="1"/>
      <c r="M126" s="1"/>
      <c r="N126" s="1"/>
    </row>
    <row r="127" spans="1:14" x14ac:dyDescent="0.35">
      <c r="A127" s="76">
        <v>43563</v>
      </c>
      <c r="B127" s="68" t="s">
        <v>281</v>
      </c>
      <c r="C127" s="74"/>
      <c r="D127" s="26">
        <f>2.39+2.44+2.48+2.51+2.54</f>
        <v>12.36</v>
      </c>
      <c r="E127" s="42" t="e">
        <f t="shared" si="16"/>
        <v>#REF!</v>
      </c>
      <c r="F127" s="43"/>
      <c r="G127" s="26" t="e">
        <f t="shared" si="17"/>
        <v>#REF!</v>
      </c>
      <c r="H127" s="43"/>
      <c r="I127" s="26" t="e">
        <f t="shared" si="18"/>
        <v>#REF!</v>
      </c>
      <c r="J127" s="26" t="e">
        <f t="shared" si="19"/>
        <v>#REF!</v>
      </c>
      <c r="K127" s="69"/>
      <c r="L127" s="1"/>
      <c r="M127" s="1"/>
      <c r="N127" s="1"/>
    </row>
    <row r="128" spans="1:14" x14ac:dyDescent="0.35">
      <c r="A128" s="76">
        <v>43564</v>
      </c>
      <c r="B128" s="68" t="s">
        <v>282</v>
      </c>
      <c r="C128" s="74"/>
      <c r="D128" s="26">
        <f>20*5.5</f>
        <v>110</v>
      </c>
      <c r="E128" s="42" t="e">
        <f t="shared" si="16"/>
        <v>#REF!</v>
      </c>
      <c r="F128" s="43"/>
      <c r="G128" s="26" t="e">
        <f t="shared" si="17"/>
        <v>#REF!</v>
      </c>
      <c r="H128" s="43"/>
      <c r="I128" s="26" t="e">
        <f t="shared" si="18"/>
        <v>#REF!</v>
      </c>
      <c r="J128" s="26" t="e">
        <f t="shared" si="19"/>
        <v>#REF!</v>
      </c>
      <c r="K128" s="69"/>
      <c r="L128" s="1"/>
      <c r="M128" s="1"/>
      <c r="N128" s="1"/>
    </row>
    <row r="129" spans="1:14" x14ac:dyDescent="0.35">
      <c r="A129" s="76">
        <v>43565</v>
      </c>
      <c r="B129" s="68" t="s">
        <v>284</v>
      </c>
      <c r="C129" s="74"/>
      <c r="D129" s="26">
        <f>5*3</f>
        <v>15</v>
      </c>
      <c r="E129" s="42" t="e">
        <f t="shared" si="16"/>
        <v>#REF!</v>
      </c>
      <c r="F129" s="43"/>
      <c r="G129" s="26" t="e">
        <f t="shared" si="17"/>
        <v>#REF!</v>
      </c>
      <c r="H129" s="43"/>
      <c r="I129" s="26" t="e">
        <f t="shared" si="18"/>
        <v>#REF!</v>
      </c>
      <c r="J129" s="26" t="e">
        <f t="shared" si="19"/>
        <v>#REF!</v>
      </c>
      <c r="K129" s="69"/>
      <c r="L129" s="1"/>
      <c r="M129" s="1"/>
      <c r="N129" s="1"/>
    </row>
    <row r="130" spans="1:14" x14ac:dyDescent="0.35">
      <c r="A130" s="76">
        <v>43565</v>
      </c>
      <c r="B130" s="68" t="s">
        <v>286</v>
      </c>
      <c r="C130" s="74"/>
      <c r="D130" s="26">
        <f>6*4.85</f>
        <v>29.099999999999998</v>
      </c>
      <c r="E130" s="42" t="e">
        <f t="shared" si="16"/>
        <v>#REF!</v>
      </c>
      <c r="F130" s="43"/>
      <c r="G130" s="26" t="e">
        <f t="shared" si="17"/>
        <v>#REF!</v>
      </c>
      <c r="H130" s="43"/>
      <c r="I130" s="26" t="e">
        <f t="shared" si="18"/>
        <v>#REF!</v>
      </c>
      <c r="J130" s="26" t="e">
        <f t="shared" si="19"/>
        <v>#REF!</v>
      </c>
      <c r="K130" s="69"/>
      <c r="L130" s="1"/>
      <c r="M130" s="1"/>
      <c r="N130" s="1"/>
    </row>
    <row r="131" spans="1:14" x14ac:dyDescent="0.35">
      <c r="A131" s="76">
        <v>43566</v>
      </c>
      <c r="B131" s="68" t="s">
        <v>287</v>
      </c>
      <c r="C131" s="74"/>
      <c r="D131" s="26">
        <f>9*3+9*2.4</f>
        <v>48.599999999999994</v>
      </c>
      <c r="E131" s="42" t="e">
        <f t="shared" si="16"/>
        <v>#REF!</v>
      </c>
      <c r="F131" s="43"/>
      <c r="G131" s="26" t="e">
        <f t="shared" si="17"/>
        <v>#REF!</v>
      </c>
      <c r="H131" s="43"/>
      <c r="I131" s="26" t="e">
        <f t="shared" si="18"/>
        <v>#REF!</v>
      </c>
      <c r="J131" s="26" t="e">
        <f t="shared" si="19"/>
        <v>#REF!</v>
      </c>
      <c r="K131" s="69"/>
      <c r="L131" s="1"/>
      <c r="M131" s="1"/>
      <c r="N131" s="1"/>
    </row>
    <row r="132" spans="1:14" x14ac:dyDescent="0.35">
      <c r="A132" s="76">
        <v>43568</v>
      </c>
      <c r="B132" s="68" t="s">
        <v>292</v>
      </c>
      <c r="C132" s="74"/>
      <c r="D132" s="26">
        <f>7*4</f>
        <v>28</v>
      </c>
      <c r="E132" s="42" t="e">
        <f t="shared" si="16"/>
        <v>#REF!</v>
      </c>
      <c r="F132" s="43"/>
      <c r="G132" s="26" t="e">
        <f t="shared" si="17"/>
        <v>#REF!</v>
      </c>
      <c r="H132" s="43"/>
      <c r="I132" s="26" t="e">
        <f t="shared" si="18"/>
        <v>#REF!</v>
      </c>
      <c r="J132" s="26" t="e">
        <f t="shared" si="19"/>
        <v>#REF!</v>
      </c>
      <c r="K132" s="69"/>
      <c r="L132" s="1"/>
      <c r="M132" s="1"/>
      <c r="N132" s="1"/>
    </row>
    <row r="133" spans="1:14" x14ac:dyDescent="0.35">
      <c r="A133" s="76">
        <v>43568</v>
      </c>
      <c r="B133" s="68" t="s">
        <v>293</v>
      </c>
      <c r="C133" s="74"/>
      <c r="D133" s="26">
        <v>8.5</v>
      </c>
      <c r="E133" s="42" t="e">
        <f t="shared" si="16"/>
        <v>#REF!</v>
      </c>
      <c r="F133" s="43"/>
      <c r="G133" s="26" t="e">
        <f t="shared" si="17"/>
        <v>#REF!</v>
      </c>
      <c r="H133" s="43"/>
      <c r="I133" s="26" t="e">
        <f t="shared" si="18"/>
        <v>#REF!</v>
      </c>
      <c r="J133" s="26" t="e">
        <f t="shared" si="19"/>
        <v>#REF!</v>
      </c>
      <c r="K133" s="69"/>
      <c r="L133" s="1"/>
      <c r="M133" s="1"/>
      <c r="N133" s="1"/>
    </row>
    <row r="134" spans="1:14" s="37" customFormat="1" x14ac:dyDescent="0.35">
      <c r="A134" s="88">
        <v>43570</v>
      </c>
      <c r="B134" s="32" t="s">
        <v>294</v>
      </c>
      <c r="C134" s="40"/>
      <c r="D134" s="33">
        <f>13*5.5</f>
        <v>71.5</v>
      </c>
      <c r="E134" s="85" t="e">
        <f t="shared" si="16"/>
        <v>#REF!</v>
      </c>
      <c r="F134" s="86"/>
      <c r="G134" s="33" t="e">
        <f t="shared" si="17"/>
        <v>#REF!</v>
      </c>
      <c r="H134" s="86"/>
      <c r="I134" s="33" t="e">
        <f t="shared" si="18"/>
        <v>#REF!</v>
      </c>
      <c r="J134" s="33" t="e">
        <f t="shared" si="19"/>
        <v>#REF!</v>
      </c>
      <c r="K134" s="39"/>
      <c r="L134" s="35" t="e">
        <f>SUM(I119:I134)</f>
        <v>#REF!</v>
      </c>
      <c r="M134" s="114"/>
      <c r="N134" s="36">
        <v>43570</v>
      </c>
    </row>
    <row r="135" spans="1:14" x14ac:dyDescent="0.35">
      <c r="A135" s="76">
        <v>43571</v>
      </c>
      <c r="B135" s="68" t="s">
        <v>297</v>
      </c>
      <c r="C135" s="74"/>
      <c r="D135" s="26">
        <f>4*2.6</f>
        <v>10.4</v>
      </c>
      <c r="E135" s="42" t="e">
        <f t="shared" si="16"/>
        <v>#REF!</v>
      </c>
      <c r="F135" s="43"/>
      <c r="G135" s="26" t="e">
        <f t="shared" si="17"/>
        <v>#REF!</v>
      </c>
      <c r="H135" s="43"/>
      <c r="I135" s="26" t="e">
        <f t="shared" si="18"/>
        <v>#REF!</v>
      </c>
      <c r="J135" s="26" t="e">
        <f t="shared" si="19"/>
        <v>#REF!</v>
      </c>
      <c r="K135" s="69"/>
      <c r="L135" s="1"/>
      <c r="M135" s="1"/>
      <c r="N135" s="1"/>
    </row>
    <row r="136" spans="1:14" x14ac:dyDescent="0.35">
      <c r="A136" s="76">
        <v>43942</v>
      </c>
      <c r="B136" s="151" t="s">
        <v>845</v>
      </c>
      <c r="C136">
        <v>15609.6</v>
      </c>
      <c r="D136" s="26"/>
      <c r="E136" s="42" t="e">
        <f>+E135+C136</f>
        <v>#REF!</v>
      </c>
      <c r="F136" s="43">
        <f>+H136/C136</f>
        <v>22.816583384583843</v>
      </c>
      <c r="G136" s="26"/>
      <c r="H136" s="74">
        <v>356157.74</v>
      </c>
      <c r="I136" s="26"/>
      <c r="J136" s="26" t="e">
        <f>+J135+H136</f>
        <v>#REF!</v>
      </c>
      <c r="K136" s="69"/>
      <c r="L136" s="1"/>
      <c r="M136" s="1"/>
      <c r="N136" s="1"/>
    </row>
    <row r="137" spans="1:14" x14ac:dyDescent="0.35">
      <c r="A137" s="76">
        <v>43577</v>
      </c>
      <c r="B137" s="68" t="s">
        <v>304</v>
      </c>
      <c r="C137" s="74"/>
      <c r="D137" s="26">
        <f>5*1.9</f>
        <v>9.5</v>
      </c>
      <c r="E137" s="42" t="e">
        <f>+E136-D137</f>
        <v>#REF!</v>
      </c>
      <c r="F137" s="43"/>
      <c r="G137" s="26" t="e">
        <f>+J136/E136</f>
        <v>#REF!</v>
      </c>
      <c r="H137" s="43"/>
      <c r="I137" s="26" t="e">
        <f t="shared" si="18"/>
        <v>#REF!</v>
      </c>
      <c r="J137" s="26" t="e">
        <f>+J136-I137</f>
        <v>#REF!</v>
      </c>
      <c r="K137" s="69"/>
      <c r="L137" s="1"/>
      <c r="M137" s="1"/>
      <c r="N137" s="1"/>
    </row>
    <row r="138" spans="1:14" x14ac:dyDescent="0.35">
      <c r="A138" s="76">
        <v>43577</v>
      </c>
      <c r="B138" s="68" t="s">
        <v>305</v>
      </c>
      <c r="C138" s="74"/>
      <c r="D138" s="26">
        <f>3*5</f>
        <v>15</v>
      </c>
      <c r="E138" s="42" t="e">
        <f t="shared" ref="E138:E201" si="28">+E137-D138</f>
        <v>#REF!</v>
      </c>
      <c r="F138" s="43"/>
      <c r="G138" s="26" t="e">
        <f t="shared" ref="G138:G201" si="29">+J137/E137</f>
        <v>#REF!</v>
      </c>
      <c r="H138" s="43"/>
      <c r="I138" s="26" t="e">
        <f t="shared" ref="I138:I201" si="30">+D138*G138</f>
        <v>#REF!</v>
      </c>
      <c r="J138" s="26" t="e">
        <f t="shared" ref="J138:J201" si="31">+J137-I138</f>
        <v>#REF!</v>
      </c>
      <c r="K138" s="69"/>
      <c r="L138" s="1"/>
      <c r="M138" s="1"/>
      <c r="N138" s="1"/>
    </row>
    <row r="139" spans="1:14" x14ac:dyDescent="0.35">
      <c r="A139" s="76">
        <v>43578</v>
      </c>
      <c r="B139" s="68" t="s">
        <v>311</v>
      </c>
      <c r="C139" s="74"/>
      <c r="D139" s="26">
        <f>2*2.6</f>
        <v>5.2</v>
      </c>
      <c r="E139" s="42" t="e">
        <f t="shared" si="28"/>
        <v>#REF!</v>
      </c>
      <c r="F139" s="43"/>
      <c r="G139" s="26" t="e">
        <f t="shared" si="29"/>
        <v>#REF!</v>
      </c>
      <c r="H139" s="43"/>
      <c r="I139" s="26" t="e">
        <f t="shared" si="30"/>
        <v>#REF!</v>
      </c>
      <c r="J139" s="26" t="e">
        <f t="shared" si="31"/>
        <v>#REF!</v>
      </c>
      <c r="K139" s="69"/>
      <c r="L139" s="1"/>
      <c r="M139" s="1"/>
      <c r="N139" s="1"/>
    </row>
    <row r="140" spans="1:14" x14ac:dyDescent="0.35">
      <c r="A140" s="76">
        <v>43580</v>
      </c>
      <c r="B140" s="68" t="s">
        <v>314</v>
      </c>
      <c r="C140" s="74"/>
      <c r="D140" s="26">
        <f>20*5.1+8</f>
        <v>110</v>
      </c>
      <c r="E140" s="42" t="e">
        <f t="shared" si="28"/>
        <v>#REF!</v>
      </c>
      <c r="F140" s="43"/>
      <c r="G140" s="26" t="e">
        <f t="shared" si="29"/>
        <v>#REF!</v>
      </c>
      <c r="H140" s="43"/>
      <c r="I140" s="26" t="e">
        <f t="shared" si="30"/>
        <v>#REF!</v>
      </c>
      <c r="J140" s="26" t="e">
        <f t="shared" si="31"/>
        <v>#REF!</v>
      </c>
      <c r="K140" s="69"/>
      <c r="L140" s="1"/>
      <c r="M140" s="1"/>
      <c r="N140" s="1"/>
    </row>
    <row r="141" spans="1:14" x14ac:dyDescent="0.35">
      <c r="A141" s="76">
        <v>43585</v>
      </c>
      <c r="B141" s="68" t="s">
        <v>321</v>
      </c>
      <c r="C141" s="74"/>
      <c r="D141" s="26">
        <f>4*3.2</f>
        <v>12.8</v>
      </c>
      <c r="E141" s="42" t="e">
        <f t="shared" si="28"/>
        <v>#REF!</v>
      </c>
      <c r="F141" s="43"/>
      <c r="G141" s="26" t="e">
        <f t="shared" si="29"/>
        <v>#REF!</v>
      </c>
      <c r="H141" s="43"/>
      <c r="I141" s="26" t="e">
        <f t="shared" si="30"/>
        <v>#REF!</v>
      </c>
      <c r="J141" s="26" t="e">
        <f t="shared" si="31"/>
        <v>#REF!</v>
      </c>
      <c r="K141" s="69"/>
      <c r="L141" s="1"/>
      <c r="M141" s="1"/>
      <c r="N141" s="1"/>
    </row>
    <row r="142" spans="1:14" x14ac:dyDescent="0.35">
      <c r="A142" s="76">
        <v>43585</v>
      </c>
      <c r="B142" s="68" t="s">
        <v>322</v>
      </c>
      <c r="C142" s="74"/>
      <c r="D142" s="26">
        <v>0</v>
      </c>
      <c r="E142" s="42" t="e">
        <f t="shared" si="28"/>
        <v>#REF!</v>
      </c>
      <c r="F142" s="43"/>
      <c r="G142" s="26" t="e">
        <f t="shared" si="29"/>
        <v>#REF!</v>
      </c>
      <c r="H142" s="43"/>
      <c r="I142" s="26" t="e">
        <f t="shared" si="30"/>
        <v>#REF!</v>
      </c>
      <c r="J142" s="26" t="e">
        <f t="shared" si="31"/>
        <v>#REF!</v>
      </c>
      <c r="K142" s="69"/>
      <c r="L142" s="1"/>
      <c r="M142" s="1"/>
      <c r="N142" s="1"/>
    </row>
    <row r="143" spans="1:14" s="37" customFormat="1" x14ac:dyDescent="0.35">
      <c r="A143" s="88">
        <v>43585</v>
      </c>
      <c r="B143" s="32" t="s">
        <v>323</v>
      </c>
      <c r="C143" s="40"/>
      <c r="D143" s="33">
        <f>2*2.4</f>
        <v>4.8</v>
      </c>
      <c r="E143" s="42" t="e">
        <f t="shared" si="28"/>
        <v>#REF!</v>
      </c>
      <c r="F143" s="43"/>
      <c r="G143" s="26" t="e">
        <f t="shared" si="29"/>
        <v>#REF!</v>
      </c>
      <c r="H143" s="43"/>
      <c r="I143" s="26" t="e">
        <f t="shared" si="30"/>
        <v>#REF!</v>
      </c>
      <c r="J143" s="26" t="e">
        <f t="shared" si="31"/>
        <v>#REF!</v>
      </c>
      <c r="K143" s="39"/>
      <c r="L143" s="35" t="e">
        <f>SUM(I135:I143)</f>
        <v>#REF!</v>
      </c>
      <c r="M143" s="35" t="e">
        <f>SUM(L134:L143)</f>
        <v>#REF!</v>
      </c>
      <c r="N143" s="36">
        <v>43585</v>
      </c>
    </row>
    <row r="144" spans="1:14" x14ac:dyDescent="0.35">
      <c r="A144" s="76">
        <v>43591</v>
      </c>
      <c r="B144" s="68" t="s">
        <v>332</v>
      </c>
      <c r="C144" s="74"/>
      <c r="D144" s="26">
        <f>10*4.5+4*2.2</f>
        <v>53.8</v>
      </c>
      <c r="E144" s="42" t="e">
        <f t="shared" si="28"/>
        <v>#REF!</v>
      </c>
      <c r="F144" s="43"/>
      <c r="G144" s="26" t="e">
        <f t="shared" si="29"/>
        <v>#REF!</v>
      </c>
      <c r="H144" s="43"/>
      <c r="I144" s="26" t="e">
        <f t="shared" si="30"/>
        <v>#REF!</v>
      </c>
      <c r="J144" s="26" t="e">
        <f t="shared" si="31"/>
        <v>#REF!</v>
      </c>
      <c r="K144" s="69"/>
      <c r="L144" s="1"/>
      <c r="M144" s="1"/>
      <c r="N144" s="1"/>
    </row>
    <row r="145" spans="1:14" x14ac:dyDescent="0.35">
      <c r="A145" s="76">
        <v>43593</v>
      </c>
      <c r="B145" s="68" t="s">
        <v>334</v>
      </c>
      <c r="C145" s="74"/>
      <c r="D145" s="26">
        <f>7*3.5</f>
        <v>24.5</v>
      </c>
      <c r="E145" s="42" t="e">
        <f t="shared" si="28"/>
        <v>#REF!</v>
      </c>
      <c r="F145" s="43"/>
      <c r="G145" s="26" t="e">
        <f t="shared" si="29"/>
        <v>#REF!</v>
      </c>
      <c r="H145" s="43"/>
      <c r="I145" s="26" t="e">
        <f t="shared" si="30"/>
        <v>#REF!</v>
      </c>
      <c r="J145" s="26" t="e">
        <f t="shared" si="31"/>
        <v>#REF!</v>
      </c>
      <c r="K145" s="69"/>
      <c r="L145" s="1"/>
      <c r="M145" s="1"/>
      <c r="N145" s="1"/>
    </row>
    <row r="146" spans="1:14" x14ac:dyDescent="0.35">
      <c r="A146" s="76">
        <v>43593</v>
      </c>
      <c r="B146" s="68" t="s">
        <v>335</v>
      </c>
      <c r="C146" s="74"/>
      <c r="D146" s="26">
        <f>11*4.5</f>
        <v>49.5</v>
      </c>
      <c r="E146" s="42" t="e">
        <f t="shared" si="28"/>
        <v>#REF!</v>
      </c>
      <c r="F146" s="43"/>
      <c r="G146" s="26" t="e">
        <f t="shared" si="29"/>
        <v>#REF!</v>
      </c>
      <c r="H146" s="43"/>
      <c r="I146" s="26" t="e">
        <f t="shared" si="30"/>
        <v>#REF!</v>
      </c>
      <c r="J146" s="26" t="e">
        <f t="shared" si="31"/>
        <v>#REF!</v>
      </c>
      <c r="K146" s="69"/>
      <c r="L146" s="1"/>
      <c r="M146" s="1"/>
      <c r="N146" s="1"/>
    </row>
    <row r="147" spans="1:14" x14ac:dyDescent="0.35">
      <c r="A147" s="76">
        <v>43595</v>
      </c>
      <c r="B147" s="68" t="s">
        <v>337</v>
      </c>
      <c r="C147" s="74"/>
      <c r="D147" s="26">
        <v>2.5</v>
      </c>
      <c r="E147" s="42" t="e">
        <f t="shared" si="28"/>
        <v>#REF!</v>
      </c>
      <c r="F147" s="43"/>
      <c r="G147" s="26" t="e">
        <f t="shared" si="29"/>
        <v>#REF!</v>
      </c>
      <c r="H147" s="43"/>
      <c r="I147" s="26" t="e">
        <f t="shared" si="30"/>
        <v>#REF!</v>
      </c>
      <c r="J147" s="26" t="e">
        <f t="shared" si="31"/>
        <v>#REF!</v>
      </c>
      <c r="K147" s="69"/>
      <c r="L147" s="1"/>
      <c r="M147" s="1"/>
      <c r="N147" s="1"/>
    </row>
    <row r="148" spans="1:14" x14ac:dyDescent="0.35">
      <c r="A148" s="76">
        <v>43595</v>
      </c>
      <c r="B148" s="68" t="s">
        <v>340</v>
      </c>
      <c r="C148" s="74"/>
      <c r="D148" s="26">
        <f>13*1.5</f>
        <v>19.5</v>
      </c>
      <c r="E148" s="42" t="e">
        <f t="shared" si="28"/>
        <v>#REF!</v>
      </c>
      <c r="F148" s="43"/>
      <c r="G148" s="26" t="e">
        <f t="shared" si="29"/>
        <v>#REF!</v>
      </c>
      <c r="H148" s="43"/>
      <c r="I148" s="26" t="e">
        <f t="shared" si="30"/>
        <v>#REF!</v>
      </c>
      <c r="J148" s="26" t="e">
        <f t="shared" si="31"/>
        <v>#REF!</v>
      </c>
      <c r="K148" s="69"/>
      <c r="L148" s="1"/>
      <c r="M148" s="1"/>
      <c r="N148" s="1"/>
    </row>
    <row r="149" spans="1:14" x14ac:dyDescent="0.35">
      <c r="A149" s="76">
        <v>43598</v>
      </c>
      <c r="B149" s="68" t="s">
        <v>343</v>
      </c>
      <c r="C149" s="74"/>
      <c r="D149" s="26">
        <f>4*3.5</f>
        <v>14</v>
      </c>
      <c r="E149" s="42" t="e">
        <f t="shared" si="28"/>
        <v>#REF!</v>
      </c>
      <c r="F149" s="43"/>
      <c r="G149" s="26" t="e">
        <f t="shared" si="29"/>
        <v>#REF!</v>
      </c>
      <c r="H149" s="43"/>
      <c r="I149" s="26" t="e">
        <f t="shared" si="30"/>
        <v>#REF!</v>
      </c>
      <c r="J149" s="26" t="e">
        <f t="shared" si="31"/>
        <v>#REF!</v>
      </c>
      <c r="K149" s="69"/>
      <c r="L149" s="1"/>
      <c r="M149" s="1"/>
      <c r="N149" s="1"/>
    </row>
    <row r="150" spans="1:14" x14ac:dyDescent="0.35">
      <c r="A150" s="76">
        <v>43598</v>
      </c>
      <c r="B150" s="68" t="s">
        <v>344</v>
      </c>
      <c r="C150" s="74"/>
      <c r="D150" s="26">
        <v>0</v>
      </c>
      <c r="E150" s="42" t="e">
        <f t="shared" si="28"/>
        <v>#REF!</v>
      </c>
      <c r="F150" s="43"/>
      <c r="G150" s="26" t="e">
        <f t="shared" si="29"/>
        <v>#REF!</v>
      </c>
      <c r="H150" s="43"/>
      <c r="I150" s="26" t="e">
        <f t="shared" si="30"/>
        <v>#REF!</v>
      </c>
      <c r="J150" s="26" t="e">
        <f t="shared" si="31"/>
        <v>#REF!</v>
      </c>
      <c r="K150" s="69"/>
      <c r="L150" s="1"/>
      <c r="M150" s="1"/>
      <c r="N150" s="1"/>
    </row>
    <row r="151" spans="1:14" x14ac:dyDescent="0.35">
      <c r="A151" s="76">
        <v>43599</v>
      </c>
      <c r="B151" s="68" t="s">
        <v>349</v>
      </c>
      <c r="C151" s="74"/>
      <c r="D151" s="26">
        <f>9*4.7+9*6.25</f>
        <v>98.550000000000011</v>
      </c>
      <c r="E151" s="42" t="e">
        <f t="shared" si="28"/>
        <v>#REF!</v>
      </c>
      <c r="F151" s="43"/>
      <c r="G151" s="26" t="e">
        <f t="shared" si="29"/>
        <v>#REF!</v>
      </c>
      <c r="H151" s="43"/>
      <c r="I151" s="26" t="e">
        <f t="shared" si="30"/>
        <v>#REF!</v>
      </c>
      <c r="J151" s="26" t="e">
        <f t="shared" si="31"/>
        <v>#REF!</v>
      </c>
      <c r="K151" s="69"/>
      <c r="L151" s="1"/>
      <c r="M151" s="1"/>
      <c r="N151" s="1"/>
    </row>
    <row r="152" spans="1:14" s="37" customFormat="1" x14ac:dyDescent="0.35">
      <c r="A152" s="88">
        <v>43600</v>
      </c>
      <c r="B152" s="32" t="s">
        <v>350</v>
      </c>
      <c r="C152" s="40"/>
      <c r="D152" s="33">
        <f>10*2.5</f>
        <v>25</v>
      </c>
      <c r="E152" s="42" t="e">
        <f t="shared" si="28"/>
        <v>#REF!</v>
      </c>
      <c r="F152" s="43"/>
      <c r="G152" s="26" t="e">
        <f t="shared" si="29"/>
        <v>#REF!</v>
      </c>
      <c r="H152" s="43"/>
      <c r="I152" s="26" t="e">
        <f t="shared" si="30"/>
        <v>#REF!</v>
      </c>
      <c r="J152" s="26" t="e">
        <f t="shared" si="31"/>
        <v>#REF!</v>
      </c>
      <c r="K152" s="39"/>
      <c r="L152" s="35" t="e">
        <f>SUM(I144:I152)</f>
        <v>#REF!</v>
      </c>
      <c r="M152" s="114"/>
      <c r="N152" s="36">
        <v>43600</v>
      </c>
    </row>
    <row r="153" spans="1:14" x14ac:dyDescent="0.35">
      <c r="A153" s="76">
        <v>43601</v>
      </c>
      <c r="B153" s="68" t="s">
        <v>353</v>
      </c>
      <c r="C153" s="74"/>
      <c r="D153" s="26">
        <f>9*4+9*2.8</f>
        <v>61.2</v>
      </c>
      <c r="E153" s="42" t="e">
        <f t="shared" si="28"/>
        <v>#REF!</v>
      </c>
      <c r="F153" s="43"/>
      <c r="G153" s="26" t="e">
        <f t="shared" si="29"/>
        <v>#REF!</v>
      </c>
      <c r="H153" s="43"/>
      <c r="I153" s="26" t="e">
        <f t="shared" si="30"/>
        <v>#REF!</v>
      </c>
      <c r="J153" s="26" t="e">
        <f t="shared" si="31"/>
        <v>#REF!</v>
      </c>
      <c r="K153" s="69"/>
      <c r="L153" s="1"/>
      <c r="M153" s="1"/>
      <c r="N153" s="1"/>
    </row>
    <row r="154" spans="1:14" x14ac:dyDescent="0.35">
      <c r="A154" s="76">
        <v>43601</v>
      </c>
      <c r="B154" s="68" t="s">
        <v>356</v>
      </c>
      <c r="C154" s="74"/>
      <c r="D154" s="26">
        <f>2*4.4+2*4.5+2*4.6</f>
        <v>27</v>
      </c>
      <c r="E154" s="42" t="e">
        <f t="shared" si="28"/>
        <v>#REF!</v>
      </c>
      <c r="F154" s="43"/>
      <c r="G154" s="26" t="e">
        <f t="shared" si="29"/>
        <v>#REF!</v>
      </c>
      <c r="H154" s="43"/>
      <c r="I154" s="26" t="e">
        <f t="shared" si="30"/>
        <v>#REF!</v>
      </c>
      <c r="J154" s="26" t="e">
        <f t="shared" si="31"/>
        <v>#REF!</v>
      </c>
      <c r="K154" s="69"/>
      <c r="L154" s="1"/>
      <c r="M154" s="1"/>
      <c r="N154" s="1"/>
    </row>
    <row r="155" spans="1:14" x14ac:dyDescent="0.35">
      <c r="A155" s="76">
        <v>43602</v>
      </c>
      <c r="B155" s="68" t="s">
        <v>357</v>
      </c>
      <c r="C155" s="74"/>
      <c r="D155" s="26">
        <f>30*3.1+6</f>
        <v>99</v>
      </c>
      <c r="E155" s="42" t="e">
        <f t="shared" si="28"/>
        <v>#REF!</v>
      </c>
      <c r="F155" s="43"/>
      <c r="G155" s="26" t="e">
        <f t="shared" si="29"/>
        <v>#REF!</v>
      </c>
      <c r="H155" s="43"/>
      <c r="I155" s="26" t="e">
        <f t="shared" si="30"/>
        <v>#REF!</v>
      </c>
      <c r="J155" s="26" t="e">
        <f t="shared" si="31"/>
        <v>#REF!</v>
      </c>
      <c r="K155" s="69"/>
      <c r="L155" s="1"/>
      <c r="M155" s="1"/>
      <c r="N155" s="1"/>
    </row>
    <row r="156" spans="1:14" x14ac:dyDescent="0.35">
      <c r="A156" s="76">
        <v>43602</v>
      </c>
      <c r="B156" s="68" t="s">
        <v>359</v>
      </c>
      <c r="C156" s="74"/>
      <c r="D156" s="26">
        <f>15*2.8+8*0.5</f>
        <v>46</v>
      </c>
      <c r="E156" s="42" t="e">
        <f t="shared" si="28"/>
        <v>#REF!</v>
      </c>
      <c r="F156" s="43"/>
      <c r="G156" s="26" t="e">
        <f t="shared" si="29"/>
        <v>#REF!</v>
      </c>
      <c r="H156" s="43"/>
      <c r="I156" s="26" t="e">
        <f t="shared" si="30"/>
        <v>#REF!</v>
      </c>
      <c r="J156" s="26" t="e">
        <f t="shared" si="31"/>
        <v>#REF!</v>
      </c>
      <c r="K156" s="69"/>
      <c r="L156" s="1"/>
      <c r="M156" s="1"/>
      <c r="N156" s="1"/>
    </row>
    <row r="157" spans="1:14" x14ac:dyDescent="0.35">
      <c r="A157" s="76">
        <v>43603</v>
      </c>
      <c r="B157" s="68" t="s">
        <v>360</v>
      </c>
      <c r="C157" s="74"/>
      <c r="D157" s="26">
        <f>7*5</f>
        <v>35</v>
      </c>
      <c r="E157" s="42" t="e">
        <f t="shared" si="28"/>
        <v>#REF!</v>
      </c>
      <c r="F157" s="43"/>
      <c r="G157" s="26" t="e">
        <f t="shared" si="29"/>
        <v>#REF!</v>
      </c>
      <c r="H157" s="43"/>
      <c r="I157" s="26" t="e">
        <f t="shared" si="30"/>
        <v>#REF!</v>
      </c>
      <c r="J157" s="26" t="e">
        <f t="shared" si="31"/>
        <v>#REF!</v>
      </c>
      <c r="K157" s="69"/>
      <c r="L157" s="1"/>
      <c r="M157" s="1"/>
      <c r="N157" s="1"/>
    </row>
    <row r="158" spans="1:14" x14ac:dyDescent="0.35">
      <c r="A158" s="76">
        <v>43603</v>
      </c>
      <c r="B158" s="68" t="s">
        <v>361</v>
      </c>
      <c r="C158" s="74"/>
      <c r="D158" s="26">
        <f>6.5+4.2</f>
        <v>10.7</v>
      </c>
      <c r="E158" s="42" t="e">
        <f t="shared" si="28"/>
        <v>#REF!</v>
      </c>
      <c r="F158" s="43"/>
      <c r="G158" s="26" t="e">
        <f t="shared" si="29"/>
        <v>#REF!</v>
      </c>
      <c r="H158" s="43"/>
      <c r="I158" s="26" t="e">
        <f t="shared" si="30"/>
        <v>#REF!</v>
      </c>
      <c r="J158" s="26" t="e">
        <f t="shared" si="31"/>
        <v>#REF!</v>
      </c>
      <c r="K158" s="69"/>
      <c r="L158" s="1"/>
      <c r="M158" s="1"/>
      <c r="N158" s="1"/>
    </row>
    <row r="159" spans="1:14" x14ac:dyDescent="0.35">
      <c r="A159" s="76">
        <v>43605</v>
      </c>
      <c r="B159" s="68" t="s">
        <v>362</v>
      </c>
      <c r="C159" s="74"/>
      <c r="D159" s="26">
        <v>6.25</v>
      </c>
      <c r="E159" s="42" t="e">
        <f t="shared" si="28"/>
        <v>#REF!</v>
      </c>
      <c r="F159" s="43"/>
      <c r="G159" s="26" t="e">
        <f t="shared" si="29"/>
        <v>#REF!</v>
      </c>
      <c r="H159" s="43"/>
      <c r="I159" s="26" t="e">
        <f t="shared" si="30"/>
        <v>#REF!</v>
      </c>
      <c r="J159" s="26" t="e">
        <f t="shared" si="31"/>
        <v>#REF!</v>
      </c>
      <c r="K159" s="69"/>
      <c r="L159" s="1"/>
      <c r="M159" s="1"/>
      <c r="N159" s="1"/>
    </row>
    <row r="160" spans="1:14" x14ac:dyDescent="0.35">
      <c r="A160" s="76">
        <v>43607</v>
      </c>
      <c r="B160" s="68" t="s">
        <v>363</v>
      </c>
      <c r="C160" s="74"/>
      <c r="D160" s="26">
        <f>4*3.8</f>
        <v>15.2</v>
      </c>
      <c r="E160" s="42" t="e">
        <f t="shared" si="28"/>
        <v>#REF!</v>
      </c>
      <c r="F160" s="43"/>
      <c r="G160" s="26" t="e">
        <f t="shared" si="29"/>
        <v>#REF!</v>
      </c>
      <c r="H160" s="43"/>
      <c r="I160" s="26" t="e">
        <f t="shared" si="30"/>
        <v>#REF!</v>
      </c>
      <c r="J160" s="26" t="e">
        <f t="shared" si="31"/>
        <v>#REF!</v>
      </c>
      <c r="K160" s="69"/>
      <c r="L160" s="1"/>
      <c r="M160" s="1"/>
      <c r="N160" s="1"/>
    </row>
    <row r="161" spans="1:14" x14ac:dyDescent="0.35">
      <c r="A161" s="76">
        <v>43608</v>
      </c>
      <c r="B161" s="68" t="s">
        <v>364</v>
      </c>
      <c r="C161" s="74"/>
      <c r="D161" s="26">
        <f>4*3.5</f>
        <v>14</v>
      </c>
      <c r="E161" s="42" t="e">
        <f t="shared" si="28"/>
        <v>#REF!</v>
      </c>
      <c r="F161" s="43"/>
      <c r="G161" s="26" t="e">
        <f t="shared" si="29"/>
        <v>#REF!</v>
      </c>
      <c r="H161" s="43"/>
      <c r="I161" s="26" t="e">
        <f t="shared" si="30"/>
        <v>#REF!</v>
      </c>
      <c r="J161" s="26" t="e">
        <f t="shared" si="31"/>
        <v>#REF!</v>
      </c>
      <c r="K161" s="69"/>
      <c r="L161" s="1"/>
      <c r="M161" s="1"/>
      <c r="N161" s="1"/>
    </row>
    <row r="162" spans="1:14" x14ac:dyDescent="0.35">
      <c r="A162" s="76">
        <v>43609</v>
      </c>
      <c r="B162" s="68" t="s">
        <v>365</v>
      </c>
      <c r="C162" s="74"/>
      <c r="D162" s="26">
        <f>7*4.3</f>
        <v>30.099999999999998</v>
      </c>
      <c r="E162" s="42" t="e">
        <f t="shared" si="28"/>
        <v>#REF!</v>
      </c>
      <c r="F162" s="43"/>
      <c r="G162" s="26" t="e">
        <f t="shared" si="29"/>
        <v>#REF!</v>
      </c>
      <c r="H162" s="43"/>
      <c r="I162" s="26" t="e">
        <f t="shared" si="30"/>
        <v>#REF!</v>
      </c>
      <c r="J162" s="26" t="e">
        <f t="shared" si="31"/>
        <v>#REF!</v>
      </c>
      <c r="K162" s="69"/>
      <c r="L162" s="1"/>
      <c r="M162" s="1"/>
      <c r="N162" s="1"/>
    </row>
    <row r="163" spans="1:14" x14ac:dyDescent="0.35">
      <c r="A163" s="76">
        <v>43613</v>
      </c>
      <c r="B163" s="68" t="s">
        <v>368</v>
      </c>
      <c r="C163" s="74"/>
      <c r="D163" s="26">
        <f>5*4.7</f>
        <v>23.5</v>
      </c>
      <c r="E163" s="42" t="e">
        <f t="shared" si="28"/>
        <v>#REF!</v>
      </c>
      <c r="F163" s="43"/>
      <c r="G163" s="26" t="e">
        <f t="shared" si="29"/>
        <v>#REF!</v>
      </c>
      <c r="H163" s="43"/>
      <c r="I163" s="26" t="e">
        <f t="shared" si="30"/>
        <v>#REF!</v>
      </c>
      <c r="J163" s="26" t="e">
        <f t="shared" si="31"/>
        <v>#REF!</v>
      </c>
      <c r="K163" s="69"/>
      <c r="L163" s="1"/>
      <c r="M163" s="1"/>
      <c r="N163" s="1"/>
    </row>
    <row r="164" spans="1:14" x14ac:dyDescent="0.35">
      <c r="A164" s="76">
        <v>43616</v>
      </c>
      <c r="B164" s="68" t="s">
        <v>434</v>
      </c>
      <c r="C164" s="74"/>
      <c r="D164" s="26">
        <f>4*3.6</f>
        <v>14.4</v>
      </c>
      <c r="E164" s="42" t="e">
        <f t="shared" si="28"/>
        <v>#REF!</v>
      </c>
      <c r="F164" s="43"/>
      <c r="G164" s="26" t="e">
        <f t="shared" si="29"/>
        <v>#REF!</v>
      </c>
      <c r="H164" s="43"/>
      <c r="I164" s="26" t="e">
        <f t="shared" si="30"/>
        <v>#REF!</v>
      </c>
      <c r="J164" s="26" t="e">
        <f t="shared" si="31"/>
        <v>#REF!</v>
      </c>
      <c r="K164" s="69"/>
      <c r="L164" s="1"/>
      <c r="M164" s="1"/>
      <c r="N164" s="1"/>
    </row>
    <row r="165" spans="1:14" x14ac:dyDescent="0.35">
      <c r="A165" s="76">
        <v>43616</v>
      </c>
      <c r="B165" s="68" t="s">
        <v>371</v>
      </c>
      <c r="C165" s="74"/>
      <c r="D165" s="26">
        <f>6*5.05</f>
        <v>30.299999999999997</v>
      </c>
      <c r="E165" s="42" t="e">
        <f t="shared" si="28"/>
        <v>#REF!</v>
      </c>
      <c r="F165" s="43"/>
      <c r="G165" s="26" t="e">
        <f t="shared" si="29"/>
        <v>#REF!</v>
      </c>
      <c r="H165" s="43"/>
      <c r="I165" s="26" t="e">
        <f t="shared" si="30"/>
        <v>#REF!</v>
      </c>
      <c r="J165" s="26" t="e">
        <f t="shared" si="31"/>
        <v>#REF!</v>
      </c>
      <c r="K165" s="69"/>
      <c r="L165" s="1"/>
      <c r="M165" s="1"/>
      <c r="N165" s="1"/>
    </row>
    <row r="166" spans="1:14" s="37" customFormat="1" x14ac:dyDescent="0.35">
      <c r="A166" s="88">
        <v>43616</v>
      </c>
      <c r="B166" s="32" t="s">
        <v>375</v>
      </c>
      <c r="C166" s="40"/>
      <c r="D166" s="33">
        <f>4*2.3</f>
        <v>9.1999999999999993</v>
      </c>
      <c r="E166" s="42" t="e">
        <f t="shared" si="28"/>
        <v>#REF!</v>
      </c>
      <c r="F166" s="43"/>
      <c r="G166" s="26" t="e">
        <f t="shared" si="29"/>
        <v>#REF!</v>
      </c>
      <c r="H166" s="43"/>
      <c r="I166" s="26" t="e">
        <f t="shared" si="30"/>
        <v>#REF!</v>
      </c>
      <c r="J166" s="26" t="e">
        <f t="shared" si="31"/>
        <v>#REF!</v>
      </c>
      <c r="K166" s="39"/>
      <c r="L166" s="35" t="e">
        <f>SUM(I153:I166)</f>
        <v>#REF!</v>
      </c>
      <c r="M166" s="35" t="e">
        <f>SUM(L152:L166)</f>
        <v>#REF!</v>
      </c>
      <c r="N166" s="36">
        <v>43251</v>
      </c>
    </row>
    <row r="167" spans="1:14" x14ac:dyDescent="0.35">
      <c r="A167" s="76">
        <v>43617</v>
      </c>
      <c r="B167" s="68" t="s">
        <v>379</v>
      </c>
      <c r="C167" s="74"/>
      <c r="D167" s="26">
        <f>12*6</f>
        <v>72</v>
      </c>
      <c r="E167" s="42" t="e">
        <f t="shared" si="28"/>
        <v>#REF!</v>
      </c>
      <c r="F167" s="43"/>
      <c r="G167" s="26" t="e">
        <f t="shared" si="29"/>
        <v>#REF!</v>
      </c>
      <c r="H167" s="43"/>
      <c r="I167" s="26" t="e">
        <f t="shared" si="30"/>
        <v>#REF!</v>
      </c>
      <c r="J167" s="26" t="e">
        <f t="shared" si="31"/>
        <v>#REF!</v>
      </c>
      <c r="K167" s="69"/>
      <c r="L167" s="1"/>
      <c r="M167" s="1"/>
      <c r="N167" s="1"/>
    </row>
    <row r="168" spans="1:14" x14ac:dyDescent="0.35">
      <c r="A168" s="76">
        <v>43617</v>
      </c>
      <c r="B168" s="68" t="s">
        <v>380</v>
      </c>
      <c r="C168" s="74"/>
      <c r="D168" s="26">
        <f>7*4.85</f>
        <v>33.949999999999996</v>
      </c>
      <c r="E168" s="42" t="e">
        <f t="shared" si="28"/>
        <v>#REF!</v>
      </c>
      <c r="F168" s="43"/>
      <c r="G168" s="26" t="e">
        <f t="shared" si="29"/>
        <v>#REF!</v>
      </c>
      <c r="H168" s="43"/>
      <c r="I168" s="26" t="e">
        <f t="shared" si="30"/>
        <v>#REF!</v>
      </c>
      <c r="J168" s="26" t="e">
        <f t="shared" si="31"/>
        <v>#REF!</v>
      </c>
      <c r="K168" s="69"/>
      <c r="L168" s="1"/>
      <c r="M168" s="1"/>
      <c r="N168" s="1"/>
    </row>
    <row r="169" spans="1:14" x14ac:dyDescent="0.35">
      <c r="A169" s="76">
        <v>43617</v>
      </c>
      <c r="B169" s="68" t="s">
        <v>381</v>
      </c>
      <c r="C169" s="74"/>
      <c r="D169" s="26">
        <f>4*2</f>
        <v>8</v>
      </c>
      <c r="E169" s="42" t="e">
        <f t="shared" si="28"/>
        <v>#REF!</v>
      </c>
      <c r="F169" s="43"/>
      <c r="G169" s="26" t="e">
        <f t="shared" si="29"/>
        <v>#REF!</v>
      </c>
      <c r="H169" s="43"/>
      <c r="I169" s="26" t="e">
        <f t="shared" si="30"/>
        <v>#REF!</v>
      </c>
      <c r="J169" s="26" t="e">
        <f t="shared" si="31"/>
        <v>#REF!</v>
      </c>
      <c r="K169" s="69"/>
      <c r="L169" s="1"/>
      <c r="M169" s="1"/>
      <c r="N169" s="1"/>
    </row>
    <row r="170" spans="1:14" x14ac:dyDescent="0.35">
      <c r="A170" s="76">
        <v>43622</v>
      </c>
      <c r="B170" s="68" t="s">
        <v>387</v>
      </c>
      <c r="C170" s="74"/>
      <c r="D170" s="26">
        <f>3*2.5</f>
        <v>7.5</v>
      </c>
      <c r="E170" s="42" t="e">
        <f t="shared" si="28"/>
        <v>#REF!</v>
      </c>
      <c r="F170" s="43"/>
      <c r="G170" s="26" t="e">
        <f t="shared" si="29"/>
        <v>#REF!</v>
      </c>
      <c r="H170" s="43"/>
      <c r="I170" s="26" t="e">
        <f t="shared" si="30"/>
        <v>#REF!</v>
      </c>
      <c r="J170" s="26" t="e">
        <f t="shared" si="31"/>
        <v>#REF!</v>
      </c>
      <c r="K170" s="69"/>
      <c r="L170" s="1"/>
      <c r="M170" s="1"/>
      <c r="N170" s="1"/>
    </row>
    <row r="171" spans="1:14" x14ac:dyDescent="0.35">
      <c r="A171" s="76">
        <v>43623</v>
      </c>
      <c r="B171" s="68" t="s">
        <v>388</v>
      </c>
      <c r="C171" s="74"/>
      <c r="D171" s="26">
        <f>31*10.65+31*5.5</f>
        <v>500.65000000000003</v>
      </c>
      <c r="E171" s="42" t="e">
        <f t="shared" si="28"/>
        <v>#REF!</v>
      </c>
      <c r="F171" s="43"/>
      <c r="G171" s="26" t="e">
        <f t="shared" si="29"/>
        <v>#REF!</v>
      </c>
      <c r="H171" s="43"/>
      <c r="I171" s="26" t="e">
        <f t="shared" si="30"/>
        <v>#REF!</v>
      </c>
      <c r="J171" s="26" t="e">
        <f t="shared" si="31"/>
        <v>#REF!</v>
      </c>
      <c r="K171" s="69"/>
      <c r="L171" s="1"/>
      <c r="M171" s="1"/>
      <c r="N171" s="1"/>
    </row>
    <row r="172" spans="1:14" x14ac:dyDescent="0.35">
      <c r="A172" s="76">
        <v>43623</v>
      </c>
      <c r="B172" s="68" t="s">
        <v>389</v>
      </c>
      <c r="C172" s="74"/>
      <c r="D172" s="26">
        <f>11*3.8</f>
        <v>41.8</v>
      </c>
      <c r="E172" s="42" t="e">
        <f t="shared" si="28"/>
        <v>#REF!</v>
      </c>
      <c r="F172" s="43"/>
      <c r="G172" s="26" t="e">
        <f t="shared" si="29"/>
        <v>#REF!</v>
      </c>
      <c r="H172" s="43"/>
      <c r="I172" s="26" t="e">
        <f t="shared" si="30"/>
        <v>#REF!</v>
      </c>
      <c r="J172" s="26" t="e">
        <f t="shared" si="31"/>
        <v>#REF!</v>
      </c>
      <c r="K172" s="69"/>
      <c r="L172" s="1"/>
      <c r="M172" s="1"/>
      <c r="N172" s="1"/>
    </row>
    <row r="173" spans="1:14" x14ac:dyDescent="0.35">
      <c r="A173" s="76">
        <v>43626</v>
      </c>
      <c r="B173" s="68" t="s">
        <v>397</v>
      </c>
      <c r="C173" s="74"/>
      <c r="D173" s="26">
        <f>4*1.5+7*3.9+1.5</f>
        <v>34.799999999999997</v>
      </c>
      <c r="E173" s="42" t="e">
        <f t="shared" si="28"/>
        <v>#REF!</v>
      </c>
      <c r="F173" s="43"/>
      <c r="G173" s="26" t="e">
        <f t="shared" si="29"/>
        <v>#REF!</v>
      </c>
      <c r="H173" s="43"/>
      <c r="I173" s="26" t="e">
        <f t="shared" si="30"/>
        <v>#REF!</v>
      </c>
      <c r="J173" s="26" t="e">
        <f t="shared" si="31"/>
        <v>#REF!</v>
      </c>
      <c r="K173" s="69"/>
      <c r="L173" s="1"/>
      <c r="M173" s="1"/>
      <c r="N173" s="1"/>
    </row>
    <row r="174" spans="1:14" x14ac:dyDescent="0.35">
      <c r="A174" s="76">
        <v>43626</v>
      </c>
      <c r="B174" s="68" t="s">
        <v>398</v>
      </c>
      <c r="C174" s="74"/>
      <c r="D174" s="26">
        <v>3.8</v>
      </c>
      <c r="E174" s="42" t="e">
        <f t="shared" si="28"/>
        <v>#REF!</v>
      </c>
      <c r="F174" s="43"/>
      <c r="G174" s="26" t="e">
        <f t="shared" si="29"/>
        <v>#REF!</v>
      </c>
      <c r="H174" s="43"/>
      <c r="I174" s="26" t="e">
        <f t="shared" si="30"/>
        <v>#REF!</v>
      </c>
      <c r="J174" s="26" t="e">
        <f t="shared" si="31"/>
        <v>#REF!</v>
      </c>
      <c r="K174" s="69"/>
      <c r="L174" s="1"/>
      <c r="M174" s="1"/>
      <c r="N174" s="1"/>
    </row>
    <row r="175" spans="1:14" x14ac:dyDescent="0.35">
      <c r="A175" s="76">
        <v>43597</v>
      </c>
      <c r="B175" s="68" t="s">
        <v>399</v>
      </c>
      <c r="C175" s="74"/>
      <c r="D175" s="26">
        <v>70</v>
      </c>
      <c r="E175" s="42" t="e">
        <f t="shared" si="28"/>
        <v>#REF!</v>
      </c>
      <c r="F175" s="43"/>
      <c r="G175" s="26" t="e">
        <f t="shared" si="29"/>
        <v>#REF!</v>
      </c>
      <c r="H175" s="43"/>
      <c r="I175" s="26" t="e">
        <f t="shared" si="30"/>
        <v>#REF!</v>
      </c>
      <c r="J175" s="26" t="e">
        <f t="shared" si="31"/>
        <v>#REF!</v>
      </c>
      <c r="K175" s="69"/>
      <c r="L175" s="1"/>
      <c r="M175" s="1"/>
      <c r="N175" s="1"/>
    </row>
    <row r="176" spans="1:14" x14ac:dyDescent="0.35">
      <c r="A176" s="76">
        <v>43629</v>
      </c>
      <c r="B176" s="68" t="s">
        <v>400</v>
      </c>
      <c r="C176" s="74"/>
      <c r="D176" s="26">
        <f>4*1.88</f>
        <v>7.52</v>
      </c>
      <c r="E176" s="42" t="e">
        <f t="shared" si="28"/>
        <v>#REF!</v>
      </c>
      <c r="F176" s="43"/>
      <c r="G176" s="26" t="e">
        <f t="shared" si="29"/>
        <v>#REF!</v>
      </c>
      <c r="H176" s="43"/>
      <c r="I176" s="26" t="e">
        <f t="shared" si="30"/>
        <v>#REF!</v>
      </c>
      <c r="J176" s="26" t="e">
        <f t="shared" si="31"/>
        <v>#REF!</v>
      </c>
      <c r="K176" s="69"/>
      <c r="L176" s="1"/>
      <c r="M176" s="1"/>
      <c r="N176" s="1"/>
    </row>
    <row r="177" spans="1:14 16384:16384" x14ac:dyDescent="0.35">
      <c r="A177" s="76">
        <v>43629</v>
      </c>
      <c r="B177" s="68" t="s">
        <v>401</v>
      </c>
      <c r="C177" s="74"/>
      <c r="D177" s="26">
        <f>6*5</f>
        <v>30</v>
      </c>
      <c r="E177" s="42" t="e">
        <f t="shared" si="28"/>
        <v>#REF!</v>
      </c>
      <c r="F177" s="43"/>
      <c r="G177" s="26" t="e">
        <f t="shared" si="29"/>
        <v>#REF!</v>
      </c>
      <c r="H177" s="43"/>
      <c r="I177" s="26" t="e">
        <f t="shared" si="30"/>
        <v>#REF!</v>
      </c>
      <c r="J177" s="26" t="e">
        <f t="shared" si="31"/>
        <v>#REF!</v>
      </c>
      <c r="K177" s="69"/>
      <c r="L177" s="1"/>
      <c r="M177" s="1"/>
      <c r="N177" s="1"/>
    </row>
    <row r="178" spans="1:14 16384:16384" x14ac:dyDescent="0.35">
      <c r="A178" s="76">
        <v>43629</v>
      </c>
      <c r="B178" s="68" t="s">
        <v>402</v>
      </c>
      <c r="C178" s="74"/>
      <c r="D178" s="26">
        <f>30*6.85+6</f>
        <v>211.5</v>
      </c>
      <c r="E178" s="42" t="e">
        <f t="shared" si="28"/>
        <v>#REF!</v>
      </c>
      <c r="F178" s="43"/>
      <c r="G178" s="26" t="e">
        <f t="shared" si="29"/>
        <v>#REF!</v>
      </c>
      <c r="H178" s="43"/>
      <c r="I178" s="26" t="e">
        <f t="shared" si="30"/>
        <v>#REF!</v>
      </c>
      <c r="J178" s="26" t="e">
        <f t="shared" si="31"/>
        <v>#REF!</v>
      </c>
      <c r="K178" s="69"/>
      <c r="L178" s="1"/>
      <c r="M178" s="1"/>
      <c r="N178" s="1"/>
    </row>
    <row r="179" spans="1:14 16384:16384" x14ac:dyDescent="0.35">
      <c r="A179" s="76">
        <v>43630</v>
      </c>
      <c r="B179" s="68" t="s">
        <v>403</v>
      </c>
      <c r="C179" s="74"/>
      <c r="D179" s="26">
        <v>3</v>
      </c>
      <c r="E179" s="42" t="e">
        <f t="shared" si="28"/>
        <v>#REF!</v>
      </c>
      <c r="F179" s="43"/>
      <c r="G179" s="26" t="e">
        <f t="shared" si="29"/>
        <v>#REF!</v>
      </c>
      <c r="H179" s="43"/>
      <c r="I179" s="26" t="e">
        <f t="shared" si="30"/>
        <v>#REF!</v>
      </c>
      <c r="J179" s="26" t="e">
        <f t="shared" si="31"/>
        <v>#REF!</v>
      </c>
      <c r="K179" s="69"/>
      <c r="L179" s="1"/>
      <c r="M179" s="1"/>
      <c r="N179" s="1"/>
    </row>
    <row r="180" spans="1:14 16384:16384" x14ac:dyDescent="0.35">
      <c r="A180" s="76">
        <v>43631</v>
      </c>
      <c r="B180" s="68" t="s">
        <v>404</v>
      </c>
      <c r="C180" s="74"/>
      <c r="D180" s="26">
        <f>14*3.5</f>
        <v>49</v>
      </c>
      <c r="E180" s="42" t="e">
        <f t="shared" si="28"/>
        <v>#REF!</v>
      </c>
      <c r="F180" s="43"/>
      <c r="G180" s="26" t="e">
        <f t="shared" si="29"/>
        <v>#REF!</v>
      </c>
      <c r="H180" s="43"/>
      <c r="I180" s="26" t="e">
        <f t="shared" si="30"/>
        <v>#REF!</v>
      </c>
      <c r="J180" s="26" t="e">
        <f t="shared" si="31"/>
        <v>#REF!</v>
      </c>
      <c r="K180" s="69"/>
      <c r="L180" s="1"/>
      <c r="M180" s="1"/>
      <c r="N180" s="1"/>
    </row>
    <row r="181" spans="1:14 16384:16384" x14ac:dyDescent="0.35">
      <c r="A181" s="76">
        <v>43631</v>
      </c>
      <c r="B181" s="68" t="s">
        <v>405</v>
      </c>
      <c r="C181" s="74"/>
      <c r="D181" s="26">
        <f>13*4.5</f>
        <v>58.5</v>
      </c>
      <c r="E181" s="42" t="e">
        <f t="shared" si="28"/>
        <v>#REF!</v>
      </c>
      <c r="F181" s="43"/>
      <c r="G181" s="26" t="e">
        <f t="shared" si="29"/>
        <v>#REF!</v>
      </c>
      <c r="H181" s="43"/>
      <c r="I181" s="26" t="e">
        <f t="shared" si="30"/>
        <v>#REF!</v>
      </c>
      <c r="J181" s="26" t="e">
        <f t="shared" si="31"/>
        <v>#REF!</v>
      </c>
      <c r="K181" s="69"/>
      <c r="L181" s="1"/>
      <c r="M181" s="1"/>
      <c r="N181" s="1"/>
    </row>
    <row r="182" spans="1:14 16384:16384" x14ac:dyDescent="0.35">
      <c r="A182" s="76">
        <v>43631</v>
      </c>
      <c r="B182" s="68" t="s">
        <v>407</v>
      </c>
      <c r="C182" s="74"/>
      <c r="D182" s="26">
        <f>5*5.2</f>
        <v>26</v>
      </c>
      <c r="E182" s="42" t="e">
        <f t="shared" si="28"/>
        <v>#REF!</v>
      </c>
      <c r="F182" s="43"/>
      <c r="G182" s="26" t="e">
        <f t="shared" si="29"/>
        <v>#REF!</v>
      </c>
      <c r="H182" s="43"/>
      <c r="I182" s="26" t="e">
        <f t="shared" si="30"/>
        <v>#REF!</v>
      </c>
      <c r="J182" s="26" t="e">
        <f t="shared" si="31"/>
        <v>#REF!</v>
      </c>
      <c r="K182" s="69"/>
      <c r="L182" s="1"/>
      <c r="M182" s="1"/>
      <c r="N182" s="1"/>
    </row>
    <row r="183" spans="1:14 16384:16384" s="37" customFormat="1" x14ac:dyDescent="0.35">
      <c r="A183" s="88">
        <v>43633</v>
      </c>
      <c r="B183" s="32" t="s">
        <v>408</v>
      </c>
      <c r="C183" s="40"/>
      <c r="D183" s="33">
        <f>5*3.7</f>
        <v>18.5</v>
      </c>
      <c r="E183" s="42" t="e">
        <f t="shared" si="28"/>
        <v>#REF!</v>
      </c>
      <c r="F183" s="43"/>
      <c r="G183" s="26" t="e">
        <f t="shared" si="29"/>
        <v>#REF!</v>
      </c>
      <c r="H183" s="43"/>
      <c r="I183" s="26" t="e">
        <f t="shared" si="30"/>
        <v>#REF!</v>
      </c>
      <c r="J183" s="26" t="e">
        <f t="shared" si="31"/>
        <v>#REF!</v>
      </c>
      <c r="K183" s="39"/>
      <c r="L183" s="35" t="e">
        <f>SUM(I167:I183)</f>
        <v>#REF!</v>
      </c>
      <c r="M183" s="114"/>
      <c r="N183" s="36">
        <v>43631</v>
      </c>
    </row>
    <row r="184" spans="1:14 16384:16384" x14ac:dyDescent="0.35">
      <c r="A184" s="76">
        <v>43633</v>
      </c>
      <c r="B184" s="68" t="s">
        <v>409</v>
      </c>
      <c r="C184" s="74"/>
      <c r="D184" s="26">
        <f>30*8.25</f>
        <v>247.5</v>
      </c>
      <c r="E184" s="42" t="e">
        <f t="shared" si="28"/>
        <v>#REF!</v>
      </c>
      <c r="F184" s="43"/>
      <c r="G184" s="26" t="e">
        <f t="shared" si="29"/>
        <v>#REF!</v>
      </c>
      <c r="H184" s="43"/>
      <c r="I184" s="26" t="e">
        <f t="shared" si="30"/>
        <v>#REF!</v>
      </c>
      <c r="J184" s="26" t="e">
        <f t="shared" si="31"/>
        <v>#REF!</v>
      </c>
      <c r="K184" s="69"/>
      <c r="L184" s="1"/>
      <c r="M184" s="1"/>
      <c r="N184" s="1"/>
    </row>
    <row r="185" spans="1:14 16384:16384" x14ac:dyDescent="0.35">
      <c r="A185" s="76">
        <v>43633</v>
      </c>
      <c r="B185" s="68" t="s">
        <v>410</v>
      </c>
      <c r="C185" s="74"/>
      <c r="D185" s="26">
        <v>8.25</v>
      </c>
      <c r="E185" s="42" t="e">
        <f t="shared" si="28"/>
        <v>#REF!</v>
      </c>
      <c r="F185" s="43"/>
      <c r="G185" s="26" t="e">
        <f t="shared" si="29"/>
        <v>#REF!</v>
      </c>
      <c r="H185" s="43"/>
      <c r="I185" s="26" t="e">
        <f t="shared" si="30"/>
        <v>#REF!</v>
      </c>
      <c r="J185" s="26" t="e">
        <f t="shared" si="31"/>
        <v>#REF!</v>
      </c>
      <c r="K185" s="69"/>
      <c r="L185" s="1"/>
      <c r="M185" s="1"/>
      <c r="N185" s="1"/>
    </row>
    <row r="186" spans="1:14 16384:16384" x14ac:dyDescent="0.35">
      <c r="A186" s="76">
        <v>43635</v>
      </c>
      <c r="B186" s="68" t="s">
        <v>412</v>
      </c>
      <c r="C186" s="74"/>
      <c r="D186" s="26">
        <f>7*3+7*2+5.15</f>
        <v>40.15</v>
      </c>
      <c r="E186" s="42" t="e">
        <f t="shared" si="28"/>
        <v>#REF!</v>
      </c>
      <c r="F186" s="43"/>
      <c r="G186" s="26" t="e">
        <f t="shared" si="29"/>
        <v>#REF!</v>
      </c>
      <c r="H186" s="43"/>
      <c r="I186" s="26" t="e">
        <f t="shared" si="30"/>
        <v>#REF!</v>
      </c>
      <c r="J186" s="26" t="e">
        <f t="shared" si="31"/>
        <v>#REF!</v>
      </c>
      <c r="K186" s="69"/>
      <c r="L186" s="1"/>
      <c r="M186" s="1"/>
      <c r="N186" s="1"/>
    </row>
    <row r="187" spans="1:14 16384:16384" x14ac:dyDescent="0.35">
      <c r="A187" s="76">
        <v>43635</v>
      </c>
      <c r="B187" s="68" t="s">
        <v>413</v>
      </c>
      <c r="C187" s="74"/>
      <c r="D187" s="26">
        <f>17*5.25</f>
        <v>89.25</v>
      </c>
      <c r="E187" s="42" t="e">
        <f t="shared" si="28"/>
        <v>#REF!</v>
      </c>
      <c r="F187" s="43"/>
      <c r="G187" s="26" t="e">
        <f t="shared" si="29"/>
        <v>#REF!</v>
      </c>
      <c r="H187" s="43"/>
      <c r="I187" s="26" t="e">
        <f t="shared" si="30"/>
        <v>#REF!</v>
      </c>
      <c r="J187" s="26" t="e">
        <f t="shared" si="31"/>
        <v>#REF!</v>
      </c>
      <c r="K187" s="69"/>
      <c r="L187" s="1"/>
      <c r="M187" s="1"/>
      <c r="N187" s="1"/>
    </row>
    <row r="188" spans="1:14 16384:16384" x14ac:dyDescent="0.35">
      <c r="A188" s="76">
        <v>43638</v>
      </c>
      <c r="B188" s="68" t="s">
        <v>420</v>
      </c>
      <c r="C188" s="74"/>
      <c r="D188" s="26">
        <v>13.2</v>
      </c>
      <c r="E188" s="42" t="e">
        <f t="shared" si="28"/>
        <v>#REF!</v>
      </c>
      <c r="F188" s="43"/>
      <c r="G188" s="26" t="e">
        <f t="shared" si="29"/>
        <v>#REF!</v>
      </c>
      <c r="H188" s="43"/>
      <c r="I188" s="26" t="e">
        <f t="shared" si="30"/>
        <v>#REF!</v>
      </c>
      <c r="J188" s="26" t="e">
        <f t="shared" si="31"/>
        <v>#REF!</v>
      </c>
      <c r="K188" s="69"/>
      <c r="L188" s="1"/>
      <c r="M188" s="1"/>
      <c r="N188" s="1"/>
    </row>
    <row r="189" spans="1:14 16384:16384" x14ac:dyDescent="0.35">
      <c r="A189" s="76">
        <v>43641</v>
      </c>
      <c r="B189" s="68" t="s">
        <v>422</v>
      </c>
      <c r="C189" s="74"/>
      <c r="D189" s="26">
        <f>+(10*4.5+10*3.3+4+3)</f>
        <v>85</v>
      </c>
      <c r="E189" s="42" t="e">
        <f t="shared" si="28"/>
        <v>#REF!</v>
      </c>
      <c r="F189" s="43"/>
      <c r="G189" s="26" t="e">
        <f t="shared" si="29"/>
        <v>#REF!</v>
      </c>
      <c r="H189" s="43"/>
      <c r="I189" s="26" t="e">
        <f t="shared" si="30"/>
        <v>#REF!</v>
      </c>
      <c r="J189" s="26" t="e">
        <f t="shared" si="31"/>
        <v>#REF!</v>
      </c>
      <c r="K189" s="69"/>
      <c r="L189" s="1"/>
      <c r="M189" s="1"/>
      <c r="N189" s="1"/>
    </row>
    <row r="190" spans="1:14 16384:16384" s="37" customFormat="1" x14ac:dyDescent="0.35">
      <c r="A190" s="88">
        <v>43645</v>
      </c>
      <c r="B190" s="32" t="s">
        <v>442</v>
      </c>
      <c r="C190" s="40"/>
      <c r="D190" s="33">
        <f>14*6</f>
        <v>84</v>
      </c>
      <c r="E190" s="42" t="e">
        <f t="shared" si="28"/>
        <v>#REF!</v>
      </c>
      <c r="F190" s="43"/>
      <c r="G190" s="26" t="e">
        <f t="shared" si="29"/>
        <v>#REF!</v>
      </c>
      <c r="H190" s="43"/>
      <c r="I190" s="26" t="e">
        <f t="shared" si="30"/>
        <v>#REF!</v>
      </c>
      <c r="J190" s="26" t="e">
        <f t="shared" si="31"/>
        <v>#REF!</v>
      </c>
      <c r="K190" s="39"/>
      <c r="L190" s="35" t="e">
        <f>SUM(I184:I190)</f>
        <v>#REF!</v>
      </c>
      <c r="M190" s="35" t="e">
        <f>SUM(L183:L190)</f>
        <v>#REF!</v>
      </c>
      <c r="N190" s="36">
        <v>43646</v>
      </c>
      <c r="XFD190" s="41" t="e">
        <f>SUM(D190:XFC190)</f>
        <v>#REF!</v>
      </c>
    </row>
    <row r="191" spans="1:14 16384:16384" x14ac:dyDescent="0.35">
      <c r="A191" s="76">
        <v>43647</v>
      </c>
      <c r="B191" s="68" t="s">
        <v>443</v>
      </c>
      <c r="C191" s="74"/>
      <c r="D191" s="26">
        <f>11*5.3</f>
        <v>58.3</v>
      </c>
      <c r="E191" s="42" t="e">
        <f t="shared" si="28"/>
        <v>#REF!</v>
      </c>
      <c r="F191" s="43"/>
      <c r="G191" s="26" t="e">
        <f t="shared" si="29"/>
        <v>#REF!</v>
      </c>
      <c r="H191" s="43"/>
      <c r="I191" s="26" t="e">
        <f t="shared" si="30"/>
        <v>#REF!</v>
      </c>
      <c r="J191" s="26" t="e">
        <f t="shared" si="31"/>
        <v>#REF!</v>
      </c>
      <c r="K191" s="69"/>
      <c r="L191" s="1"/>
      <c r="M191" s="1"/>
      <c r="N191" s="1"/>
    </row>
    <row r="192" spans="1:14 16384:16384" x14ac:dyDescent="0.35">
      <c r="A192" s="76">
        <v>43647</v>
      </c>
      <c r="B192" s="68" t="s">
        <v>444</v>
      </c>
      <c r="C192" s="74"/>
      <c r="D192" s="26">
        <f>10*3</f>
        <v>30</v>
      </c>
      <c r="E192" s="42" t="e">
        <f t="shared" si="28"/>
        <v>#REF!</v>
      </c>
      <c r="F192" s="43"/>
      <c r="G192" s="26" t="e">
        <f t="shared" si="29"/>
        <v>#REF!</v>
      </c>
      <c r="H192" s="43"/>
      <c r="I192" s="26" t="e">
        <f t="shared" si="30"/>
        <v>#REF!</v>
      </c>
      <c r="J192" s="26" t="e">
        <f t="shared" si="31"/>
        <v>#REF!</v>
      </c>
      <c r="K192" s="69"/>
      <c r="L192" s="1"/>
      <c r="M192" s="1"/>
      <c r="N192" s="1"/>
    </row>
    <row r="193" spans="1:14" x14ac:dyDescent="0.35">
      <c r="A193" s="76">
        <v>43647</v>
      </c>
      <c r="B193" s="68" t="s">
        <v>445</v>
      </c>
      <c r="C193" s="74"/>
      <c r="D193" s="26">
        <v>2</v>
      </c>
      <c r="E193" s="42" t="e">
        <f t="shared" si="28"/>
        <v>#REF!</v>
      </c>
      <c r="F193" s="43"/>
      <c r="G193" s="26" t="e">
        <f t="shared" si="29"/>
        <v>#REF!</v>
      </c>
      <c r="H193" s="43"/>
      <c r="I193" s="26" t="e">
        <f t="shared" si="30"/>
        <v>#REF!</v>
      </c>
      <c r="J193" s="26" t="e">
        <f t="shared" si="31"/>
        <v>#REF!</v>
      </c>
      <c r="K193" s="69"/>
      <c r="L193" s="1"/>
      <c r="M193" s="1"/>
      <c r="N193" s="1"/>
    </row>
    <row r="194" spans="1:14" x14ac:dyDescent="0.35">
      <c r="A194" s="76">
        <v>43648</v>
      </c>
      <c r="B194" s="68" t="s">
        <v>449</v>
      </c>
      <c r="C194" s="74"/>
      <c r="D194" s="26">
        <f>5*6.5+10*7</f>
        <v>102.5</v>
      </c>
      <c r="E194" s="42" t="e">
        <f t="shared" si="28"/>
        <v>#REF!</v>
      </c>
      <c r="F194" s="43"/>
      <c r="G194" s="26" t="e">
        <f t="shared" si="29"/>
        <v>#REF!</v>
      </c>
      <c r="H194" s="43"/>
      <c r="I194" s="26" t="e">
        <f t="shared" si="30"/>
        <v>#REF!</v>
      </c>
      <c r="J194" s="26" t="e">
        <f t="shared" si="31"/>
        <v>#REF!</v>
      </c>
      <c r="K194" s="69"/>
      <c r="L194" s="1"/>
      <c r="M194" s="1"/>
      <c r="N194" s="1"/>
    </row>
    <row r="195" spans="1:14" x14ac:dyDescent="0.35">
      <c r="A195" s="76">
        <v>43648</v>
      </c>
      <c r="B195" s="68" t="s">
        <v>450</v>
      </c>
      <c r="C195" s="74"/>
      <c r="D195" s="26">
        <f>2*3.7</f>
        <v>7.4</v>
      </c>
      <c r="E195" s="42" t="e">
        <f t="shared" si="28"/>
        <v>#REF!</v>
      </c>
      <c r="F195" s="43"/>
      <c r="G195" s="26" t="e">
        <f t="shared" si="29"/>
        <v>#REF!</v>
      </c>
      <c r="H195" s="43"/>
      <c r="I195" s="26" t="e">
        <f t="shared" si="30"/>
        <v>#REF!</v>
      </c>
      <c r="J195" s="26" t="e">
        <f t="shared" si="31"/>
        <v>#REF!</v>
      </c>
      <c r="K195" s="69"/>
      <c r="L195" s="1"/>
      <c r="M195" s="1"/>
      <c r="N195" s="1"/>
    </row>
    <row r="196" spans="1:14" x14ac:dyDescent="0.35">
      <c r="A196" s="76">
        <v>43648</v>
      </c>
      <c r="B196" s="68" t="s">
        <v>451</v>
      </c>
      <c r="C196" s="74"/>
      <c r="D196" s="26">
        <f>7*5.5</f>
        <v>38.5</v>
      </c>
      <c r="E196" s="42" t="e">
        <f t="shared" si="28"/>
        <v>#REF!</v>
      </c>
      <c r="F196" s="43"/>
      <c r="G196" s="26" t="e">
        <f t="shared" si="29"/>
        <v>#REF!</v>
      </c>
      <c r="H196" s="43"/>
      <c r="I196" s="26" t="e">
        <f t="shared" si="30"/>
        <v>#REF!</v>
      </c>
      <c r="J196" s="26" t="e">
        <f t="shared" si="31"/>
        <v>#REF!</v>
      </c>
      <c r="K196" s="69"/>
      <c r="L196" s="1"/>
      <c r="M196" s="1"/>
      <c r="N196" s="1"/>
    </row>
    <row r="197" spans="1:14" x14ac:dyDescent="0.35">
      <c r="A197" s="76">
        <v>43649</v>
      </c>
      <c r="B197" s="68" t="s">
        <v>452</v>
      </c>
      <c r="C197" s="74"/>
      <c r="D197" s="26">
        <f>14*5.16</f>
        <v>72.240000000000009</v>
      </c>
      <c r="E197" s="42" t="e">
        <f t="shared" si="28"/>
        <v>#REF!</v>
      </c>
      <c r="F197" s="43"/>
      <c r="G197" s="26" t="e">
        <f t="shared" si="29"/>
        <v>#REF!</v>
      </c>
      <c r="H197" s="43"/>
      <c r="I197" s="26" t="e">
        <f t="shared" si="30"/>
        <v>#REF!</v>
      </c>
      <c r="J197" s="26" t="e">
        <f t="shared" si="31"/>
        <v>#REF!</v>
      </c>
      <c r="K197" s="69"/>
      <c r="L197" s="1"/>
      <c r="M197" s="1"/>
      <c r="N197" s="1"/>
    </row>
    <row r="198" spans="1:14" x14ac:dyDescent="0.35">
      <c r="A198" s="76">
        <v>43655</v>
      </c>
      <c r="B198" s="68" t="s">
        <v>459</v>
      </c>
      <c r="C198" s="74"/>
      <c r="D198" s="26">
        <f>5*2</f>
        <v>10</v>
      </c>
      <c r="E198" s="42" t="e">
        <f t="shared" si="28"/>
        <v>#REF!</v>
      </c>
      <c r="F198" s="43"/>
      <c r="G198" s="26" t="e">
        <f t="shared" si="29"/>
        <v>#REF!</v>
      </c>
      <c r="H198" s="43"/>
      <c r="I198" s="26" t="e">
        <f t="shared" si="30"/>
        <v>#REF!</v>
      </c>
      <c r="J198" s="26" t="e">
        <f t="shared" si="31"/>
        <v>#REF!</v>
      </c>
      <c r="K198" s="69"/>
      <c r="L198" s="1"/>
      <c r="M198" s="1"/>
      <c r="N198" s="1"/>
    </row>
    <row r="199" spans="1:14" x14ac:dyDescent="0.35">
      <c r="A199" s="76">
        <v>43656</v>
      </c>
      <c r="B199" s="68" t="s">
        <v>461</v>
      </c>
      <c r="C199" s="74"/>
      <c r="D199" s="26">
        <f>5*3</f>
        <v>15</v>
      </c>
      <c r="E199" s="42" t="e">
        <f t="shared" si="28"/>
        <v>#REF!</v>
      </c>
      <c r="F199" s="43"/>
      <c r="G199" s="26" t="e">
        <f t="shared" si="29"/>
        <v>#REF!</v>
      </c>
      <c r="H199" s="43"/>
      <c r="I199" s="26" t="e">
        <f t="shared" si="30"/>
        <v>#REF!</v>
      </c>
      <c r="J199" s="26" t="e">
        <f t="shared" si="31"/>
        <v>#REF!</v>
      </c>
      <c r="K199" s="69"/>
      <c r="L199" s="1"/>
      <c r="M199" s="1"/>
      <c r="N199" s="1"/>
    </row>
    <row r="200" spans="1:14" x14ac:dyDescent="0.35">
      <c r="A200" s="76">
        <v>43657</v>
      </c>
      <c r="B200" s="68" t="s">
        <v>462</v>
      </c>
      <c r="C200" s="74"/>
      <c r="D200" s="26">
        <v>0</v>
      </c>
      <c r="E200" s="42" t="e">
        <f t="shared" si="28"/>
        <v>#REF!</v>
      </c>
      <c r="F200" s="43"/>
      <c r="G200" s="26" t="e">
        <f t="shared" si="29"/>
        <v>#REF!</v>
      </c>
      <c r="H200" s="43"/>
      <c r="I200" s="26" t="e">
        <f t="shared" si="30"/>
        <v>#REF!</v>
      </c>
      <c r="J200" s="26" t="e">
        <f t="shared" si="31"/>
        <v>#REF!</v>
      </c>
      <c r="K200" s="69"/>
      <c r="L200" s="1"/>
      <c r="M200" s="1"/>
      <c r="N200" s="1"/>
    </row>
    <row r="201" spans="1:14" s="37" customFormat="1" x14ac:dyDescent="0.35">
      <c r="A201" s="88">
        <v>43658</v>
      </c>
      <c r="B201" s="32" t="s">
        <v>466</v>
      </c>
      <c r="C201" s="40"/>
      <c r="D201" s="33">
        <f>10*5+2*3</f>
        <v>56</v>
      </c>
      <c r="E201" s="42" t="e">
        <f t="shared" si="28"/>
        <v>#REF!</v>
      </c>
      <c r="F201" s="43"/>
      <c r="G201" s="26" t="e">
        <f t="shared" si="29"/>
        <v>#REF!</v>
      </c>
      <c r="H201" s="43"/>
      <c r="I201" s="26" t="e">
        <f t="shared" si="30"/>
        <v>#REF!</v>
      </c>
      <c r="J201" s="26" t="e">
        <f t="shared" si="31"/>
        <v>#REF!</v>
      </c>
      <c r="K201" s="39"/>
      <c r="L201" s="35" t="e">
        <f>SUM(I191:I201)</f>
        <v>#REF!</v>
      </c>
      <c r="M201" s="114"/>
      <c r="N201" s="36">
        <v>43661</v>
      </c>
    </row>
    <row r="202" spans="1:14" x14ac:dyDescent="0.35">
      <c r="A202" s="76">
        <v>43662</v>
      </c>
      <c r="B202" s="68" t="s">
        <v>468</v>
      </c>
      <c r="C202" s="74"/>
      <c r="D202" s="26">
        <f>16*2.35</f>
        <v>37.6</v>
      </c>
      <c r="E202" s="42" t="e">
        <f t="shared" ref="E202:E265" si="32">+E201-D202</f>
        <v>#REF!</v>
      </c>
      <c r="F202" s="43"/>
      <c r="G202" s="26" t="e">
        <f t="shared" ref="G202:G265" si="33">+J201/E201</f>
        <v>#REF!</v>
      </c>
      <c r="H202" s="43"/>
      <c r="I202" s="26" t="e">
        <f t="shared" ref="I202:I265" si="34">+D202*G202</f>
        <v>#REF!</v>
      </c>
      <c r="J202" s="26" t="e">
        <f t="shared" ref="J202:J265" si="35">+J201-I202</f>
        <v>#REF!</v>
      </c>
      <c r="K202" s="69"/>
      <c r="L202" s="1"/>
      <c r="M202" s="1"/>
      <c r="N202" s="1"/>
    </row>
    <row r="203" spans="1:14" x14ac:dyDescent="0.35">
      <c r="A203" s="76">
        <v>43662</v>
      </c>
      <c r="B203" s="68" t="s">
        <v>469</v>
      </c>
      <c r="C203" s="74"/>
      <c r="D203" s="26">
        <f>18*5.4</f>
        <v>97.2</v>
      </c>
      <c r="E203" s="42" t="e">
        <f t="shared" si="32"/>
        <v>#REF!</v>
      </c>
      <c r="F203" s="43"/>
      <c r="G203" s="26" t="e">
        <f t="shared" si="33"/>
        <v>#REF!</v>
      </c>
      <c r="H203" s="43"/>
      <c r="I203" s="26" t="e">
        <f t="shared" si="34"/>
        <v>#REF!</v>
      </c>
      <c r="J203" s="26" t="e">
        <f t="shared" si="35"/>
        <v>#REF!</v>
      </c>
      <c r="K203" s="69"/>
      <c r="L203" s="1"/>
      <c r="M203" s="1"/>
      <c r="N203" s="1"/>
    </row>
    <row r="204" spans="1:14" x14ac:dyDescent="0.35">
      <c r="A204" s="76">
        <v>43664</v>
      </c>
      <c r="B204" s="68" t="s">
        <v>471</v>
      </c>
      <c r="C204" s="74"/>
      <c r="D204" s="26">
        <f>12*3.1</f>
        <v>37.200000000000003</v>
      </c>
      <c r="E204" s="42" t="e">
        <f t="shared" si="32"/>
        <v>#REF!</v>
      </c>
      <c r="F204" s="43"/>
      <c r="G204" s="26" t="e">
        <f t="shared" si="33"/>
        <v>#REF!</v>
      </c>
      <c r="H204" s="43"/>
      <c r="I204" s="26" t="e">
        <f t="shared" si="34"/>
        <v>#REF!</v>
      </c>
      <c r="J204" s="26" t="e">
        <f t="shared" si="35"/>
        <v>#REF!</v>
      </c>
      <c r="K204" s="69"/>
      <c r="L204" s="1"/>
      <c r="M204" s="1"/>
      <c r="N204" s="1"/>
    </row>
    <row r="205" spans="1:14" x14ac:dyDescent="0.35">
      <c r="A205" s="76">
        <v>43664</v>
      </c>
      <c r="B205" s="68" t="s">
        <v>474</v>
      </c>
      <c r="C205" s="74"/>
      <c r="D205" s="26">
        <f>7*4.6</f>
        <v>32.199999999999996</v>
      </c>
      <c r="E205" s="42" t="e">
        <f t="shared" si="32"/>
        <v>#REF!</v>
      </c>
      <c r="F205" s="43"/>
      <c r="G205" s="26" t="e">
        <f t="shared" si="33"/>
        <v>#REF!</v>
      </c>
      <c r="H205" s="43"/>
      <c r="I205" s="26" t="e">
        <f t="shared" si="34"/>
        <v>#REF!</v>
      </c>
      <c r="J205" s="26" t="e">
        <f t="shared" si="35"/>
        <v>#REF!</v>
      </c>
      <c r="K205" s="69"/>
      <c r="L205" s="1"/>
      <c r="M205" s="1"/>
      <c r="N205" s="1"/>
    </row>
    <row r="206" spans="1:14" x14ac:dyDescent="0.35">
      <c r="A206" s="76">
        <v>43664</v>
      </c>
      <c r="B206" s="68" t="s">
        <v>475</v>
      </c>
      <c r="C206" s="74"/>
      <c r="D206" s="26">
        <f>12*4.2</f>
        <v>50.400000000000006</v>
      </c>
      <c r="E206" s="42" t="e">
        <f t="shared" si="32"/>
        <v>#REF!</v>
      </c>
      <c r="F206" s="43"/>
      <c r="G206" s="26" t="e">
        <f t="shared" si="33"/>
        <v>#REF!</v>
      </c>
      <c r="H206" s="43"/>
      <c r="I206" s="26" t="e">
        <f t="shared" si="34"/>
        <v>#REF!</v>
      </c>
      <c r="J206" s="26" t="e">
        <f t="shared" si="35"/>
        <v>#REF!</v>
      </c>
      <c r="K206" s="69"/>
      <c r="L206" s="1"/>
      <c r="M206" s="1"/>
      <c r="N206" s="1"/>
    </row>
    <row r="207" spans="1:14" x14ac:dyDescent="0.35">
      <c r="A207" s="76">
        <v>43665</v>
      </c>
      <c r="B207" s="68" t="s">
        <v>781</v>
      </c>
      <c r="C207" s="74"/>
      <c r="D207" s="26">
        <v>0</v>
      </c>
      <c r="E207" s="42" t="e">
        <f t="shared" si="32"/>
        <v>#REF!</v>
      </c>
      <c r="F207" s="43"/>
      <c r="G207" s="26" t="e">
        <f t="shared" si="33"/>
        <v>#REF!</v>
      </c>
      <c r="H207" s="43"/>
      <c r="I207" s="26" t="e">
        <f t="shared" si="34"/>
        <v>#REF!</v>
      </c>
      <c r="J207" s="26" t="e">
        <f t="shared" si="35"/>
        <v>#REF!</v>
      </c>
      <c r="K207" s="69"/>
      <c r="L207" s="1"/>
      <c r="M207" s="1"/>
      <c r="N207" s="1"/>
    </row>
    <row r="208" spans="1:14" x14ac:dyDescent="0.35">
      <c r="A208" s="76">
        <v>43665</v>
      </c>
      <c r="B208" s="68" t="s">
        <v>476</v>
      </c>
      <c r="C208" s="74"/>
      <c r="D208" s="26">
        <f>9*4</f>
        <v>36</v>
      </c>
      <c r="E208" s="42" t="e">
        <f t="shared" si="32"/>
        <v>#REF!</v>
      </c>
      <c r="F208" s="43"/>
      <c r="G208" s="26" t="e">
        <f t="shared" si="33"/>
        <v>#REF!</v>
      </c>
      <c r="H208" s="43"/>
      <c r="I208" s="26" t="e">
        <f t="shared" si="34"/>
        <v>#REF!</v>
      </c>
      <c r="J208" s="26" t="e">
        <f t="shared" si="35"/>
        <v>#REF!</v>
      </c>
      <c r="K208" s="69"/>
      <c r="L208" s="1"/>
      <c r="M208" s="1"/>
      <c r="N208" s="1"/>
    </row>
    <row r="209" spans="1:14" x14ac:dyDescent="0.35">
      <c r="A209" s="76">
        <v>43665</v>
      </c>
      <c r="B209" s="68" t="s">
        <v>477</v>
      </c>
      <c r="C209" s="74"/>
      <c r="D209" s="26">
        <f>38*5.15+8</f>
        <v>203.70000000000002</v>
      </c>
      <c r="E209" s="42" t="e">
        <f t="shared" si="32"/>
        <v>#REF!</v>
      </c>
      <c r="F209" s="43"/>
      <c r="G209" s="26" t="e">
        <f t="shared" si="33"/>
        <v>#REF!</v>
      </c>
      <c r="H209" s="43"/>
      <c r="I209" s="26" t="e">
        <f t="shared" si="34"/>
        <v>#REF!</v>
      </c>
      <c r="J209" s="26" t="e">
        <f t="shared" si="35"/>
        <v>#REF!</v>
      </c>
      <c r="K209" s="69"/>
      <c r="L209" s="1"/>
      <c r="M209" s="1"/>
      <c r="N209" s="1"/>
    </row>
    <row r="210" spans="1:14" x14ac:dyDescent="0.35">
      <c r="A210" s="76">
        <v>43666</v>
      </c>
      <c r="B210" s="68" t="s">
        <v>480</v>
      </c>
      <c r="C210" s="74"/>
      <c r="D210" s="26">
        <f>5*3.5</f>
        <v>17.5</v>
      </c>
      <c r="E210" s="42" t="e">
        <f t="shared" si="32"/>
        <v>#REF!</v>
      </c>
      <c r="F210" s="43"/>
      <c r="G210" s="26" t="e">
        <f t="shared" si="33"/>
        <v>#REF!</v>
      </c>
      <c r="H210" s="43"/>
      <c r="I210" s="26" t="e">
        <f t="shared" si="34"/>
        <v>#REF!</v>
      </c>
      <c r="J210" s="26" t="e">
        <f t="shared" si="35"/>
        <v>#REF!</v>
      </c>
      <c r="K210" s="69"/>
      <c r="L210" s="1"/>
      <c r="M210" s="1"/>
      <c r="N210" s="1"/>
    </row>
    <row r="211" spans="1:14" x14ac:dyDescent="0.35">
      <c r="A211" s="76">
        <v>43666</v>
      </c>
      <c r="B211" s="68" t="s">
        <v>481</v>
      </c>
      <c r="C211" s="74"/>
      <c r="D211" s="26">
        <f>12*3.83+8*4.2</f>
        <v>79.56</v>
      </c>
      <c r="E211" s="42" t="e">
        <f t="shared" si="32"/>
        <v>#REF!</v>
      </c>
      <c r="F211" s="43"/>
      <c r="G211" s="26" t="e">
        <f t="shared" si="33"/>
        <v>#REF!</v>
      </c>
      <c r="H211" s="43"/>
      <c r="I211" s="26" t="e">
        <f t="shared" si="34"/>
        <v>#REF!</v>
      </c>
      <c r="J211" s="26" t="e">
        <f t="shared" si="35"/>
        <v>#REF!</v>
      </c>
      <c r="K211" s="69"/>
      <c r="L211" s="1"/>
      <c r="M211" s="1"/>
      <c r="N211" s="1"/>
    </row>
    <row r="212" spans="1:14" x14ac:dyDescent="0.35">
      <c r="A212" s="76">
        <v>43668</v>
      </c>
      <c r="B212" s="68" t="s">
        <v>482</v>
      </c>
      <c r="C212" s="74"/>
      <c r="D212" s="26">
        <v>16</v>
      </c>
      <c r="E212" s="42" t="e">
        <f t="shared" si="32"/>
        <v>#REF!</v>
      </c>
      <c r="F212" s="43"/>
      <c r="G212" s="26" t="e">
        <f t="shared" si="33"/>
        <v>#REF!</v>
      </c>
      <c r="H212" s="43"/>
      <c r="I212" s="26" t="e">
        <f t="shared" si="34"/>
        <v>#REF!</v>
      </c>
      <c r="J212" s="26" t="e">
        <f t="shared" si="35"/>
        <v>#REF!</v>
      </c>
      <c r="K212" s="69"/>
      <c r="L212" s="1"/>
      <c r="M212" s="1"/>
      <c r="N212" s="1"/>
    </row>
    <row r="213" spans="1:14" x14ac:dyDescent="0.35">
      <c r="A213" s="76">
        <v>43668</v>
      </c>
      <c r="B213" s="68" t="s">
        <v>483</v>
      </c>
      <c r="C213" s="74"/>
      <c r="D213" s="26">
        <f>4*4.2</f>
        <v>16.8</v>
      </c>
      <c r="E213" s="42" t="e">
        <f t="shared" si="32"/>
        <v>#REF!</v>
      </c>
      <c r="F213" s="43"/>
      <c r="G213" s="26" t="e">
        <f t="shared" si="33"/>
        <v>#REF!</v>
      </c>
      <c r="H213" s="43"/>
      <c r="I213" s="26" t="e">
        <f t="shared" si="34"/>
        <v>#REF!</v>
      </c>
      <c r="J213" s="26" t="e">
        <f t="shared" si="35"/>
        <v>#REF!</v>
      </c>
      <c r="K213" s="69"/>
      <c r="L213" s="1"/>
      <c r="M213" s="1"/>
      <c r="N213" s="1"/>
    </row>
    <row r="214" spans="1:14" x14ac:dyDescent="0.35">
      <c r="A214" s="76">
        <v>43672</v>
      </c>
      <c r="B214" s="68" t="s">
        <v>486</v>
      </c>
      <c r="C214" s="74"/>
      <c r="D214" s="26">
        <f>3*2.2</f>
        <v>6.6000000000000005</v>
      </c>
      <c r="E214" s="42" t="e">
        <f t="shared" si="32"/>
        <v>#REF!</v>
      </c>
      <c r="F214" s="43"/>
      <c r="G214" s="26" t="e">
        <f t="shared" si="33"/>
        <v>#REF!</v>
      </c>
      <c r="H214" s="43"/>
      <c r="I214" s="26" t="e">
        <f t="shared" si="34"/>
        <v>#REF!</v>
      </c>
      <c r="J214" s="26" t="e">
        <f t="shared" si="35"/>
        <v>#REF!</v>
      </c>
      <c r="K214" s="69"/>
      <c r="L214" s="1"/>
      <c r="M214" s="1"/>
      <c r="N214" s="1"/>
    </row>
    <row r="215" spans="1:14" x14ac:dyDescent="0.35">
      <c r="A215" s="76">
        <v>43673</v>
      </c>
      <c r="B215" s="68" t="s">
        <v>487</v>
      </c>
      <c r="C215" s="74"/>
      <c r="D215" s="26">
        <f>3*4</f>
        <v>12</v>
      </c>
      <c r="E215" s="42" t="e">
        <f t="shared" si="32"/>
        <v>#REF!</v>
      </c>
      <c r="F215" s="43"/>
      <c r="G215" s="26" t="e">
        <f t="shared" si="33"/>
        <v>#REF!</v>
      </c>
      <c r="H215" s="43"/>
      <c r="I215" s="26" t="e">
        <f t="shared" si="34"/>
        <v>#REF!</v>
      </c>
      <c r="J215" s="26" t="e">
        <f t="shared" si="35"/>
        <v>#REF!</v>
      </c>
      <c r="K215" s="69"/>
      <c r="L215" s="1"/>
      <c r="M215" s="1"/>
      <c r="N215" s="1"/>
    </row>
    <row r="216" spans="1:14" x14ac:dyDescent="0.35">
      <c r="A216" s="76">
        <v>43673</v>
      </c>
      <c r="B216" s="68" t="s">
        <v>489</v>
      </c>
      <c r="C216" s="74"/>
      <c r="D216" s="26">
        <f>6*5</f>
        <v>30</v>
      </c>
      <c r="E216" s="42" t="e">
        <f t="shared" si="32"/>
        <v>#REF!</v>
      </c>
      <c r="F216" s="43"/>
      <c r="G216" s="26" t="e">
        <f t="shared" si="33"/>
        <v>#REF!</v>
      </c>
      <c r="H216" s="43"/>
      <c r="I216" s="26" t="e">
        <f t="shared" si="34"/>
        <v>#REF!</v>
      </c>
      <c r="J216" s="26" t="e">
        <f t="shared" si="35"/>
        <v>#REF!</v>
      </c>
      <c r="K216" s="69"/>
      <c r="L216" s="1"/>
      <c r="M216" s="1"/>
      <c r="N216" s="1"/>
    </row>
    <row r="217" spans="1:14" x14ac:dyDescent="0.35">
      <c r="A217" s="76">
        <v>43673</v>
      </c>
      <c r="B217" s="68" t="s">
        <v>491</v>
      </c>
      <c r="C217" s="74"/>
      <c r="D217" s="26">
        <v>4.5</v>
      </c>
      <c r="E217" s="42" t="e">
        <f t="shared" si="32"/>
        <v>#REF!</v>
      </c>
      <c r="F217" s="43"/>
      <c r="G217" s="26" t="e">
        <f t="shared" si="33"/>
        <v>#REF!</v>
      </c>
      <c r="H217" s="43"/>
      <c r="I217" s="26" t="e">
        <f t="shared" si="34"/>
        <v>#REF!</v>
      </c>
      <c r="J217" s="26" t="e">
        <f t="shared" si="35"/>
        <v>#REF!</v>
      </c>
      <c r="K217" s="69"/>
      <c r="L217" s="1"/>
      <c r="M217" s="1"/>
      <c r="N217" s="1"/>
    </row>
    <row r="218" spans="1:14" x14ac:dyDescent="0.35">
      <c r="A218" s="76">
        <v>43676</v>
      </c>
      <c r="B218" s="68" t="s">
        <v>492</v>
      </c>
      <c r="C218" s="74"/>
      <c r="D218" s="26">
        <f>6*3.5</f>
        <v>21</v>
      </c>
      <c r="E218" s="42" t="e">
        <f t="shared" si="32"/>
        <v>#REF!</v>
      </c>
      <c r="F218" s="43"/>
      <c r="G218" s="26" t="e">
        <f t="shared" si="33"/>
        <v>#REF!</v>
      </c>
      <c r="H218" s="43"/>
      <c r="I218" s="26" t="e">
        <f t="shared" si="34"/>
        <v>#REF!</v>
      </c>
      <c r="J218" s="26" t="e">
        <f t="shared" si="35"/>
        <v>#REF!</v>
      </c>
      <c r="K218" s="69"/>
      <c r="L218" s="1"/>
      <c r="M218" s="1"/>
      <c r="N218" s="1"/>
    </row>
    <row r="219" spans="1:14" s="37" customFormat="1" x14ac:dyDescent="0.35">
      <c r="A219" s="88">
        <v>43677</v>
      </c>
      <c r="B219" s="32" t="s">
        <v>494</v>
      </c>
      <c r="C219" s="40"/>
      <c r="D219" s="33">
        <f>4*1.74+4*3.3</f>
        <v>20.16</v>
      </c>
      <c r="E219" s="42" t="e">
        <f t="shared" si="32"/>
        <v>#REF!</v>
      </c>
      <c r="F219" s="43"/>
      <c r="G219" s="26" t="e">
        <f t="shared" si="33"/>
        <v>#REF!</v>
      </c>
      <c r="H219" s="43"/>
      <c r="I219" s="26" t="e">
        <f t="shared" si="34"/>
        <v>#REF!</v>
      </c>
      <c r="J219" s="26" t="e">
        <f t="shared" si="35"/>
        <v>#REF!</v>
      </c>
      <c r="K219" s="39"/>
      <c r="L219" s="35" t="e">
        <f>SUM(I202:I219)</f>
        <v>#REF!</v>
      </c>
      <c r="M219" s="35" t="e">
        <f>SUM(L201:L219)</f>
        <v>#REF!</v>
      </c>
      <c r="N219" s="36">
        <v>43677</v>
      </c>
    </row>
    <row r="220" spans="1:14" x14ac:dyDescent="0.35">
      <c r="A220" s="76">
        <v>43678</v>
      </c>
      <c r="B220" s="68" t="s">
        <v>495</v>
      </c>
      <c r="C220" s="74"/>
      <c r="D220" s="26">
        <f>5*3</f>
        <v>15</v>
      </c>
      <c r="E220" s="42" t="e">
        <f t="shared" si="32"/>
        <v>#REF!</v>
      </c>
      <c r="F220" s="43"/>
      <c r="G220" s="26" t="e">
        <f t="shared" si="33"/>
        <v>#REF!</v>
      </c>
      <c r="H220" s="43"/>
      <c r="I220" s="26" t="e">
        <f t="shared" si="34"/>
        <v>#REF!</v>
      </c>
      <c r="J220" s="26" t="e">
        <f t="shared" si="35"/>
        <v>#REF!</v>
      </c>
      <c r="K220" s="69"/>
      <c r="L220" s="1"/>
      <c r="M220" s="1"/>
      <c r="N220" s="1"/>
    </row>
    <row r="221" spans="1:14" x14ac:dyDescent="0.35">
      <c r="A221" s="76">
        <v>43679</v>
      </c>
      <c r="B221" s="68" t="s">
        <v>499</v>
      </c>
      <c r="C221" s="74"/>
      <c r="D221" s="26">
        <f>12*4.9</f>
        <v>58.800000000000004</v>
      </c>
      <c r="E221" s="42" t="e">
        <f t="shared" si="32"/>
        <v>#REF!</v>
      </c>
      <c r="F221" s="43"/>
      <c r="G221" s="26" t="e">
        <f t="shared" si="33"/>
        <v>#REF!</v>
      </c>
      <c r="H221" s="43"/>
      <c r="I221" s="26" t="e">
        <f t="shared" si="34"/>
        <v>#REF!</v>
      </c>
      <c r="J221" s="26" t="e">
        <f t="shared" si="35"/>
        <v>#REF!</v>
      </c>
      <c r="K221" s="69"/>
      <c r="L221" s="1"/>
      <c r="M221" s="1"/>
      <c r="N221" s="1"/>
    </row>
    <row r="222" spans="1:14" x14ac:dyDescent="0.35">
      <c r="A222" s="76">
        <v>43682</v>
      </c>
      <c r="B222" s="68" t="s">
        <v>500</v>
      </c>
      <c r="C222" s="74"/>
      <c r="D222" s="26">
        <v>2.6</v>
      </c>
      <c r="E222" s="42" t="e">
        <f t="shared" si="32"/>
        <v>#REF!</v>
      </c>
      <c r="F222" s="43"/>
      <c r="G222" s="26" t="e">
        <f t="shared" si="33"/>
        <v>#REF!</v>
      </c>
      <c r="H222" s="43"/>
      <c r="I222" s="26" t="e">
        <f t="shared" si="34"/>
        <v>#REF!</v>
      </c>
      <c r="J222" s="26" t="e">
        <f t="shared" si="35"/>
        <v>#REF!</v>
      </c>
      <c r="K222" s="69"/>
      <c r="L222" s="1"/>
      <c r="M222" s="1"/>
      <c r="N222" s="1"/>
    </row>
    <row r="223" spans="1:14" x14ac:dyDescent="0.35">
      <c r="A223" s="76">
        <v>43684</v>
      </c>
      <c r="B223" s="68" t="s">
        <v>834</v>
      </c>
      <c r="C223" s="74"/>
      <c r="D223" s="26">
        <f>7*4.7</f>
        <v>32.9</v>
      </c>
      <c r="E223" s="42" t="e">
        <f t="shared" si="32"/>
        <v>#REF!</v>
      </c>
      <c r="F223" s="43"/>
      <c r="G223" s="26" t="e">
        <f t="shared" si="33"/>
        <v>#REF!</v>
      </c>
      <c r="H223" s="43"/>
      <c r="I223" s="26" t="e">
        <f t="shared" si="34"/>
        <v>#REF!</v>
      </c>
      <c r="J223" s="26" t="e">
        <f t="shared" si="35"/>
        <v>#REF!</v>
      </c>
      <c r="K223" s="69"/>
      <c r="L223" s="1"/>
      <c r="M223" s="1"/>
      <c r="N223" s="1"/>
    </row>
    <row r="224" spans="1:14" x14ac:dyDescent="0.35">
      <c r="A224" s="76">
        <v>43684</v>
      </c>
      <c r="B224" s="68" t="s">
        <v>502</v>
      </c>
      <c r="C224" s="74"/>
      <c r="D224" s="26">
        <f>4.7+4.65+4.55+4.5+4.4+4.25+4*5.5+2*2.4</f>
        <v>53.85</v>
      </c>
      <c r="E224" s="42" t="e">
        <f t="shared" si="32"/>
        <v>#REF!</v>
      </c>
      <c r="F224" s="43"/>
      <c r="G224" s="26" t="e">
        <f t="shared" si="33"/>
        <v>#REF!</v>
      </c>
      <c r="H224" s="43"/>
      <c r="I224" s="26" t="e">
        <f t="shared" si="34"/>
        <v>#REF!</v>
      </c>
      <c r="J224" s="26" t="e">
        <f t="shared" si="35"/>
        <v>#REF!</v>
      </c>
      <c r="K224" s="69"/>
      <c r="L224" s="1"/>
      <c r="M224" s="1"/>
      <c r="N224" s="1"/>
    </row>
    <row r="225" spans="1:14" x14ac:dyDescent="0.35">
      <c r="A225" s="76">
        <v>43685</v>
      </c>
      <c r="B225" s="68" t="s">
        <v>503</v>
      </c>
      <c r="C225" s="74"/>
      <c r="D225" s="26">
        <f>32*4.15</f>
        <v>132.80000000000001</v>
      </c>
      <c r="E225" s="42" t="e">
        <f t="shared" si="32"/>
        <v>#REF!</v>
      </c>
      <c r="F225" s="43"/>
      <c r="G225" s="26" t="e">
        <f t="shared" si="33"/>
        <v>#REF!</v>
      </c>
      <c r="H225" s="43"/>
      <c r="I225" s="26" t="e">
        <f t="shared" si="34"/>
        <v>#REF!</v>
      </c>
      <c r="J225" s="26" t="e">
        <f t="shared" si="35"/>
        <v>#REF!</v>
      </c>
      <c r="K225" s="69"/>
      <c r="L225" s="1"/>
      <c r="M225" s="1"/>
      <c r="N225" s="1"/>
    </row>
    <row r="226" spans="1:14" x14ac:dyDescent="0.35">
      <c r="A226" s="76">
        <v>43685</v>
      </c>
      <c r="B226" s="68" t="s">
        <v>504</v>
      </c>
      <c r="C226" s="74"/>
      <c r="D226" s="26">
        <f>40*2.5</f>
        <v>100</v>
      </c>
      <c r="E226" s="42" t="e">
        <f t="shared" si="32"/>
        <v>#REF!</v>
      </c>
      <c r="F226" s="43"/>
      <c r="G226" s="26" t="e">
        <f t="shared" si="33"/>
        <v>#REF!</v>
      </c>
      <c r="H226" s="43"/>
      <c r="I226" s="26" t="e">
        <f t="shared" si="34"/>
        <v>#REF!</v>
      </c>
      <c r="J226" s="26" t="e">
        <f t="shared" si="35"/>
        <v>#REF!</v>
      </c>
      <c r="K226" s="69"/>
      <c r="L226" s="1"/>
      <c r="M226" s="1"/>
      <c r="N226" s="1"/>
    </row>
    <row r="227" spans="1:14" x14ac:dyDescent="0.35">
      <c r="A227" s="76">
        <v>43687</v>
      </c>
      <c r="B227" s="68" t="s">
        <v>506</v>
      </c>
      <c r="C227" s="74"/>
      <c r="D227" s="26">
        <f>11*2.5</f>
        <v>27.5</v>
      </c>
      <c r="E227" s="42" t="e">
        <f t="shared" si="32"/>
        <v>#REF!</v>
      </c>
      <c r="F227" s="43"/>
      <c r="G227" s="26" t="e">
        <f t="shared" si="33"/>
        <v>#REF!</v>
      </c>
      <c r="H227" s="43"/>
      <c r="I227" s="26" t="e">
        <f t="shared" si="34"/>
        <v>#REF!</v>
      </c>
      <c r="J227" s="26" t="e">
        <f t="shared" si="35"/>
        <v>#REF!</v>
      </c>
      <c r="K227" s="69"/>
      <c r="L227" s="1"/>
      <c r="M227" s="1"/>
      <c r="N227" s="1"/>
    </row>
    <row r="228" spans="1:14" x14ac:dyDescent="0.35">
      <c r="A228" s="76">
        <v>43687</v>
      </c>
      <c r="B228" s="68" t="s">
        <v>507</v>
      </c>
      <c r="C228" s="74"/>
      <c r="D228" s="26">
        <f>8*5.75</f>
        <v>46</v>
      </c>
      <c r="E228" s="42" t="e">
        <f t="shared" si="32"/>
        <v>#REF!</v>
      </c>
      <c r="F228" s="43"/>
      <c r="G228" s="26" t="e">
        <f t="shared" si="33"/>
        <v>#REF!</v>
      </c>
      <c r="H228" s="43"/>
      <c r="I228" s="26" t="e">
        <f t="shared" si="34"/>
        <v>#REF!</v>
      </c>
      <c r="J228" s="26" t="e">
        <f t="shared" si="35"/>
        <v>#REF!</v>
      </c>
      <c r="K228" s="69"/>
      <c r="L228" s="1"/>
      <c r="M228" s="1"/>
      <c r="N228" s="1"/>
    </row>
    <row r="229" spans="1:14" x14ac:dyDescent="0.35">
      <c r="A229" s="76">
        <v>43690</v>
      </c>
      <c r="B229" s="68" t="s">
        <v>512</v>
      </c>
      <c r="C229" s="74"/>
      <c r="D229" s="26">
        <f>45*2.45</f>
        <v>110.25000000000001</v>
      </c>
      <c r="E229" s="42" t="e">
        <f t="shared" si="32"/>
        <v>#REF!</v>
      </c>
      <c r="F229" s="43"/>
      <c r="G229" s="26" t="e">
        <f t="shared" si="33"/>
        <v>#REF!</v>
      </c>
      <c r="H229" s="43"/>
      <c r="I229" s="26" t="e">
        <f t="shared" si="34"/>
        <v>#REF!</v>
      </c>
      <c r="J229" s="26" t="e">
        <f t="shared" si="35"/>
        <v>#REF!</v>
      </c>
      <c r="K229" s="69"/>
      <c r="L229" s="1"/>
      <c r="M229" s="1"/>
      <c r="N229" s="1"/>
    </row>
    <row r="230" spans="1:14" x14ac:dyDescent="0.35">
      <c r="A230" s="76">
        <v>43690</v>
      </c>
      <c r="B230" s="68" t="s">
        <v>513</v>
      </c>
      <c r="C230" s="74"/>
      <c r="D230" s="26">
        <f>24*6.55</f>
        <v>157.19999999999999</v>
      </c>
      <c r="E230" s="42" t="e">
        <f t="shared" si="32"/>
        <v>#REF!</v>
      </c>
      <c r="F230" s="43"/>
      <c r="G230" s="26" t="e">
        <f t="shared" si="33"/>
        <v>#REF!</v>
      </c>
      <c r="H230" s="43"/>
      <c r="I230" s="26" t="e">
        <f t="shared" si="34"/>
        <v>#REF!</v>
      </c>
      <c r="J230" s="26" t="e">
        <f t="shared" si="35"/>
        <v>#REF!</v>
      </c>
      <c r="K230" s="69"/>
      <c r="L230" s="1"/>
      <c r="M230" s="1"/>
      <c r="N230" s="1"/>
    </row>
    <row r="231" spans="1:14" x14ac:dyDescent="0.35">
      <c r="A231" s="76">
        <v>43690</v>
      </c>
      <c r="B231" s="68" t="s">
        <v>516</v>
      </c>
      <c r="C231" s="74"/>
      <c r="D231" s="26">
        <f>18*5.7+10*5.2</f>
        <v>154.60000000000002</v>
      </c>
      <c r="E231" s="42" t="e">
        <f t="shared" si="32"/>
        <v>#REF!</v>
      </c>
      <c r="F231" s="43"/>
      <c r="G231" s="26" t="e">
        <f t="shared" si="33"/>
        <v>#REF!</v>
      </c>
      <c r="H231" s="43"/>
      <c r="I231" s="26" t="e">
        <f t="shared" si="34"/>
        <v>#REF!</v>
      </c>
      <c r="J231" s="26" t="e">
        <f t="shared" si="35"/>
        <v>#REF!</v>
      </c>
      <c r="K231" s="69"/>
      <c r="L231" s="1"/>
      <c r="M231" s="1"/>
      <c r="N231" s="1"/>
    </row>
    <row r="232" spans="1:14" x14ac:dyDescent="0.35">
      <c r="A232" s="76">
        <v>43690</v>
      </c>
      <c r="B232" s="68" t="s">
        <v>517</v>
      </c>
      <c r="C232" s="74"/>
      <c r="D232" s="26">
        <f>49*2.45</f>
        <v>120.05000000000001</v>
      </c>
      <c r="E232" s="42" t="e">
        <f t="shared" si="32"/>
        <v>#REF!</v>
      </c>
      <c r="F232" s="43"/>
      <c r="G232" s="26" t="e">
        <f t="shared" si="33"/>
        <v>#REF!</v>
      </c>
      <c r="H232" s="43"/>
      <c r="I232" s="26" t="e">
        <f t="shared" si="34"/>
        <v>#REF!</v>
      </c>
      <c r="J232" s="26" t="e">
        <f t="shared" si="35"/>
        <v>#REF!</v>
      </c>
      <c r="K232" s="69"/>
      <c r="L232" s="1"/>
      <c r="M232" s="1"/>
      <c r="N232" s="1"/>
    </row>
    <row r="233" spans="1:14" x14ac:dyDescent="0.35">
      <c r="A233" s="76">
        <v>43690</v>
      </c>
      <c r="B233" s="68" t="s">
        <v>518</v>
      </c>
      <c r="C233" s="74"/>
      <c r="D233" s="26">
        <f>18*3.5</f>
        <v>63</v>
      </c>
      <c r="E233" s="42" t="e">
        <f t="shared" si="32"/>
        <v>#REF!</v>
      </c>
      <c r="F233" s="43"/>
      <c r="G233" s="26" t="e">
        <f t="shared" si="33"/>
        <v>#REF!</v>
      </c>
      <c r="H233" s="43"/>
      <c r="I233" s="26" t="e">
        <f t="shared" si="34"/>
        <v>#REF!</v>
      </c>
      <c r="J233" s="26" t="e">
        <f t="shared" si="35"/>
        <v>#REF!</v>
      </c>
      <c r="K233" s="69"/>
      <c r="L233" s="1"/>
      <c r="M233" s="1"/>
      <c r="N233" s="1"/>
    </row>
    <row r="234" spans="1:14" x14ac:dyDescent="0.35">
      <c r="A234" s="76">
        <v>43690</v>
      </c>
      <c r="B234" s="68" t="s">
        <v>519</v>
      </c>
      <c r="C234" s="74"/>
      <c r="D234" s="26">
        <v>5</v>
      </c>
      <c r="E234" s="42" t="e">
        <f t="shared" si="32"/>
        <v>#REF!</v>
      </c>
      <c r="F234" s="43"/>
      <c r="G234" s="26" t="e">
        <f t="shared" si="33"/>
        <v>#REF!</v>
      </c>
      <c r="H234" s="43"/>
      <c r="I234" s="26" t="e">
        <f t="shared" si="34"/>
        <v>#REF!</v>
      </c>
      <c r="J234" s="26" t="e">
        <f t="shared" si="35"/>
        <v>#REF!</v>
      </c>
      <c r="K234" s="69"/>
      <c r="L234" s="1"/>
      <c r="M234" s="1"/>
      <c r="N234" s="1"/>
    </row>
    <row r="235" spans="1:14" x14ac:dyDescent="0.35">
      <c r="A235" s="76">
        <v>43692</v>
      </c>
      <c r="B235" s="68" t="s">
        <v>521</v>
      </c>
      <c r="C235" s="74"/>
      <c r="D235" s="26">
        <f>4*2.17+2*3.62</f>
        <v>15.92</v>
      </c>
      <c r="E235" s="42" t="e">
        <f t="shared" si="32"/>
        <v>#REF!</v>
      </c>
      <c r="F235" s="43"/>
      <c r="G235" s="26" t="e">
        <f t="shared" si="33"/>
        <v>#REF!</v>
      </c>
      <c r="H235" s="43"/>
      <c r="I235" s="26" t="e">
        <f t="shared" si="34"/>
        <v>#REF!</v>
      </c>
      <c r="J235" s="26" t="e">
        <f t="shared" si="35"/>
        <v>#REF!</v>
      </c>
      <c r="K235" s="69"/>
      <c r="L235" s="1"/>
      <c r="M235" s="1"/>
      <c r="N235" s="1"/>
    </row>
    <row r="236" spans="1:14" s="37" customFormat="1" x14ac:dyDescent="0.35">
      <c r="A236" s="88">
        <v>43692</v>
      </c>
      <c r="B236" s="32" t="s">
        <v>524</v>
      </c>
      <c r="C236" s="40"/>
      <c r="D236" s="33">
        <f>3*3.5</f>
        <v>10.5</v>
      </c>
      <c r="E236" s="42" t="e">
        <f t="shared" si="32"/>
        <v>#REF!</v>
      </c>
      <c r="F236" s="43"/>
      <c r="G236" s="26" t="e">
        <f t="shared" si="33"/>
        <v>#REF!</v>
      </c>
      <c r="H236" s="43"/>
      <c r="I236" s="26" t="e">
        <f t="shared" si="34"/>
        <v>#REF!</v>
      </c>
      <c r="J236" s="26" t="e">
        <f t="shared" si="35"/>
        <v>#REF!</v>
      </c>
      <c r="K236" s="39"/>
      <c r="L236" s="35" t="e">
        <f>SUM(I220:I236)</f>
        <v>#REF!</v>
      </c>
      <c r="M236" s="114"/>
      <c r="N236" s="36">
        <v>43692</v>
      </c>
    </row>
    <row r="237" spans="1:14" x14ac:dyDescent="0.35">
      <c r="A237" s="76">
        <v>43694</v>
      </c>
      <c r="B237" s="68" t="s">
        <v>526</v>
      </c>
      <c r="C237" s="74"/>
      <c r="D237" s="26">
        <f>5*5.45</f>
        <v>27.25</v>
      </c>
      <c r="E237" s="42" t="e">
        <f t="shared" si="32"/>
        <v>#REF!</v>
      </c>
      <c r="F237" s="43"/>
      <c r="G237" s="26" t="e">
        <f t="shared" si="33"/>
        <v>#REF!</v>
      </c>
      <c r="H237" s="43"/>
      <c r="I237" s="26" t="e">
        <f t="shared" si="34"/>
        <v>#REF!</v>
      </c>
      <c r="J237" s="26" t="e">
        <f t="shared" si="35"/>
        <v>#REF!</v>
      </c>
      <c r="K237" s="69"/>
      <c r="L237" s="1"/>
      <c r="M237" s="1"/>
      <c r="N237" s="1"/>
    </row>
    <row r="238" spans="1:14" x14ac:dyDescent="0.35">
      <c r="A238" s="76">
        <v>43697</v>
      </c>
      <c r="B238" s="68" t="s">
        <v>529</v>
      </c>
      <c r="C238" s="74"/>
      <c r="D238" s="26">
        <f>11*3.7</f>
        <v>40.700000000000003</v>
      </c>
      <c r="E238" s="42" t="e">
        <f t="shared" si="32"/>
        <v>#REF!</v>
      </c>
      <c r="F238" s="43"/>
      <c r="G238" s="26" t="e">
        <f t="shared" si="33"/>
        <v>#REF!</v>
      </c>
      <c r="H238" s="43"/>
      <c r="I238" s="26" t="e">
        <f t="shared" si="34"/>
        <v>#REF!</v>
      </c>
      <c r="J238" s="26" t="e">
        <f t="shared" si="35"/>
        <v>#REF!</v>
      </c>
      <c r="K238" s="69"/>
      <c r="L238" s="1"/>
      <c r="M238" s="1"/>
      <c r="N238" s="1"/>
    </row>
    <row r="239" spans="1:14" x14ac:dyDescent="0.35">
      <c r="A239" s="76">
        <v>43700</v>
      </c>
      <c r="B239" s="68" t="s">
        <v>540</v>
      </c>
      <c r="C239" s="74"/>
      <c r="D239" s="26">
        <f>11*6.6</f>
        <v>72.599999999999994</v>
      </c>
      <c r="E239" s="42" t="e">
        <f t="shared" si="32"/>
        <v>#REF!</v>
      </c>
      <c r="F239" s="43"/>
      <c r="G239" s="26" t="e">
        <f t="shared" si="33"/>
        <v>#REF!</v>
      </c>
      <c r="H239" s="43"/>
      <c r="I239" s="26" t="e">
        <f t="shared" si="34"/>
        <v>#REF!</v>
      </c>
      <c r="J239" s="26" t="e">
        <f t="shared" si="35"/>
        <v>#REF!</v>
      </c>
      <c r="K239" s="69"/>
      <c r="L239" s="1"/>
      <c r="M239" s="1"/>
      <c r="N239" s="1"/>
    </row>
    <row r="240" spans="1:14" x14ac:dyDescent="0.35">
      <c r="A240" s="76">
        <v>43672</v>
      </c>
      <c r="B240" s="68" t="s">
        <v>543</v>
      </c>
      <c r="C240" s="74"/>
      <c r="D240" s="26">
        <f>4*4.5</f>
        <v>18</v>
      </c>
      <c r="E240" s="42" t="e">
        <f t="shared" si="32"/>
        <v>#REF!</v>
      </c>
      <c r="F240" s="43"/>
      <c r="G240" s="26" t="e">
        <f t="shared" si="33"/>
        <v>#REF!</v>
      </c>
      <c r="H240" s="43"/>
      <c r="I240" s="26" t="e">
        <f t="shared" si="34"/>
        <v>#REF!</v>
      </c>
      <c r="J240" s="26" t="e">
        <f t="shared" si="35"/>
        <v>#REF!</v>
      </c>
      <c r="K240" s="69"/>
      <c r="L240" s="1"/>
      <c r="M240" s="1"/>
      <c r="N240" s="1"/>
    </row>
    <row r="241" spans="1:14" x14ac:dyDescent="0.35">
      <c r="A241" s="76">
        <v>43704</v>
      </c>
      <c r="B241" s="68" t="s">
        <v>547</v>
      </c>
      <c r="C241" s="74"/>
      <c r="D241" s="26">
        <f>5*2</f>
        <v>10</v>
      </c>
      <c r="E241" s="42" t="e">
        <f t="shared" si="32"/>
        <v>#REF!</v>
      </c>
      <c r="F241" s="43"/>
      <c r="G241" s="26" t="e">
        <f t="shared" si="33"/>
        <v>#REF!</v>
      </c>
      <c r="H241" s="43"/>
      <c r="I241" s="26" t="e">
        <f t="shared" si="34"/>
        <v>#REF!</v>
      </c>
      <c r="J241" s="26" t="e">
        <f t="shared" si="35"/>
        <v>#REF!</v>
      </c>
      <c r="K241" s="69"/>
      <c r="L241" s="1"/>
      <c r="M241" s="1"/>
      <c r="N241" s="1"/>
    </row>
    <row r="242" spans="1:14" x14ac:dyDescent="0.35">
      <c r="A242" s="76">
        <v>43705</v>
      </c>
      <c r="B242" s="68" t="s">
        <v>548</v>
      </c>
      <c r="C242" s="74"/>
      <c r="D242" s="26">
        <f>19*2.6</f>
        <v>49.4</v>
      </c>
      <c r="E242" s="42" t="e">
        <f t="shared" si="32"/>
        <v>#REF!</v>
      </c>
      <c r="F242" s="43"/>
      <c r="G242" s="26" t="e">
        <f t="shared" si="33"/>
        <v>#REF!</v>
      </c>
      <c r="H242" s="43"/>
      <c r="I242" s="26" t="e">
        <f t="shared" si="34"/>
        <v>#REF!</v>
      </c>
      <c r="J242" s="26" t="e">
        <f t="shared" si="35"/>
        <v>#REF!</v>
      </c>
      <c r="K242" s="69"/>
      <c r="L242" s="1"/>
      <c r="M242" s="1"/>
      <c r="N242" s="1"/>
    </row>
    <row r="243" spans="1:14" x14ac:dyDescent="0.35">
      <c r="A243" s="76">
        <v>43705</v>
      </c>
      <c r="B243" s="68" t="s">
        <v>549</v>
      </c>
      <c r="C243" s="74"/>
      <c r="D243" s="26">
        <f>3*3.4</f>
        <v>10.199999999999999</v>
      </c>
      <c r="E243" s="42" t="e">
        <f t="shared" si="32"/>
        <v>#REF!</v>
      </c>
      <c r="F243" s="43"/>
      <c r="G243" s="26" t="e">
        <f t="shared" si="33"/>
        <v>#REF!</v>
      </c>
      <c r="H243" s="43"/>
      <c r="I243" s="26" t="e">
        <f t="shared" si="34"/>
        <v>#REF!</v>
      </c>
      <c r="J243" s="26" t="e">
        <f t="shared" si="35"/>
        <v>#REF!</v>
      </c>
      <c r="K243" s="69"/>
      <c r="L243" s="1"/>
      <c r="M243" s="1"/>
      <c r="N243" s="1"/>
    </row>
    <row r="244" spans="1:14" x14ac:dyDescent="0.35">
      <c r="A244" s="76">
        <v>43705</v>
      </c>
      <c r="B244" s="68" t="s">
        <v>550</v>
      </c>
      <c r="C244" s="74"/>
      <c r="D244" s="26">
        <f>6*3.7</f>
        <v>22.200000000000003</v>
      </c>
      <c r="E244" s="42" t="e">
        <f t="shared" si="32"/>
        <v>#REF!</v>
      </c>
      <c r="F244" s="43"/>
      <c r="G244" s="26" t="e">
        <f t="shared" si="33"/>
        <v>#REF!</v>
      </c>
      <c r="H244" s="43"/>
      <c r="I244" s="26" t="e">
        <f t="shared" si="34"/>
        <v>#REF!</v>
      </c>
      <c r="J244" s="26" t="e">
        <f t="shared" si="35"/>
        <v>#REF!</v>
      </c>
      <c r="K244" s="69"/>
      <c r="L244" s="1"/>
      <c r="M244" s="1"/>
      <c r="N244" s="1"/>
    </row>
    <row r="245" spans="1:14" x14ac:dyDescent="0.35">
      <c r="A245" s="76">
        <v>43706</v>
      </c>
      <c r="B245" s="68" t="s">
        <v>551</v>
      </c>
      <c r="C245" s="74"/>
      <c r="D245" s="26">
        <f>5.65+5.45+4*1.9+6*4.4+7*4</f>
        <v>73.100000000000009</v>
      </c>
      <c r="E245" s="42" t="e">
        <f t="shared" si="32"/>
        <v>#REF!</v>
      </c>
      <c r="F245" s="43"/>
      <c r="G245" s="26" t="e">
        <f t="shared" si="33"/>
        <v>#REF!</v>
      </c>
      <c r="H245" s="43"/>
      <c r="I245" s="26" t="e">
        <f t="shared" si="34"/>
        <v>#REF!</v>
      </c>
      <c r="J245" s="26" t="e">
        <f t="shared" si="35"/>
        <v>#REF!</v>
      </c>
      <c r="K245" s="69"/>
      <c r="L245" s="1"/>
      <c r="M245" s="1"/>
      <c r="N245" s="1"/>
    </row>
    <row r="246" spans="1:14" x14ac:dyDescent="0.35">
      <c r="A246" s="76">
        <v>43706</v>
      </c>
      <c r="B246" s="68" t="s">
        <v>552</v>
      </c>
      <c r="C246" s="74"/>
      <c r="D246" s="26">
        <f>4+3.7+3.5+2*3.3+3.2</f>
        <v>20.999999999999996</v>
      </c>
      <c r="E246" s="42" t="e">
        <f t="shared" si="32"/>
        <v>#REF!</v>
      </c>
      <c r="F246" s="43"/>
      <c r="G246" s="26" t="e">
        <f t="shared" si="33"/>
        <v>#REF!</v>
      </c>
      <c r="H246" s="43"/>
      <c r="I246" s="26" t="e">
        <f t="shared" si="34"/>
        <v>#REF!</v>
      </c>
      <c r="J246" s="26" t="e">
        <f t="shared" si="35"/>
        <v>#REF!</v>
      </c>
      <c r="K246" s="69"/>
      <c r="L246" s="1"/>
      <c r="M246" s="1"/>
      <c r="N246" s="1"/>
    </row>
    <row r="247" spans="1:14" x14ac:dyDescent="0.35">
      <c r="A247" s="76">
        <v>43707</v>
      </c>
      <c r="B247" s="68" t="s">
        <v>555</v>
      </c>
      <c r="C247" s="74"/>
      <c r="D247" s="26">
        <f>10*3.3+10*5.3+4</f>
        <v>90</v>
      </c>
      <c r="E247" s="42" t="e">
        <f t="shared" si="32"/>
        <v>#REF!</v>
      </c>
      <c r="F247" s="43"/>
      <c r="G247" s="26" t="e">
        <f t="shared" si="33"/>
        <v>#REF!</v>
      </c>
      <c r="H247" s="43"/>
      <c r="I247" s="26" t="e">
        <f t="shared" si="34"/>
        <v>#REF!</v>
      </c>
      <c r="J247" s="26" t="e">
        <f t="shared" si="35"/>
        <v>#REF!</v>
      </c>
      <c r="K247" s="69"/>
      <c r="L247" s="1"/>
      <c r="M247" s="1"/>
      <c r="N247" s="1"/>
    </row>
    <row r="248" spans="1:14" x14ac:dyDescent="0.35">
      <c r="A248" s="76">
        <v>43707</v>
      </c>
      <c r="B248" s="68" t="s">
        <v>556</v>
      </c>
      <c r="C248" s="74"/>
      <c r="D248" s="26">
        <f>12*6.8+12*5.8</f>
        <v>151.19999999999999</v>
      </c>
      <c r="E248" s="42" t="e">
        <f t="shared" si="32"/>
        <v>#REF!</v>
      </c>
      <c r="F248" s="43"/>
      <c r="G248" s="26" t="e">
        <f t="shared" si="33"/>
        <v>#REF!</v>
      </c>
      <c r="H248" s="43"/>
      <c r="I248" s="26" t="e">
        <f t="shared" si="34"/>
        <v>#REF!</v>
      </c>
      <c r="J248" s="26" t="e">
        <f t="shared" si="35"/>
        <v>#REF!</v>
      </c>
      <c r="K248" s="69"/>
      <c r="L248" s="1"/>
      <c r="M248" s="1"/>
      <c r="N248" s="1"/>
    </row>
    <row r="249" spans="1:14" x14ac:dyDescent="0.35">
      <c r="A249" s="76">
        <v>43707</v>
      </c>
      <c r="B249" s="68" t="s">
        <v>557</v>
      </c>
      <c r="C249" s="74"/>
      <c r="D249" s="26">
        <v>0</v>
      </c>
      <c r="E249" s="42" t="e">
        <f t="shared" si="32"/>
        <v>#REF!</v>
      </c>
      <c r="F249" s="43"/>
      <c r="G249" s="26" t="e">
        <f t="shared" si="33"/>
        <v>#REF!</v>
      </c>
      <c r="H249" s="43"/>
      <c r="I249" s="26" t="e">
        <f t="shared" si="34"/>
        <v>#REF!</v>
      </c>
      <c r="J249" s="26" t="e">
        <f t="shared" si="35"/>
        <v>#REF!</v>
      </c>
      <c r="K249" s="69"/>
      <c r="L249" s="1"/>
      <c r="M249" s="1"/>
      <c r="N249" s="1"/>
    </row>
    <row r="250" spans="1:14" x14ac:dyDescent="0.35">
      <c r="A250" s="76">
        <v>43707</v>
      </c>
      <c r="B250" s="68" t="s">
        <v>558</v>
      </c>
      <c r="C250" s="74"/>
      <c r="D250" s="26">
        <v>174.2</v>
      </c>
      <c r="E250" s="42" t="e">
        <f t="shared" si="32"/>
        <v>#REF!</v>
      </c>
      <c r="F250" s="43"/>
      <c r="G250" s="26" t="e">
        <f t="shared" si="33"/>
        <v>#REF!</v>
      </c>
      <c r="H250" s="43"/>
      <c r="I250" s="26" t="e">
        <f t="shared" si="34"/>
        <v>#REF!</v>
      </c>
      <c r="J250" s="26" t="e">
        <f t="shared" si="35"/>
        <v>#REF!</v>
      </c>
      <c r="K250" s="69"/>
      <c r="L250" s="1"/>
      <c r="M250" s="1"/>
      <c r="N250" s="1"/>
    </row>
    <row r="251" spans="1:14" s="37" customFormat="1" x14ac:dyDescent="0.35">
      <c r="A251" s="88">
        <v>43707</v>
      </c>
      <c r="B251" s="32" t="s">
        <v>561</v>
      </c>
      <c r="C251" s="40"/>
      <c r="D251" s="33">
        <f>16*2.8+4</f>
        <v>48.8</v>
      </c>
      <c r="E251" s="42" t="e">
        <f t="shared" si="32"/>
        <v>#REF!</v>
      </c>
      <c r="F251" s="43"/>
      <c r="G251" s="26" t="e">
        <f t="shared" si="33"/>
        <v>#REF!</v>
      </c>
      <c r="H251" s="43"/>
      <c r="I251" s="26" t="e">
        <f t="shared" si="34"/>
        <v>#REF!</v>
      </c>
      <c r="J251" s="26" t="e">
        <f t="shared" si="35"/>
        <v>#REF!</v>
      </c>
      <c r="K251" s="39"/>
      <c r="L251" s="35" t="e">
        <f>SUM(I237:I251)</f>
        <v>#REF!</v>
      </c>
      <c r="M251" s="35" t="e">
        <f>SUM(L236:L251)</f>
        <v>#REF!</v>
      </c>
      <c r="N251" s="36">
        <v>43707</v>
      </c>
    </row>
    <row r="252" spans="1:14" x14ac:dyDescent="0.35">
      <c r="A252" s="76">
        <v>43710</v>
      </c>
      <c r="B252" s="68" t="s">
        <v>563</v>
      </c>
      <c r="C252" s="74"/>
      <c r="D252" s="26">
        <f>4*2.3</f>
        <v>9.1999999999999993</v>
      </c>
      <c r="E252" s="42" t="e">
        <f t="shared" si="32"/>
        <v>#REF!</v>
      </c>
      <c r="F252" s="43"/>
      <c r="G252" s="26" t="e">
        <f t="shared" si="33"/>
        <v>#REF!</v>
      </c>
      <c r="H252" s="43"/>
      <c r="I252" s="26" t="e">
        <f t="shared" si="34"/>
        <v>#REF!</v>
      </c>
      <c r="J252" s="26" t="e">
        <f t="shared" si="35"/>
        <v>#REF!</v>
      </c>
      <c r="K252" s="69"/>
      <c r="L252" s="1"/>
      <c r="M252" s="1"/>
      <c r="N252" s="1"/>
    </row>
    <row r="253" spans="1:14" x14ac:dyDescent="0.35">
      <c r="A253" s="76">
        <v>43710</v>
      </c>
      <c r="B253" s="68" t="s">
        <v>564</v>
      </c>
      <c r="C253" s="74"/>
      <c r="D253" s="26">
        <f>12*5.4</f>
        <v>64.800000000000011</v>
      </c>
      <c r="E253" s="42" t="e">
        <f t="shared" si="32"/>
        <v>#REF!</v>
      </c>
      <c r="F253" s="43"/>
      <c r="G253" s="26" t="e">
        <f t="shared" si="33"/>
        <v>#REF!</v>
      </c>
      <c r="H253" s="43"/>
      <c r="I253" s="26" t="e">
        <f t="shared" si="34"/>
        <v>#REF!</v>
      </c>
      <c r="J253" s="26" t="e">
        <f t="shared" si="35"/>
        <v>#REF!</v>
      </c>
      <c r="K253" s="69"/>
      <c r="L253" s="1"/>
      <c r="M253" s="1"/>
      <c r="N253" s="1"/>
    </row>
    <row r="254" spans="1:14" x14ac:dyDescent="0.35">
      <c r="A254" s="76">
        <v>43711</v>
      </c>
      <c r="B254" s="68" t="s">
        <v>566</v>
      </c>
      <c r="C254" s="74"/>
      <c r="D254" s="26">
        <f>20*3.4+5</f>
        <v>73</v>
      </c>
      <c r="E254" s="42" t="e">
        <f t="shared" si="32"/>
        <v>#REF!</v>
      </c>
      <c r="F254" s="43"/>
      <c r="G254" s="26" t="e">
        <f t="shared" si="33"/>
        <v>#REF!</v>
      </c>
      <c r="H254" s="43"/>
      <c r="I254" s="26" t="e">
        <f t="shared" si="34"/>
        <v>#REF!</v>
      </c>
      <c r="J254" s="26" t="e">
        <f t="shared" si="35"/>
        <v>#REF!</v>
      </c>
      <c r="K254" s="69"/>
      <c r="L254" s="1"/>
      <c r="M254" s="1"/>
      <c r="N254" s="1"/>
    </row>
    <row r="255" spans="1:14" x14ac:dyDescent="0.35">
      <c r="A255" s="76">
        <v>43712</v>
      </c>
      <c r="B255" s="68" t="s">
        <v>569</v>
      </c>
      <c r="C255" s="74"/>
      <c r="D255" s="26">
        <f>4*1.35</f>
        <v>5.4</v>
      </c>
      <c r="E255" s="42" t="e">
        <f t="shared" si="32"/>
        <v>#REF!</v>
      </c>
      <c r="F255" s="43"/>
      <c r="G255" s="26" t="e">
        <f t="shared" si="33"/>
        <v>#REF!</v>
      </c>
      <c r="H255" s="43"/>
      <c r="I255" s="26" t="e">
        <f t="shared" si="34"/>
        <v>#REF!</v>
      </c>
      <c r="J255" s="26" t="e">
        <f t="shared" si="35"/>
        <v>#REF!</v>
      </c>
      <c r="K255" s="69"/>
      <c r="L255" s="1"/>
      <c r="M255" s="1"/>
      <c r="N255" s="1"/>
    </row>
    <row r="256" spans="1:14" x14ac:dyDescent="0.35">
      <c r="A256" s="76">
        <v>43712</v>
      </c>
      <c r="B256" s="68" t="s">
        <v>571</v>
      </c>
      <c r="C256" s="74"/>
      <c r="D256" s="26">
        <f>9*5</f>
        <v>45</v>
      </c>
      <c r="E256" s="42" t="e">
        <f t="shared" si="32"/>
        <v>#REF!</v>
      </c>
      <c r="F256" s="43"/>
      <c r="G256" s="26" t="e">
        <f t="shared" si="33"/>
        <v>#REF!</v>
      </c>
      <c r="H256" s="43"/>
      <c r="I256" s="26" t="e">
        <f t="shared" si="34"/>
        <v>#REF!</v>
      </c>
      <c r="J256" s="26" t="e">
        <f t="shared" si="35"/>
        <v>#REF!</v>
      </c>
      <c r="K256" s="69"/>
      <c r="L256" s="1"/>
      <c r="M256" s="1"/>
      <c r="N256" s="1"/>
    </row>
    <row r="257" spans="1:14" x14ac:dyDescent="0.35">
      <c r="A257" s="76">
        <v>43713</v>
      </c>
      <c r="B257" s="68" t="s">
        <v>570</v>
      </c>
      <c r="C257" s="74"/>
      <c r="D257" s="26">
        <f>13*5+1.2</f>
        <v>66.2</v>
      </c>
      <c r="E257" s="42" t="e">
        <f t="shared" si="32"/>
        <v>#REF!</v>
      </c>
      <c r="F257" s="43"/>
      <c r="G257" s="26" t="e">
        <f t="shared" si="33"/>
        <v>#REF!</v>
      </c>
      <c r="H257" s="43"/>
      <c r="I257" s="26" t="e">
        <f t="shared" si="34"/>
        <v>#REF!</v>
      </c>
      <c r="J257" s="26" t="e">
        <f t="shared" si="35"/>
        <v>#REF!</v>
      </c>
      <c r="K257" s="69"/>
      <c r="L257" s="1"/>
      <c r="M257" s="1"/>
      <c r="N257" s="1"/>
    </row>
    <row r="258" spans="1:14" x14ac:dyDescent="0.35">
      <c r="A258" s="76">
        <v>43714</v>
      </c>
      <c r="B258" s="68" t="s">
        <v>574</v>
      </c>
      <c r="C258" s="74"/>
      <c r="D258" s="26">
        <f>22*7</f>
        <v>154</v>
      </c>
      <c r="E258" s="42" t="e">
        <f t="shared" si="32"/>
        <v>#REF!</v>
      </c>
      <c r="F258" s="43"/>
      <c r="G258" s="26" t="e">
        <f t="shared" si="33"/>
        <v>#REF!</v>
      </c>
      <c r="H258" s="43"/>
      <c r="I258" s="26" t="e">
        <f t="shared" si="34"/>
        <v>#REF!</v>
      </c>
      <c r="J258" s="26" t="e">
        <f t="shared" si="35"/>
        <v>#REF!</v>
      </c>
      <c r="K258" s="69"/>
      <c r="L258" s="1"/>
      <c r="M258" s="1"/>
      <c r="N258" s="1"/>
    </row>
    <row r="259" spans="1:14" x14ac:dyDescent="0.35">
      <c r="A259" s="76">
        <v>43717</v>
      </c>
      <c r="B259" s="68" t="s">
        <v>581</v>
      </c>
      <c r="C259" s="74"/>
      <c r="D259" s="26">
        <f>7*6</f>
        <v>42</v>
      </c>
      <c r="E259" s="42" t="e">
        <f t="shared" si="32"/>
        <v>#REF!</v>
      </c>
      <c r="F259" s="43"/>
      <c r="G259" s="26" t="e">
        <f t="shared" si="33"/>
        <v>#REF!</v>
      </c>
      <c r="H259" s="43"/>
      <c r="I259" s="26" t="e">
        <f t="shared" si="34"/>
        <v>#REF!</v>
      </c>
      <c r="J259" s="26" t="e">
        <f t="shared" si="35"/>
        <v>#REF!</v>
      </c>
      <c r="K259" s="69"/>
      <c r="L259" s="1"/>
      <c r="M259" s="1"/>
      <c r="N259" s="1"/>
    </row>
    <row r="260" spans="1:14" x14ac:dyDescent="0.35">
      <c r="A260" s="76">
        <v>43718</v>
      </c>
      <c r="B260" s="68" t="s">
        <v>584</v>
      </c>
      <c r="C260" s="74"/>
      <c r="D260" s="26">
        <f>18*3+3</f>
        <v>57</v>
      </c>
      <c r="E260" s="42" t="e">
        <f t="shared" si="32"/>
        <v>#REF!</v>
      </c>
      <c r="F260" s="43"/>
      <c r="G260" s="26" t="e">
        <f t="shared" si="33"/>
        <v>#REF!</v>
      </c>
      <c r="H260" s="43"/>
      <c r="I260" s="26" t="e">
        <f t="shared" si="34"/>
        <v>#REF!</v>
      </c>
      <c r="J260" s="26" t="e">
        <f t="shared" si="35"/>
        <v>#REF!</v>
      </c>
      <c r="K260" s="69"/>
      <c r="L260" s="1"/>
      <c r="M260" s="1"/>
      <c r="N260" s="1"/>
    </row>
    <row r="261" spans="1:14" x14ac:dyDescent="0.35">
      <c r="A261" s="76">
        <v>43719</v>
      </c>
      <c r="B261" s="68" t="s">
        <v>585</v>
      </c>
      <c r="C261" s="74"/>
      <c r="D261" s="26">
        <f>17*4</f>
        <v>68</v>
      </c>
      <c r="E261" s="42" t="e">
        <f t="shared" si="32"/>
        <v>#REF!</v>
      </c>
      <c r="F261" s="43"/>
      <c r="G261" s="26" t="e">
        <f t="shared" si="33"/>
        <v>#REF!</v>
      </c>
      <c r="H261" s="43"/>
      <c r="I261" s="26" t="e">
        <f t="shared" si="34"/>
        <v>#REF!</v>
      </c>
      <c r="J261" s="26" t="e">
        <f t="shared" si="35"/>
        <v>#REF!</v>
      </c>
      <c r="K261" s="69"/>
      <c r="L261" s="1"/>
      <c r="M261" s="1"/>
      <c r="N261" s="1"/>
    </row>
    <row r="262" spans="1:14" x14ac:dyDescent="0.35">
      <c r="A262" s="76">
        <v>43722</v>
      </c>
      <c r="B262" s="68" t="s">
        <v>588</v>
      </c>
      <c r="C262" s="74"/>
      <c r="D262" s="26">
        <f>5*2.4</f>
        <v>12</v>
      </c>
      <c r="E262" s="42" t="e">
        <f t="shared" si="32"/>
        <v>#REF!</v>
      </c>
      <c r="F262" s="43"/>
      <c r="G262" s="26" t="e">
        <f t="shared" si="33"/>
        <v>#REF!</v>
      </c>
      <c r="H262" s="43"/>
      <c r="I262" s="26" t="e">
        <f t="shared" si="34"/>
        <v>#REF!</v>
      </c>
      <c r="J262" s="26" t="e">
        <f t="shared" si="35"/>
        <v>#REF!</v>
      </c>
      <c r="K262" s="69"/>
      <c r="L262" s="1"/>
      <c r="M262" s="1"/>
      <c r="N262" s="1"/>
    </row>
    <row r="263" spans="1:14" x14ac:dyDescent="0.35">
      <c r="A263" s="76">
        <v>43722</v>
      </c>
      <c r="B263" s="68" t="s">
        <v>589</v>
      </c>
      <c r="C263" s="74"/>
      <c r="D263" s="26">
        <f>11*4.45</f>
        <v>48.95</v>
      </c>
      <c r="E263" s="42" t="e">
        <f t="shared" si="32"/>
        <v>#REF!</v>
      </c>
      <c r="F263" s="43"/>
      <c r="G263" s="26" t="e">
        <f t="shared" si="33"/>
        <v>#REF!</v>
      </c>
      <c r="H263" s="43"/>
      <c r="I263" s="26" t="e">
        <f t="shared" si="34"/>
        <v>#REF!</v>
      </c>
      <c r="J263" s="26" t="e">
        <f t="shared" si="35"/>
        <v>#REF!</v>
      </c>
      <c r="K263" s="69"/>
      <c r="L263" s="1"/>
      <c r="M263" s="1"/>
      <c r="N263" s="1"/>
    </row>
    <row r="264" spans="1:14" s="37" customFormat="1" x14ac:dyDescent="0.35">
      <c r="A264" s="88">
        <v>43722</v>
      </c>
      <c r="B264" s="32" t="s">
        <v>590</v>
      </c>
      <c r="C264" s="40"/>
      <c r="D264" s="33">
        <f>7*5.2</f>
        <v>36.4</v>
      </c>
      <c r="E264" s="42" t="e">
        <f t="shared" si="32"/>
        <v>#REF!</v>
      </c>
      <c r="F264" s="43"/>
      <c r="G264" s="26" t="e">
        <f t="shared" si="33"/>
        <v>#REF!</v>
      </c>
      <c r="H264" s="43"/>
      <c r="I264" s="26" t="e">
        <f t="shared" si="34"/>
        <v>#REF!</v>
      </c>
      <c r="J264" s="26" t="e">
        <f t="shared" si="35"/>
        <v>#REF!</v>
      </c>
      <c r="K264" s="39"/>
      <c r="L264" s="35" t="e">
        <f>SUM(I252:I264)</f>
        <v>#REF!</v>
      </c>
      <c r="M264" s="114"/>
      <c r="N264" s="36">
        <v>43723</v>
      </c>
    </row>
    <row r="265" spans="1:14" x14ac:dyDescent="0.35">
      <c r="A265" s="76">
        <v>43724</v>
      </c>
      <c r="B265" s="68" t="s">
        <v>592</v>
      </c>
      <c r="C265" s="74"/>
      <c r="D265" s="26">
        <f>5*4.65</f>
        <v>23.25</v>
      </c>
      <c r="E265" s="42" t="e">
        <f t="shared" si="32"/>
        <v>#REF!</v>
      </c>
      <c r="F265" s="43"/>
      <c r="G265" s="26" t="e">
        <f t="shared" si="33"/>
        <v>#REF!</v>
      </c>
      <c r="H265" s="43"/>
      <c r="I265" s="26" t="e">
        <f t="shared" si="34"/>
        <v>#REF!</v>
      </c>
      <c r="J265" s="26" t="e">
        <f t="shared" si="35"/>
        <v>#REF!</v>
      </c>
      <c r="K265" s="69"/>
      <c r="L265" s="1"/>
      <c r="M265" s="1"/>
      <c r="N265" s="1"/>
    </row>
    <row r="266" spans="1:14" x14ac:dyDescent="0.35">
      <c r="A266" s="76">
        <v>43725</v>
      </c>
      <c r="B266" s="68" t="s">
        <v>596</v>
      </c>
      <c r="C266" s="74"/>
      <c r="D266" s="26">
        <f>6*4</f>
        <v>24</v>
      </c>
      <c r="E266" s="42" t="e">
        <f t="shared" ref="E266:E329" si="36">+E265-D266</f>
        <v>#REF!</v>
      </c>
      <c r="F266" s="43"/>
      <c r="G266" s="26" t="e">
        <f t="shared" ref="G266:G329" si="37">+J265/E265</f>
        <v>#REF!</v>
      </c>
      <c r="H266" s="43"/>
      <c r="I266" s="26" t="e">
        <f t="shared" ref="I266:I329" si="38">+D266*G266</f>
        <v>#REF!</v>
      </c>
      <c r="J266" s="26" t="e">
        <f t="shared" ref="J266:J329" si="39">+J265-I266</f>
        <v>#REF!</v>
      </c>
      <c r="K266" s="69"/>
      <c r="L266" s="1"/>
      <c r="M266" s="1"/>
      <c r="N266" s="1"/>
    </row>
    <row r="267" spans="1:14" x14ac:dyDescent="0.35">
      <c r="A267" s="76">
        <v>43727</v>
      </c>
      <c r="B267" s="68" t="s">
        <v>597</v>
      </c>
      <c r="C267" s="74"/>
      <c r="D267" s="26">
        <v>0</v>
      </c>
      <c r="E267" s="42" t="e">
        <f t="shared" si="36"/>
        <v>#REF!</v>
      </c>
      <c r="F267" s="43"/>
      <c r="G267" s="26" t="e">
        <f t="shared" si="37"/>
        <v>#REF!</v>
      </c>
      <c r="H267" s="43"/>
      <c r="I267" s="26" t="e">
        <f t="shared" si="38"/>
        <v>#REF!</v>
      </c>
      <c r="J267" s="26" t="e">
        <f t="shared" si="39"/>
        <v>#REF!</v>
      </c>
      <c r="K267" s="69"/>
      <c r="L267" s="1"/>
      <c r="M267" s="1"/>
      <c r="N267" s="1"/>
    </row>
    <row r="268" spans="1:14" x14ac:dyDescent="0.35">
      <c r="A268" s="76">
        <v>43731</v>
      </c>
      <c r="B268" s="68" t="s">
        <v>605</v>
      </c>
      <c r="C268" s="74"/>
      <c r="D268" s="26">
        <f>10*2.7+6*4.15+3*3.72+3*3.65+3*3.66+6*1.935</f>
        <v>96.600000000000009</v>
      </c>
      <c r="E268" s="42" t="e">
        <f t="shared" si="36"/>
        <v>#REF!</v>
      </c>
      <c r="F268" s="43"/>
      <c r="G268" s="26" t="e">
        <f t="shared" si="37"/>
        <v>#REF!</v>
      </c>
      <c r="H268" s="43"/>
      <c r="I268" s="26" t="e">
        <f t="shared" si="38"/>
        <v>#REF!</v>
      </c>
      <c r="J268" s="26" t="e">
        <f t="shared" si="39"/>
        <v>#REF!</v>
      </c>
      <c r="K268" s="69"/>
      <c r="L268" s="1"/>
      <c r="M268" s="1"/>
      <c r="N268" s="1"/>
    </row>
    <row r="269" spans="1:14" x14ac:dyDescent="0.35">
      <c r="A269" s="76">
        <v>43731</v>
      </c>
      <c r="B269" s="68" t="s">
        <v>606</v>
      </c>
      <c r="C269" s="74"/>
      <c r="D269" s="26">
        <f>11*6</f>
        <v>66</v>
      </c>
      <c r="E269" s="42" t="e">
        <f t="shared" si="36"/>
        <v>#REF!</v>
      </c>
      <c r="F269" s="43"/>
      <c r="G269" s="26" t="e">
        <f t="shared" si="37"/>
        <v>#REF!</v>
      </c>
      <c r="H269" s="43"/>
      <c r="I269" s="26" t="e">
        <f t="shared" si="38"/>
        <v>#REF!</v>
      </c>
      <c r="J269" s="26" t="e">
        <f t="shared" si="39"/>
        <v>#REF!</v>
      </c>
      <c r="K269" s="69"/>
      <c r="L269" s="1"/>
      <c r="M269" s="1"/>
      <c r="N269" s="1"/>
    </row>
    <row r="270" spans="1:14" x14ac:dyDescent="0.35">
      <c r="A270" s="76">
        <v>43731</v>
      </c>
      <c r="B270" s="68" t="s">
        <v>608</v>
      </c>
      <c r="C270" s="74"/>
      <c r="D270" s="26">
        <f>15*6.1</f>
        <v>91.5</v>
      </c>
      <c r="E270" s="42" t="e">
        <f t="shared" si="36"/>
        <v>#REF!</v>
      </c>
      <c r="F270" s="43"/>
      <c r="G270" s="26" t="e">
        <f t="shared" si="37"/>
        <v>#REF!</v>
      </c>
      <c r="H270" s="43"/>
      <c r="I270" s="26" t="e">
        <f t="shared" si="38"/>
        <v>#REF!</v>
      </c>
      <c r="J270" s="26" t="e">
        <f t="shared" si="39"/>
        <v>#REF!</v>
      </c>
      <c r="K270" s="69"/>
      <c r="L270" s="1"/>
      <c r="M270" s="1"/>
      <c r="N270" s="1"/>
    </row>
    <row r="271" spans="1:14" x14ac:dyDescent="0.35">
      <c r="A271" s="76">
        <v>43733</v>
      </c>
      <c r="B271" s="68" t="s">
        <v>615</v>
      </c>
      <c r="C271" s="74"/>
      <c r="D271" s="26">
        <f>5*5</f>
        <v>25</v>
      </c>
      <c r="E271" s="42" t="e">
        <f t="shared" si="36"/>
        <v>#REF!</v>
      </c>
      <c r="F271" s="43"/>
      <c r="G271" s="26" t="e">
        <f t="shared" si="37"/>
        <v>#REF!</v>
      </c>
      <c r="H271" s="43"/>
      <c r="I271" s="26" t="e">
        <f t="shared" si="38"/>
        <v>#REF!</v>
      </c>
      <c r="J271" s="26" t="e">
        <f t="shared" si="39"/>
        <v>#REF!</v>
      </c>
      <c r="K271" s="69"/>
      <c r="L271" s="1"/>
      <c r="M271" s="1"/>
      <c r="N271" s="1"/>
    </row>
    <row r="272" spans="1:14" x14ac:dyDescent="0.35">
      <c r="A272" s="76">
        <v>43734</v>
      </c>
      <c r="B272" s="68" t="s">
        <v>617</v>
      </c>
      <c r="C272" s="74"/>
      <c r="D272" s="26">
        <v>3</v>
      </c>
      <c r="E272" s="42" t="e">
        <f t="shared" si="36"/>
        <v>#REF!</v>
      </c>
      <c r="F272" s="43"/>
      <c r="G272" s="26" t="e">
        <f t="shared" si="37"/>
        <v>#REF!</v>
      </c>
      <c r="H272" s="43"/>
      <c r="I272" s="26" t="e">
        <f t="shared" si="38"/>
        <v>#REF!</v>
      </c>
      <c r="J272" s="26" t="e">
        <f t="shared" si="39"/>
        <v>#REF!</v>
      </c>
      <c r="K272" s="69"/>
      <c r="L272" s="1"/>
      <c r="M272" s="1"/>
      <c r="N272" s="1"/>
    </row>
    <row r="273" spans="1:14" s="37" customFormat="1" x14ac:dyDescent="0.35">
      <c r="A273" s="88">
        <v>43738</v>
      </c>
      <c r="B273" s="32" t="s">
        <v>620</v>
      </c>
      <c r="C273" s="40"/>
      <c r="D273" s="33">
        <f>6*4.5</f>
        <v>27</v>
      </c>
      <c r="E273" s="42" t="e">
        <f t="shared" si="36"/>
        <v>#REF!</v>
      </c>
      <c r="F273" s="43"/>
      <c r="G273" s="26" t="e">
        <f t="shared" si="37"/>
        <v>#REF!</v>
      </c>
      <c r="H273" s="43"/>
      <c r="I273" s="26" t="e">
        <f t="shared" si="38"/>
        <v>#REF!</v>
      </c>
      <c r="J273" s="26" t="e">
        <f t="shared" si="39"/>
        <v>#REF!</v>
      </c>
      <c r="K273" s="39"/>
      <c r="L273" s="35" t="e">
        <f>SUM(I265:I273)</f>
        <v>#REF!</v>
      </c>
      <c r="M273" s="35" t="e">
        <f>SUM(L264:L273)</f>
        <v>#REF!</v>
      </c>
      <c r="N273" s="36">
        <v>43738</v>
      </c>
    </row>
    <row r="274" spans="1:14" x14ac:dyDescent="0.35">
      <c r="A274" s="76">
        <v>43739</v>
      </c>
      <c r="B274" s="68" t="s">
        <v>623</v>
      </c>
      <c r="C274" s="74"/>
      <c r="D274" s="26">
        <f>5*4.2+1.75</f>
        <v>22.75</v>
      </c>
      <c r="E274" s="42" t="e">
        <f t="shared" si="36"/>
        <v>#REF!</v>
      </c>
      <c r="F274" s="43"/>
      <c r="G274" s="26" t="e">
        <f t="shared" si="37"/>
        <v>#REF!</v>
      </c>
      <c r="H274" s="43"/>
      <c r="I274" s="26" t="e">
        <f t="shared" si="38"/>
        <v>#REF!</v>
      </c>
      <c r="J274" s="26" t="e">
        <f t="shared" si="39"/>
        <v>#REF!</v>
      </c>
      <c r="K274" s="69"/>
      <c r="L274" s="1"/>
      <c r="M274" s="1"/>
      <c r="N274" s="1"/>
    </row>
    <row r="275" spans="1:14" x14ac:dyDescent="0.35">
      <c r="A275" s="76">
        <v>43740</v>
      </c>
      <c r="B275" s="68" t="s">
        <v>631</v>
      </c>
      <c r="C275" s="74"/>
      <c r="D275" s="26">
        <f>3*3.2+2*2.9+3*2.3+12*2.8</f>
        <v>55.899999999999991</v>
      </c>
      <c r="E275" s="42" t="e">
        <f t="shared" si="36"/>
        <v>#REF!</v>
      </c>
      <c r="F275" s="43"/>
      <c r="G275" s="26" t="e">
        <f t="shared" si="37"/>
        <v>#REF!</v>
      </c>
      <c r="H275" s="43"/>
      <c r="I275" s="26" t="e">
        <f t="shared" si="38"/>
        <v>#REF!</v>
      </c>
      <c r="J275" s="26" t="e">
        <f t="shared" si="39"/>
        <v>#REF!</v>
      </c>
      <c r="K275" s="69"/>
      <c r="L275" s="1"/>
      <c r="M275" s="1"/>
      <c r="N275" s="1"/>
    </row>
    <row r="276" spans="1:14" x14ac:dyDescent="0.35">
      <c r="A276" s="76">
        <v>43741</v>
      </c>
      <c r="B276" s="68" t="s">
        <v>634</v>
      </c>
      <c r="C276" s="74"/>
      <c r="D276" s="26">
        <f>10*5+20*3+4</f>
        <v>114</v>
      </c>
      <c r="E276" s="42" t="e">
        <f t="shared" si="36"/>
        <v>#REF!</v>
      </c>
      <c r="F276" s="43"/>
      <c r="G276" s="26" t="e">
        <f t="shared" si="37"/>
        <v>#REF!</v>
      </c>
      <c r="H276" s="43"/>
      <c r="I276" s="26" t="e">
        <f t="shared" si="38"/>
        <v>#REF!</v>
      </c>
      <c r="J276" s="26" t="e">
        <f t="shared" si="39"/>
        <v>#REF!</v>
      </c>
      <c r="K276" s="69"/>
      <c r="L276" s="1"/>
      <c r="M276" s="1"/>
      <c r="N276" s="1"/>
    </row>
    <row r="277" spans="1:14" x14ac:dyDescent="0.35">
      <c r="A277" s="76">
        <v>43741</v>
      </c>
      <c r="B277" s="68" t="s">
        <v>636</v>
      </c>
      <c r="C277" s="74"/>
      <c r="D277" s="26">
        <f>5*4.75</f>
        <v>23.75</v>
      </c>
      <c r="E277" s="42" t="e">
        <f t="shared" si="36"/>
        <v>#REF!</v>
      </c>
      <c r="F277" s="43"/>
      <c r="G277" s="26" t="e">
        <f t="shared" si="37"/>
        <v>#REF!</v>
      </c>
      <c r="H277" s="43"/>
      <c r="I277" s="26" t="e">
        <f t="shared" si="38"/>
        <v>#REF!</v>
      </c>
      <c r="J277" s="26" t="e">
        <f t="shared" si="39"/>
        <v>#REF!</v>
      </c>
      <c r="K277" s="69"/>
      <c r="L277" s="1"/>
      <c r="M277" s="1"/>
      <c r="N277" s="1"/>
    </row>
    <row r="278" spans="1:14" x14ac:dyDescent="0.35">
      <c r="A278" s="76">
        <v>43741</v>
      </c>
      <c r="B278" s="68" t="s">
        <v>637</v>
      </c>
      <c r="C278" s="74"/>
      <c r="D278" s="26">
        <f>2*2.5+7*1.8</f>
        <v>17.600000000000001</v>
      </c>
      <c r="E278" s="42" t="e">
        <f t="shared" si="36"/>
        <v>#REF!</v>
      </c>
      <c r="F278" s="43"/>
      <c r="G278" s="26" t="e">
        <f t="shared" si="37"/>
        <v>#REF!</v>
      </c>
      <c r="H278" s="43"/>
      <c r="I278" s="26" t="e">
        <f t="shared" si="38"/>
        <v>#REF!</v>
      </c>
      <c r="J278" s="26" t="e">
        <f t="shared" si="39"/>
        <v>#REF!</v>
      </c>
      <c r="K278" s="69"/>
      <c r="L278" s="1"/>
      <c r="M278" s="1"/>
      <c r="N278" s="1"/>
    </row>
    <row r="279" spans="1:14" x14ac:dyDescent="0.35">
      <c r="A279" s="76">
        <v>43743</v>
      </c>
      <c r="B279" s="68" t="s">
        <v>646</v>
      </c>
      <c r="C279" s="74"/>
      <c r="D279" s="26">
        <f>12*2.7+12*2.4</f>
        <v>61.2</v>
      </c>
      <c r="E279" s="42" t="e">
        <f t="shared" si="36"/>
        <v>#REF!</v>
      </c>
      <c r="F279" s="43"/>
      <c r="G279" s="26" t="e">
        <f t="shared" si="37"/>
        <v>#REF!</v>
      </c>
      <c r="H279" s="43"/>
      <c r="I279" s="26" t="e">
        <f t="shared" si="38"/>
        <v>#REF!</v>
      </c>
      <c r="J279" s="26" t="e">
        <f t="shared" si="39"/>
        <v>#REF!</v>
      </c>
      <c r="K279" s="69"/>
      <c r="L279" s="1"/>
      <c r="M279" s="1"/>
      <c r="N279" s="1"/>
    </row>
    <row r="280" spans="1:14" x14ac:dyDescent="0.35">
      <c r="A280" s="76">
        <v>43745</v>
      </c>
      <c r="B280" s="68" t="s">
        <v>647</v>
      </c>
      <c r="C280" s="74"/>
      <c r="D280" s="26">
        <f>10*2.65</f>
        <v>26.5</v>
      </c>
      <c r="E280" s="42" t="e">
        <f t="shared" si="36"/>
        <v>#REF!</v>
      </c>
      <c r="F280" s="43"/>
      <c r="G280" s="26" t="e">
        <f t="shared" si="37"/>
        <v>#REF!</v>
      </c>
      <c r="H280" s="43"/>
      <c r="I280" s="26" t="e">
        <f t="shared" si="38"/>
        <v>#REF!</v>
      </c>
      <c r="J280" s="26" t="e">
        <f t="shared" si="39"/>
        <v>#REF!</v>
      </c>
      <c r="K280" s="69"/>
      <c r="L280" s="1"/>
      <c r="M280" s="1"/>
      <c r="N280" s="1"/>
    </row>
    <row r="281" spans="1:14" x14ac:dyDescent="0.35">
      <c r="A281" s="76">
        <v>43745</v>
      </c>
      <c r="B281" s="68" t="s">
        <v>650</v>
      </c>
      <c r="C281" s="74"/>
      <c r="D281" s="26">
        <f>5*3</f>
        <v>15</v>
      </c>
      <c r="E281" s="42" t="e">
        <f t="shared" si="36"/>
        <v>#REF!</v>
      </c>
      <c r="F281" s="43"/>
      <c r="G281" s="26" t="e">
        <f t="shared" si="37"/>
        <v>#REF!</v>
      </c>
      <c r="H281" s="43"/>
      <c r="I281" s="26" t="e">
        <f t="shared" si="38"/>
        <v>#REF!</v>
      </c>
      <c r="J281" s="26" t="e">
        <f t="shared" si="39"/>
        <v>#REF!</v>
      </c>
      <c r="K281" s="69"/>
      <c r="L281" s="1"/>
      <c r="M281" s="1"/>
      <c r="N281" s="1"/>
    </row>
    <row r="282" spans="1:14" x14ac:dyDescent="0.35">
      <c r="A282" s="76">
        <v>43745</v>
      </c>
      <c r="B282" s="68" t="s">
        <v>651</v>
      </c>
      <c r="C282" s="74"/>
      <c r="D282" s="26">
        <f>14*2.5</f>
        <v>35</v>
      </c>
      <c r="E282" s="42" t="e">
        <f t="shared" si="36"/>
        <v>#REF!</v>
      </c>
      <c r="F282" s="43"/>
      <c r="G282" s="26" t="e">
        <f t="shared" si="37"/>
        <v>#REF!</v>
      </c>
      <c r="H282" s="43"/>
      <c r="I282" s="26" t="e">
        <f t="shared" si="38"/>
        <v>#REF!</v>
      </c>
      <c r="J282" s="26" t="e">
        <f t="shared" si="39"/>
        <v>#REF!</v>
      </c>
      <c r="K282" s="69"/>
      <c r="L282" s="1"/>
      <c r="M282" s="1"/>
      <c r="N282" s="1"/>
    </row>
    <row r="283" spans="1:14" x14ac:dyDescent="0.35">
      <c r="A283" s="76">
        <v>43745</v>
      </c>
      <c r="B283" s="68" t="s">
        <v>652</v>
      </c>
      <c r="C283" s="74"/>
      <c r="D283" s="26">
        <f>9*6.2</f>
        <v>55.800000000000004</v>
      </c>
      <c r="E283" s="42" t="e">
        <f t="shared" si="36"/>
        <v>#REF!</v>
      </c>
      <c r="F283" s="43"/>
      <c r="G283" s="26" t="e">
        <f t="shared" si="37"/>
        <v>#REF!</v>
      </c>
      <c r="H283" s="43"/>
      <c r="I283" s="26" t="e">
        <f t="shared" si="38"/>
        <v>#REF!</v>
      </c>
      <c r="J283" s="26" t="e">
        <f t="shared" si="39"/>
        <v>#REF!</v>
      </c>
      <c r="K283" s="69"/>
      <c r="L283" s="1"/>
      <c r="M283" s="1"/>
      <c r="N283" s="1"/>
    </row>
    <row r="284" spans="1:14" x14ac:dyDescent="0.35">
      <c r="A284" s="76">
        <v>43746</v>
      </c>
      <c r="B284" s="68" t="s">
        <v>656</v>
      </c>
      <c r="C284" s="74"/>
      <c r="D284" s="26">
        <v>0</v>
      </c>
      <c r="E284" s="42" t="e">
        <f t="shared" si="36"/>
        <v>#REF!</v>
      </c>
      <c r="F284" s="43"/>
      <c r="G284" s="26" t="e">
        <f t="shared" si="37"/>
        <v>#REF!</v>
      </c>
      <c r="H284" s="43"/>
      <c r="I284" s="26" t="e">
        <f t="shared" si="38"/>
        <v>#REF!</v>
      </c>
      <c r="J284" s="26" t="e">
        <f t="shared" si="39"/>
        <v>#REF!</v>
      </c>
      <c r="K284" s="69"/>
      <c r="L284" s="1"/>
      <c r="M284" s="1"/>
      <c r="N284" s="1"/>
    </row>
    <row r="285" spans="1:14" x14ac:dyDescent="0.35">
      <c r="A285" s="76">
        <v>43746</v>
      </c>
      <c r="B285" s="68" t="s">
        <v>657</v>
      </c>
      <c r="C285" s="74"/>
      <c r="D285" s="26">
        <f>3*6.6+5</f>
        <v>24.799999999999997</v>
      </c>
      <c r="E285" s="42" t="e">
        <f t="shared" si="36"/>
        <v>#REF!</v>
      </c>
      <c r="F285" s="43"/>
      <c r="G285" s="26" t="e">
        <f t="shared" si="37"/>
        <v>#REF!</v>
      </c>
      <c r="H285" s="43"/>
      <c r="I285" s="26" t="e">
        <f t="shared" si="38"/>
        <v>#REF!</v>
      </c>
      <c r="J285" s="26" t="e">
        <f t="shared" si="39"/>
        <v>#REF!</v>
      </c>
      <c r="K285" s="69"/>
      <c r="L285" s="1"/>
      <c r="M285" s="1"/>
      <c r="N285" s="1"/>
    </row>
    <row r="286" spans="1:14" x14ac:dyDescent="0.35">
      <c r="A286" s="76">
        <v>43747</v>
      </c>
      <c r="B286" s="68" t="s">
        <v>658</v>
      </c>
      <c r="C286" s="74"/>
      <c r="D286" s="26">
        <f>8*5</f>
        <v>40</v>
      </c>
      <c r="E286" s="42" t="e">
        <f t="shared" si="36"/>
        <v>#REF!</v>
      </c>
      <c r="F286" s="43"/>
      <c r="G286" s="26" t="e">
        <f t="shared" si="37"/>
        <v>#REF!</v>
      </c>
      <c r="H286" s="43"/>
      <c r="I286" s="26" t="e">
        <f t="shared" si="38"/>
        <v>#REF!</v>
      </c>
      <c r="J286" s="26" t="e">
        <f t="shared" si="39"/>
        <v>#REF!</v>
      </c>
      <c r="K286" s="69"/>
      <c r="L286" s="1"/>
      <c r="M286" s="1"/>
      <c r="N286" s="1"/>
    </row>
    <row r="287" spans="1:14" x14ac:dyDescent="0.35">
      <c r="A287" s="76">
        <v>43747</v>
      </c>
      <c r="B287" s="68" t="s">
        <v>837</v>
      </c>
      <c r="C287" s="74"/>
      <c r="D287" s="26">
        <v>5</v>
      </c>
      <c r="E287" s="42" t="e">
        <f t="shared" si="36"/>
        <v>#REF!</v>
      </c>
      <c r="F287" s="43"/>
      <c r="G287" s="26" t="e">
        <f t="shared" si="37"/>
        <v>#REF!</v>
      </c>
      <c r="H287" s="43"/>
      <c r="I287" s="26" t="e">
        <f t="shared" si="38"/>
        <v>#REF!</v>
      </c>
      <c r="J287" s="26" t="e">
        <f t="shared" si="39"/>
        <v>#REF!</v>
      </c>
      <c r="K287" s="69"/>
      <c r="L287" s="1"/>
      <c r="M287" s="1"/>
      <c r="N287" s="1"/>
    </row>
    <row r="288" spans="1:14" x14ac:dyDescent="0.35">
      <c r="A288" s="76">
        <v>43747</v>
      </c>
      <c r="B288" s="68" t="s">
        <v>662</v>
      </c>
      <c r="C288" s="74"/>
      <c r="D288" s="26">
        <f>7*4.6</f>
        <v>32.199999999999996</v>
      </c>
      <c r="E288" s="42" t="e">
        <f t="shared" si="36"/>
        <v>#REF!</v>
      </c>
      <c r="F288" s="43"/>
      <c r="G288" s="26" t="e">
        <f t="shared" si="37"/>
        <v>#REF!</v>
      </c>
      <c r="H288" s="43"/>
      <c r="I288" s="26" t="e">
        <f t="shared" si="38"/>
        <v>#REF!</v>
      </c>
      <c r="J288" s="26" t="e">
        <f t="shared" si="39"/>
        <v>#REF!</v>
      </c>
      <c r="K288" s="69"/>
      <c r="L288" s="1"/>
      <c r="M288" s="1"/>
      <c r="N288" s="1"/>
    </row>
    <row r="289" spans="1:14" x14ac:dyDescent="0.35">
      <c r="A289" s="76">
        <v>43747</v>
      </c>
      <c r="B289" s="68" t="s">
        <v>663</v>
      </c>
      <c r="C289" s="74"/>
      <c r="D289" s="26">
        <f>8*5.1</f>
        <v>40.799999999999997</v>
      </c>
      <c r="E289" s="42" t="e">
        <f t="shared" si="36"/>
        <v>#REF!</v>
      </c>
      <c r="F289" s="43"/>
      <c r="G289" s="26" t="e">
        <f t="shared" si="37"/>
        <v>#REF!</v>
      </c>
      <c r="H289" s="43"/>
      <c r="I289" s="26" t="e">
        <f t="shared" si="38"/>
        <v>#REF!</v>
      </c>
      <c r="J289" s="26" t="e">
        <f t="shared" si="39"/>
        <v>#REF!</v>
      </c>
      <c r="K289" s="69"/>
      <c r="L289" s="1"/>
      <c r="M289" s="1"/>
      <c r="N289" s="1"/>
    </row>
    <row r="290" spans="1:14" x14ac:dyDescent="0.35">
      <c r="A290" s="76">
        <v>43748</v>
      </c>
      <c r="B290" s="68" t="s">
        <v>665</v>
      </c>
      <c r="C290" s="74"/>
      <c r="D290" s="26">
        <v>4.3</v>
      </c>
      <c r="E290" s="42" t="e">
        <f t="shared" si="36"/>
        <v>#REF!</v>
      </c>
      <c r="F290" s="43"/>
      <c r="G290" s="26" t="e">
        <f t="shared" si="37"/>
        <v>#REF!</v>
      </c>
      <c r="H290" s="43"/>
      <c r="I290" s="26" t="e">
        <f t="shared" si="38"/>
        <v>#REF!</v>
      </c>
      <c r="J290" s="26" t="e">
        <f t="shared" si="39"/>
        <v>#REF!</v>
      </c>
      <c r="K290" s="69"/>
      <c r="L290" s="1"/>
      <c r="M290" s="1"/>
      <c r="N290" s="1"/>
    </row>
    <row r="291" spans="1:14" x14ac:dyDescent="0.35">
      <c r="A291" s="76">
        <v>43749</v>
      </c>
      <c r="B291" s="68" t="s">
        <v>671</v>
      </c>
      <c r="C291" s="74"/>
      <c r="D291" s="26">
        <v>170.27</v>
      </c>
      <c r="E291" s="42" t="e">
        <f t="shared" si="36"/>
        <v>#REF!</v>
      </c>
      <c r="F291" s="43"/>
      <c r="G291" s="26" t="e">
        <f t="shared" si="37"/>
        <v>#REF!</v>
      </c>
      <c r="H291" s="43"/>
      <c r="I291" s="26" t="e">
        <f t="shared" si="38"/>
        <v>#REF!</v>
      </c>
      <c r="J291" s="26" t="e">
        <f t="shared" si="39"/>
        <v>#REF!</v>
      </c>
      <c r="K291" s="69"/>
      <c r="L291" s="1"/>
      <c r="M291" s="1"/>
      <c r="N291" s="1"/>
    </row>
    <row r="292" spans="1:14" x14ac:dyDescent="0.35">
      <c r="A292" s="76">
        <v>43749</v>
      </c>
      <c r="B292" s="68" t="s">
        <v>673</v>
      </c>
      <c r="C292" s="74"/>
      <c r="D292" s="26">
        <f>6*3.5</f>
        <v>21</v>
      </c>
      <c r="E292" s="42" t="e">
        <f t="shared" si="36"/>
        <v>#REF!</v>
      </c>
      <c r="F292" s="43"/>
      <c r="G292" s="26" t="e">
        <f t="shared" si="37"/>
        <v>#REF!</v>
      </c>
      <c r="H292" s="43"/>
      <c r="I292" s="26" t="e">
        <f t="shared" si="38"/>
        <v>#REF!</v>
      </c>
      <c r="J292" s="26" t="e">
        <f t="shared" si="39"/>
        <v>#REF!</v>
      </c>
      <c r="K292" s="69"/>
      <c r="L292" s="1"/>
      <c r="M292" s="1"/>
      <c r="N292" s="1"/>
    </row>
    <row r="293" spans="1:14" x14ac:dyDescent="0.35">
      <c r="A293" s="76">
        <v>43752</v>
      </c>
      <c r="B293" s="68" t="s">
        <v>675</v>
      </c>
      <c r="C293" s="74"/>
      <c r="D293" s="26">
        <f>5*4.55</f>
        <v>22.75</v>
      </c>
      <c r="E293" s="42" t="e">
        <f t="shared" si="36"/>
        <v>#REF!</v>
      </c>
      <c r="F293" s="43"/>
      <c r="G293" s="26" t="e">
        <f t="shared" si="37"/>
        <v>#REF!</v>
      </c>
      <c r="H293" s="43"/>
      <c r="I293" s="26" t="e">
        <f t="shared" si="38"/>
        <v>#REF!</v>
      </c>
      <c r="J293" s="26" t="e">
        <f t="shared" si="39"/>
        <v>#REF!</v>
      </c>
      <c r="K293" s="69"/>
      <c r="L293" s="1"/>
      <c r="M293" s="1"/>
      <c r="N293" s="1"/>
    </row>
    <row r="294" spans="1:14" s="37" customFormat="1" x14ac:dyDescent="0.35">
      <c r="A294" s="88">
        <v>43753</v>
      </c>
      <c r="B294" s="32" t="s">
        <v>676</v>
      </c>
      <c r="C294" s="40"/>
      <c r="D294" s="33">
        <f>2*2</f>
        <v>4</v>
      </c>
      <c r="E294" s="42" t="e">
        <f t="shared" si="36"/>
        <v>#REF!</v>
      </c>
      <c r="F294" s="43"/>
      <c r="G294" s="26" t="e">
        <f t="shared" si="37"/>
        <v>#REF!</v>
      </c>
      <c r="H294" s="43"/>
      <c r="I294" s="26" t="e">
        <f t="shared" si="38"/>
        <v>#REF!</v>
      </c>
      <c r="J294" s="26" t="e">
        <f t="shared" si="39"/>
        <v>#REF!</v>
      </c>
      <c r="K294" s="39"/>
      <c r="L294" s="35" t="e">
        <f>SUM(I274:I294)</f>
        <v>#REF!</v>
      </c>
      <c r="M294" s="114"/>
      <c r="N294" s="36">
        <v>43753</v>
      </c>
    </row>
    <row r="295" spans="1:14" x14ac:dyDescent="0.35">
      <c r="A295" s="76">
        <v>43755</v>
      </c>
      <c r="B295" s="68" t="s">
        <v>679</v>
      </c>
      <c r="C295" s="74"/>
      <c r="D295" s="26">
        <v>4</v>
      </c>
      <c r="E295" s="42" t="e">
        <f t="shared" si="36"/>
        <v>#REF!</v>
      </c>
      <c r="F295" s="43"/>
      <c r="G295" s="26" t="e">
        <f t="shared" si="37"/>
        <v>#REF!</v>
      </c>
      <c r="H295" s="43"/>
      <c r="I295" s="26" t="e">
        <f t="shared" si="38"/>
        <v>#REF!</v>
      </c>
      <c r="J295" s="26" t="e">
        <f t="shared" si="39"/>
        <v>#REF!</v>
      </c>
      <c r="K295" s="69"/>
      <c r="L295" s="1"/>
      <c r="M295" s="1"/>
      <c r="N295" s="1"/>
    </row>
    <row r="296" spans="1:14" x14ac:dyDescent="0.35">
      <c r="A296" s="76">
        <v>43755</v>
      </c>
      <c r="B296" s="68" t="s">
        <v>682</v>
      </c>
      <c r="C296" s="74"/>
      <c r="D296" s="26">
        <v>2</v>
      </c>
      <c r="E296" s="42" t="e">
        <f t="shared" si="36"/>
        <v>#REF!</v>
      </c>
      <c r="F296" s="43"/>
      <c r="G296" s="26" t="e">
        <f t="shared" si="37"/>
        <v>#REF!</v>
      </c>
      <c r="H296" s="43"/>
      <c r="I296" s="26" t="e">
        <f t="shared" si="38"/>
        <v>#REF!</v>
      </c>
      <c r="J296" s="26" t="e">
        <f t="shared" si="39"/>
        <v>#REF!</v>
      </c>
      <c r="K296" s="69"/>
      <c r="L296" s="1"/>
      <c r="M296" s="1"/>
      <c r="N296" s="1"/>
    </row>
    <row r="297" spans="1:14" x14ac:dyDescent="0.35">
      <c r="A297" s="76">
        <v>43757</v>
      </c>
      <c r="B297" s="68" t="s">
        <v>691</v>
      </c>
      <c r="C297" s="74"/>
      <c r="D297" s="26">
        <f>2*3.4+0.5</f>
        <v>7.3</v>
      </c>
      <c r="E297" s="42" t="e">
        <f t="shared" si="36"/>
        <v>#REF!</v>
      </c>
      <c r="F297" s="43"/>
      <c r="G297" s="26" t="e">
        <f t="shared" si="37"/>
        <v>#REF!</v>
      </c>
      <c r="H297" s="43"/>
      <c r="I297" s="26" t="e">
        <f t="shared" si="38"/>
        <v>#REF!</v>
      </c>
      <c r="J297" s="26" t="e">
        <f t="shared" si="39"/>
        <v>#REF!</v>
      </c>
      <c r="K297" s="69"/>
      <c r="L297" s="1"/>
      <c r="M297" s="1"/>
      <c r="N297" s="1"/>
    </row>
    <row r="298" spans="1:14" x14ac:dyDescent="0.35">
      <c r="A298" s="76">
        <v>43761</v>
      </c>
      <c r="B298" s="68" t="s">
        <v>699</v>
      </c>
      <c r="C298" s="74"/>
      <c r="D298" s="26">
        <f>10*5</f>
        <v>50</v>
      </c>
      <c r="E298" s="42" t="e">
        <f t="shared" si="36"/>
        <v>#REF!</v>
      </c>
      <c r="F298" s="43"/>
      <c r="G298" s="26" t="e">
        <f t="shared" si="37"/>
        <v>#REF!</v>
      </c>
      <c r="H298" s="43"/>
      <c r="I298" s="26" t="e">
        <f t="shared" si="38"/>
        <v>#REF!</v>
      </c>
      <c r="J298" s="26" t="e">
        <f t="shared" si="39"/>
        <v>#REF!</v>
      </c>
      <c r="K298" s="69"/>
      <c r="L298" s="1"/>
      <c r="M298" s="1"/>
      <c r="N298" s="1"/>
    </row>
    <row r="299" spans="1:14" x14ac:dyDescent="0.35">
      <c r="A299" s="76">
        <v>43762</v>
      </c>
      <c r="B299" s="68" t="s">
        <v>704</v>
      </c>
      <c r="C299" s="74"/>
      <c r="D299" s="26">
        <v>2.5</v>
      </c>
      <c r="E299" s="42" t="e">
        <f t="shared" si="36"/>
        <v>#REF!</v>
      </c>
      <c r="F299" s="43"/>
      <c r="G299" s="26" t="e">
        <f t="shared" si="37"/>
        <v>#REF!</v>
      </c>
      <c r="H299" s="43"/>
      <c r="I299" s="26" t="e">
        <f t="shared" si="38"/>
        <v>#REF!</v>
      </c>
      <c r="J299" s="26" t="e">
        <f t="shared" si="39"/>
        <v>#REF!</v>
      </c>
      <c r="K299" s="69"/>
      <c r="L299" s="1"/>
      <c r="M299" s="1"/>
      <c r="N299" s="1"/>
    </row>
    <row r="300" spans="1:14" x14ac:dyDescent="0.35">
      <c r="A300" s="76">
        <v>43763</v>
      </c>
      <c r="B300" s="68" t="s">
        <v>708</v>
      </c>
      <c r="C300" s="74"/>
      <c r="D300" s="26">
        <f>4*4</f>
        <v>16</v>
      </c>
      <c r="E300" s="42" t="e">
        <f t="shared" si="36"/>
        <v>#REF!</v>
      </c>
      <c r="F300" s="43"/>
      <c r="G300" s="26" t="e">
        <f t="shared" si="37"/>
        <v>#REF!</v>
      </c>
      <c r="H300" s="43"/>
      <c r="I300" s="26" t="e">
        <f t="shared" si="38"/>
        <v>#REF!</v>
      </c>
      <c r="J300" s="26" t="e">
        <f t="shared" si="39"/>
        <v>#REF!</v>
      </c>
      <c r="K300" s="69"/>
      <c r="L300" s="1"/>
      <c r="M300" s="1"/>
      <c r="N300" s="1"/>
    </row>
    <row r="301" spans="1:14" s="37" customFormat="1" x14ac:dyDescent="0.35">
      <c r="A301" s="88">
        <v>43763</v>
      </c>
      <c r="B301" s="32" t="s">
        <v>709</v>
      </c>
      <c r="C301" s="40"/>
      <c r="D301" s="33">
        <f>5*3.05+7*2.82+9*3.5</f>
        <v>66.489999999999995</v>
      </c>
      <c r="E301" s="42" t="e">
        <f t="shared" si="36"/>
        <v>#REF!</v>
      </c>
      <c r="F301" s="43"/>
      <c r="G301" s="26" t="e">
        <f t="shared" si="37"/>
        <v>#REF!</v>
      </c>
      <c r="H301" s="43"/>
      <c r="I301" s="26" t="e">
        <f t="shared" si="38"/>
        <v>#REF!</v>
      </c>
      <c r="J301" s="26" t="e">
        <f t="shared" si="39"/>
        <v>#REF!</v>
      </c>
      <c r="K301" s="39"/>
      <c r="L301" s="35" t="e">
        <f>SUM(I295:I301)</f>
        <v>#REF!</v>
      </c>
      <c r="M301" s="35" t="e">
        <f>SUM(L294:L301)</f>
        <v>#REF!</v>
      </c>
      <c r="N301" s="36">
        <v>43769</v>
      </c>
    </row>
    <row r="302" spans="1:14" x14ac:dyDescent="0.35">
      <c r="A302" s="76">
        <v>43770</v>
      </c>
      <c r="B302" s="68" t="s">
        <v>723</v>
      </c>
      <c r="C302" s="74"/>
      <c r="D302" s="26">
        <f>15*5.6</f>
        <v>84</v>
      </c>
      <c r="E302" s="42" t="e">
        <f t="shared" si="36"/>
        <v>#REF!</v>
      </c>
      <c r="F302" s="43"/>
      <c r="G302" s="26" t="e">
        <f t="shared" si="37"/>
        <v>#REF!</v>
      </c>
      <c r="H302" s="43"/>
      <c r="I302" s="26" t="e">
        <f t="shared" si="38"/>
        <v>#REF!</v>
      </c>
      <c r="J302" s="26" t="e">
        <f t="shared" si="39"/>
        <v>#REF!</v>
      </c>
      <c r="K302" s="69"/>
      <c r="L302" s="1"/>
      <c r="M302" s="1"/>
      <c r="N302" s="1"/>
    </row>
    <row r="303" spans="1:14" x14ac:dyDescent="0.35">
      <c r="A303" s="76">
        <v>43773</v>
      </c>
      <c r="B303" s="68" t="s">
        <v>725</v>
      </c>
      <c r="C303" s="74"/>
      <c r="D303" s="26">
        <f>21*7.45+2*4.2</f>
        <v>164.85000000000002</v>
      </c>
      <c r="E303" s="42" t="e">
        <f t="shared" si="36"/>
        <v>#REF!</v>
      </c>
      <c r="F303" s="43"/>
      <c r="G303" s="26" t="e">
        <f t="shared" si="37"/>
        <v>#REF!</v>
      </c>
      <c r="H303" s="43"/>
      <c r="I303" s="26" t="e">
        <f t="shared" si="38"/>
        <v>#REF!</v>
      </c>
      <c r="J303" s="26" t="e">
        <f t="shared" si="39"/>
        <v>#REF!</v>
      </c>
      <c r="K303" s="69"/>
      <c r="L303" s="1"/>
      <c r="M303" s="1"/>
      <c r="N303" s="1"/>
    </row>
    <row r="304" spans="1:14" x14ac:dyDescent="0.35">
      <c r="A304" s="76">
        <v>43777</v>
      </c>
      <c r="B304" s="68" t="s">
        <v>728</v>
      </c>
      <c r="C304" s="74"/>
      <c r="D304" s="26">
        <f>78*6+39*6.3+3.2</f>
        <v>716.90000000000009</v>
      </c>
      <c r="E304" s="42" t="e">
        <f t="shared" si="36"/>
        <v>#REF!</v>
      </c>
      <c r="F304" s="43"/>
      <c r="G304" s="26" t="e">
        <f t="shared" si="37"/>
        <v>#REF!</v>
      </c>
      <c r="H304" s="43"/>
      <c r="I304" s="26" t="e">
        <f t="shared" si="38"/>
        <v>#REF!</v>
      </c>
      <c r="J304" s="26" t="e">
        <f t="shared" si="39"/>
        <v>#REF!</v>
      </c>
      <c r="K304" s="69"/>
      <c r="L304" s="1"/>
      <c r="M304" s="1"/>
      <c r="N304" s="1"/>
    </row>
    <row r="305" spans="1:14" x14ac:dyDescent="0.35">
      <c r="A305" s="76">
        <v>43778</v>
      </c>
      <c r="B305" s="68" t="s">
        <v>731</v>
      </c>
      <c r="C305" s="74"/>
      <c r="D305" s="26">
        <f>78*6+39*6.3+3.2</f>
        <v>716.90000000000009</v>
      </c>
      <c r="E305" s="42" t="e">
        <f t="shared" si="36"/>
        <v>#REF!</v>
      </c>
      <c r="F305" s="43"/>
      <c r="G305" s="26" t="e">
        <f t="shared" si="37"/>
        <v>#REF!</v>
      </c>
      <c r="H305" s="43"/>
      <c r="I305" s="26" t="e">
        <f t="shared" si="38"/>
        <v>#REF!</v>
      </c>
      <c r="J305" s="26" t="e">
        <f t="shared" si="39"/>
        <v>#REF!</v>
      </c>
      <c r="K305" s="69"/>
      <c r="L305" s="1"/>
      <c r="M305" s="1"/>
      <c r="N305" s="1"/>
    </row>
    <row r="306" spans="1:14" s="37" customFormat="1" x14ac:dyDescent="0.35">
      <c r="A306" s="88">
        <v>43783</v>
      </c>
      <c r="B306" s="32" t="s">
        <v>735</v>
      </c>
      <c r="C306" s="40"/>
      <c r="D306" s="33">
        <f>10*1.9+20*3.1</f>
        <v>81</v>
      </c>
      <c r="E306" s="42" t="e">
        <f t="shared" si="36"/>
        <v>#REF!</v>
      </c>
      <c r="F306" s="43"/>
      <c r="G306" s="26" t="e">
        <f t="shared" si="37"/>
        <v>#REF!</v>
      </c>
      <c r="H306" s="43"/>
      <c r="I306" s="26" t="e">
        <f t="shared" si="38"/>
        <v>#REF!</v>
      </c>
      <c r="J306" s="26" t="e">
        <f t="shared" si="39"/>
        <v>#REF!</v>
      </c>
      <c r="K306" s="39"/>
      <c r="L306" s="35" t="e">
        <f>SUM(I302:I306)</f>
        <v>#REF!</v>
      </c>
      <c r="M306" s="114"/>
      <c r="N306" s="36">
        <v>43784</v>
      </c>
    </row>
    <row r="307" spans="1:14" x14ac:dyDescent="0.35">
      <c r="A307" s="76">
        <v>43785</v>
      </c>
      <c r="B307" s="68" t="s">
        <v>743</v>
      </c>
      <c r="C307" s="74"/>
      <c r="D307" s="26">
        <f>2*6</f>
        <v>12</v>
      </c>
      <c r="E307" s="42" t="e">
        <f t="shared" si="36"/>
        <v>#REF!</v>
      </c>
      <c r="F307" s="43"/>
      <c r="G307" s="26" t="e">
        <f t="shared" si="37"/>
        <v>#REF!</v>
      </c>
      <c r="H307" s="43"/>
      <c r="I307" s="26" t="e">
        <f t="shared" si="38"/>
        <v>#REF!</v>
      </c>
      <c r="J307" s="26" t="e">
        <f t="shared" si="39"/>
        <v>#REF!</v>
      </c>
      <c r="K307" s="69"/>
      <c r="L307" s="1"/>
      <c r="M307" s="1"/>
      <c r="N307" s="1"/>
    </row>
    <row r="308" spans="1:14" x14ac:dyDescent="0.35">
      <c r="A308" s="76">
        <v>43790</v>
      </c>
      <c r="B308" s="68" t="s">
        <v>749</v>
      </c>
      <c r="C308" s="74"/>
      <c r="D308" s="26">
        <f>3*4.55</f>
        <v>13.649999999999999</v>
      </c>
      <c r="E308" s="42" t="e">
        <f t="shared" si="36"/>
        <v>#REF!</v>
      </c>
      <c r="F308" s="43"/>
      <c r="G308" s="26" t="e">
        <f t="shared" si="37"/>
        <v>#REF!</v>
      </c>
      <c r="H308" s="43"/>
      <c r="I308" s="26" t="e">
        <f t="shared" si="38"/>
        <v>#REF!</v>
      </c>
      <c r="J308" s="26" t="e">
        <f t="shared" si="39"/>
        <v>#REF!</v>
      </c>
      <c r="K308" s="69"/>
      <c r="L308" s="1"/>
      <c r="M308" s="1"/>
      <c r="N308" s="1"/>
    </row>
    <row r="309" spans="1:14" x14ac:dyDescent="0.35">
      <c r="A309" s="76">
        <v>43790</v>
      </c>
      <c r="B309" s="68" t="s">
        <v>750</v>
      </c>
      <c r="C309" s="74"/>
      <c r="D309" s="26">
        <f>5*6</f>
        <v>30</v>
      </c>
      <c r="E309" s="42" t="e">
        <f t="shared" si="36"/>
        <v>#REF!</v>
      </c>
      <c r="F309" s="43"/>
      <c r="G309" s="26" t="e">
        <f t="shared" si="37"/>
        <v>#REF!</v>
      </c>
      <c r="H309" s="43"/>
      <c r="I309" s="26" t="e">
        <f t="shared" si="38"/>
        <v>#REF!</v>
      </c>
      <c r="J309" s="26" t="e">
        <f t="shared" si="39"/>
        <v>#REF!</v>
      </c>
      <c r="K309" s="69"/>
      <c r="L309" s="1"/>
      <c r="M309" s="1"/>
      <c r="N309" s="1"/>
    </row>
    <row r="310" spans="1:14" x14ac:dyDescent="0.35">
      <c r="A310" s="76">
        <v>43791</v>
      </c>
      <c r="B310" s="68" t="s">
        <v>751</v>
      </c>
      <c r="C310" s="74"/>
      <c r="D310" s="26">
        <f>14*4.8</f>
        <v>67.2</v>
      </c>
      <c r="E310" s="42" t="e">
        <f t="shared" si="36"/>
        <v>#REF!</v>
      </c>
      <c r="F310" s="43"/>
      <c r="G310" s="26" t="e">
        <f t="shared" si="37"/>
        <v>#REF!</v>
      </c>
      <c r="H310" s="43"/>
      <c r="I310" s="26" t="e">
        <f t="shared" si="38"/>
        <v>#REF!</v>
      </c>
      <c r="J310" s="26" t="e">
        <f t="shared" si="39"/>
        <v>#REF!</v>
      </c>
      <c r="K310" s="69"/>
      <c r="L310" s="1"/>
      <c r="M310" s="1"/>
      <c r="N310" s="1"/>
    </row>
    <row r="311" spans="1:14" x14ac:dyDescent="0.35">
      <c r="A311" s="76">
        <v>43796</v>
      </c>
      <c r="B311" s="68" t="s">
        <v>762</v>
      </c>
      <c r="C311" s="74"/>
      <c r="D311" s="26">
        <v>0</v>
      </c>
      <c r="E311" s="42" t="e">
        <f t="shared" si="36"/>
        <v>#REF!</v>
      </c>
      <c r="F311" s="43"/>
      <c r="G311" s="26" t="e">
        <f t="shared" si="37"/>
        <v>#REF!</v>
      </c>
      <c r="H311" s="43"/>
      <c r="I311" s="26" t="e">
        <f t="shared" si="38"/>
        <v>#REF!</v>
      </c>
      <c r="J311" s="26" t="e">
        <f t="shared" si="39"/>
        <v>#REF!</v>
      </c>
      <c r="K311" s="69"/>
      <c r="L311" s="1"/>
      <c r="M311" s="1"/>
      <c r="N311" s="1"/>
    </row>
    <row r="312" spans="1:14" x14ac:dyDescent="0.35">
      <c r="A312" s="76">
        <v>43796</v>
      </c>
      <c r="B312" s="68" t="s">
        <v>763</v>
      </c>
      <c r="C312" s="74"/>
      <c r="D312" s="26">
        <f>3*4.5</f>
        <v>13.5</v>
      </c>
      <c r="E312" s="42" t="e">
        <f t="shared" si="36"/>
        <v>#REF!</v>
      </c>
      <c r="F312" s="43"/>
      <c r="G312" s="26" t="e">
        <f t="shared" si="37"/>
        <v>#REF!</v>
      </c>
      <c r="H312" s="43"/>
      <c r="I312" s="26" t="e">
        <f t="shared" si="38"/>
        <v>#REF!</v>
      </c>
      <c r="J312" s="26" t="e">
        <f t="shared" si="39"/>
        <v>#REF!</v>
      </c>
      <c r="K312" s="69"/>
      <c r="L312" s="1"/>
      <c r="M312" s="1"/>
      <c r="N312" s="1"/>
    </row>
    <row r="313" spans="1:14" x14ac:dyDescent="0.35">
      <c r="A313" s="76">
        <v>43796</v>
      </c>
      <c r="B313" s="68" t="s">
        <v>764</v>
      </c>
      <c r="C313" s="74"/>
      <c r="D313" s="26">
        <f>49*6.3</f>
        <v>308.7</v>
      </c>
      <c r="E313" s="42" t="e">
        <f t="shared" si="36"/>
        <v>#REF!</v>
      </c>
      <c r="F313" s="43"/>
      <c r="G313" s="26" t="e">
        <f t="shared" si="37"/>
        <v>#REF!</v>
      </c>
      <c r="H313" s="43"/>
      <c r="I313" s="26" t="e">
        <f t="shared" si="38"/>
        <v>#REF!</v>
      </c>
      <c r="J313" s="26" t="e">
        <f t="shared" si="39"/>
        <v>#REF!</v>
      </c>
      <c r="K313" s="69"/>
      <c r="L313" s="1"/>
      <c r="M313" s="1"/>
      <c r="N313" s="1"/>
    </row>
    <row r="314" spans="1:14" x14ac:dyDescent="0.35">
      <c r="A314" s="76">
        <v>43798</v>
      </c>
      <c r="B314" s="68" t="s">
        <v>769</v>
      </c>
      <c r="C314" s="74"/>
      <c r="D314" s="26">
        <f>7*5</f>
        <v>35</v>
      </c>
      <c r="E314" s="42" t="e">
        <f t="shared" si="36"/>
        <v>#REF!</v>
      </c>
      <c r="F314" s="43"/>
      <c r="G314" s="26" t="e">
        <f t="shared" si="37"/>
        <v>#REF!</v>
      </c>
      <c r="H314" s="43"/>
      <c r="I314" s="26" t="e">
        <f t="shared" si="38"/>
        <v>#REF!</v>
      </c>
      <c r="J314" s="26" t="e">
        <f t="shared" si="39"/>
        <v>#REF!</v>
      </c>
      <c r="K314" s="69"/>
      <c r="L314" s="1"/>
      <c r="M314" s="1"/>
      <c r="N314" s="1"/>
    </row>
    <row r="315" spans="1:14" x14ac:dyDescent="0.35">
      <c r="A315" s="76">
        <v>43798</v>
      </c>
      <c r="B315" s="68" t="s">
        <v>772</v>
      </c>
      <c r="C315" s="74"/>
      <c r="D315" s="26">
        <f>4*5.4</f>
        <v>21.6</v>
      </c>
      <c r="E315" s="42" t="e">
        <f t="shared" si="36"/>
        <v>#REF!</v>
      </c>
      <c r="F315" s="43"/>
      <c r="G315" s="26" t="e">
        <f t="shared" si="37"/>
        <v>#REF!</v>
      </c>
      <c r="H315" s="43"/>
      <c r="I315" s="26" t="e">
        <f t="shared" si="38"/>
        <v>#REF!</v>
      </c>
      <c r="J315" s="26" t="e">
        <f t="shared" si="39"/>
        <v>#REF!</v>
      </c>
      <c r="K315" s="69"/>
      <c r="L315" s="1"/>
      <c r="M315" s="1"/>
      <c r="N315" s="1"/>
    </row>
    <row r="316" spans="1:14" x14ac:dyDescent="0.35">
      <c r="A316" s="76">
        <v>43798</v>
      </c>
      <c r="B316" s="68" t="s">
        <v>773</v>
      </c>
      <c r="C316" s="74"/>
      <c r="D316" s="26">
        <f>8*4.5</f>
        <v>36</v>
      </c>
      <c r="E316" s="42" t="e">
        <f t="shared" si="36"/>
        <v>#REF!</v>
      </c>
      <c r="F316" s="43"/>
      <c r="G316" s="26" t="e">
        <f t="shared" si="37"/>
        <v>#REF!</v>
      </c>
      <c r="H316" s="43"/>
      <c r="I316" s="26" t="e">
        <f t="shared" si="38"/>
        <v>#REF!</v>
      </c>
      <c r="J316" s="26" t="e">
        <f t="shared" si="39"/>
        <v>#REF!</v>
      </c>
      <c r="K316" s="69"/>
      <c r="L316" s="1"/>
      <c r="M316" s="1"/>
      <c r="N316" s="1"/>
    </row>
    <row r="317" spans="1:14" x14ac:dyDescent="0.35">
      <c r="A317" s="76">
        <v>43799</v>
      </c>
      <c r="B317" s="68" t="s">
        <v>774</v>
      </c>
      <c r="C317" s="74"/>
      <c r="D317" s="26">
        <f>5*3.7</f>
        <v>18.5</v>
      </c>
      <c r="E317" s="42" t="e">
        <f t="shared" si="36"/>
        <v>#REF!</v>
      </c>
      <c r="F317" s="43"/>
      <c r="G317" s="26" t="e">
        <f t="shared" si="37"/>
        <v>#REF!</v>
      </c>
      <c r="H317" s="43"/>
      <c r="I317" s="26" t="e">
        <f t="shared" si="38"/>
        <v>#REF!</v>
      </c>
      <c r="J317" s="26" t="e">
        <f t="shared" si="39"/>
        <v>#REF!</v>
      </c>
      <c r="K317" s="69"/>
      <c r="L317" s="1"/>
      <c r="M317" s="1"/>
      <c r="N317" s="1"/>
    </row>
    <row r="318" spans="1:14" x14ac:dyDescent="0.35">
      <c r="A318" s="76">
        <v>43799</v>
      </c>
      <c r="B318" s="68" t="s">
        <v>776</v>
      </c>
      <c r="C318" s="74"/>
      <c r="D318" s="26">
        <f>3*4.2+2.5</f>
        <v>15.100000000000001</v>
      </c>
      <c r="E318" s="42" t="e">
        <f t="shared" si="36"/>
        <v>#REF!</v>
      </c>
      <c r="F318" s="43"/>
      <c r="G318" s="26" t="e">
        <f t="shared" si="37"/>
        <v>#REF!</v>
      </c>
      <c r="H318" s="43"/>
      <c r="I318" s="26" t="e">
        <f t="shared" si="38"/>
        <v>#REF!</v>
      </c>
      <c r="J318" s="26" t="e">
        <f t="shared" si="39"/>
        <v>#REF!</v>
      </c>
      <c r="K318" s="69"/>
      <c r="L318" s="1"/>
      <c r="M318" s="1"/>
      <c r="N318" s="1"/>
    </row>
    <row r="319" spans="1:14" x14ac:dyDescent="0.35">
      <c r="A319" s="76">
        <v>43799</v>
      </c>
      <c r="B319" s="68" t="s">
        <v>779</v>
      </c>
      <c r="C319" s="74"/>
      <c r="D319" s="26">
        <f>6*2+6*2.5</f>
        <v>27</v>
      </c>
      <c r="E319" s="42" t="e">
        <f t="shared" si="36"/>
        <v>#REF!</v>
      </c>
      <c r="F319" s="43"/>
      <c r="G319" s="26" t="e">
        <f t="shared" si="37"/>
        <v>#REF!</v>
      </c>
      <c r="H319" s="43"/>
      <c r="I319" s="26" t="e">
        <f t="shared" si="38"/>
        <v>#REF!</v>
      </c>
      <c r="J319" s="26" t="e">
        <f t="shared" si="39"/>
        <v>#REF!</v>
      </c>
      <c r="K319" s="69"/>
      <c r="L319" s="1"/>
      <c r="M319" s="1"/>
      <c r="N319" s="1"/>
    </row>
    <row r="320" spans="1:14" x14ac:dyDescent="0.35">
      <c r="A320" s="76">
        <v>43799</v>
      </c>
      <c r="B320" s="68" t="s">
        <v>785</v>
      </c>
      <c r="C320" s="74"/>
      <c r="D320" s="26">
        <f>13*6.3+7*5.55</f>
        <v>120.75</v>
      </c>
      <c r="E320" s="42" t="e">
        <f t="shared" si="36"/>
        <v>#REF!</v>
      </c>
      <c r="F320" s="43"/>
      <c r="G320" s="26" t="e">
        <f t="shared" si="37"/>
        <v>#REF!</v>
      </c>
      <c r="H320" s="43"/>
      <c r="I320" s="26" t="e">
        <f t="shared" si="38"/>
        <v>#REF!</v>
      </c>
      <c r="J320" s="26" t="e">
        <f t="shared" si="39"/>
        <v>#REF!</v>
      </c>
      <c r="K320" s="69"/>
      <c r="L320" s="1"/>
      <c r="M320" s="1"/>
      <c r="N320" s="1"/>
    </row>
    <row r="321" spans="1:14" x14ac:dyDescent="0.35">
      <c r="A321" s="76">
        <v>43799</v>
      </c>
      <c r="B321" s="68" t="s">
        <v>786</v>
      </c>
      <c r="C321" s="74"/>
      <c r="D321" s="26">
        <f>27*5</f>
        <v>135</v>
      </c>
      <c r="E321" s="42" t="e">
        <f t="shared" si="36"/>
        <v>#REF!</v>
      </c>
      <c r="F321" s="43"/>
      <c r="G321" s="26" t="e">
        <f t="shared" si="37"/>
        <v>#REF!</v>
      </c>
      <c r="H321" s="43"/>
      <c r="I321" s="26" t="e">
        <f t="shared" si="38"/>
        <v>#REF!</v>
      </c>
      <c r="J321" s="26" t="e">
        <f t="shared" si="39"/>
        <v>#REF!</v>
      </c>
      <c r="K321" s="69"/>
      <c r="L321" s="1"/>
      <c r="M321" s="1"/>
      <c r="N321" s="1"/>
    </row>
    <row r="322" spans="1:14" x14ac:dyDescent="0.35">
      <c r="A322" s="76">
        <v>43799</v>
      </c>
      <c r="B322" s="68" t="s">
        <v>787</v>
      </c>
      <c r="C322" s="74"/>
      <c r="D322" s="26">
        <f>7*4.5</f>
        <v>31.5</v>
      </c>
      <c r="E322" s="42" t="e">
        <f t="shared" si="36"/>
        <v>#REF!</v>
      </c>
      <c r="F322" s="43"/>
      <c r="G322" s="26" t="e">
        <f t="shared" si="37"/>
        <v>#REF!</v>
      </c>
      <c r="H322" s="43"/>
      <c r="I322" s="26" t="e">
        <f t="shared" si="38"/>
        <v>#REF!</v>
      </c>
      <c r="J322" s="26" t="e">
        <f t="shared" si="39"/>
        <v>#REF!</v>
      </c>
      <c r="K322" s="69"/>
      <c r="L322" s="1"/>
      <c r="M322" s="1"/>
      <c r="N322" s="1"/>
    </row>
    <row r="323" spans="1:14" s="37" customFormat="1" x14ac:dyDescent="0.35">
      <c r="A323" s="88">
        <v>43799</v>
      </c>
      <c r="B323" s="32" t="s">
        <v>788</v>
      </c>
      <c r="C323" s="40"/>
      <c r="D323" s="33">
        <f>9*4.2</f>
        <v>37.800000000000004</v>
      </c>
      <c r="E323" s="42" t="e">
        <f t="shared" si="36"/>
        <v>#REF!</v>
      </c>
      <c r="F323" s="43"/>
      <c r="G323" s="26" t="e">
        <f t="shared" si="37"/>
        <v>#REF!</v>
      </c>
      <c r="H323" s="43"/>
      <c r="I323" s="26" t="e">
        <f t="shared" si="38"/>
        <v>#REF!</v>
      </c>
      <c r="J323" s="26" t="e">
        <f t="shared" si="39"/>
        <v>#REF!</v>
      </c>
      <c r="K323" s="39"/>
      <c r="L323" s="35" t="e">
        <f>SUM(I307:I323)</f>
        <v>#REF!</v>
      </c>
      <c r="M323" s="35" t="e">
        <f>SUM(L306:L323)</f>
        <v>#REF!</v>
      </c>
      <c r="N323" s="36">
        <v>43799</v>
      </c>
    </row>
    <row r="324" spans="1:14" x14ac:dyDescent="0.35">
      <c r="A324" s="76">
        <v>43801</v>
      </c>
      <c r="B324" s="68" t="s">
        <v>789</v>
      </c>
      <c r="C324" s="74"/>
      <c r="D324" s="26">
        <f>6*4.6</f>
        <v>27.599999999999998</v>
      </c>
      <c r="E324" s="42" t="e">
        <f t="shared" si="36"/>
        <v>#REF!</v>
      </c>
      <c r="F324" s="43"/>
      <c r="G324" s="26" t="e">
        <f t="shared" si="37"/>
        <v>#REF!</v>
      </c>
      <c r="H324" s="43"/>
      <c r="I324" s="26" t="e">
        <f t="shared" si="38"/>
        <v>#REF!</v>
      </c>
      <c r="J324" s="26" t="e">
        <f t="shared" si="39"/>
        <v>#REF!</v>
      </c>
      <c r="K324" s="69"/>
      <c r="L324" s="1"/>
      <c r="M324" s="1"/>
      <c r="N324" s="1"/>
    </row>
    <row r="325" spans="1:14" x14ac:dyDescent="0.35">
      <c r="A325" s="76">
        <v>43801</v>
      </c>
      <c r="B325" s="68" t="s">
        <v>790</v>
      </c>
      <c r="C325" s="74"/>
      <c r="D325" s="26">
        <f>6*1.45+2*3.78</f>
        <v>16.259999999999998</v>
      </c>
      <c r="E325" s="42" t="e">
        <f t="shared" si="36"/>
        <v>#REF!</v>
      </c>
      <c r="F325" s="43"/>
      <c r="G325" s="26" t="e">
        <f t="shared" si="37"/>
        <v>#REF!</v>
      </c>
      <c r="H325" s="43"/>
      <c r="I325" s="26" t="e">
        <f t="shared" si="38"/>
        <v>#REF!</v>
      </c>
      <c r="J325" s="26" t="e">
        <f t="shared" si="39"/>
        <v>#REF!</v>
      </c>
      <c r="K325" s="69"/>
      <c r="L325" s="1"/>
      <c r="M325" s="1"/>
      <c r="N325" s="1"/>
    </row>
    <row r="326" spans="1:14" x14ac:dyDescent="0.35">
      <c r="A326" s="76">
        <v>43802</v>
      </c>
      <c r="B326" s="68" t="s">
        <v>796</v>
      </c>
      <c r="C326" s="74"/>
      <c r="D326" s="26">
        <f>12*4.3</f>
        <v>51.599999999999994</v>
      </c>
      <c r="E326" s="42" t="e">
        <f t="shared" si="36"/>
        <v>#REF!</v>
      </c>
      <c r="F326" s="43"/>
      <c r="G326" s="26" t="e">
        <f t="shared" si="37"/>
        <v>#REF!</v>
      </c>
      <c r="H326" s="43"/>
      <c r="I326" s="26" t="e">
        <f t="shared" si="38"/>
        <v>#REF!</v>
      </c>
      <c r="J326" s="26" t="e">
        <f t="shared" si="39"/>
        <v>#REF!</v>
      </c>
      <c r="K326" s="69"/>
      <c r="L326" s="1"/>
      <c r="M326" s="1"/>
      <c r="N326" s="1"/>
    </row>
    <row r="327" spans="1:14" x14ac:dyDescent="0.35">
      <c r="A327" s="76">
        <v>43803</v>
      </c>
      <c r="B327" s="68" t="s">
        <v>797</v>
      </c>
      <c r="C327" s="74"/>
      <c r="D327" s="26">
        <v>9.4</v>
      </c>
      <c r="E327" s="42" t="e">
        <f t="shared" si="36"/>
        <v>#REF!</v>
      </c>
      <c r="F327" s="43"/>
      <c r="G327" s="26" t="e">
        <f t="shared" si="37"/>
        <v>#REF!</v>
      </c>
      <c r="H327" s="43"/>
      <c r="I327" s="26" t="e">
        <f t="shared" si="38"/>
        <v>#REF!</v>
      </c>
      <c r="J327" s="26" t="e">
        <f t="shared" si="39"/>
        <v>#REF!</v>
      </c>
      <c r="K327" s="69"/>
      <c r="L327" s="1"/>
      <c r="M327" s="1"/>
      <c r="N327" s="1"/>
    </row>
    <row r="328" spans="1:14" x14ac:dyDescent="0.35">
      <c r="A328" s="76">
        <v>43804</v>
      </c>
      <c r="B328" s="68" t="s">
        <v>800</v>
      </c>
      <c r="C328" s="74"/>
      <c r="D328" s="26">
        <f>2*4</f>
        <v>8</v>
      </c>
      <c r="E328" s="42" t="e">
        <f t="shared" si="36"/>
        <v>#REF!</v>
      </c>
      <c r="F328" s="43"/>
      <c r="G328" s="26" t="e">
        <f t="shared" si="37"/>
        <v>#REF!</v>
      </c>
      <c r="H328" s="43"/>
      <c r="I328" s="26" t="e">
        <f t="shared" si="38"/>
        <v>#REF!</v>
      </c>
      <c r="J328" s="26" t="e">
        <f t="shared" si="39"/>
        <v>#REF!</v>
      </c>
      <c r="K328" s="69"/>
      <c r="L328" s="1"/>
      <c r="M328" s="1"/>
      <c r="N328" s="1"/>
    </row>
    <row r="329" spans="1:14" x14ac:dyDescent="0.35">
      <c r="A329" s="76">
        <v>43810</v>
      </c>
      <c r="B329" s="68" t="s">
        <v>807</v>
      </c>
      <c r="C329" s="74"/>
      <c r="D329" s="26">
        <f>4*3+15*1.5</f>
        <v>34.5</v>
      </c>
      <c r="E329" s="42" t="e">
        <f t="shared" si="36"/>
        <v>#REF!</v>
      </c>
      <c r="F329" s="43"/>
      <c r="G329" s="26" t="e">
        <f t="shared" si="37"/>
        <v>#REF!</v>
      </c>
      <c r="H329" s="43"/>
      <c r="I329" s="26" t="e">
        <f t="shared" si="38"/>
        <v>#REF!</v>
      </c>
      <c r="J329" s="26" t="e">
        <f t="shared" si="39"/>
        <v>#REF!</v>
      </c>
      <c r="K329" s="69"/>
      <c r="L329" s="1"/>
      <c r="M329" s="1"/>
      <c r="N329" s="1"/>
    </row>
    <row r="330" spans="1:14" x14ac:dyDescent="0.35">
      <c r="A330" s="76">
        <v>43811</v>
      </c>
      <c r="B330" s="68" t="s">
        <v>813</v>
      </c>
      <c r="C330" s="74"/>
      <c r="D330" s="26">
        <v>2.4500000000000002</v>
      </c>
      <c r="E330" s="42" t="e">
        <f t="shared" ref="E330:E337" si="40">+E329-D330</f>
        <v>#REF!</v>
      </c>
      <c r="F330" s="43"/>
      <c r="G330" s="26" t="e">
        <f t="shared" ref="G330:G337" si="41">+J329/E329</f>
        <v>#REF!</v>
      </c>
      <c r="H330" s="43"/>
      <c r="I330" s="26" t="e">
        <f t="shared" ref="I330:I337" si="42">+D330*G330</f>
        <v>#REF!</v>
      </c>
      <c r="J330" s="26" t="e">
        <f t="shared" ref="J330:J337" si="43">+J329-I330</f>
        <v>#REF!</v>
      </c>
      <c r="K330" s="69"/>
      <c r="L330" s="1"/>
      <c r="M330" s="1"/>
      <c r="N330" s="1"/>
    </row>
    <row r="331" spans="1:14" s="37" customFormat="1" x14ac:dyDescent="0.35">
      <c r="A331" s="88">
        <v>43813</v>
      </c>
      <c r="B331" s="32" t="s">
        <v>815</v>
      </c>
      <c r="C331" s="40"/>
      <c r="D331" s="33">
        <f>4*2.5</f>
        <v>10</v>
      </c>
      <c r="E331" s="42" t="e">
        <f t="shared" si="40"/>
        <v>#REF!</v>
      </c>
      <c r="F331" s="43"/>
      <c r="G331" s="26" t="e">
        <f t="shared" si="41"/>
        <v>#REF!</v>
      </c>
      <c r="H331" s="43"/>
      <c r="I331" s="26" t="e">
        <f t="shared" si="42"/>
        <v>#REF!</v>
      </c>
      <c r="J331" s="26" t="e">
        <f t="shared" si="43"/>
        <v>#REF!</v>
      </c>
      <c r="K331" s="39"/>
      <c r="L331" s="35" t="e">
        <f>SUM(I324:I331)</f>
        <v>#REF!</v>
      </c>
      <c r="M331" s="114"/>
      <c r="N331" s="36">
        <v>43814</v>
      </c>
    </row>
    <row r="332" spans="1:14" x14ac:dyDescent="0.35">
      <c r="A332" s="76">
        <v>43818</v>
      </c>
      <c r="B332" s="68" t="s">
        <v>818</v>
      </c>
      <c r="C332" s="74"/>
      <c r="D332" s="26">
        <f>4*3.2</f>
        <v>12.8</v>
      </c>
      <c r="E332" s="42" t="e">
        <f t="shared" si="40"/>
        <v>#REF!</v>
      </c>
      <c r="F332" s="43"/>
      <c r="G332" s="26" t="e">
        <f t="shared" si="41"/>
        <v>#REF!</v>
      </c>
      <c r="H332" s="43"/>
      <c r="I332" s="26" t="e">
        <f t="shared" si="42"/>
        <v>#REF!</v>
      </c>
      <c r="J332" s="26" t="e">
        <f t="shared" si="43"/>
        <v>#REF!</v>
      </c>
      <c r="K332" s="69"/>
      <c r="L332" s="1"/>
      <c r="M332" s="1"/>
      <c r="N332" s="1"/>
    </row>
    <row r="333" spans="1:14" x14ac:dyDescent="0.35">
      <c r="A333" s="76">
        <v>43818</v>
      </c>
      <c r="B333" s="68" t="s">
        <v>819</v>
      </c>
      <c r="C333" s="74"/>
      <c r="D333" s="26">
        <f>6*4.6</f>
        <v>27.599999999999998</v>
      </c>
      <c r="E333" s="42" t="e">
        <f t="shared" si="40"/>
        <v>#REF!</v>
      </c>
      <c r="F333" s="43"/>
      <c r="G333" s="26" t="e">
        <f t="shared" si="41"/>
        <v>#REF!</v>
      </c>
      <c r="H333" s="43"/>
      <c r="I333" s="26" t="e">
        <f t="shared" si="42"/>
        <v>#REF!</v>
      </c>
      <c r="J333" s="26" t="e">
        <f t="shared" si="43"/>
        <v>#REF!</v>
      </c>
      <c r="K333" s="69"/>
      <c r="L333" s="1"/>
      <c r="M333" s="1"/>
      <c r="N333" s="1"/>
    </row>
    <row r="334" spans="1:14" x14ac:dyDescent="0.35">
      <c r="A334" s="76">
        <v>43818</v>
      </c>
      <c r="B334" s="68" t="s">
        <v>820</v>
      </c>
      <c r="C334" s="74"/>
      <c r="D334" s="26">
        <f>7*3.5+7*8.8</f>
        <v>86.100000000000009</v>
      </c>
      <c r="E334" s="42" t="e">
        <f t="shared" si="40"/>
        <v>#REF!</v>
      </c>
      <c r="F334" s="43"/>
      <c r="G334" s="26" t="e">
        <f t="shared" si="41"/>
        <v>#REF!</v>
      </c>
      <c r="H334" s="43"/>
      <c r="I334" s="26" t="e">
        <f t="shared" si="42"/>
        <v>#REF!</v>
      </c>
      <c r="J334" s="26" t="e">
        <f t="shared" si="43"/>
        <v>#REF!</v>
      </c>
      <c r="K334" s="69"/>
      <c r="L334" s="1"/>
      <c r="M334" s="1"/>
      <c r="N334" s="1"/>
    </row>
    <row r="335" spans="1:14" x14ac:dyDescent="0.35">
      <c r="A335" s="76">
        <v>43819</v>
      </c>
      <c r="B335" s="68" t="s">
        <v>821</v>
      </c>
      <c r="C335" s="74"/>
      <c r="D335" s="26">
        <v>0</v>
      </c>
      <c r="E335" s="42" t="e">
        <f t="shared" si="40"/>
        <v>#REF!</v>
      </c>
      <c r="F335" s="43"/>
      <c r="G335" s="26" t="e">
        <f t="shared" si="41"/>
        <v>#REF!</v>
      </c>
      <c r="H335" s="43"/>
      <c r="I335" s="26" t="e">
        <f t="shared" si="42"/>
        <v>#REF!</v>
      </c>
      <c r="J335" s="26" t="e">
        <f t="shared" si="43"/>
        <v>#REF!</v>
      </c>
      <c r="K335" s="69"/>
      <c r="L335" s="1"/>
      <c r="M335" s="1"/>
      <c r="N335" s="1"/>
    </row>
    <row r="336" spans="1:14" x14ac:dyDescent="0.35">
      <c r="A336" s="76">
        <v>43820</v>
      </c>
      <c r="B336" s="68" t="s">
        <v>822</v>
      </c>
      <c r="C336" s="74"/>
      <c r="D336" s="26">
        <f>8*3.2</f>
        <v>25.6</v>
      </c>
      <c r="E336" s="42" t="e">
        <f t="shared" si="40"/>
        <v>#REF!</v>
      </c>
      <c r="F336" s="43"/>
      <c r="G336" s="26" t="e">
        <f t="shared" si="41"/>
        <v>#REF!</v>
      </c>
      <c r="H336" s="43"/>
      <c r="I336" s="26" t="e">
        <f t="shared" si="42"/>
        <v>#REF!</v>
      </c>
      <c r="J336" s="26" t="e">
        <f t="shared" si="43"/>
        <v>#REF!</v>
      </c>
      <c r="K336" s="69"/>
      <c r="L336" s="1"/>
      <c r="M336" s="1"/>
      <c r="N336" s="1"/>
    </row>
    <row r="337" spans="1:14" s="37" customFormat="1" x14ac:dyDescent="0.35">
      <c r="A337" s="88">
        <v>43825</v>
      </c>
      <c r="B337" s="32" t="s">
        <v>830</v>
      </c>
      <c r="C337" s="40"/>
      <c r="D337" s="33">
        <v>19.3</v>
      </c>
      <c r="E337" s="42" t="e">
        <f t="shared" si="40"/>
        <v>#REF!</v>
      </c>
      <c r="F337" s="43"/>
      <c r="G337" s="26" t="e">
        <f t="shared" si="41"/>
        <v>#REF!</v>
      </c>
      <c r="H337" s="43"/>
      <c r="I337" s="26" t="e">
        <f t="shared" si="42"/>
        <v>#REF!</v>
      </c>
      <c r="J337" s="26" t="e">
        <f t="shared" si="43"/>
        <v>#REF!</v>
      </c>
      <c r="K337" s="39"/>
      <c r="L337" s="35" t="e">
        <f>SUM(I332:I337)</f>
        <v>#REF!</v>
      </c>
      <c r="M337" s="115" t="e">
        <f>SUM(L331:L337)</f>
        <v>#REF!</v>
      </c>
      <c r="N337" s="36">
        <v>43830</v>
      </c>
    </row>
    <row r="338" spans="1:14" x14ac:dyDescent="0.35">
      <c r="A338" s="76"/>
      <c r="B338" s="68" t="s">
        <v>832</v>
      </c>
      <c r="C338" s="74">
        <f>SUM(C9:C337)</f>
        <v>15609.6</v>
      </c>
      <c r="D338" s="74">
        <f>SUM(D9:D337)</f>
        <v>16059.230000000005</v>
      </c>
      <c r="E338" s="42"/>
      <c r="F338" s="43"/>
      <c r="G338" s="26"/>
      <c r="H338" s="74">
        <f t="shared" ref="H338:I338" si="44">SUM(H9:H337)</f>
        <v>1070713.3</v>
      </c>
      <c r="I338" s="74" t="e">
        <f t="shared" si="44"/>
        <v>#REF!</v>
      </c>
      <c r="J338" s="26"/>
      <c r="K338" s="69"/>
      <c r="L338" s="1"/>
      <c r="M338" s="55" t="e">
        <f>SUM(M58:M337)</f>
        <v>#REF!</v>
      </c>
      <c r="N338" s="1"/>
    </row>
    <row r="339" spans="1:14" x14ac:dyDescent="0.35">
      <c r="A339" s="108"/>
      <c r="B339" s="5"/>
      <c r="C339" s="109"/>
      <c r="D339" s="112"/>
      <c r="E339" s="110"/>
      <c r="F339" s="111"/>
      <c r="G339" s="112"/>
      <c r="H339" s="111"/>
      <c r="I339" s="112"/>
      <c r="J339" s="112"/>
      <c r="K339" s="113"/>
      <c r="L339" s="1"/>
      <c r="M339" s="1"/>
      <c r="N339" s="1"/>
    </row>
    <row r="340" spans="1:14" x14ac:dyDescent="0.35">
      <c r="A340" s="108"/>
      <c r="B340" s="5"/>
      <c r="C340" s="109"/>
      <c r="D340" s="112"/>
      <c r="E340" s="110"/>
      <c r="F340" s="111"/>
      <c r="G340" s="112"/>
      <c r="H340" s="111"/>
      <c r="I340" s="112"/>
      <c r="J340" s="112"/>
      <c r="K340" s="113"/>
    </row>
    <row r="341" spans="1:14" x14ac:dyDescent="0.35">
      <c r="A341" s="57" t="s">
        <v>23</v>
      </c>
      <c r="B341" s="5"/>
      <c r="C341" s="4"/>
      <c r="D341" s="4"/>
      <c r="E341" s="4"/>
      <c r="F341" s="4"/>
      <c r="G341" s="1"/>
      <c r="H341" s="1"/>
      <c r="I341" s="55"/>
      <c r="J341" s="1"/>
      <c r="M341" s="56"/>
    </row>
    <row r="342" spans="1:14" x14ac:dyDescent="0.35">
      <c r="A342" s="57" t="s">
        <v>669</v>
      </c>
      <c r="B342" s="5"/>
      <c r="C342" s="4"/>
      <c r="D342" s="4"/>
      <c r="E342" s="4"/>
      <c r="F342" s="4"/>
      <c r="G342" s="1"/>
      <c r="H342" s="1"/>
      <c r="I342" s="1"/>
      <c r="J342" s="58" t="e">
        <f>+E337*F136</f>
        <v>#REF!</v>
      </c>
    </row>
    <row r="343" spans="1:14" x14ac:dyDescent="0.35">
      <c r="A343" s="57" t="s">
        <v>24</v>
      </c>
      <c r="B343" s="5"/>
      <c r="C343" s="4"/>
      <c r="D343" s="4"/>
      <c r="E343" s="4"/>
      <c r="F343" s="4"/>
      <c r="G343" s="1"/>
      <c r="H343" s="1"/>
      <c r="I343" s="1"/>
      <c r="J343" s="59" t="e">
        <f>+J337</f>
        <v>#REF!</v>
      </c>
    </row>
    <row r="344" spans="1:14" ht="15" thickBot="1" x14ac:dyDescent="0.4">
      <c r="A344" s="57"/>
      <c r="B344" s="5" t="s">
        <v>25</v>
      </c>
      <c r="C344" s="4"/>
      <c r="D344" s="4"/>
      <c r="E344" s="4"/>
      <c r="F344" s="4"/>
      <c r="G344" s="1"/>
      <c r="H344" s="1"/>
      <c r="I344" s="1"/>
      <c r="J344" s="60" t="e">
        <f>+J342-J343</f>
        <v>#REF!</v>
      </c>
    </row>
    <row r="345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N58"/>
  <sheetViews>
    <sheetView topLeftCell="A29" workbookViewId="0">
      <selection activeCell="N55" sqref="N55"/>
    </sheetView>
  </sheetViews>
  <sheetFormatPr baseColWidth="10" defaultRowHeight="14.5" x14ac:dyDescent="0.35"/>
  <cols>
    <col min="2" max="2" width="34.08984375" customWidth="1"/>
    <col min="12" max="12" width="10.54296875" customWidth="1"/>
    <col min="13" max="13" width="11" customWidth="1"/>
    <col min="14" max="14" width="10.0898437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32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5">
      <c r="A9" s="23">
        <v>43470</v>
      </c>
      <c r="B9" s="24" t="s">
        <v>355</v>
      </c>
      <c r="C9" s="25">
        <v>7920</v>
      </c>
      <c r="D9" s="26"/>
      <c r="E9" s="27">
        <f>+C9</f>
        <v>7920</v>
      </c>
      <c r="F9" s="26">
        <f>+H9/C9</f>
        <v>23.266126262626262</v>
      </c>
      <c r="G9" s="26"/>
      <c r="H9" s="28">
        <v>184267.72</v>
      </c>
      <c r="I9" s="29"/>
      <c r="J9" s="29">
        <f>+H9</f>
        <v>184267.72</v>
      </c>
      <c r="K9" s="30"/>
    </row>
    <row r="10" spans="1:14" s="37" customFormat="1" x14ac:dyDescent="0.35">
      <c r="A10" s="31">
        <v>43496</v>
      </c>
      <c r="B10" s="32" t="s">
        <v>135</v>
      </c>
      <c r="C10" s="33"/>
      <c r="D10" s="33">
        <f>2*4.4</f>
        <v>8.8000000000000007</v>
      </c>
      <c r="E10" s="85">
        <f>+E9-D10</f>
        <v>7911.2</v>
      </c>
      <c r="F10" s="86"/>
      <c r="G10" s="33">
        <f>+J9/E9</f>
        <v>23.266126262626262</v>
      </c>
      <c r="H10" s="86"/>
      <c r="I10" s="33">
        <f>+D10*G10</f>
        <v>204.74191111111111</v>
      </c>
      <c r="J10" s="33">
        <f>+J9-I10</f>
        <v>184062.97808888889</v>
      </c>
      <c r="K10" s="34"/>
      <c r="L10" s="35">
        <f>SUM(I10)</f>
        <v>204.74191111111111</v>
      </c>
      <c r="M10" s="35">
        <f>SUM(L10)</f>
        <v>204.74191111111111</v>
      </c>
      <c r="N10" s="36">
        <v>43496</v>
      </c>
    </row>
    <row r="11" spans="1:14" s="71" customFormat="1" x14ac:dyDescent="0.35">
      <c r="A11" s="23">
        <v>43505</v>
      </c>
      <c r="B11" s="68" t="s">
        <v>163</v>
      </c>
      <c r="C11" s="26"/>
      <c r="D11" s="26">
        <v>4</v>
      </c>
      <c r="E11" s="42">
        <f t="shared" ref="E11:E12" si="0">+E10-D11</f>
        <v>7907.2</v>
      </c>
      <c r="F11" s="43"/>
      <c r="G11" s="26">
        <f t="shared" ref="G11:G12" si="1">+J10/E10</f>
        <v>23.266126262626262</v>
      </c>
      <c r="H11" s="43"/>
      <c r="I11" s="26">
        <f t="shared" ref="I11:I12" si="2">+D11*G11</f>
        <v>93.064505050505048</v>
      </c>
      <c r="J11" s="26">
        <f t="shared" ref="J11:J12" si="3">+J10-I11</f>
        <v>183969.91358383838</v>
      </c>
      <c r="K11" s="70"/>
      <c r="L11" s="98"/>
      <c r="M11" s="98"/>
      <c r="N11" s="98"/>
    </row>
    <row r="12" spans="1:14" s="37" customFormat="1" x14ac:dyDescent="0.35">
      <c r="A12" s="31">
        <v>43511</v>
      </c>
      <c r="B12" s="32" t="s">
        <v>178</v>
      </c>
      <c r="C12" s="33"/>
      <c r="D12" s="33">
        <v>2.5</v>
      </c>
      <c r="E12" s="85">
        <f t="shared" si="0"/>
        <v>7904.7</v>
      </c>
      <c r="F12" s="86"/>
      <c r="G12" s="33">
        <f t="shared" si="1"/>
        <v>23.266126262626262</v>
      </c>
      <c r="H12" s="86"/>
      <c r="I12" s="33">
        <f t="shared" si="2"/>
        <v>58.165315656565653</v>
      </c>
      <c r="J12" s="33">
        <f t="shared" si="3"/>
        <v>183911.74826818181</v>
      </c>
      <c r="K12" s="34"/>
      <c r="L12" s="35">
        <f>SUM(I11:I12)</f>
        <v>151.2298207070707</v>
      </c>
      <c r="M12" s="114"/>
      <c r="N12" s="36">
        <v>43511</v>
      </c>
    </row>
    <row r="13" spans="1:14" s="71" customFormat="1" x14ac:dyDescent="0.35">
      <c r="A13" s="23">
        <v>43512</v>
      </c>
      <c r="B13" s="68" t="s">
        <v>425</v>
      </c>
      <c r="C13" s="26"/>
      <c r="D13" s="26">
        <f>13*4.65+12*4.5+5</f>
        <v>119.45</v>
      </c>
      <c r="E13" s="42">
        <f>+E12-D13</f>
        <v>7785.25</v>
      </c>
      <c r="F13" s="43"/>
      <c r="G13" s="26">
        <f t="shared" ref="G13" si="4">+J12/E12</f>
        <v>23.266126262626262</v>
      </c>
      <c r="H13" s="43"/>
      <c r="I13" s="26">
        <f t="shared" ref="I13" si="5">+D13*G13</f>
        <v>2779.1387820707068</v>
      </c>
      <c r="J13" s="26">
        <f t="shared" ref="J13" si="6">+J12-I13</f>
        <v>181132.60948611109</v>
      </c>
      <c r="K13" s="70"/>
      <c r="L13" s="98"/>
      <c r="M13" s="98"/>
      <c r="N13" s="98"/>
    </row>
    <row r="14" spans="1:14" s="37" customFormat="1" x14ac:dyDescent="0.35">
      <c r="A14" s="31">
        <v>43512</v>
      </c>
      <c r="B14" s="32" t="s">
        <v>426</v>
      </c>
      <c r="C14" s="33"/>
      <c r="D14" s="33">
        <f>26*6.1+5</f>
        <v>163.6</v>
      </c>
      <c r="E14" s="85">
        <f>+E13-D14</f>
        <v>7621.65</v>
      </c>
      <c r="F14" s="86"/>
      <c r="G14" s="33">
        <f t="shared" ref="G14" si="7">+J13/E13</f>
        <v>23.266126262626258</v>
      </c>
      <c r="H14" s="86"/>
      <c r="I14" s="33">
        <f t="shared" ref="I14" si="8">+D14*G14</f>
        <v>3806.3382565656557</v>
      </c>
      <c r="J14" s="33">
        <f t="shared" ref="J14" si="9">+J13-I14</f>
        <v>177326.27122954544</v>
      </c>
      <c r="K14" s="34"/>
      <c r="L14" s="35">
        <f>SUM(I13:I14)</f>
        <v>6585.4770386363625</v>
      </c>
      <c r="M14" s="35">
        <f>SUM(L12:L14)</f>
        <v>6736.7068593434333</v>
      </c>
      <c r="N14" s="36">
        <v>43524</v>
      </c>
    </row>
    <row r="15" spans="1:14" s="71" customFormat="1" x14ac:dyDescent="0.35">
      <c r="A15" s="23">
        <v>43557</v>
      </c>
      <c r="B15" s="68" t="s">
        <v>429</v>
      </c>
      <c r="C15" s="26"/>
      <c r="D15" s="26">
        <f>15*3.5</f>
        <v>52.5</v>
      </c>
      <c r="E15" s="42">
        <f>+E14-D15</f>
        <v>7569.15</v>
      </c>
      <c r="F15" s="43"/>
      <c r="G15" s="26">
        <f t="shared" ref="G15" si="10">+J14/E14</f>
        <v>23.266126262626262</v>
      </c>
      <c r="H15" s="43"/>
      <c r="I15" s="26">
        <f t="shared" ref="I15" si="11">+D15*G15</f>
        <v>1221.4716287878787</v>
      </c>
      <c r="J15" s="26">
        <f t="shared" ref="J15" si="12">+J14-I15</f>
        <v>176104.79960075757</v>
      </c>
      <c r="K15" s="70"/>
      <c r="L15" s="98"/>
      <c r="M15" s="98"/>
      <c r="N15" s="98"/>
    </row>
    <row r="16" spans="1:14" s="71" customFormat="1" x14ac:dyDescent="0.35">
      <c r="A16" s="23">
        <v>43559</v>
      </c>
      <c r="B16" s="68" t="s">
        <v>272</v>
      </c>
      <c r="C16" s="26"/>
      <c r="D16" s="26">
        <f>4*3.33</f>
        <v>13.32</v>
      </c>
      <c r="E16" s="42">
        <f t="shared" ref="E16:E33" si="13">+E15-D16</f>
        <v>7555.83</v>
      </c>
      <c r="F16" s="43"/>
      <c r="G16" s="26">
        <f t="shared" ref="G16:G33" si="14">+J15/E15</f>
        <v>23.266126262626262</v>
      </c>
      <c r="H16" s="43"/>
      <c r="I16" s="26">
        <f t="shared" ref="I16:I33" si="15">+D16*G16</f>
        <v>309.9048018181818</v>
      </c>
      <c r="J16" s="26">
        <f t="shared" ref="J16:J33" si="16">+J15-I16</f>
        <v>175794.89479893938</v>
      </c>
      <c r="K16" s="70"/>
      <c r="L16" s="98"/>
      <c r="M16" s="98"/>
      <c r="N16" s="98"/>
    </row>
    <row r="17" spans="1:14" s="71" customFormat="1" x14ac:dyDescent="0.35">
      <c r="A17" s="72">
        <v>43563</v>
      </c>
      <c r="B17" s="68" t="s">
        <v>279</v>
      </c>
      <c r="C17" s="69"/>
      <c r="D17" s="74">
        <f>12*5.2</f>
        <v>62.400000000000006</v>
      </c>
      <c r="E17" s="42">
        <f t="shared" si="13"/>
        <v>7493.43</v>
      </c>
      <c r="F17" s="43"/>
      <c r="G17" s="26">
        <f t="shared" si="14"/>
        <v>23.266126262626262</v>
      </c>
      <c r="H17" s="43"/>
      <c r="I17" s="26">
        <f t="shared" si="15"/>
        <v>1451.8062787878789</v>
      </c>
      <c r="J17" s="26">
        <f t="shared" si="16"/>
        <v>174343.0885201515</v>
      </c>
      <c r="K17" s="70"/>
      <c r="L17" s="98"/>
      <c r="M17" s="98"/>
      <c r="N17" s="98"/>
    </row>
    <row r="18" spans="1:14" s="71" customFormat="1" x14ac:dyDescent="0.35">
      <c r="A18" s="72">
        <v>43563</v>
      </c>
      <c r="B18" s="68" t="s">
        <v>280</v>
      </c>
      <c r="C18" s="69"/>
      <c r="D18" s="74">
        <f>25*4.9</f>
        <v>122.50000000000001</v>
      </c>
      <c r="E18" s="42">
        <f t="shared" si="13"/>
        <v>7370.93</v>
      </c>
      <c r="F18" s="43"/>
      <c r="G18" s="26">
        <f t="shared" si="14"/>
        <v>23.266126262626262</v>
      </c>
      <c r="H18" s="43"/>
      <c r="I18" s="26">
        <f t="shared" si="15"/>
        <v>2850.1004671717174</v>
      </c>
      <c r="J18" s="26">
        <f t="shared" si="16"/>
        <v>171492.98805297978</v>
      </c>
      <c r="K18" s="70"/>
      <c r="L18" s="98"/>
      <c r="M18" s="98"/>
      <c r="N18" s="98"/>
    </row>
    <row r="19" spans="1:14" s="37" customFormat="1" x14ac:dyDescent="0.35">
      <c r="A19" s="38">
        <v>43566</v>
      </c>
      <c r="B19" s="32" t="s">
        <v>290</v>
      </c>
      <c r="C19" s="39"/>
      <c r="D19" s="40">
        <f>4*27.5</f>
        <v>110</v>
      </c>
      <c r="E19" s="85">
        <f t="shared" si="13"/>
        <v>7260.93</v>
      </c>
      <c r="F19" s="86"/>
      <c r="G19" s="33">
        <f t="shared" si="14"/>
        <v>23.266126262626258</v>
      </c>
      <c r="H19" s="86"/>
      <c r="I19" s="33">
        <f t="shared" si="15"/>
        <v>2559.2738888888885</v>
      </c>
      <c r="J19" s="33">
        <f t="shared" si="16"/>
        <v>168933.7141640909</v>
      </c>
      <c r="K19" s="34"/>
      <c r="L19" s="35">
        <f>SUM(I15:I19)</f>
        <v>8392.5570654545445</v>
      </c>
      <c r="M19" s="35"/>
      <c r="N19" s="36">
        <v>43570</v>
      </c>
    </row>
    <row r="20" spans="1:14" s="71" customFormat="1" x14ac:dyDescent="0.35">
      <c r="A20" s="72">
        <v>43573</v>
      </c>
      <c r="B20" s="68" t="s">
        <v>300</v>
      </c>
      <c r="C20" s="69"/>
      <c r="D20" s="74">
        <v>4.9000000000000004</v>
      </c>
      <c r="E20" s="42">
        <f t="shared" si="13"/>
        <v>7256.0300000000007</v>
      </c>
      <c r="F20" s="43"/>
      <c r="G20" s="26">
        <f t="shared" si="14"/>
        <v>23.266126262626258</v>
      </c>
      <c r="H20" s="43"/>
      <c r="I20" s="26">
        <f t="shared" si="15"/>
        <v>114.00401868686868</v>
      </c>
      <c r="J20" s="26">
        <f t="shared" si="16"/>
        <v>168819.71014540404</v>
      </c>
      <c r="K20" s="70"/>
      <c r="L20" s="98"/>
      <c r="M20" s="98"/>
      <c r="N20" s="98"/>
    </row>
    <row r="21" spans="1:14" s="71" customFormat="1" x14ac:dyDescent="0.35">
      <c r="A21" s="72">
        <v>43579</v>
      </c>
      <c r="B21" s="68" t="s">
        <v>312</v>
      </c>
      <c r="C21" s="69"/>
      <c r="D21" s="74">
        <f>15*0.5</f>
        <v>7.5</v>
      </c>
      <c r="E21" s="42">
        <f t="shared" si="13"/>
        <v>7248.5300000000007</v>
      </c>
      <c r="F21" s="43"/>
      <c r="G21" s="26">
        <f t="shared" si="14"/>
        <v>23.266126262626262</v>
      </c>
      <c r="H21" s="43"/>
      <c r="I21" s="26">
        <f t="shared" si="15"/>
        <v>174.49594696969697</v>
      </c>
      <c r="J21" s="26">
        <f t="shared" si="16"/>
        <v>168645.21419843435</v>
      </c>
      <c r="K21" s="70"/>
      <c r="L21" s="98"/>
      <c r="M21" s="98"/>
      <c r="N21" s="98"/>
    </row>
    <row r="22" spans="1:14" s="71" customFormat="1" x14ac:dyDescent="0.35">
      <c r="A22" s="23">
        <v>43581</v>
      </c>
      <c r="B22" s="68" t="s">
        <v>432</v>
      </c>
      <c r="C22" s="73"/>
      <c r="D22" s="73">
        <v>0</v>
      </c>
      <c r="E22" s="42">
        <f t="shared" si="13"/>
        <v>7248.5300000000007</v>
      </c>
      <c r="F22" s="43"/>
      <c r="G22" s="26">
        <f t="shared" si="14"/>
        <v>23.266126262626262</v>
      </c>
      <c r="H22" s="43"/>
      <c r="I22" s="26">
        <f t="shared" si="15"/>
        <v>0</v>
      </c>
      <c r="J22" s="26">
        <f t="shared" si="16"/>
        <v>168645.21419843435</v>
      </c>
      <c r="K22" s="70"/>
      <c r="L22" s="98"/>
      <c r="M22" s="98"/>
      <c r="N22" s="98"/>
    </row>
    <row r="23" spans="1:14" s="37" customFormat="1" x14ac:dyDescent="0.35">
      <c r="A23" s="31">
        <v>43581</v>
      </c>
      <c r="B23" s="32" t="s">
        <v>317</v>
      </c>
      <c r="C23" s="33"/>
      <c r="D23" s="33">
        <v>2.2000000000000002</v>
      </c>
      <c r="E23" s="85">
        <f t="shared" si="13"/>
        <v>7246.3300000000008</v>
      </c>
      <c r="F23" s="86"/>
      <c r="G23" s="33">
        <f t="shared" si="14"/>
        <v>23.266126262626262</v>
      </c>
      <c r="H23" s="86"/>
      <c r="I23" s="33">
        <f t="shared" si="15"/>
        <v>51.185477777777777</v>
      </c>
      <c r="J23" s="33">
        <f t="shared" si="16"/>
        <v>168594.02872065656</v>
      </c>
      <c r="K23" s="34"/>
      <c r="L23" s="35">
        <f>SUM(I20:I23)</f>
        <v>339.68544343434348</v>
      </c>
      <c r="M23" s="35">
        <f>SUM(L19:L23)</f>
        <v>8732.2425088888886</v>
      </c>
      <c r="N23" s="36">
        <v>43585</v>
      </c>
    </row>
    <row r="24" spans="1:14" s="71" customFormat="1" x14ac:dyDescent="0.35">
      <c r="A24" s="23">
        <v>43587</v>
      </c>
      <c r="B24" s="68" t="s">
        <v>324</v>
      </c>
      <c r="C24" s="26"/>
      <c r="D24" s="26">
        <f>12*5.1</f>
        <v>61.199999999999996</v>
      </c>
      <c r="E24" s="42">
        <f t="shared" si="13"/>
        <v>7185.130000000001</v>
      </c>
      <c r="F24" s="43"/>
      <c r="G24" s="26">
        <f t="shared" si="14"/>
        <v>23.266126262626258</v>
      </c>
      <c r="H24" s="43"/>
      <c r="I24" s="26">
        <f t="shared" si="15"/>
        <v>1423.886927272727</v>
      </c>
      <c r="J24" s="26">
        <f t="shared" si="16"/>
        <v>167170.14179338384</v>
      </c>
      <c r="K24" s="70"/>
      <c r="L24" s="98"/>
      <c r="M24" s="98"/>
      <c r="N24" s="98"/>
    </row>
    <row r="25" spans="1:14" s="71" customFormat="1" x14ac:dyDescent="0.35">
      <c r="A25" s="23">
        <v>43588</v>
      </c>
      <c r="B25" s="68" t="s">
        <v>326</v>
      </c>
      <c r="C25" s="26"/>
      <c r="D25" s="26">
        <f>5*1.6</f>
        <v>8</v>
      </c>
      <c r="E25" s="42">
        <f t="shared" si="13"/>
        <v>7177.130000000001</v>
      </c>
      <c r="F25" s="43"/>
      <c r="G25" s="26">
        <f t="shared" si="14"/>
        <v>23.266126262626258</v>
      </c>
      <c r="H25" s="43"/>
      <c r="I25" s="26">
        <f t="shared" si="15"/>
        <v>186.12901010101007</v>
      </c>
      <c r="J25" s="26">
        <f t="shared" si="16"/>
        <v>166984.01278328281</v>
      </c>
      <c r="K25" s="70"/>
      <c r="L25" s="98"/>
      <c r="M25" s="98"/>
      <c r="N25" s="98"/>
    </row>
    <row r="26" spans="1:14" s="71" customFormat="1" x14ac:dyDescent="0.35">
      <c r="A26" s="23">
        <v>43598</v>
      </c>
      <c r="B26" s="68" t="s">
        <v>345</v>
      </c>
      <c r="C26" s="26"/>
      <c r="D26" s="26">
        <f>8*7.8</f>
        <v>62.4</v>
      </c>
      <c r="E26" s="42">
        <f t="shared" si="13"/>
        <v>7114.7300000000014</v>
      </c>
      <c r="F26" s="43"/>
      <c r="G26" s="26">
        <f t="shared" si="14"/>
        <v>23.266126262626258</v>
      </c>
      <c r="H26" s="43"/>
      <c r="I26" s="26">
        <f t="shared" si="15"/>
        <v>1451.8062787878785</v>
      </c>
      <c r="J26" s="26">
        <f t="shared" si="16"/>
        <v>165532.20650449494</v>
      </c>
      <c r="K26" s="70"/>
      <c r="L26" s="98"/>
      <c r="M26" s="98"/>
      <c r="N26" s="98"/>
    </row>
    <row r="27" spans="1:14" s="37" customFormat="1" x14ac:dyDescent="0.35">
      <c r="A27" s="31">
        <v>43599</v>
      </c>
      <c r="B27" s="32" t="s">
        <v>346</v>
      </c>
      <c r="C27" s="33"/>
      <c r="D27" s="33">
        <f>5*0.9</f>
        <v>4.5</v>
      </c>
      <c r="E27" s="85">
        <f t="shared" si="13"/>
        <v>7110.2300000000014</v>
      </c>
      <c r="F27" s="86"/>
      <c r="G27" s="33">
        <f t="shared" si="14"/>
        <v>23.266126262626258</v>
      </c>
      <c r="H27" s="86"/>
      <c r="I27" s="33">
        <f t="shared" si="15"/>
        <v>104.69756818181816</v>
      </c>
      <c r="J27" s="33">
        <f t="shared" si="16"/>
        <v>165427.50893631313</v>
      </c>
      <c r="K27" s="34"/>
      <c r="L27" s="35">
        <f>SUM(I24:I27)</f>
        <v>3166.5197843434335</v>
      </c>
      <c r="M27" s="114"/>
      <c r="N27" s="36">
        <v>43600</v>
      </c>
    </row>
    <row r="28" spans="1:14" s="37" customFormat="1" ht="13.75" customHeight="1" x14ac:dyDescent="0.35">
      <c r="A28" s="31">
        <v>43616</v>
      </c>
      <c r="B28" s="32" t="s">
        <v>373</v>
      </c>
      <c r="C28" s="33"/>
      <c r="D28" s="33">
        <v>7.25</v>
      </c>
      <c r="E28" s="85">
        <f t="shared" si="13"/>
        <v>7102.9800000000014</v>
      </c>
      <c r="F28" s="86"/>
      <c r="G28" s="33">
        <f t="shared" si="14"/>
        <v>23.266126262626258</v>
      </c>
      <c r="H28" s="86"/>
      <c r="I28" s="33">
        <f t="shared" si="15"/>
        <v>168.67941540404038</v>
      </c>
      <c r="J28" s="33">
        <f t="shared" si="16"/>
        <v>165258.82952090909</v>
      </c>
      <c r="K28" s="34"/>
      <c r="L28" s="35">
        <f>SUM(I28)</f>
        <v>168.67941540404038</v>
      </c>
      <c r="M28" s="35">
        <f>SUM(L27:L28)</f>
        <v>3335.1991997474738</v>
      </c>
      <c r="N28" s="36">
        <v>43616</v>
      </c>
    </row>
    <row r="29" spans="1:14" s="37" customFormat="1" x14ac:dyDescent="0.35">
      <c r="A29" s="31">
        <v>43620</v>
      </c>
      <c r="B29" s="32" t="s">
        <v>383</v>
      </c>
      <c r="C29" s="33"/>
      <c r="D29" s="33">
        <f>20*6.5</f>
        <v>130</v>
      </c>
      <c r="E29" s="85">
        <f t="shared" si="13"/>
        <v>6972.9800000000014</v>
      </c>
      <c r="F29" s="86"/>
      <c r="G29" s="33">
        <f t="shared" si="14"/>
        <v>23.266126262626258</v>
      </c>
      <c r="H29" s="86"/>
      <c r="I29" s="33">
        <f t="shared" si="15"/>
        <v>3024.5964141414138</v>
      </c>
      <c r="J29" s="33">
        <f t="shared" si="16"/>
        <v>162234.23310676767</v>
      </c>
      <c r="K29" s="34"/>
      <c r="L29" s="35">
        <f>SUM(I29)</f>
        <v>3024.5964141414138</v>
      </c>
      <c r="M29" s="114"/>
      <c r="N29" s="36">
        <v>43631</v>
      </c>
    </row>
    <row r="30" spans="1:14" x14ac:dyDescent="0.35">
      <c r="A30" s="47">
        <v>43642</v>
      </c>
      <c r="B30" s="68" t="s">
        <v>436</v>
      </c>
      <c r="C30" s="49"/>
      <c r="D30" s="49">
        <f>7*2.8</f>
        <v>19.599999999999998</v>
      </c>
      <c r="E30" s="42">
        <f t="shared" si="13"/>
        <v>6953.380000000001</v>
      </c>
      <c r="F30" s="43"/>
      <c r="G30" s="26">
        <f t="shared" si="14"/>
        <v>23.266126262626258</v>
      </c>
      <c r="H30" s="43"/>
      <c r="I30" s="26">
        <f t="shared" si="15"/>
        <v>456.01607474747459</v>
      </c>
      <c r="J30" s="26">
        <f t="shared" si="16"/>
        <v>161778.21703202018</v>
      </c>
      <c r="K30" s="44"/>
      <c r="L30" s="1"/>
      <c r="M30" s="1"/>
      <c r="N30" s="1"/>
    </row>
    <row r="31" spans="1:14" s="37" customFormat="1" x14ac:dyDescent="0.35">
      <c r="A31" s="31">
        <v>43643</v>
      </c>
      <c r="B31" s="32" t="s">
        <v>438</v>
      </c>
      <c r="C31" s="33"/>
      <c r="D31" s="33">
        <f>13*5</f>
        <v>65</v>
      </c>
      <c r="E31" s="85">
        <f t="shared" si="13"/>
        <v>6888.380000000001</v>
      </c>
      <c r="F31" s="86"/>
      <c r="G31" s="33">
        <f t="shared" si="14"/>
        <v>23.266126262626258</v>
      </c>
      <c r="H31" s="86"/>
      <c r="I31" s="33">
        <f t="shared" si="15"/>
        <v>1512.2982070707069</v>
      </c>
      <c r="J31" s="33">
        <f t="shared" si="16"/>
        <v>160265.91882494948</v>
      </c>
      <c r="K31" s="34"/>
      <c r="L31" s="35">
        <f>SUM(I30:I31)</f>
        <v>1968.3142818181814</v>
      </c>
      <c r="M31" s="35">
        <f>SUM(L29:L31)</f>
        <v>4992.9106959595956</v>
      </c>
      <c r="N31" s="36">
        <v>43646</v>
      </c>
    </row>
    <row r="32" spans="1:14" s="37" customFormat="1" x14ac:dyDescent="0.35">
      <c r="A32" s="31">
        <v>43655</v>
      </c>
      <c r="B32" s="32" t="s">
        <v>460</v>
      </c>
      <c r="C32" s="33"/>
      <c r="D32" s="33">
        <f>23*7+7*5</f>
        <v>196</v>
      </c>
      <c r="E32" s="85">
        <f t="shared" si="13"/>
        <v>6692.380000000001</v>
      </c>
      <c r="F32" s="86"/>
      <c r="G32" s="33">
        <f t="shared" si="14"/>
        <v>23.266126262626255</v>
      </c>
      <c r="H32" s="86"/>
      <c r="I32" s="33">
        <f t="shared" si="15"/>
        <v>4560.1607474747461</v>
      </c>
      <c r="J32" s="33">
        <f t="shared" si="16"/>
        <v>155705.75807747472</v>
      </c>
      <c r="K32" s="34"/>
      <c r="L32" s="35">
        <f>SUM(I32)</f>
        <v>4560.1607474747461</v>
      </c>
      <c r="M32" s="114"/>
      <c r="N32" s="36">
        <v>43661</v>
      </c>
    </row>
    <row r="33" spans="1:14" x14ac:dyDescent="0.35">
      <c r="A33" s="23">
        <v>43670</v>
      </c>
      <c r="B33" s="68" t="s">
        <v>485</v>
      </c>
      <c r="C33" s="33"/>
      <c r="D33" s="26">
        <f>4+3.2+2.4+1.6+0.8</f>
        <v>12</v>
      </c>
      <c r="E33" s="42">
        <f t="shared" si="13"/>
        <v>6680.380000000001</v>
      </c>
      <c r="F33" s="43"/>
      <c r="G33" s="26">
        <f t="shared" si="14"/>
        <v>23.266126262626255</v>
      </c>
      <c r="H33" s="43"/>
      <c r="I33" s="26">
        <f t="shared" si="15"/>
        <v>279.19351515151504</v>
      </c>
      <c r="J33" s="26">
        <f t="shared" si="16"/>
        <v>155426.56456232321</v>
      </c>
      <c r="K33" s="34"/>
      <c r="L33" s="1"/>
      <c r="M33" s="1"/>
      <c r="N33" s="1"/>
    </row>
    <row r="34" spans="1:14" s="37" customFormat="1" x14ac:dyDescent="0.35">
      <c r="A34" s="93">
        <v>43676</v>
      </c>
      <c r="B34" s="94" t="s">
        <v>493</v>
      </c>
      <c r="C34" s="95"/>
      <c r="D34" s="95">
        <v>46.55</v>
      </c>
      <c r="E34" s="85">
        <f t="shared" ref="E34:E42" si="17">+E33-D34</f>
        <v>6633.8300000000008</v>
      </c>
      <c r="F34" s="86"/>
      <c r="G34" s="33">
        <f t="shared" ref="G34:G42" si="18">+J33/E33</f>
        <v>23.266126262626255</v>
      </c>
      <c r="H34" s="86"/>
      <c r="I34" s="33">
        <f t="shared" ref="I34:I42" si="19">+D34*G34</f>
        <v>1083.0381775252522</v>
      </c>
      <c r="J34" s="33">
        <f t="shared" ref="J34:J42" si="20">+J33-I34</f>
        <v>154343.52638479797</v>
      </c>
      <c r="K34" s="34"/>
      <c r="L34" s="35">
        <f>SUM(I33:I34)</f>
        <v>1362.2316926767671</v>
      </c>
      <c r="M34" s="35">
        <f>SUM(L32:L34)</f>
        <v>5922.3924401515133</v>
      </c>
      <c r="N34" s="36">
        <v>43677</v>
      </c>
    </row>
    <row r="35" spans="1:14" x14ac:dyDescent="0.35">
      <c r="A35" s="92">
        <v>43678</v>
      </c>
      <c r="B35" s="68" t="s">
        <v>496</v>
      </c>
      <c r="C35" s="28"/>
      <c r="D35" s="28">
        <f>12*4.2</f>
        <v>50.400000000000006</v>
      </c>
      <c r="E35" s="42">
        <f t="shared" si="17"/>
        <v>6583.4300000000012</v>
      </c>
      <c r="F35" s="43"/>
      <c r="G35" s="26">
        <f t="shared" si="18"/>
        <v>23.266126262626258</v>
      </c>
      <c r="H35" s="43"/>
      <c r="I35" s="26">
        <f t="shared" si="19"/>
        <v>1172.6127636363635</v>
      </c>
      <c r="J35" s="26">
        <f t="shared" si="20"/>
        <v>153170.9136211616</v>
      </c>
      <c r="K35" s="34"/>
      <c r="L35" s="1"/>
      <c r="M35" s="1"/>
      <c r="N35" s="1"/>
    </row>
    <row r="36" spans="1:14" x14ac:dyDescent="0.35">
      <c r="A36" s="92">
        <v>43691</v>
      </c>
      <c r="B36" s="68" t="s">
        <v>520</v>
      </c>
      <c r="C36" s="28"/>
      <c r="D36" s="28">
        <f>21*6</f>
        <v>126</v>
      </c>
      <c r="E36" s="42">
        <f t="shared" si="17"/>
        <v>6457.4300000000012</v>
      </c>
      <c r="F36" s="43"/>
      <c r="G36" s="26">
        <f t="shared" si="18"/>
        <v>23.266126262626255</v>
      </c>
      <c r="H36" s="43"/>
      <c r="I36" s="26">
        <f t="shared" si="19"/>
        <v>2931.5319090909079</v>
      </c>
      <c r="J36" s="26">
        <f t="shared" si="20"/>
        <v>150239.3817120707</v>
      </c>
      <c r="K36" s="34"/>
      <c r="L36" s="1"/>
      <c r="M36" s="1"/>
      <c r="N36" s="1"/>
    </row>
    <row r="37" spans="1:14" s="37" customFormat="1" x14ac:dyDescent="0.35">
      <c r="A37" s="88">
        <v>43692</v>
      </c>
      <c r="B37" s="32" t="s">
        <v>523</v>
      </c>
      <c r="C37" s="40"/>
      <c r="D37" s="40">
        <v>3.2</v>
      </c>
      <c r="E37" s="85">
        <f t="shared" si="17"/>
        <v>6454.2300000000014</v>
      </c>
      <c r="F37" s="86"/>
      <c r="G37" s="33">
        <f t="shared" si="18"/>
        <v>23.266126262626255</v>
      </c>
      <c r="H37" s="86"/>
      <c r="I37" s="33">
        <f t="shared" si="19"/>
        <v>74.451604040404021</v>
      </c>
      <c r="J37" s="33">
        <f t="shared" si="20"/>
        <v>150164.9301080303</v>
      </c>
      <c r="K37" s="34"/>
      <c r="L37" s="35">
        <f>SUM(I35:I37)</f>
        <v>4178.5962767676756</v>
      </c>
      <c r="M37" s="35">
        <f>SUM(L37)</f>
        <v>4178.5962767676756</v>
      </c>
      <c r="N37" s="36">
        <v>43692</v>
      </c>
    </row>
    <row r="38" spans="1:14" x14ac:dyDescent="0.35">
      <c r="A38" s="92">
        <v>43715</v>
      </c>
      <c r="B38" s="68" t="s">
        <v>579</v>
      </c>
      <c r="C38" s="28"/>
      <c r="D38" s="28">
        <f>10*3</f>
        <v>30</v>
      </c>
      <c r="E38" s="42">
        <f t="shared" si="17"/>
        <v>6424.2300000000014</v>
      </c>
      <c r="F38" s="43"/>
      <c r="G38" s="26">
        <f t="shared" si="18"/>
        <v>23.266126262626258</v>
      </c>
      <c r="H38" s="43"/>
      <c r="I38" s="26">
        <f t="shared" si="19"/>
        <v>697.98378787878778</v>
      </c>
      <c r="J38" s="26">
        <f t="shared" si="20"/>
        <v>149466.9463201515</v>
      </c>
      <c r="K38" s="34"/>
      <c r="L38" s="1"/>
      <c r="M38" s="1"/>
      <c r="N38" s="1"/>
    </row>
    <row r="39" spans="1:14" s="37" customFormat="1" x14ac:dyDescent="0.35">
      <c r="A39" s="88">
        <v>43721</v>
      </c>
      <c r="B39" s="32" t="s">
        <v>586</v>
      </c>
      <c r="C39" s="40"/>
      <c r="D39" s="40">
        <f>3*2.5</f>
        <v>7.5</v>
      </c>
      <c r="E39" s="85">
        <f t="shared" si="17"/>
        <v>6416.7300000000014</v>
      </c>
      <c r="F39" s="86"/>
      <c r="G39" s="33">
        <f t="shared" si="18"/>
        <v>23.266126262626255</v>
      </c>
      <c r="H39" s="86"/>
      <c r="I39" s="33">
        <f t="shared" si="19"/>
        <v>174.49594696969692</v>
      </c>
      <c r="J39" s="33">
        <f t="shared" si="20"/>
        <v>149292.45037318181</v>
      </c>
      <c r="K39" s="34"/>
      <c r="L39" s="35">
        <f>SUM(I38:I39)</f>
        <v>872.47973484848467</v>
      </c>
      <c r="M39" s="114"/>
      <c r="N39" s="36">
        <v>43723</v>
      </c>
    </row>
    <row r="40" spans="1:14" x14ac:dyDescent="0.35">
      <c r="A40" s="92">
        <v>43727</v>
      </c>
      <c r="B40" s="68" t="s">
        <v>598</v>
      </c>
      <c r="C40" s="28"/>
      <c r="D40" s="28">
        <f>20*6.25+5.4+3+0.6</f>
        <v>134</v>
      </c>
      <c r="E40" s="42">
        <f t="shared" si="17"/>
        <v>6282.7300000000014</v>
      </c>
      <c r="F40" s="43"/>
      <c r="G40" s="26">
        <f t="shared" si="18"/>
        <v>23.266126262626255</v>
      </c>
      <c r="H40" s="43"/>
      <c r="I40" s="26">
        <f t="shared" si="19"/>
        <v>3117.6609191919183</v>
      </c>
      <c r="J40" s="26">
        <f t="shared" si="20"/>
        <v>146174.78945398988</v>
      </c>
      <c r="K40" s="34"/>
      <c r="L40" s="1"/>
      <c r="M40" s="1"/>
      <c r="N40" s="1"/>
    </row>
    <row r="41" spans="1:14" s="37" customFormat="1" x14ac:dyDescent="0.35">
      <c r="A41" s="88">
        <v>43738</v>
      </c>
      <c r="B41" s="32" t="s">
        <v>619</v>
      </c>
      <c r="C41" s="40"/>
      <c r="D41" s="40">
        <f>50*6</f>
        <v>300</v>
      </c>
      <c r="E41" s="85">
        <f t="shared" si="17"/>
        <v>5982.7300000000014</v>
      </c>
      <c r="F41" s="86"/>
      <c r="G41" s="33">
        <f t="shared" si="18"/>
        <v>23.266126262626255</v>
      </c>
      <c r="H41" s="86"/>
      <c r="I41" s="33">
        <f t="shared" si="19"/>
        <v>6979.8378787878764</v>
      </c>
      <c r="J41" s="33">
        <f t="shared" si="20"/>
        <v>139194.95157520199</v>
      </c>
      <c r="K41" s="34"/>
      <c r="L41" s="35">
        <f>SUM(I40:I41)</f>
        <v>10097.498797979795</v>
      </c>
      <c r="M41" s="35">
        <f>SUM(L39:L41)</f>
        <v>10969.97853282828</v>
      </c>
      <c r="N41" s="36">
        <v>43738</v>
      </c>
    </row>
    <row r="42" spans="1:14" x14ac:dyDescent="0.35">
      <c r="A42" s="92">
        <v>43747</v>
      </c>
      <c r="B42" s="68" t="s">
        <v>659</v>
      </c>
      <c r="C42" s="28"/>
      <c r="D42" s="28">
        <f>9*4.85+2*3</f>
        <v>49.65</v>
      </c>
      <c r="E42" s="42">
        <f t="shared" si="17"/>
        <v>5933.0800000000017</v>
      </c>
      <c r="F42" s="43"/>
      <c r="G42" s="26">
        <f t="shared" si="18"/>
        <v>23.266126262626251</v>
      </c>
      <c r="H42" s="43"/>
      <c r="I42" s="26">
        <f t="shared" si="19"/>
        <v>1155.1631689393932</v>
      </c>
      <c r="J42" s="26">
        <f t="shared" si="20"/>
        <v>138039.78840626261</v>
      </c>
      <c r="K42" s="34"/>
      <c r="L42" s="1"/>
      <c r="M42" s="1"/>
      <c r="N42" s="1"/>
    </row>
    <row r="43" spans="1:14" s="37" customFormat="1" x14ac:dyDescent="0.35">
      <c r="A43" s="88">
        <v>43750</v>
      </c>
      <c r="B43" s="32" t="s">
        <v>674</v>
      </c>
      <c r="C43" s="40"/>
      <c r="D43" s="40">
        <f>36*6+30*6.45+36*1.15</f>
        <v>450.9</v>
      </c>
      <c r="E43" s="85">
        <f t="shared" ref="E43:E51" si="21">+E42-D43</f>
        <v>5482.1800000000021</v>
      </c>
      <c r="F43" s="86"/>
      <c r="G43" s="33">
        <f t="shared" ref="G43:G51" si="22">+J42/E42</f>
        <v>23.266126262626255</v>
      </c>
      <c r="H43" s="86"/>
      <c r="I43" s="33">
        <f t="shared" ref="I43:I51" si="23">+D43*G43</f>
        <v>10490.696331818177</v>
      </c>
      <c r="J43" s="33">
        <f t="shared" ref="J43:J51" si="24">+J42-I43</f>
        <v>127549.09207444443</v>
      </c>
      <c r="K43" s="34"/>
      <c r="L43" s="35">
        <f>SUM(I42:I43)</f>
        <v>11645.85950075757</v>
      </c>
      <c r="M43" s="114"/>
      <c r="N43" s="36">
        <v>43753</v>
      </c>
    </row>
    <row r="44" spans="1:14" x14ac:dyDescent="0.35">
      <c r="A44" s="92">
        <v>43755</v>
      </c>
      <c r="B44" s="68" t="s">
        <v>681</v>
      </c>
      <c r="C44" s="28"/>
      <c r="D44" s="28">
        <f>4.1+3.8+3.25+3.1+15*2.8+15*2.6+2.4+2.35</f>
        <v>100</v>
      </c>
      <c r="E44" s="42">
        <f t="shared" si="21"/>
        <v>5382.1800000000021</v>
      </c>
      <c r="F44" s="43"/>
      <c r="G44" s="26">
        <f t="shared" si="22"/>
        <v>23.266126262626251</v>
      </c>
      <c r="H44" s="43"/>
      <c r="I44" s="26">
        <f t="shared" si="23"/>
        <v>2326.6126262626253</v>
      </c>
      <c r="J44" s="26">
        <f t="shared" si="24"/>
        <v>125222.47944818181</v>
      </c>
      <c r="K44" s="34"/>
      <c r="L44" s="1"/>
      <c r="M44" s="1"/>
      <c r="N44" s="1"/>
    </row>
    <row r="45" spans="1:14" x14ac:dyDescent="0.35">
      <c r="A45" s="92">
        <v>43755</v>
      </c>
      <c r="B45" s="68" t="s">
        <v>683</v>
      </c>
      <c r="C45" s="28"/>
      <c r="D45" s="28">
        <f>2.15+1.95+1.6+1.82+1</f>
        <v>8.52</v>
      </c>
      <c r="E45" s="42">
        <f t="shared" si="21"/>
        <v>5373.6600000000017</v>
      </c>
      <c r="F45" s="43"/>
      <c r="G45" s="26">
        <f t="shared" si="22"/>
        <v>23.266126262626251</v>
      </c>
      <c r="H45" s="43"/>
      <c r="I45" s="26">
        <f t="shared" si="23"/>
        <v>198.22739575757566</v>
      </c>
      <c r="J45" s="26">
        <f t="shared" si="24"/>
        <v>125024.25205242423</v>
      </c>
      <c r="K45" s="34"/>
      <c r="L45" s="1"/>
      <c r="M45" s="1"/>
      <c r="N45" s="1"/>
    </row>
    <row r="46" spans="1:14" x14ac:dyDescent="0.35">
      <c r="A46" s="92">
        <v>43763</v>
      </c>
      <c r="B46" s="68" t="s">
        <v>706</v>
      </c>
      <c r="C46" s="28"/>
      <c r="D46" s="28">
        <v>3</v>
      </c>
      <c r="E46" s="42">
        <f t="shared" si="21"/>
        <v>5370.6600000000017</v>
      </c>
      <c r="F46" s="43"/>
      <c r="G46" s="26">
        <f t="shared" si="22"/>
        <v>23.266126262626251</v>
      </c>
      <c r="H46" s="43"/>
      <c r="I46" s="26">
        <f t="shared" si="23"/>
        <v>69.798378787878761</v>
      </c>
      <c r="J46" s="26">
        <f t="shared" si="24"/>
        <v>124954.45367363635</v>
      </c>
      <c r="K46" s="34"/>
      <c r="L46" s="1"/>
      <c r="M46" s="1"/>
      <c r="N46" s="1"/>
    </row>
    <row r="47" spans="1:14" s="37" customFormat="1" x14ac:dyDescent="0.35">
      <c r="A47" s="88">
        <v>43767</v>
      </c>
      <c r="B47" s="32" t="s">
        <v>719</v>
      </c>
      <c r="C47" s="40"/>
      <c r="D47" s="40">
        <f>58*1.5+2*3.85+2*2.65</f>
        <v>100</v>
      </c>
      <c r="E47" s="85">
        <f t="shared" si="21"/>
        <v>5270.6600000000017</v>
      </c>
      <c r="F47" s="86"/>
      <c r="G47" s="33">
        <f t="shared" si="22"/>
        <v>23.266126262626255</v>
      </c>
      <c r="H47" s="86"/>
      <c r="I47" s="33">
        <f t="shared" si="23"/>
        <v>2326.6126262626253</v>
      </c>
      <c r="J47" s="33">
        <f t="shared" si="24"/>
        <v>122627.84104737373</v>
      </c>
      <c r="K47" s="34"/>
      <c r="L47" s="35">
        <f>SUM(I44:I47)</f>
        <v>4921.2510270707053</v>
      </c>
      <c r="M47" s="35">
        <f>SUM(L43:L47)</f>
        <v>16567.110527828274</v>
      </c>
      <c r="N47" s="36">
        <v>43769</v>
      </c>
    </row>
    <row r="48" spans="1:14" s="37" customFormat="1" x14ac:dyDescent="0.35">
      <c r="A48" s="88">
        <v>43773</v>
      </c>
      <c r="B48" s="32" t="s">
        <v>724</v>
      </c>
      <c r="C48" s="40"/>
      <c r="D48" s="40">
        <f>3*6.2</f>
        <v>18.600000000000001</v>
      </c>
      <c r="E48" s="85">
        <f t="shared" si="21"/>
        <v>5252.0600000000013</v>
      </c>
      <c r="F48" s="86"/>
      <c r="G48" s="33">
        <f t="shared" si="22"/>
        <v>23.266126262626255</v>
      </c>
      <c r="H48" s="86"/>
      <c r="I48" s="33">
        <f t="shared" si="23"/>
        <v>432.74994848484835</v>
      </c>
      <c r="J48" s="33">
        <f t="shared" si="24"/>
        <v>122195.09109888888</v>
      </c>
      <c r="K48" s="34"/>
      <c r="L48" s="35">
        <f>SUM(I48)</f>
        <v>432.74994848484835</v>
      </c>
      <c r="M48" s="114"/>
      <c r="N48" s="36">
        <v>43784</v>
      </c>
    </row>
    <row r="49" spans="1:14" s="37" customFormat="1" x14ac:dyDescent="0.35">
      <c r="A49" s="88">
        <v>43790</v>
      </c>
      <c r="B49" s="32" t="s">
        <v>748</v>
      </c>
      <c r="C49" s="40"/>
      <c r="D49" s="40">
        <f>2*4.6+2*4+3.2+2.6</f>
        <v>23</v>
      </c>
      <c r="E49" s="85">
        <f t="shared" si="21"/>
        <v>5229.0600000000013</v>
      </c>
      <c r="F49" s="86"/>
      <c r="G49" s="33">
        <f t="shared" si="22"/>
        <v>23.266126262626255</v>
      </c>
      <c r="H49" s="86"/>
      <c r="I49" s="33">
        <f t="shared" si="23"/>
        <v>535.12090404040384</v>
      </c>
      <c r="J49" s="33">
        <f t="shared" si="24"/>
        <v>121659.97019484847</v>
      </c>
      <c r="K49" s="34"/>
      <c r="L49" s="35">
        <f>SUM(I49)</f>
        <v>535.12090404040384</v>
      </c>
      <c r="M49" s="35">
        <f>SUM(L48:L49)</f>
        <v>967.87085252525219</v>
      </c>
      <c r="N49" s="36">
        <v>43799</v>
      </c>
    </row>
    <row r="50" spans="1:14" x14ac:dyDescent="0.35">
      <c r="A50" s="92">
        <v>43802</v>
      </c>
      <c r="B50" s="68" t="s">
        <v>791</v>
      </c>
      <c r="C50" s="28"/>
      <c r="D50" s="28">
        <f>2.2+3.1</f>
        <v>5.3000000000000007</v>
      </c>
      <c r="E50" s="42">
        <f t="shared" si="21"/>
        <v>5223.7600000000011</v>
      </c>
      <c r="F50" s="43"/>
      <c r="G50" s="26">
        <f t="shared" si="22"/>
        <v>23.266126262626255</v>
      </c>
      <c r="H50" s="43"/>
      <c r="I50" s="26">
        <f t="shared" si="23"/>
        <v>123.31046919191917</v>
      </c>
      <c r="J50" s="26">
        <f t="shared" si="24"/>
        <v>121536.65972565656</v>
      </c>
      <c r="K50" s="34"/>
      <c r="L50" s="1"/>
      <c r="M50" s="1"/>
      <c r="N50" s="1"/>
    </row>
    <row r="51" spans="1:14" s="37" customFormat="1" x14ac:dyDescent="0.35">
      <c r="A51" s="88">
        <v>43810</v>
      </c>
      <c r="B51" s="32" t="s">
        <v>808</v>
      </c>
      <c r="C51" s="40"/>
      <c r="D51" s="40">
        <f>8*1.63+10*2.99</f>
        <v>42.94</v>
      </c>
      <c r="E51" s="85">
        <f t="shared" si="21"/>
        <v>5180.8200000000015</v>
      </c>
      <c r="F51" s="86"/>
      <c r="G51" s="33">
        <f t="shared" si="22"/>
        <v>23.266126262626255</v>
      </c>
      <c r="H51" s="86"/>
      <c r="I51" s="33">
        <f t="shared" si="23"/>
        <v>999.04746171717136</v>
      </c>
      <c r="J51" s="33">
        <f t="shared" si="24"/>
        <v>120537.61226393939</v>
      </c>
      <c r="K51" s="34"/>
      <c r="L51" s="35">
        <f>SUM(I50:I51)</f>
        <v>1122.3579309090906</v>
      </c>
      <c r="M51" s="115">
        <f>SUM(L51)</f>
        <v>1122.3579309090906</v>
      </c>
      <c r="N51" s="36">
        <v>43814</v>
      </c>
    </row>
    <row r="52" spans="1:14" x14ac:dyDescent="0.35">
      <c r="A52" s="91"/>
      <c r="B52" s="68" t="s">
        <v>832</v>
      </c>
      <c r="C52" s="28">
        <f>SUM(C9:C51)</f>
        <v>7920</v>
      </c>
      <c r="D52" s="28">
        <f>SUM(D9:D51)</f>
        <v>2739.1800000000003</v>
      </c>
      <c r="E52" s="42"/>
      <c r="F52" s="43"/>
      <c r="G52" s="26"/>
      <c r="H52" s="28">
        <f t="shared" ref="H52:I52" si="25">SUM(H9:H51)</f>
        <v>184267.72</v>
      </c>
      <c r="I52" s="28">
        <f t="shared" si="25"/>
        <v>63730.107736060592</v>
      </c>
      <c r="J52" s="26"/>
      <c r="K52" s="34"/>
      <c r="L52" s="1"/>
      <c r="M52" s="55">
        <f>SUM(M10:M51)</f>
        <v>63730.107736060585</v>
      </c>
      <c r="N52" s="1"/>
    </row>
    <row r="53" spans="1:14" x14ac:dyDescent="0.35">
      <c r="A53" s="57" t="s">
        <v>23</v>
      </c>
      <c r="B53" s="5"/>
      <c r="C53" s="4"/>
      <c r="D53" s="4"/>
      <c r="E53" s="4"/>
      <c r="F53" s="4"/>
      <c r="G53" s="1"/>
      <c r="H53" s="1"/>
      <c r="I53" s="1"/>
      <c r="J53" s="1"/>
      <c r="L53" s="1"/>
      <c r="M53" s="1"/>
      <c r="N53" s="1"/>
    </row>
    <row r="54" spans="1:14" x14ac:dyDescent="0.35">
      <c r="A54" s="57" t="s">
        <v>669</v>
      </c>
      <c r="B54" s="5"/>
      <c r="C54" s="4"/>
      <c r="D54" s="4"/>
      <c r="E54" s="4"/>
      <c r="F54" s="4"/>
      <c r="G54" s="1"/>
      <c r="H54" s="1"/>
      <c r="I54" s="1"/>
      <c r="J54" s="58">
        <f>+E51*F9</f>
        <v>120537.61226393943</v>
      </c>
      <c r="L54" s="1"/>
      <c r="M54" s="1"/>
      <c r="N54" s="1"/>
    </row>
    <row r="55" spans="1:14" x14ac:dyDescent="0.35">
      <c r="A55" s="57" t="s">
        <v>24</v>
      </c>
      <c r="B55" s="5"/>
      <c r="C55" s="4"/>
      <c r="D55" s="4"/>
      <c r="E55" s="4"/>
      <c r="F55" s="4"/>
      <c r="G55" s="1"/>
      <c r="H55" s="1"/>
      <c r="I55" s="1"/>
      <c r="J55" s="59">
        <f>+J51</f>
        <v>120537.61226393939</v>
      </c>
      <c r="L55" s="1"/>
      <c r="M55" s="1"/>
      <c r="N55" s="1"/>
    </row>
    <row r="56" spans="1:14" ht="15" thickBot="1" x14ac:dyDescent="0.4">
      <c r="A56" s="57"/>
      <c r="B56" s="5" t="s">
        <v>25</v>
      </c>
      <c r="C56" s="4"/>
      <c r="D56" s="4"/>
      <c r="E56" s="4"/>
      <c r="F56" s="4"/>
      <c r="G56" s="1"/>
      <c r="H56" s="1"/>
      <c r="I56" s="1"/>
      <c r="J56" s="60">
        <f>+J54-J55</f>
        <v>0</v>
      </c>
      <c r="L56" s="1"/>
      <c r="M56" s="1"/>
      <c r="N56" s="1"/>
    </row>
    <row r="57" spans="1:14" ht="15" thickTop="1" x14ac:dyDescent="0.35">
      <c r="L57" s="1"/>
      <c r="M57" s="1"/>
      <c r="N57" s="1"/>
    </row>
    <row r="58" spans="1:14" x14ac:dyDescent="0.35">
      <c r="L58" s="1"/>
      <c r="M58" s="1"/>
      <c r="N58" s="1"/>
    </row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/>
  </sheetPr>
  <dimension ref="A1:N28"/>
  <sheetViews>
    <sheetView workbookViewId="0">
      <selection activeCell="J27" sqref="J27"/>
    </sheetView>
  </sheetViews>
  <sheetFormatPr baseColWidth="10" defaultRowHeight="14.5" x14ac:dyDescent="0.35"/>
  <cols>
    <col min="2" max="2" width="37.54296875" customWidth="1"/>
    <col min="12" max="12" width="10.08984375" customWidth="1"/>
    <col min="13" max="13" width="10.81640625" customWidth="1"/>
    <col min="14" max="14" width="9.81640625" customWidth="1"/>
  </cols>
  <sheetData>
    <row r="1" spans="1:14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4" x14ac:dyDescent="0.35">
      <c r="A2" s="2" t="s">
        <v>2</v>
      </c>
      <c r="B2" s="3"/>
      <c r="C2" s="4"/>
      <c r="D2" s="4"/>
      <c r="E2" s="4"/>
      <c r="F2" s="4"/>
      <c r="G2" s="4"/>
      <c r="H2" s="5" t="s">
        <v>3</v>
      </c>
      <c r="I2" s="4"/>
      <c r="J2" s="4"/>
      <c r="K2" s="6"/>
    </row>
    <row r="3" spans="1:14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4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4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4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4" ht="14.4" customHeight="1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4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4" x14ac:dyDescent="0.35">
      <c r="A9" s="23">
        <v>43467</v>
      </c>
      <c r="B9" s="24" t="s">
        <v>22</v>
      </c>
      <c r="C9" s="25">
        <v>656.2</v>
      </c>
      <c r="D9" s="26"/>
      <c r="E9" s="27" t="e">
        <f>+#REF!</f>
        <v>#REF!</v>
      </c>
      <c r="F9" s="26" t="e">
        <f>+H9/E9</f>
        <v>#REF!</v>
      </c>
      <c r="G9" s="26"/>
      <c r="H9" s="28" t="e">
        <f>+#REF!</f>
        <v>#REF!</v>
      </c>
      <c r="I9" s="29"/>
      <c r="J9" s="29" t="e">
        <f>+H9</f>
        <v>#REF!</v>
      </c>
      <c r="K9" s="30"/>
    </row>
    <row r="10" spans="1:14" s="37" customFormat="1" x14ac:dyDescent="0.35">
      <c r="A10" s="31">
        <v>43109</v>
      </c>
      <c r="B10" s="32" t="s">
        <v>52</v>
      </c>
      <c r="C10" s="33"/>
      <c r="D10" s="33">
        <f>5*3</f>
        <v>15</v>
      </c>
      <c r="E10" s="85" t="e">
        <f>+E9-D10</f>
        <v>#REF!</v>
      </c>
      <c r="F10" s="86"/>
      <c r="G10" s="33" t="e">
        <f>+J9/E9</f>
        <v>#REF!</v>
      </c>
      <c r="H10" s="86"/>
      <c r="I10" s="33" t="e">
        <f>+D10*G10</f>
        <v>#REF!</v>
      </c>
      <c r="J10" s="33" t="e">
        <f>+J9-I10</f>
        <v>#REF!</v>
      </c>
      <c r="K10" s="34"/>
      <c r="L10" s="35" t="e">
        <f>SUM(I10)</f>
        <v>#REF!</v>
      </c>
      <c r="M10" s="114"/>
      <c r="N10" s="36">
        <v>43480</v>
      </c>
    </row>
    <row r="11" spans="1:14" s="37" customFormat="1" x14ac:dyDescent="0.35">
      <c r="A11" s="31">
        <v>43493</v>
      </c>
      <c r="B11" s="32" t="s">
        <v>129</v>
      </c>
      <c r="C11" s="33"/>
      <c r="D11" s="33">
        <f>4*3</f>
        <v>12</v>
      </c>
      <c r="E11" s="85" t="e">
        <f t="shared" ref="E11:E20" si="0">+E10-D11</f>
        <v>#REF!</v>
      </c>
      <c r="F11" s="86"/>
      <c r="G11" s="33" t="e">
        <f t="shared" ref="G11:G20" si="1">+J10/E10</f>
        <v>#REF!</v>
      </c>
      <c r="H11" s="86"/>
      <c r="I11" s="33" t="e">
        <f t="shared" ref="I11:I20" si="2">+D11*G11</f>
        <v>#REF!</v>
      </c>
      <c r="J11" s="33" t="e">
        <f t="shared" ref="J11:J20" si="3">+J10-I11</f>
        <v>#REF!</v>
      </c>
      <c r="K11" s="34"/>
      <c r="L11" s="35" t="e">
        <f>SUM(I11)</f>
        <v>#REF!</v>
      </c>
      <c r="M11" s="35" t="e">
        <f>SUM(L10:L11)</f>
        <v>#REF!</v>
      </c>
      <c r="N11" s="36">
        <v>43496</v>
      </c>
    </row>
    <row r="12" spans="1:14" s="37" customFormat="1" x14ac:dyDescent="0.35">
      <c r="A12" s="31">
        <v>43501</v>
      </c>
      <c r="B12" s="32" t="s">
        <v>154</v>
      </c>
      <c r="C12" s="33"/>
      <c r="D12" s="33">
        <f>6*3</f>
        <v>18</v>
      </c>
      <c r="E12" s="85" t="e">
        <f t="shared" si="0"/>
        <v>#REF!</v>
      </c>
      <c r="F12" s="86"/>
      <c r="G12" s="33" t="e">
        <f t="shared" si="1"/>
        <v>#REF!</v>
      </c>
      <c r="H12" s="86"/>
      <c r="I12" s="33" t="e">
        <f t="shared" si="2"/>
        <v>#REF!</v>
      </c>
      <c r="J12" s="33" t="e">
        <f t="shared" si="3"/>
        <v>#REF!</v>
      </c>
      <c r="K12" s="34"/>
      <c r="L12" s="35" t="e">
        <f>SUM(I12)</f>
        <v>#REF!</v>
      </c>
      <c r="M12" s="35" t="e">
        <f>SUM(L12)</f>
        <v>#REF!</v>
      </c>
      <c r="N12" s="36">
        <v>43511</v>
      </c>
    </row>
    <row r="13" spans="1:14" s="37" customFormat="1" x14ac:dyDescent="0.35">
      <c r="A13" s="31">
        <v>43532</v>
      </c>
      <c r="B13" s="32" t="s">
        <v>215</v>
      </c>
      <c r="C13" s="33"/>
      <c r="D13" s="33">
        <f>12*3</f>
        <v>36</v>
      </c>
      <c r="E13" s="85" t="e">
        <f t="shared" si="0"/>
        <v>#REF!</v>
      </c>
      <c r="F13" s="86"/>
      <c r="G13" s="33" t="e">
        <f t="shared" si="1"/>
        <v>#REF!</v>
      </c>
      <c r="H13" s="86"/>
      <c r="I13" s="33" t="e">
        <f t="shared" si="2"/>
        <v>#REF!</v>
      </c>
      <c r="J13" s="33" t="e">
        <f t="shared" si="3"/>
        <v>#REF!</v>
      </c>
      <c r="K13" s="34"/>
      <c r="L13" s="35" t="e">
        <f>SUM(I13)</f>
        <v>#REF!</v>
      </c>
      <c r="M13" s="114"/>
      <c r="N13" s="36">
        <v>43539</v>
      </c>
    </row>
    <row r="14" spans="1:14" s="71" customFormat="1" x14ac:dyDescent="0.35">
      <c r="A14" s="72">
        <v>43545</v>
      </c>
      <c r="B14" s="68" t="s">
        <v>242</v>
      </c>
      <c r="C14" s="69"/>
      <c r="D14" s="74">
        <f>22*3</f>
        <v>66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70"/>
      <c r="L14" s="98"/>
      <c r="M14" s="98"/>
      <c r="N14" s="98"/>
    </row>
    <row r="15" spans="1:14" s="37" customFormat="1" x14ac:dyDescent="0.35">
      <c r="A15" s="38">
        <v>43545</v>
      </c>
      <c r="B15" s="32" t="s">
        <v>331</v>
      </c>
      <c r="C15" s="39"/>
      <c r="D15" s="40">
        <f>14*3</f>
        <v>42</v>
      </c>
      <c r="E15" s="85" t="e">
        <f t="shared" si="0"/>
        <v>#REF!</v>
      </c>
      <c r="F15" s="86"/>
      <c r="G15" s="33" t="e">
        <f t="shared" si="1"/>
        <v>#REF!</v>
      </c>
      <c r="H15" s="86"/>
      <c r="I15" s="33" t="e">
        <f t="shared" si="2"/>
        <v>#REF!</v>
      </c>
      <c r="J15" s="33" t="e">
        <f t="shared" si="3"/>
        <v>#REF!</v>
      </c>
      <c r="K15" s="34"/>
      <c r="L15" s="35" t="e">
        <f>SUM(I14:I15)</f>
        <v>#REF!</v>
      </c>
      <c r="M15" s="35" t="e">
        <f>SUM(L13:L15)</f>
        <v>#REF!</v>
      </c>
      <c r="N15" s="36">
        <v>43555</v>
      </c>
    </row>
    <row r="16" spans="1:14" s="71" customFormat="1" x14ac:dyDescent="0.35">
      <c r="A16" s="72">
        <v>43699</v>
      </c>
      <c r="B16" s="68" t="s">
        <v>539</v>
      </c>
      <c r="C16" s="69"/>
      <c r="D16" s="74">
        <f>9*5</f>
        <v>45</v>
      </c>
      <c r="E16" s="42" t="e">
        <f t="shared" si="0"/>
        <v>#REF!</v>
      </c>
      <c r="F16" s="43"/>
      <c r="G16" s="26" t="e">
        <f t="shared" si="1"/>
        <v>#REF!</v>
      </c>
      <c r="H16" s="43"/>
      <c r="I16" s="26" t="e">
        <f t="shared" si="2"/>
        <v>#REF!</v>
      </c>
      <c r="J16" s="26" t="e">
        <f t="shared" si="3"/>
        <v>#REF!</v>
      </c>
      <c r="K16" s="70"/>
      <c r="L16" s="98"/>
      <c r="M16" s="98"/>
      <c r="N16" s="98"/>
    </row>
    <row r="17" spans="1:14" s="71" customFormat="1" x14ac:dyDescent="0.35">
      <c r="A17" s="72">
        <v>43701</v>
      </c>
      <c r="B17" s="68" t="s">
        <v>541</v>
      </c>
      <c r="C17" s="69"/>
      <c r="D17" s="74">
        <f>11*3.2</f>
        <v>35.200000000000003</v>
      </c>
      <c r="E17" s="42" t="e">
        <f t="shared" si="0"/>
        <v>#REF!</v>
      </c>
      <c r="F17" s="43"/>
      <c r="G17" s="26" t="e">
        <f t="shared" si="1"/>
        <v>#REF!</v>
      </c>
      <c r="H17" s="43"/>
      <c r="I17" s="26" t="e">
        <f t="shared" si="2"/>
        <v>#REF!</v>
      </c>
      <c r="J17" s="26" t="e">
        <f t="shared" si="3"/>
        <v>#REF!</v>
      </c>
      <c r="K17" s="70"/>
      <c r="L17" s="98"/>
      <c r="M17" s="98"/>
      <c r="N17" s="98"/>
    </row>
    <row r="18" spans="1:14" s="71" customFormat="1" x14ac:dyDescent="0.35">
      <c r="A18" s="72">
        <v>43701</v>
      </c>
      <c r="B18" s="68" t="s">
        <v>546</v>
      </c>
      <c r="C18" s="69"/>
      <c r="D18" s="74">
        <f>10*4.7+8*4.3+2*1.4</f>
        <v>84.2</v>
      </c>
      <c r="E18" s="42" t="e">
        <f t="shared" si="0"/>
        <v>#REF!</v>
      </c>
      <c r="F18" s="43"/>
      <c r="G18" s="26" t="e">
        <f t="shared" si="1"/>
        <v>#REF!</v>
      </c>
      <c r="H18" s="43"/>
      <c r="I18" s="26" t="e">
        <f t="shared" si="2"/>
        <v>#REF!</v>
      </c>
      <c r="J18" s="26" t="e">
        <f t="shared" si="3"/>
        <v>#REF!</v>
      </c>
      <c r="K18" s="70"/>
      <c r="L18" s="98"/>
      <c r="M18" s="98"/>
      <c r="N18" s="98"/>
    </row>
    <row r="19" spans="1:14" s="37" customFormat="1" x14ac:dyDescent="0.35">
      <c r="A19" s="31">
        <v>43703</v>
      </c>
      <c r="B19" s="32" t="s">
        <v>545</v>
      </c>
      <c r="C19" s="87"/>
      <c r="D19" s="87">
        <f>85.75+6</f>
        <v>91.75</v>
      </c>
      <c r="E19" s="85" t="e">
        <f t="shared" si="0"/>
        <v>#REF!</v>
      </c>
      <c r="F19" s="86"/>
      <c r="G19" s="33" t="e">
        <f t="shared" si="1"/>
        <v>#REF!</v>
      </c>
      <c r="H19" s="86"/>
      <c r="I19" s="33" t="e">
        <f t="shared" si="2"/>
        <v>#REF!</v>
      </c>
      <c r="J19" s="33" t="e">
        <f t="shared" si="3"/>
        <v>#REF!</v>
      </c>
      <c r="K19" s="34"/>
      <c r="L19" s="35" t="e">
        <f>SUM(I16:I19)</f>
        <v>#REF!</v>
      </c>
      <c r="M19" s="35" t="e">
        <f>SUM(L19)</f>
        <v>#REF!</v>
      </c>
      <c r="N19" s="36">
        <v>43707</v>
      </c>
    </row>
    <row r="20" spans="1:14" s="37" customFormat="1" x14ac:dyDescent="0.35">
      <c r="A20" s="31">
        <v>43749</v>
      </c>
      <c r="B20" s="32" t="s">
        <v>668</v>
      </c>
      <c r="C20" s="33"/>
      <c r="D20" s="33">
        <v>211.05</v>
      </c>
      <c r="E20" s="85" t="e">
        <f t="shared" si="0"/>
        <v>#REF!</v>
      </c>
      <c r="F20" s="86"/>
      <c r="G20" s="33" t="e">
        <f t="shared" si="1"/>
        <v>#REF!</v>
      </c>
      <c r="H20" s="86"/>
      <c r="I20" s="33" t="e">
        <f t="shared" si="2"/>
        <v>#REF!</v>
      </c>
      <c r="J20" s="33" t="e">
        <f t="shared" si="3"/>
        <v>#REF!</v>
      </c>
      <c r="K20" s="34"/>
      <c r="L20" s="35" t="e">
        <f>SUM(I20)</f>
        <v>#REF!</v>
      </c>
      <c r="M20" s="115" t="e">
        <f>SUM(L20)</f>
        <v>#REF!</v>
      </c>
      <c r="N20" s="36">
        <v>43753</v>
      </c>
    </row>
    <row r="21" spans="1:14" ht="15" thickBot="1" x14ac:dyDescent="0.4">
      <c r="A21" s="50"/>
      <c r="B21" s="51"/>
      <c r="C21" s="52">
        <f>SUM(C9:C20)</f>
        <v>656.2</v>
      </c>
      <c r="D21" s="52">
        <f>SUM(D9:D20)</f>
        <v>656.2</v>
      </c>
      <c r="E21" s="53"/>
      <c r="F21" s="53"/>
      <c r="G21" s="53"/>
      <c r="H21" s="52" t="e">
        <f t="shared" ref="H21:I21" si="4">SUM(H9:H20)</f>
        <v>#REF!</v>
      </c>
      <c r="I21" s="52" t="e">
        <f t="shared" si="4"/>
        <v>#REF!</v>
      </c>
      <c r="J21" s="53"/>
      <c r="K21" s="54"/>
      <c r="L21" s="1"/>
      <c r="M21" s="55" t="e">
        <f>SUM(I9:I20)</f>
        <v>#REF!</v>
      </c>
      <c r="N21" s="1"/>
    </row>
    <row r="24" spans="1:14" x14ac:dyDescent="0.35">
      <c r="A24" s="57" t="s">
        <v>23</v>
      </c>
      <c r="B24" s="5"/>
      <c r="C24" s="4"/>
      <c r="D24" s="4"/>
      <c r="E24" s="4"/>
      <c r="F24" s="4"/>
      <c r="G24" s="1"/>
      <c r="H24" s="1"/>
      <c r="I24" s="1"/>
      <c r="J24" s="1"/>
    </row>
    <row r="25" spans="1:14" x14ac:dyDescent="0.35">
      <c r="A25" s="57" t="s">
        <v>669</v>
      </c>
      <c r="B25" s="5"/>
      <c r="C25" s="4"/>
      <c r="D25" s="4"/>
      <c r="E25" s="4"/>
      <c r="F25" s="4"/>
      <c r="G25" s="1"/>
      <c r="H25" s="1"/>
      <c r="I25" s="1"/>
      <c r="J25" s="58" t="e">
        <f>+E20*F9</f>
        <v>#REF!</v>
      </c>
    </row>
    <row r="26" spans="1:14" x14ac:dyDescent="0.35">
      <c r="A26" s="57" t="s">
        <v>24</v>
      </c>
      <c r="B26" s="5"/>
      <c r="C26" s="4"/>
      <c r="D26" s="4"/>
      <c r="E26" s="4"/>
      <c r="F26" s="4"/>
      <c r="G26" s="1"/>
      <c r="H26" s="1"/>
      <c r="I26" s="1"/>
      <c r="J26" s="59" t="e">
        <f>+J20</f>
        <v>#REF!</v>
      </c>
    </row>
    <row r="27" spans="1:14" ht="15" thickBot="1" x14ac:dyDescent="0.4">
      <c r="A27" s="57"/>
      <c r="B27" s="5" t="s">
        <v>25</v>
      </c>
      <c r="C27" s="4"/>
      <c r="D27" s="4"/>
      <c r="E27" s="4"/>
      <c r="F27" s="4"/>
      <c r="G27" s="1"/>
      <c r="H27" s="1"/>
      <c r="I27" s="1"/>
      <c r="J27" s="60" t="e">
        <f>+J25-J26</f>
        <v>#REF!</v>
      </c>
    </row>
    <row r="28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3"/>
  <sheetViews>
    <sheetView topLeftCell="A67" workbookViewId="0">
      <selection activeCell="H10" sqref="H10"/>
    </sheetView>
  </sheetViews>
  <sheetFormatPr baseColWidth="10" defaultRowHeight="14.5" x14ac:dyDescent="0.35"/>
  <cols>
    <col min="2" max="2" width="30.54296875" customWidth="1"/>
    <col min="12" max="12" width="10.36328125" customWidth="1"/>
    <col min="13" max="14" width="10.1796875" customWidth="1"/>
  </cols>
  <sheetData>
    <row r="1" spans="1:11" x14ac:dyDescent="0.35">
      <c r="A1" s="61" t="s">
        <v>0</v>
      </c>
      <c r="B1" s="62"/>
      <c r="C1" s="63"/>
      <c r="D1" s="64"/>
      <c r="E1" s="64"/>
      <c r="F1" s="64"/>
      <c r="G1" s="64"/>
      <c r="H1" s="65" t="s">
        <v>1</v>
      </c>
      <c r="I1" s="64"/>
      <c r="J1" s="64"/>
      <c r="K1" s="66"/>
    </row>
    <row r="2" spans="1:11" x14ac:dyDescent="0.35">
      <c r="A2" s="2" t="s">
        <v>2</v>
      </c>
      <c r="B2" s="3"/>
      <c r="C2" s="4"/>
      <c r="D2" s="4"/>
      <c r="E2" s="4"/>
      <c r="F2" s="4"/>
      <c r="G2" s="4"/>
      <c r="H2" s="5" t="s">
        <v>33</v>
      </c>
      <c r="I2" s="4"/>
      <c r="J2" s="4"/>
      <c r="K2" s="6"/>
    </row>
    <row r="3" spans="1:11" x14ac:dyDescent="0.35">
      <c r="A3" s="7" t="s">
        <v>4</v>
      </c>
      <c r="B3" s="8"/>
      <c r="C3" s="9"/>
      <c r="D3" s="4"/>
      <c r="E3" s="4"/>
      <c r="F3" s="4"/>
      <c r="G3" s="4"/>
      <c r="H3" s="5" t="s">
        <v>5</v>
      </c>
      <c r="I3" s="4"/>
      <c r="J3" s="4"/>
      <c r="K3" s="6"/>
    </row>
    <row r="4" spans="1:11" x14ac:dyDescent="0.35">
      <c r="A4" s="10"/>
      <c r="B4" s="4"/>
      <c r="C4" s="4"/>
      <c r="D4" s="153" t="s">
        <v>6</v>
      </c>
      <c r="E4" s="153"/>
      <c r="F4" s="153"/>
      <c r="G4" s="153"/>
      <c r="H4" s="153"/>
      <c r="I4" s="4"/>
      <c r="J4" s="4"/>
      <c r="K4" s="6"/>
    </row>
    <row r="5" spans="1:11" x14ac:dyDescent="0.35">
      <c r="A5" s="10"/>
      <c r="B5" s="11"/>
      <c r="C5" s="4"/>
      <c r="D5" s="154" t="s">
        <v>26</v>
      </c>
      <c r="E5" s="154"/>
      <c r="F5" s="154"/>
      <c r="G5" s="154"/>
      <c r="H5" s="4"/>
      <c r="I5" s="4"/>
      <c r="J5" s="4"/>
      <c r="K5" s="6"/>
    </row>
    <row r="6" spans="1:11" x14ac:dyDescent="0.35">
      <c r="A6" s="10"/>
      <c r="B6" s="11"/>
      <c r="C6" s="4"/>
      <c r="D6" s="155" t="s">
        <v>7</v>
      </c>
      <c r="E6" s="155"/>
      <c r="F6" s="155"/>
      <c r="G6" s="155"/>
      <c r="H6" s="4"/>
      <c r="I6" s="4"/>
      <c r="J6" s="4"/>
      <c r="K6" s="6"/>
    </row>
    <row r="7" spans="1:11" x14ac:dyDescent="0.35">
      <c r="A7" s="12" t="s">
        <v>8</v>
      </c>
      <c r="B7" s="13" t="s">
        <v>9</v>
      </c>
      <c r="C7" s="156" t="s">
        <v>10</v>
      </c>
      <c r="D7" s="156"/>
      <c r="E7" s="157"/>
      <c r="F7" s="158" t="s">
        <v>11</v>
      </c>
      <c r="G7" s="158"/>
      <c r="H7" s="159" t="s">
        <v>12</v>
      </c>
      <c r="I7" s="160"/>
      <c r="J7" s="160"/>
      <c r="K7" s="14"/>
    </row>
    <row r="8" spans="1:11" x14ac:dyDescent="0.35">
      <c r="A8" s="15"/>
      <c r="B8" s="16"/>
      <c r="C8" s="16" t="s">
        <v>13</v>
      </c>
      <c r="D8" s="17" t="s">
        <v>14</v>
      </c>
      <c r="E8" s="18" t="s">
        <v>15</v>
      </c>
      <c r="F8" s="19" t="s">
        <v>16</v>
      </c>
      <c r="G8" s="19" t="s">
        <v>17</v>
      </c>
      <c r="H8" s="17" t="s">
        <v>18</v>
      </c>
      <c r="I8" s="20" t="s">
        <v>19</v>
      </c>
      <c r="J8" s="21" t="s">
        <v>20</v>
      </c>
      <c r="K8" s="22" t="s">
        <v>21</v>
      </c>
    </row>
    <row r="9" spans="1:11" x14ac:dyDescent="0.35">
      <c r="A9" s="23">
        <v>43467</v>
      </c>
      <c r="B9" s="24" t="s">
        <v>22</v>
      </c>
      <c r="C9" s="25"/>
      <c r="D9" s="26"/>
      <c r="E9" s="27" t="e">
        <f>+#REF!</f>
        <v>#REF!</v>
      </c>
      <c r="F9" s="26" t="e">
        <f>+H9/E9</f>
        <v>#REF!</v>
      </c>
      <c r="G9" s="26"/>
      <c r="H9" s="28">
        <v>206407.38</v>
      </c>
      <c r="I9" s="29"/>
      <c r="J9" s="29">
        <f>+H9</f>
        <v>206407.38</v>
      </c>
      <c r="K9" s="30"/>
    </row>
    <row r="10" spans="1:11" s="71" customFormat="1" x14ac:dyDescent="0.35">
      <c r="A10" s="23">
        <v>43467</v>
      </c>
      <c r="B10" s="69" t="s">
        <v>36</v>
      </c>
      <c r="C10" s="26"/>
      <c r="D10" s="26">
        <v>50</v>
      </c>
      <c r="E10" s="42" t="e">
        <f>+E9-D10</f>
        <v>#REF!</v>
      </c>
      <c r="F10" s="43"/>
      <c r="G10" s="26" t="e">
        <f>+J9/E9</f>
        <v>#REF!</v>
      </c>
      <c r="H10" s="43"/>
      <c r="I10" s="26" t="e">
        <f>+D10*G10</f>
        <v>#REF!</v>
      </c>
      <c r="J10" s="26" t="e">
        <f>+J9-I10</f>
        <v>#REF!</v>
      </c>
      <c r="K10" s="70"/>
    </row>
    <row r="11" spans="1:11" s="71" customFormat="1" x14ac:dyDescent="0.35">
      <c r="A11" s="23">
        <v>43472</v>
      </c>
      <c r="B11" s="69" t="s">
        <v>45</v>
      </c>
      <c r="C11" s="26"/>
      <c r="D11" s="26">
        <v>100</v>
      </c>
      <c r="E11" s="42" t="e">
        <f t="shared" ref="E11:E29" si="0">+E10-D11</f>
        <v>#REF!</v>
      </c>
      <c r="F11" s="43"/>
      <c r="G11" s="26" t="e">
        <f t="shared" ref="G11:G29" si="1">+J10/E10</f>
        <v>#REF!</v>
      </c>
      <c r="H11" s="43"/>
      <c r="I11" s="26" t="e">
        <f t="shared" ref="I11:I29" si="2">+D11*G11</f>
        <v>#REF!</v>
      </c>
      <c r="J11" s="26" t="e">
        <f t="shared" ref="J11:J29" si="3">+J10-I11</f>
        <v>#REF!</v>
      </c>
      <c r="K11" s="70"/>
    </row>
    <row r="12" spans="1:11" s="71" customFormat="1" x14ac:dyDescent="0.35">
      <c r="A12" s="23">
        <v>43473</v>
      </c>
      <c r="B12" s="69" t="s">
        <v>46</v>
      </c>
      <c r="C12" s="26"/>
      <c r="D12" s="26">
        <v>150</v>
      </c>
      <c r="E12" s="42" t="e">
        <f t="shared" si="0"/>
        <v>#REF!</v>
      </c>
      <c r="F12" s="43"/>
      <c r="G12" s="26" t="e">
        <f t="shared" si="1"/>
        <v>#REF!</v>
      </c>
      <c r="H12" s="43"/>
      <c r="I12" s="26" t="e">
        <f t="shared" si="2"/>
        <v>#REF!</v>
      </c>
      <c r="J12" s="26" t="e">
        <f t="shared" si="3"/>
        <v>#REF!</v>
      </c>
      <c r="K12" s="70"/>
    </row>
    <row r="13" spans="1:11" s="71" customFormat="1" x14ac:dyDescent="0.35">
      <c r="A13" s="23">
        <v>43474</v>
      </c>
      <c r="B13" s="69" t="s">
        <v>51</v>
      </c>
      <c r="C13" s="26"/>
      <c r="D13" s="26">
        <v>200</v>
      </c>
      <c r="E13" s="42" t="e">
        <f t="shared" si="0"/>
        <v>#REF!</v>
      </c>
      <c r="F13" s="43"/>
      <c r="G13" s="26" t="e">
        <f t="shared" si="1"/>
        <v>#REF!</v>
      </c>
      <c r="H13" s="43"/>
      <c r="I13" s="26" t="e">
        <f t="shared" si="2"/>
        <v>#REF!</v>
      </c>
      <c r="J13" s="26" t="e">
        <f t="shared" si="3"/>
        <v>#REF!</v>
      </c>
      <c r="K13" s="70"/>
    </row>
    <row r="14" spans="1:11" s="71" customFormat="1" x14ac:dyDescent="0.35">
      <c r="A14" s="72">
        <v>43474</v>
      </c>
      <c r="B14" s="69" t="s">
        <v>53</v>
      </c>
      <c r="C14" s="69"/>
      <c r="D14" s="74">
        <v>450</v>
      </c>
      <c r="E14" s="42" t="e">
        <f t="shared" si="0"/>
        <v>#REF!</v>
      </c>
      <c r="F14" s="43"/>
      <c r="G14" s="26" t="e">
        <f t="shared" si="1"/>
        <v>#REF!</v>
      </c>
      <c r="H14" s="43"/>
      <c r="I14" s="26" t="e">
        <f t="shared" si="2"/>
        <v>#REF!</v>
      </c>
      <c r="J14" s="26" t="e">
        <f t="shared" si="3"/>
        <v>#REF!</v>
      </c>
      <c r="K14" s="70"/>
    </row>
    <row r="15" spans="1:11" s="71" customFormat="1" x14ac:dyDescent="0.35">
      <c r="A15" s="72">
        <v>43109</v>
      </c>
      <c r="B15" s="69" t="s">
        <v>54</v>
      </c>
      <c r="C15" s="69"/>
      <c r="D15" s="74">
        <v>100</v>
      </c>
      <c r="E15" s="42" t="e">
        <f t="shared" si="0"/>
        <v>#REF!</v>
      </c>
      <c r="F15" s="43"/>
      <c r="G15" s="26" t="e">
        <f t="shared" si="1"/>
        <v>#REF!</v>
      </c>
      <c r="H15" s="43"/>
      <c r="I15" s="26" t="e">
        <f t="shared" si="2"/>
        <v>#REF!</v>
      </c>
      <c r="J15" s="26" t="e">
        <f t="shared" si="3"/>
        <v>#REF!</v>
      </c>
      <c r="K15" s="70"/>
    </row>
    <row r="16" spans="1:11" s="71" customFormat="1" x14ac:dyDescent="0.35">
      <c r="A16" s="72">
        <v>43476</v>
      </c>
      <c r="B16" s="69" t="s">
        <v>60</v>
      </c>
      <c r="C16" s="69"/>
      <c r="D16" s="74">
        <v>100</v>
      </c>
      <c r="E16" s="42" t="e">
        <f t="shared" si="0"/>
        <v>#REF!</v>
      </c>
      <c r="F16" s="43"/>
      <c r="G16" s="26" t="e">
        <f t="shared" si="1"/>
        <v>#REF!</v>
      </c>
      <c r="H16" s="43"/>
      <c r="I16" s="26" t="e">
        <f t="shared" si="2"/>
        <v>#REF!</v>
      </c>
      <c r="J16" s="26" t="e">
        <f t="shared" si="3"/>
        <v>#REF!</v>
      </c>
      <c r="K16" s="70"/>
    </row>
    <row r="17" spans="1:14" s="37" customFormat="1" x14ac:dyDescent="0.35">
      <c r="A17" s="38">
        <v>43479</v>
      </c>
      <c r="B17" s="39" t="s">
        <v>66</v>
      </c>
      <c r="C17" s="39"/>
      <c r="D17" s="40">
        <v>50</v>
      </c>
      <c r="E17" s="85" t="e">
        <f t="shared" si="0"/>
        <v>#REF!</v>
      </c>
      <c r="F17" s="86"/>
      <c r="G17" s="33" t="e">
        <f t="shared" si="1"/>
        <v>#REF!</v>
      </c>
      <c r="H17" s="86"/>
      <c r="I17" s="33" t="e">
        <f t="shared" si="2"/>
        <v>#REF!</v>
      </c>
      <c r="J17" s="33" t="e">
        <f t="shared" si="3"/>
        <v>#REF!</v>
      </c>
      <c r="K17" s="34"/>
      <c r="L17" s="35" t="e">
        <f>SUM(I10:I17)</f>
        <v>#REF!</v>
      </c>
      <c r="M17" s="114"/>
      <c r="N17" s="36">
        <v>43480</v>
      </c>
    </row>
    <row r="18" spans="1:14" s="71" customFormat="1" x14ac:dyDescent="0.35">
      <c r="A18" s="72">
        <v>43481</v>
      </c>
      <c r="B18" s="69" t="s">
        <v>74</v>
      </c>
      <c r="C18" s="69"/>
      <c r="D18" s="74">
        <v>70</v>
      </c>
      <c r="E18" s="42" t="e">
        <f t="shared" si="0"/>
        <v>#REF!</v>
      </c>
      <c r="F18" s="43"/>
      <c r="G18" s="26" t="e">
        <f t="shared" si="1"/>
        <v>#REF!</v>
      </c>
      <c r="H18" s="43"/>
      <c r="I18" s="26" t="e">
        <f t="shared" si="2"/>
        <v>#REF!</v>
      </c>
      <c r="J18" s="26" t="e">
        <f t="shared" si="3"/>
        <v>#REF!</v>
      </c>
      <c r="K18" s="70"/>
      <c r="L18" s="98"/>
      <c r="M18" s="98"/>
      <c r="N18" s="98"/>
    </row>
    <row r="19" spans="1:14" s="71" customFormat="1" x14ac:dyDescent="0.35">
      <c r="A19" s="23">
        <v>43481</v>
      </c>
      <c r="B19" s="69" t="s">
        <v>77</v>
      </c>
      <c r="C19" s="73"/>
      <c r="D19" s="73">
        <v>330</v>
      </c>
      <c r="E19" s="42" t="e">
        <f t="shared" si="0"/>
        <v>#REF!</v>
      </c>
      <c r="F19" s="43"/>
      <c r="G19" s="26" t="e">
        <f t="shared" si="1"/>
        <v>#REF!</v>
      </c>
      <c r="H19" s="43"/>
      <c r="I19" s="26" t="e">
        <f t="shared" si="2"/>
        <v>#REF!</v>
      </c>
      <c r="J19" s="26" t="e">
        <f t="shared" si="3"/>
        <v>#REF!</v>
      </c>
      <c r="K19" s="70"/>
      <c r="L19" s="98"/>
      <c r="M19" s="98"/>
      <c r="N19" s="98"/>
    </row>
    <row r="20" spans="1:14" s="71" customFormat="1" x14ac:dyDescent="0.35">
      <c r="A20" s="23">
        <v>43483</v>
      </c>
      <c r="B20" s="69" t="s">
        <v>85</v>
      </c>
      <c r="C20" s="26"/>
      <c r="D20" s="26">
        <v>5</v>
      </c>
      <c r="E20" s="42" t="e">
        <f t="shared" si="0"/>
        <v>#REF!</v>
      </c>
      <c r="F20" s="43"/>
      <c r="G20" s="26" t="e">
        <f t="shared" si="1"/>
        <v>#REF!</v>
      </c>
      <c r="H20" s="43"/>
      <c r="I20" s="26" t="e">
        <f t="shared" si="2"/>
        <v>#REF!</v>
      </c>
      <c r="J20" s="26" t="e">
        <f t="shared" si="3"/>
        <v>#REF!</v>
      </c>
      <c r="K20" s="70"/>
      <c r="L20" s="98"/>
      <c r="M20" s="98"/>
      <c r="N20" s="98"/>
    </row>
    <row r="21" spans="1:14" s="71" customFormat="1" x14ac:dyDescent="0.35">
      <c r="A21" s="23">
        <v>43484</v>
      </c>
      <c r="B21" s="69" t="s">
        <v>96</v>
      </c>
      <c r="C21" s="26"/>
      <c r="D21" s="26">
        <v>100</v>
      </c>
      <c r="E21" s="42" t="e">
        <f t="shared" si="0"/>
        <v>#REF!</v>
      </c>
      <c r="F21" s="43"/>
      <c r="G21" s="26" t="e">
        <f t="shared" si="1"/>
        <v>#REF!</v>
      </c>
      <c r="H21" s="43"/>
      <c r="I21" s="26" t="e">
        <f t="shared" si="2"/>
        <v>#REF!</v>
      </c>
      <c r="J21" s="26" t="e">
        <f t="shared" si="3"/>
        <v>#REF!</v>
      </c>
      <c r="K21" s="70"/>
      <c r="L21" s="98"/>
      <c r="M21" s="98"/>
      <c r="N21" s="98"/>
    </row>
    <row r="22" spans="1:14" s="71" customFormat="1" x14ac:dyDescent="0.35">
      <c r="A22" s="23">
        <v>43486</v>
      </c>
      <c r="B22" s="69" t="s">
        <v>100</v>
      </c>
      <c r="C22" s="26"/>
      <c r="D22" s="26">
        <v>300</v>
      </c>
      <c r="E22" s="42" t="e">
        <f t="shared" si="0"/>
        <v>#REF!</v>
      </c>
      <c r="F22" s="43"/>
      <c r="G22" s="26" t="e">
        <f t="shared" si="1"/>
        <v>#REF!</v>
      </c>
      <c r="H22" s="43"/>
      <c r="I22" s="26" t="e">
        <f t="shared" si="2"/>
        <v>#REF!</v>
      </c>
      <c r="J22" s="26" t="e">
        <f t="shared" si="3"/>
        <v>#REF!</v>
      </c>
      <c r="K22" s="70"/>
      <c r="L22" s="98"/>
      <c r="M22" s="98"/>
      <c r="N22" s="98"/>
    </row>
    <row r="23" spans="1:14" s="71" customFormat="1" x14ac:dyDescent="0.35">
      <c r="A23" s="23">
        <v>43486</v>
      </c>
      <c r="B23" s="69" t="s">
        <v>101</v>
      </c>
      <c r="C23" s="26"/>
      <c r="D23" s="26">
        <v>250</v>
      </c>
      <c r="E23" s="42" t="e">
        <f t="shared" si="0"/>
        <v>#REF!</v>
      </c>
      <c r="F23" s="43"/>
      <c r="G23" s="26" t="e">
        <f t="shared" si="1"/>
        <v>#REF!</v>
      </c>
      <c r="H23" s="43"/>
      <c r="I23" s="26" t="e">
        <f t="shared" si="2"/>
        <v>#REF!</v>
      </c>
      <c r="J23" s="26" t="e">
        <f t="shared" si="3"/>
        <v>#REF!</v>
      </c>
      <c r="K23" s="70"/>
      <c r="L23" s="98"/>
      <c r="M23" s="98"/>
      <c r="N23" s="98"/>
    </row>
    <row r="24" spans="1:14" s="71" customFormat="1" x14ac:dyDescent="0.35">
      <c r="A24" s="23">
        <v>43486</v>
      </c>
      <c r="B24" s="69" t="s">
        <v>102</v>
      </c>
      <c r="C24" s="26"/>
      <c r="D24" s="26">
        <v>300</v>
      </c>
      <c r="E24" s="42" t="e">
        <f t="shared" si="0"/>
        <v>#REF!</v>
      </c>
      <c r="F24" s="43"/>
      <c r="G24" s="26" t="e">
        <f t="shared" si="1"/>
        <v>#REF!</v>
      </c>
      <c r="H24" s="43"/>
      <c r="I24" s="26" t="e">
        <f t="shared" si="2"/>
        <v>#REF!</v>
      </c>
      <c r="J24" s="26" t="e">
        <f t="shared" si="3"/>
        <v>#REF!</v>
      </c>
      <c r="K24" s="70"/>
      <c r="L24" s="98"/>
      <c r="M24" s="98"/>
      <c r="N24" s="98"/>
    </row>
    <row r="25" spans="1:14" s="71" customFormat="1" x14ac:dyDescent="0.35">
      <c r="A25" s="23">
        <v>43486</v>
      </c>
      <c r="B25" s="69" t="s">
        <v>105</v>
      </c>
      <c r="C25" s="26"/>
      <c r="D25" s="26">
        <v>200</v>
      </c>
      <c r="E25" s="42" t="e">
        <f t="shared" si="0"/>
        <v>#REF!</v>
      </c>
      <c r="F25" s="43"/>
      <c r="G25" s="26" t="e">
        <f t="shared" si="1"/>
        <v>#REF!</v>
      </c>
      <c r="H25" s="43"/>
      <c r="I25" s="26" t="e">
        <f t="shared" si="2"/>
        <v>#REF!</v>
      </c>
      <c r="J25" s="26" t="e">
        <f t="shared" si="3"/>
        <v>#REF!</v>
      </c>
      <c r="K25" s="70"/>
      <c r="L25" s="98"/>
      <c r="M25" s="98"/>
      <c r="N25" s="98"/>
    </row>
    <row r="26" spans="1:14" s="71" customFormat="1" x14ac:dyDescent="0.35">
      <c r="A26" s="23">
        <v>43486</v>
      </c>
      <c r="B26" s="69" t="s">
        <v>107</v>
      </c>
      <c r="C26" s="26"/>
      <c r="D26" s="26">
        <v>150</v>
      </c>
      <c r="E26" s="42" t="e">
        <f t="shared" si="0"/>
        <v>#REF!</v>
      </c>
      <c r="F26" s="43"/>
      <c r="G26" s="26" t="e">
        <f t="shared" si="1"/>
        <v>#REF!</v>
      </c>
      <c r="H26" s="43"/>
      <c r="I26" s="26" t="e">
        <f t="shared" si="2"/>
        <v>#REF!</v>
      </c>
      <c r="J26" s="26" t="e">
        <f t="shared" si="3"/>
        <v>#REF!</v>
      </c>
      <c r="K26" s="70"/>
      <c r="L26" s="98"/>
      <c r="M26" s="98"/>
      <c r="N26" s="98"/>
    </row>
    <row r="27" spans="1:14" s="37" customFormat="1" x14ac:dyDescent="0.35">
      <c r="A27" s="31">
        <v>43490</v>
      </c>
      <c r="B27" s="39" t="s">
        <v>120</v>
      </c>
      <c r="C27" s="33"/>
      <c r="D27" s="33">
        <v>25</v>
      </c>
      <c r="E27" s="85" t="e">
        <f t="shared" si="0"/>
        <v>#REF!</v>
      </c>
      <c r="F27" s="86"/>
      <c r="G27" s="33" t="e">
        <f t="shared" si="1"/>
        <v>#REF!</v>
      </c>
      <c r="H27" s="86"/>
      <c r="I27" s="33" t="e">
        <f t="shared" si="2"/>
        <v>#REF!</v>
      </c>
      <c r="J27" s="33" t="e">
        <f t="shared" si="3"/>
        <v>#REF!</v>
      </c>
      <c r="K27" s="34"/>
      <c r="L27" s="35" t="e">
        <f>SUM(I18:I27)</f>
        <v>#REF!</v>
      </c>
      <c r="M27" s="35" t="e">
        <f>SUM(L17:L27)</f>
        <v>#REF!</v>
      </c>
      <c r="N27" s="36">
        <v>43496</v>
      </c>
    </row>
    <row r="28" spans="1:14" s="71" customFormat="1" x14ac:dyDescent="0.35">
      <c r="A28" s="23">
        <v>43497</v>
      </c>
      <c r="B28" s="69" t="s">
        <v>142</v>
      </c>
      <c r="C28" s="26"/>
      <c r="D28" s="26">
        <v>150</v>
      </c>
      <c r="E28" s="42" t="e">
        <f t="shared" si="0"/>
        <v>#REF!</v>
      </c>
      <c r="F28" s="43"/>
      <c r="G28" s="26" t="e">
        <f t="shared" si="1"/>
        <v>#REF!</v>
      </c>
      <c r="H28" s="43"/>
      <c r="I28" s="26" t="e">
        <f t="shared" si="2"/>
        <v>#REF!</v>
      </c>
      <c r="J28" s="26" t="e">
        <f t="shared" si="3"/>
        <v>#REF!</v>
      </c>
      <c r="K28" s="70"/>
      <c r="L28" s="98"/>
      <c r="M28" s="98"/>
      <c r="N28" s="98"/>
    </row>
    <row r="29" spans="1:14" s="71" customFormat="1" x14ac:dyDescent="0.35">
      <c r="A29" s="23">
        <v>43497</v>
      </c>
      <c r="B29" s="69" t="s">
        <v>146</v>
      </c>
      <c r="C29" s="26"/>
      <c r="D29" s="26">
        <v>300</v>
      </c>
      <c r="E29" s="42" t="e">
        <f t="shared" si="0"/>
        <v>#REF!</v>
      </c>
      <c r="F29" s="43"/>
      <c r="G29" s="26" t="e">
        <f t="shared" si="1"/>
        <v>#REF!</v>
      </c>
      <c r="H29" s="43"/>
      <c r="I29" s="26" t="e">
        <f t="shared" si="2"/>
        <v>#REF!</v>
      </c>
      <c r="J29" s="26" t="e">
        <f t="shared" si="3"/>
        <v>#REF!</v>
      </c>
      <c r="K29" s="70"/>
      <c r="L29" s="98"/>
      <c r="M29" s="98"/>
      <c r="N29" s="98"/>
    </row>
    <row r="30" spans="1:14" s="71" customFormat="1" x14ac:dyDescent="0.35">
      <c r="A30" s="23">
        <v>43497</v>
      </c>
      <c r="B30" s="69" t="s">
        <v>147</v>
      </c>
      <c r="C30" s="26"/>
      <c r="D30" s="26">
        <v>150</v>
      </c>
      <c r="E30" s="42" t="e">
        <f t="shared" ref="E30:E79" si="4">+E29-D30</f>
        <v>#REF!</v>
      </c>
      <c r="F30" s="43"/>
      <c r="G30" s="26" t="e">
        <f t="shared" ref="G30:G79" si="5">+J29/E29</f>
        <v>#REF!</v>
      </c>
      <c r="H30" s="43"/>
      <c r="I30" s="26" t="e">
        <f t="shared" ref="I30:I79" si="6">+D30*G30</f>
        <v>#REF!</v>
      </c>
      <c r="J30" s="26" t="e">
        <f t="shared" ref="J30:J79" si="7">+J29-I30</f>
        <v>#REF!</v>
      </c>
      <c r="K30" s="70"/>
      <c r="L30" s="98"/>
      <c r="M30" s="98"/>
      <c r="N30" s="98"/>
    </row>
    <row r="31" spans="1:14" s="71" customFormat="1" x14ac:dyDescent="0.35">
      <c r="A31" s="23">
        <v>43508</v>
      </c>
      <c r="B31" s="69" t="s">
        <v>168</v>
      </c>
      <c r="C31" s="26"/>
      <c r="D31" s="26">
        <v>150</v>
      </c>
      <c r="E31" s="42" t="e">
        <f t="shared" si="4"/>
        <v>#REF!</v>
      </c>
      <c r="F31" s="43"/>
      <c r="G31" s="26" t="e">
        <f t="shared" si="5"/>
        <v>#REF!</v>
      </c>
      <c r="H31" s="43"/>
      <c r="I31" s="26" t="e">
        <f t="shared" si="6"/>
        <v>#REF!</v>
      </c>
      <c r="J31" s="26" t="e">
        <f t="shared" si="7"/>
        <v>#REF!</v>
      </c>
      <c r="K31" s="70"/>
      <c r="L31" s="98"/>
      <c r="M31" s="98"/>
      <c r="N31" s="98"/>
    </row>
    <row r="32" spans="1:14" s="71" customFormat="1" x14ac:dyDescent="0.35">
      <c r="A32" s="23">
        <v>43509</v>
      </c>
      <c r="B32" s="69" t="s">
        <v>174</v>
      </c>
      <c r="C32" s="26"/>
      <c r="D32" s="26">
        <v>50</v>
      </c>
      <c r="E32" s="42" t="e">
        <f t="shared" si="4"/>
        <v>#REF!</v>
      </c>
      <c r="F32" s="43"/>
      <c r="G32" s="26" t="e">
        <f t="shared" si="5"/>
        <v>#REF!</v>
      </c>
      <c r="H32" s="43"/>
      <c r="I32" s="26" t="e">
        <f t="shared" si="6"/>
        <v>#REF!</v>
      </c>
      <c r="J32" s="26" t="e">
        <f t="shared" si="7"/>
        <v>#REF!</v>
      </c>
      <c r="K32" s="70"/>
      <c r="L32" s="98"/>
      <c r="M32" s="98"/>
      <c r="N32" s="98"/>
    </row>
    <row r="33" spans="1:14" s="37" customFormat="1" x14ac:dyDescent="0.35">
      <c r="A33" s="31">
        <v>43509</v>
      </c>
      <c r="B33" s="39" t="s">
        <v>176</v>
      </c>
      <c r="C33" s="33"/>
      <c r="D33" s="33">
        <v>550</v>
      </c>
      <c r="E33" s="85" t="e">
        <f t="shared" si="4"/>
        <v>#REF!</v>
      </c>
      <c r="F33" s="86"/>
      <c r="G33" s="33" t="e">
        <f t="shared" si="5"/>
        <v>#REF!</v>
      </c>
      <c r="H33" s="86"/>
      <c r="I33" s="33" t="e">
        <f t="shared" si="6"/>
        <v>#REF!</v>
      </c>
      <c r="J33" s="33" t="e">
        <f t="shared" si="7"/>
        <v>#REF!</v>
      </c>
      <c r="K33" s="34"/>
      <c r="L33" s="35" t="e">
        <f>SUM(I28:I33)</f>
        <v>#REF!</v>
      </c>
      <c r="M33" s="114"/>
      <c r="N33" s="36">
        <v>43511</v>
      </c>
    </row>
    <row r="34" spans="1:14" s="71" customFormat="1" x14ac:dyDescent="0.35">
      <c r="A34" s="23">
        <v>43512</v>
      </c>
      <c r="B34" s="69" t="s">
        <v>179</v>
      </c>
      <c r="C34" s="26"/>
      <c r="D34" s="26">
        <v>300</v>
      </c>
      <c r="E34" s="42" t="e">
        <f t="shared" si="4"/>
        <v>#REF!</v>
      </c>
      <c r="F34" s="43"/>
      <c r="G34" s="26" t="e">
        <f t="shared" si="5"/>
        <v>#REF!</v>
      </c>
      <c r="H34" s="43"/>
      <c r="I34" s="26" t="e">
        <f t="shared" si="6"/>
        <v>#REF!</v>
      </c>
      <c r="J34" s="26" t="e">
        <f t="shared" si="7"/>
        <v>#REF!</v>
      </c>
      <c r="K34" s="70"/>
      <c r="L34" s="98"/>
      <c r="M34" s="98"/>
      <c r="N34" s="98"/>
    </row>
    <row r="35" spans="1:14" s="71" customFormat="1" x14ac:dyDescent="0.35">
      <c r="A35" s="23">
        <v>43514</v>
      </c>
      <c r="B35" s="69" t="s">
        <v>182</v>
      </c>
      <c r="C35" s="26"/>
      <c r="D35" s="26">
        <v>400</v>
      </c>
      <c r="E35" s="42" t="e">
        <f t="shared" si="4"/>
        <v>#REF!</v>
      </c>
      <c r="F35" s="43"/>
      <c r="G35" s="26" t="e">
        <f t="shared" si="5"/>
        <v>#REF!</v>
      </c>
      <c r="H35" s="43"/>
      <c r="I35" s="26" t="e">
        <f t="shared" si="6"/>
        <v>#REF!</v>
      </c>
      <c r="J35" s="26" t="e">
        <f t="shared" si="7"/>
        <v>#REF!</v>
      </c>
      <c r="K35" s="70"/>
      <c r="L35" s="98"/>
      <c r="M35" s="98"/>
      <c r="N35" s="98"/>
    </row>
    <row r="36" spans="1:14" s="37" customFormat="1" x14ac:dyDescent="0.35">
      <c r="A36" s="31">
        <v>43515</v>
      </c>
      <c r="B36" s="39" t="s">
        <v>183</v>
      </c>
      <c r="C36" s="33"/>
      <c r="D36" s="33">
        <v>250</v>
      </c>
      <c r="E36" s="85" t="e">
        <f t="shared" si="4"/>
        <v>#REF!</v>
      </c>
      <c r="F36" s="86"/>
      <c r="G36" s="33" t="e">
        <f t="shared" si="5"/>
        <v>#REF!</v>
      </c>
      <c r="H36" s="86"/>
      <c r="I36" s="33" t="e">
        <f t="shared" si="6"/>
        <v>#REF!</v>
      </c>
      <c r="J36" s="33" t="e">
        <f t="shared" si="7"/>
        <v>#REF!</v>
      </c>
      <c r="K36" s="34"/>
      <c r="L36" s="35" t="e">
        <f>SUM(I34:I36)</f>
        <v>#REF!</v>
      </c>
      <c r="M36" s="35" t="e">
        <f>SUM(L33:L36)</f>
        <v>#REF!</v>
      </c>
      <c r="N36" s="36">
        <v>43524</v>
      </c>
    </row>
    <row r="37" spans="1:14" s="71" customFormat="1" x14ac:dyDescent="0.35">
      <c r="A37" s="23">
        <v>43530</v>
      </c>
      <c r="B37" s="69" t="s">
        <v>213</v>
      </c>
      <c r="C37" s="26"/>
      <c r="D37" s="26">
        <v>300</v>
      </c>
      <c r="E37" s="42" t="e">
        <f t="shared" si="4"/>
        <v>#REF!</v>
      </c>
      <c r="F37" s="43"/>
      <c r="G37" s="26" t="e">
        <f t="shared" si="5"/>
        <v>#REF!</v>
      </c>
      <c r="H37" s="43"/>
      <c r="I37" s="26" t="e">
        <f t="shared" si="6"/>
        <v>#REF!</v>
      </c>
      <c r="J37" s="26" t="e">
        <f t="shared" si="7"/>
        <v>#REF!</v>
      </c>
      <c r="K37" s="70"/>
      <c r="L37" s="98"/>
      <c r="M37" s="98"/>
      <c r="N37" s="98"/>
    </row>
    <row r="38" spans="1:14" s="71" customFormat="1" x14ac:dyDescent="0.35">
      <c r="A38" s="23">
        <v>43535</v>
      </c>
      <c r="B38" s="69" t="s">
        <v>220</v>
      </c>
      <c r="C38" s="26"/>
      <c r="D38" s="26">
        <v>25</v>
      </c>
      <c r="E38" s="42" t="e">
        <f t="shared" si="4"/>
        <v>#REF!</v>
      </c>
      <c r="F38" s="43"/>
      <c r="G38" s="26" t="e">
        <f t="shared" si="5"/>
        <v>#REF!</v>
      </c>
      <c r="H38" s="43"/>
      <c r="I38" s="26" t="e">
        <f t="shared" si="6"/>
        <v>#REF!</v>
      </c>
      <c r="J38" s="26" t="e">
        <f t="shared" si="7"/>
        <v>#REF!</v>
      </c>
      <c r="K38" s="70"/>
      <c r="L38" s="98"/>
      <c r="M38" s="98"/>
      <c r="N38" s="98"/>
    </row>
    <row r="39" spans="1:14" s="71" customFormat="1" x14ac:dyDescent="0.35">
      <c r="A39" s="23">
        <v>43537</v>
      </c>
      <c r="B39" s="69" t="s">
        <v>223</v>
      </c>
      <c r="C39" s="26"/>
      <c r="D39" s="26">
        <v>16</v>
      </c>
      <c r="E39" s="42" t="e">
        <f t="shared" si="4"/>
        <v>#REF!</v>
      </c>
      <c r="F39" s="43"/>
      <c r="G39" s="26" t="e">
        <f t="shared" si="5"/>
        <v>#REF!</v>
      </c>
      <c r="H39" s="43"/>
      <c r="I39" s="26" t="e">
        <f t="shared" si="6"/>
        <v>#REF!</v>
      </c>
      <c r="J39" s="26" t="e">
        <f t="shared" si="7"/>
        <v>#REF!</v>
      </c>
      <c r="K39" s="70"/>
      <c r="L39" s="98"/>
      <c r="M39" s="98"/>
      <c r="N39" s="98"/>
    </row>
    <row r="40" spans="1:14" s="71" customFormat="1" x14ac:dyDescent="0.35">
      <c r="A40" s="23">
        <v>43537</v>
      </c>
      <c r="B40" s="69" t="s">
        <v>225</v>
      </c>
      <c r="C40" s="26"/>
      <c r="D40" s="26">
        <v>100</v>
      </c>
      <c r="E40" s="42" t="e">
        <f t="shared" si="4"/>
        <v>#REF!</v>
      </c>
      <c r="F40" s="43"/>
      <c r="G40" s="26" t="e">
        <f t="shared" si="5"/>
        <v>#REF!</v>
      </c>
      <c r="H40" s="43"/>
      <c r="I40" s="26" t="e">
        <f t="shared" si="6"/>
        <v>#REF!</v>
      </c>
      <c r="J40" s="26" t="e">
        <f t="shared" si="7"/>
        <v>#REF!</v>
      </c>
      <c r="K40" s="70"/>
      <c r="L40" s="98"/>
      <c r="M40" s="98"/>
      <c r="N40" s="98"/>
    </row>
    <row r="41" spans="1:14" s="37" customFormat="1" x14ac:dyDescent="0.35">
      <c r="A41" s="31">
        <v>43539</v>
      </c>
      <c r="B41" s="39" t="s">
        <v>230</v>
      </c>
      <c r="C41" s="33"/>
      <c r="D41" s="33">
        <v>100</v>
      </c>
      <c r="E41" s="85" t="e">
        <f t="shared" si="4"/>
        <v>#REF!</v>
      </c>
      <c r="F41" s="86"/>
      <c r="G41" s="33" t="e">
        <f t="shared" si="5"/>
        <v>#REF!</v>
      </c>
      <c r="H41" s="86"/>
      <c r="I41" s="33" t="e">
        <f t="shared" si="6"/>
        <v>#REF!</v>
      </c>
      <c r="J41" s="33" t="e">
        <f t="shared" si="7"/>
        <v>#REF!</v>
      </c>
      <c r="K41" s="34"/>
      <c r="L41" s="35" t="e">
        <f>SUM(I37:I41)</f>
        <v>#REF!</v>
      </c>
      <c r="M41" s="114"/>
      <c r="N41" s="36">
        <v>43174</v>
      </c>
    </row>
    <row r="42" spans="1:14" s="37" customFormat="1" x14ac:dyDescent="0.35">
      <c r="A42" s="31">
        <v>43540</v>
      </c>
      <c r="B42" s="39" t="s">
        <v>232</v>
      </c>
      <c r="C42" s="33"/>
      <c r="D42" s="33">
        <v>100</v>
      </c>
      <c r="E42" s="85" t="e">
        <f t="shared" si="4"/>
        <v>#REF!</v>
      </c>
      <c r="F42" s="86"/>
      <c r="G42" s="33" t="e">
        <f t="shared" si="5"/>
        <v>#REF!</v>
      </c>
      <c r="H42" s="86"/>
      <c r="I42" s="33" t="e">
        <f t="shared" si="6"/>
        <v>#REF!</v>
      </c>
      <c r="J42" s="33" t="e">
        <f t="shared" si="7"/>
        <v>#REF!</v>
      </c>
      <c r="K42" s="34"/>
      <c r="L42" s="35" t="e">
        <f>SUM(I42)</f>
        <v>#REF!</v>
      </c>
      <c r="M42" s="35" t="e">
        <f>SUM(L41:L42)</f>
        <v>#REF!</v>
      </c>
      <c r="N42" s="36">
        <v>43555</v>
      </c>
    </row>
    <row r="43" spans="1:14" s="71" customFormat="1" x14ac:dyDescent="0.35">
      <c r="A43" s="23">
        <v>43556</v>
      </c>
      <c r="B43" s="69" t="s">
        <v>265</v>
      </c>
      <c r="C43" s="26"/>
      <c r="D43" s="26">
        <v>100</v>
      </c>
      <c r="E43" s="42" t="e">
        <f t="shared" si="4"/>
        <v>#REF!</v>
      </c>
      <c r="F43" s="43"/>
      <c r="G43" s="26" t="e">
        <f t="shared" si="5"/>
        <v>#REF!</v>
      </c>
      <c r="H43" s="43"/>
      <c r="I43" s="26" t="e">
        <f t="shared" si="6"/>
        <v>#REF!</v>
      </c>
      <c r="J43" s="26" t="e">
        <f t="shared" si="7"/>
        <v>#REF!</v>
      </c>
      <c r="K43" s="70"/>
      <c r="L43" s="98"/>
      <c r="M43" s="98"/>
      <c r="N43" s="98"/>
    </row>
    <row r="44" spans="1:14" s="71" customFormat="1" x14ac:dyDescent="0.35">
      <c r="A44" s="23">
        <v>43557</v>
      </c>
      <c r="B44" s="69" t="s">
        <v>268</v>
      </c>
      <c r="C44" s="26"/>
      <c r="D44" s="26">
        <v>500</v>
      </c>
      <c r="E44" s="42" t="e">
        <f t="shared" si="4"/>
        <v>#REF!</v>
      </c>
      <c r="F44" s="43"/>
      <c r="G44" s="26" t="e">
        <f t="shared" si="5"/>
        <v>#REF!</v>
      </c>
      <c r="H44" s="43"/>
      <c r="I44" s="26" t="e">
        <f t="shared" si="6"/>
        <v>#REF!</v>
      </c>
      <c r="J44" s="26" t="e">
        <f t="shared" si="7"/>
        <v>#REF!</v>
      </c>
      <c r="K44" s="70"/>
      <c r="L44" s="98"/>
      <c r="M44" s="98"/>
      <c r="N44" s="98"/>
    </row>
    <row r="45" spans="1:14" s="71" customFormat="1" x14ac:dyDescent="0.35">
      <c r="A45" s="23">
        <v>43561</v>
      </c>
      <c r="B45" s="69" t="s">
        <v>274</v>
      </c>
      <c r="C45" s="26"/>
      <c r="D45" s="26">
        <v>250</v>
      </c>
      <c r="E45" s="42" t="e">
        <f t="shared" si="4"/>
        <v>#REF!</v>
      </c>
      <c r="F45" s="43"/>
      <c r="G45" s="26" t="e">
        <f t="shared" si="5"/>
        <v>#REF!</v>
      </c>
      <c r="H45" s="43"/>
      <c r="I45" s="26" t="e">
        <f t="shared" si="6"/>
        <v>#REF!</v>
      </c>
      <c r="J45" s="26" t="e">
        <f t="shared" si="7"/>
        <v>#REF!</v>
      </c>
      <c r="K45" s="70"/>
      <c r="L45" s="98"/>
      <c r="M45" s="98"/>
      <c r="N45" s="98"/>
    </row>
    <row r="46" spans="1:14" s="71" customFormat="1" x14ac:dyDescent="0.35">
      <c r="A46" s="23">
        <v>43561</v>
      </c>
      <c r="B46" s="69" t="s">
        <v>275</v>
      </c>
      <c r="C46" s="26"/>
      <c r="D46" s="26">
        <v>150</v>
      </c>
      <c r="E46" s="42" t="e">
        <f t="shared" si="4"/>
        <v>#REF!</v>
      </c>
      <c r="F46" s="43"/>
      <c r="G46" s="26" t="e">
        <f t="shared" si="5"/>
        <v>#REF!</v>
      </c>
      <c r="H46" s="43"/>
      <c r="I46" s="26" t="e">
        <f t="shared" si="6"/>
        <v>#REF!</v>
      </c>
      <c r="J46" s="26" t="e">
        <f t="shared" si="7"/>
        <v>#REF!</v>
      </c>
      <c r="K46" s="70"/>
      <c r="L46" s="98"/>
      <c r="M46" s="98"/>
      <c r="N46" s="98"/>
    </row>
    <row r="47" spans="1:14" s="71" customFormat="1" x14ac:dyDescent="0.35">
      <c r="A47" s="23">
        <v>43561</v>
      </c>
      <c r="B47" s="69" t="s">
        <v>276</v>
      </c>
      <c r="C47" s="26"/>
      <c r="D47" s="26">
        <v>100</v>
      </c>
      <c r="E47" s="42" t="e">
        <f t="shared" si="4"/>
        <v>#REF!</v>
      </c>
      <c r="F47" s="43"/>
      <c r="G47" s="26" t="e">
        <f t="shared" si="5"/>
        <v>#REF!</v>
      </c>
      <c r="H47" s="43"/>
      <c r="I47" s="26" t="e">
        <f t="shared" si="6"/>
        <v>#REF!</v>
      </c>
      <c r="J47" s="26" t="e">
        <f t="shared" si="7"/>
        <v>#REF!</v>
      </c>
      <c r="K47" s="70"/>
      <c r="L47" s="98"/>
      <c r="M47" s="98"/>
      <c r="N47" s="98"/>
    </row>
    <row r="48" spans="1:14" s="71" customFormat="1" x14ac:dyDescent="0.35">
      <c r="A48" s="23">
        <v>43565</v>
      </c>
      <c r="B48" s="69" t="s">
        <v>283</v>
      </c>
      <c r="C48" s="26"/>
      <c r="D48" s="26">
        <v>250</v>
      </c>
      <c r="E48" s="42" t="e">
        <f t="shared" si="4"/>
        <v>#REF!</v>
      </c>
      <c r="F48" s="43"/>
      <c r="G48" s="26" t="e">
        <f t="shared" si="5"/>
        <v>#REF!</v>
      </c>
      <c r="H48" s="43"/>
      <c r="I48" s="26" t="e">
        <f t="shared" si="6"/>
        <v>#REF!</v>
      </c>
      <c r="J48" s="26" t="e">
        <f t="shared" si="7"/>
        <v>#REF!</v>
      </c>
      <c r="K48" s="70"/>
      <c r="L48" s="98"/>
      <c r="M48" s="98"/>
      <c r="N48" s="98"/>
    </row>
    <row r="49" spans="1:14" s="71" customFormat="1" x14ac:dyDescent="0.35">
      <c r="A49" s="23">
        <v>43566</v>
      </c>
      <c r="B49" s="69" t="s">
        <v>289</v>
      </c>
      <c r="C49" s="26"/>
      <c r="D49" s="26">
        <v>150</v>
      </c>
      <c r="E49" s="42" t="e">
        <f t="shared" si="4"/>
        <v>#REF!</v>
      </c>
      <c r="F49" s="43"/>
      <c r="G49" s="26" t="e">
        <f t="shared" si="5"/>
        <v>#REF!</v>
      </c>
      <c r="H49" s="43"/>
      <c r="I49" s="26" t="e">
        <f t="shared" si="6"/>
        <v>#REF!</v>
      </c>
      <c r="J49" s="26" t="e">
        <f t="shared" si="7"/>
        <v>#REF!</v>
      </c>
      <c r="K49" s="70"/>
      <c r="L49" s="98"/>
      <c r="M49" s="98"/>
      <c r="N49" s="98"/>
    </row>
    <row r="50" spans="1:14" s="37" customFormat="1" x14ac:dyDescent="0.35">
      <c r="A50" s="31">
        <v>43567</v>
      </c>
      <c r="B50" s="39" t="s">
        <v>291</v>
      </c>
      <c r="C50" s="33"/>
      <c r="D50" s="33">
        <v>50</v>
      </c>
      <c r="E50" s="85" t="e">
        <f t="shared" si="4"/>
        <v>#REF!</v>
      </c>
      <c r="F50" s="86"/>
      <c r="G50" s="33" t="e">
        <f t="shared" si="5"/>
        <v>#REF!</v>
      </c>
      <c r="H50" s="86"/>
      <c r="I50" s="33" t="e">
        <f t="shared" si="6"/>
        <v>#REF!</v>
      </c>
      <c r="J50" s="33" t="e">
        <f t="shared" si="7"/>
        <v>#REF!</v>
      </c>
      <c r="K50" s="34"/>
      <c r="L50" s="35" t="e">
        <f>SUM(I43:I50)</f>
        <v>#REF!</v>
      </c>
      <c r="M50" s="114"/>
      <c r="N50" s="36">
        <v>43570</v>
      </c>
    </row>
    <row r="51" spans="1:14" s="71" customFormat="1" x14ac:dyDescent="0.35">
      <c r="A51" s="23">
        <v>43571</v>
      </c>
      <c r="B51" s="69" t="s">
        <v>296</v>
      </c>
      <c r="C51" s="26"/>
      <c r="D51" s="26">
        <v>100</v>
      </c>
      <c r="E51" s="42" t="e">
        <f t="shared" si="4"/>
        <v>#REF!</v>
      </c>
      <c r="F51" s="43"/>
      <c r="G51" s="26" t="e">
        <f t="shared" si="5"/>
        <v>#REF!</v>
      </c>
      <c r="H51" s="43"/>
      <c r="I51" s="26" t="e">
        <f t="shared" si="6"/>
        <v>#REF!</v>
      </c>
      <c r="J51" s="26" t="e">
        <f t="shared" si="7"/>
        <v>#REF!</v>
      </c>
      <c r="K51" s="70"/>
      <c r="L51" s="98"/>
      <c r="M51" s="98"/>
      <c r="N51" s="98"/>
    </row>
    <row r="52" spans="1:14" s="37" customFormat="1" x14ac:dyDescent="0.35">
      <c r="A52" s="31">
        <v>43578</v>
      </c>
      <c r="B52" s="39" t="s">
        <v>310</v>
      </c>
      <c r="C52" s="33"/>
      <c r="D52" s="33">
        <v>6</v>
      </c>
      <c r="E52" s="85" t="e">
        <f t="shared" si="4"/>
        <v>#REF!</v>
      </c>
      <c r="F52" s="86"/>
      <c r="G52" s="33" t="e">
        <f t="shared" si="5"/>
        <v>#REF!</v>
      </c>
      <c r="H52" s="86"/>
      <c r="I52" s="33" t="e">
        <f t="shared" si="6"/>
        <v>#REF!</v>
      </c>
      <c r="J52" s="33" t="e">
        <f t="shared" si="7"/>
        <v>#REF!</v>
      </c>
      <c r="K52" s="34"/>
      <c r="L52" s="35" t="e">
        <f>SUM(I51:I52)</f>
        <v>#REF!</v>
      </c>
      <c r="M52" s="35" t="e">
        <f>SUM(L50:L52)</f>
        <v>#REF!</v>
      </c>
      <c r="N52" s="36">
        <v>43585</v>
      </c>
    </row>
    <row r="53" spans="1:14" s="71" customFormat="1" x14ac:dyDescent="0.35">
      <c r="A53" s="23">
        <v>43588</v>
      </c>
      <c r="B53" s="69" t="s">
        <v>330</v>
      </c>
      <c r="C53" s="26"/>
      <c r="D53" s="26">
        <v>100</v>
      </c>
      <c r="E53" s="42" t="e">
        <f t="shared" si="4"/>
        <v>#REF!</v>
      </c>
      <c r="F53" s="43"/>
      <c r="G53" s="26" t="e">
        <f t="shared" si="5"/>
        <v>#REF!</v>
      </c>
      <c r="H53" s="43"/>
      <c r="I53" s="26" t="e">
        <f t="shared" si="6"/>
        <v>#REF!</v>
      </c>
      <c r="J53" s="26" t="e">
        <f t="shared" si="7"/>
        <v>#REF!</v>
      </c>
      <c r="K53" s="70"/>
      <c r="L53" s="98"/>
      <c r="M53" s="98"/>
      <c r="N53" s="98"/>
    </row>
    <row r="54" spans="1:14" s="71" customFormat="1" x14ac:dyDescent="0.35">
      <c r="A54" s="23">
        <v>43599</v>
      </c>
      <c r="B54" s="69" t="s">
        <v>348</v>
      </c>
      <c r="C54" s="26"/>
      <c r="D54" s="26">
        <v>100</v>
      </c>
      <c r="E54" s="42" t="e">
        <f t="shared" si="4"/>
        <v>#REF!</v>
      </c>
      <c r="F54" s="43"/>
      <c r="G54" s="26" t="e">
        <f t="shared" si="5"/>
        <v>#REF!</v>
      </c>
      <c r="H54" s="43"/>
      <c r="I54" s="26" t="e">
        <f t="shared" si="6"/>
        <v>#REF!</v>
      </c>
      <c r="J54" s="26" t="e">
        <f t="shared" si="7"/>
        <v>#REF!</v>
      </c>
      <c r="K54" s="70"/>
      <c r="L54" s="98"/>
      <c r="M54" s="98"/>
      <c r="N54" s="98"/>
    </row>
    <row r="55" spans="1:14" s="37" customFormat="1" x14ac:dyDescent="0.35">
      <c r="A55" s="31">
        <v>43600</v>
      </c>
      <c r="B55" s="39" t="s">
        <v>352</v>
      </c>
      <c r="C55" s="33"/>
      <c r="D55" s="33">
        <v>250</v>
      </c>
      <c r="E55" s="85" t="e">
        <f t="shared" si="4"/>
        <v>#REF!</v>
      </c>
      <c r="F55" s="86"/>
      <c r="G55" s="33" t="e">
        <f t="shared" si="5"/>
        <v>#REF!</v>
      </c>
      <c r="H55" s="86"/>
      <c r="I55" s="33" t="e">
        <f t="shared" si="6"/>
        <v>#REF!</v>
      </c>
      <c r="J55" s="33" t="e">
        <f t="shared" si="7"/>
        <v>#REF!</v>
      </c>
      <c r="K55" s="34"/>
      <c r="L55" s="35" t="e">
        <f>SUM(I53:I55)</f>
        <v>#REF!</v>
      </c>
      <c r="M55" s="114"/>
      <c r="N55" s="36">
        <v>43600</v>
      </c>
    </row>
    <row r="56" spans="1:14" s="37" customFormat="1" x14ac:dyDescent="0.35">
      <c r="A56" s="31">
        <v>43616</v>
      </c>
      <c r="B56" s="39" t="s">
        <v>377</v>
      </c>
      <c r="C56" s="33"/>
      <c r="D56" s="33">
        <v>50</v>
      </c>
      <c r="E56" s="85" t="e">
        <f t="shared" si="4"/>
        <v>#REF!</v>
      </c>
      <c r="F56" s="86"/>
      <c r="G56" s="33" t="e">
        <f t="shared" si="5"/>
        <v>#REF!</v>
      </c>
      <c r="H56" s="86"/>
      <c r="I56" s="33" t="e">
        <f t="shared" si="6"/>
        <v>#REF!</v>
      </c>
      <c r="J56" s="33" t="e">
        <f t="shared" si="7"/>
        <v>#REF!</v>
      </c>
      <c r="K56" s="34"/>
      <c r="L56" s="35" t="e">
        <f>SUM(I56)</f>
        <v>#REF!</v>
      </c>
      <c r="M56" s="35" t="e">
        <f>SUM(L55:L56)</f>
        <v>#REF!</v>
      </c>
      <c r="N56" s="36">
        <v>43616</v>
      </c>
    </row>
    <row r="57" spans="1:14" s="37" customFormat="1" x14ac:dyDescent="0.35">
      <c r="A57" s="31">
        <v>43623</v>
      </c>
      <c r="B57" s="39" t="s">
        <v>391</v>
      </c>
      <c r="C57" s="33"/>
      <c r="D57" s="33">
        <v>250</v>
      </c>
      <c r="E57" s="85" t="e">
        <f t="shared" si="4"/>
        <v>#REF!</v>
      </c>
      <c r="F57" s="86"/>
      <c r="G57" s="33" t="e">
        <f t="shared" si="5"/>
        <v>#REF!</v>
      </c>
      <c r="H57" s="86"/>
      <c r="I57" s="33" t="e">
        <f t="shared" si="6"/>
        <v>#REF!</v>
      </c>
      <c r="J57" s="33" t="e">
        <f t="shared" si="7"/>
        <v>#REF!</v>
      </c>
      <c r="K57" s="34"/>
      <c r="L57" s="35" t="e">
        <f>SUM(I57)</f>
        <v>#REF!</v>
      </c>
      <c r="M57" s="114"/>
      <c r="N57" s="36">
        <v>43631</v>
      </c>
    </row>
    <row r="58" spans="1:14" s="71" customFormat="1" x14ac:dyDescent="0.35">
      <c r="A58" s="23">
        <v>43635</v>
      </c>
      <c r="B58" s="69" t="s">
        <v>414</v>
      </c>
      <c r="C58" s="26"/>
      <c r="D58" s="26">
        <v>150</v>
      </c>
      <c r="E58" s="42" t="e">
        <f t="shared" si="4"/>
        <v>#REF!</v>
      </c>
      <c r="F58" s="43"/>
      <c r="G58" s="26" t="e">
        <f t="shared" si="5"/>
        <v>#REF!</v>
      </c>
      <c r="H58" s="43"/>
      <c r="I58" s="26" t="e">
        <f t="shared" si="6"/>
        <v>#REF!</v>
      </c>
      <c r="J58" s="26" t="e">
        <f t="shared" si="7"/>
        <v>#REF!</v>
      </c>
      <c r="K58" s="70"/>
      <c r="L58" s="98"/>
      <c r="M58" s="98"/>
      <c r="N58" s="98"/>
    </row>
    <row r="59" spans="1:14" s="71" customFormat="1" x14ac:dyDescent="0.35">
      <c r="A59" s="23">
        <v>43635</v>
      </c>
      <c r="B59" s="69" t="s">
        <v>417</v>
      </c>
      <c r="C59" s="26"/>
      <c r="D59" s="26">
        <v>100</v>
      </c>
      <c r="E59" s="42" t="e">
        <f t="shared" si="4"/>
        <v>#REF!</v>
      </c>
      <c r="F59" s="43"/>
      <c r="G59" s="26" t="e">
        <f t="shared" si="5"/>
        <v>#REF!</v>
      </c>
      <c r="H59" s="43"/>
      <c r="I59" s="26" t="e">
        <f t="shared" si="6"/>
        <v>#REF!</v>
      </c>
      <c r="J59" s="26" t="e">
        <f t="shared" si="7"/>
        <v>#REF!</v>
      </c>
      <c r="K59" s="70"/>
      <c r="L59" s="98"/>
      <c r="M59" s="98"/>
      <c r="N59" s="98"/>
    </row>
    <row r="60" spans="1:14" s="71" customFormat="1" x14ac:dyDescent="0.35">
      <c r="A60" s="23">
        <v>43635</v>
      </c>
      <c r="B60" s="69" t="s">
        <v>418</v>
      </c>
      <c r="C60" s="26"/>
      <c r="D60" s="26">
        <v>150</v>
      </c>
      <c r="E60" s="42" t="e">
        <f t="shared" si="4"/>
        <v>#REF!</v>
      </c>
      <c r="F60" s="43"/>
      <c r="G60" s="26" t="e">
        <f t="shared" si="5"/>
        <v>#REF!</v>
      </c>
      <c r="H60" s="43"/>
      <c r="I60" s="26" t="e">
        <f t="shared" si="6"/>
        <v>#REF!</v>
      </c>
      <c r="J60" s="26" t="e">
        <f t="shared" si="7"/>
        <v>#REF!</v>
      </c>
      <c r="K60" s="70"/>
      <c r="L60" s="98"/>
      <c r="M60" s="98"/>
      <c r="N60" s="98"/>
    </row>
    <row r="61" spans="1:14" s="71" customFormat="1" x14ac:dyDescent="0.35">
      <c r="A61" s="23">
        <v>43641</v>
      </c>
      <c r="B61" s="69" t="s">
        <v>423</v>
      </c>
      <c r="C61" s="26"/>
      <c r="D61" s="26">
        <v>200</v>
      </c>
      <c r="E61" s="42" t="e">
        <f t="shared" si="4"/>
        <v>#REF!</v>
      </c>
      <c r="F61" s="43"/>
      <c r="G61" s="26" t="e">
        <f t="shared" si="5"/>
        <v>#REF!</v>
      </c>
      <c r="H61" s="43"/>
      <c r="I61" s="26" t="e">
        <f t="shared" si="6"/>
        <v>#REF!</v>
      </c>
      <c r="J61" s="26" t="e">
        <f t="shared" si="7"/>
        <v>#REF!</v>
      </c>
      <c r="K61" s="70"/>
      <c r="L61" s="98"/>
      <c r="M61" s="98"/>
      <c r="N61" s="98"/>
    </row>
    <row r="62" spans="1:14" s="37" customFormat="1" x14ac:dyDescent="0.35">
      <c r="A62" s="31">
        <v>43644</v>
      </c>
      <c r="B62" s="39" t="s">
        <v>441</v>
      </c>
      <c r="C62" s="33"/>
      <c r="D62" s="33">
        <v>300</v>
      </c>
      <c r="E62" s="85" t="e">
        <f t="shared" si="4"/>
        <v>#REF!</v>
      </c>
      <c r="F62" s="86"/>
      <c r="G62" s="33" t="e">
        <f t="shared" si="5"/>
        <v>#REF!</v>
      </c>
      <c r="H62" s="86"/>
      <c r="I62" s="33" t="e">
        <f t="shared" si="6"/>
        <v>#REF!</v>
      </c>
      <c r="J62" s="33" t="e">
        <f t="shared" si="7"/>
        <v>#REF!</v>
      </c>
      <c r="K62" s="34"/>
      <c r="L62" s="35" t="e">
        <f>SUM(I58:I62)</f>
        <v>#REF!</v>
      </c>
      <c r="M62" s="35" t="e">
        <f>SUM(L57:L62)</f>
        <v>#REF!</v>
      </c>
      <c r="N62" s="36">
        <v>43646</v>
      </c>
    </row>
    <row r="63" spans="1:14" s="71" customFormat="1" x14ac:dyDescent="0.35">
      <c r="A63" s="23">
        <v>43648</v>
      </c>
      <c r="B63" s="69" t="s">
        <v>447</v>
      </c>
      <c r="C63" s="26"/>
      <c r="D63" s="26">
        <v>150</v>
      </c>
      <c r="E63" s="42" t="e">
        <f t="shared" si="4"/>
        <v>#REF!</v>
      </c>
      <c r="F63" s="43"/>
      <c r="G63" s="26" t="e">
        <f t="shared" si="5"/>
        <v>#REF!</v>
      </c>
      <c r="H63" s="43"/>
      <c r="I63" s="26" t="e">
        <f t="shared" si="6"/>
        <v>#REF!</v>
      </c>
      <c r="J63" s="26" t="e">
        <f t="shared" si="7"/>
        <v>#REF!</v>
      </c>
      <c r="K63" s="70"/>
      <c r="L63" s="98"/>
      <c r="M63" s="98"/>
      <c r="N63" s="98"/>
    </row>
    <row r="64" spans="1:14" s="71" customFormat="1" x14ac:dyDescent="0.35">
      <c r="A64" s="23">
        <v>43648</v>
      </c>
      <c r="B64" s="69" t="s">
        <v>448</v>
      </c>
      <c r="C64" s="26"/>
      <c r="D64" s="26">
        <v>150</v>
      </c>
      <c r="E64" s="42" t="e">
        <f t="shared" si="4"/>
        <v>#REF!</v>
      </c>
      <c r="F64" s="43"/>
      <c r="G64" s="26" t="e">
        <f t="shared" si="5"/>
        <v>#REF!</v>
      </c>
      <c r="H64" s="43"/>
      <c r="I64" s="26" t="e">
        <f t="shared" si="6"/>
        <v>#REF!</v>
      </c>
      <c r="J64" s="26" t="e">
        <f t="shared" si="7"/>
        <v>#REF!</v>
      </c>
      <c r="K64" s="70"/>
      <c r="L64" s="98"/>
      <c r="M64" s="98"/>
      <c r="N64" s="98"/>
    </row>
    <row r="65" spans="1:14" s="37" customFormat="1" x14ac:dyDescent="0.35">
      <c r="A65" s="31">
        <v>43650</v>
      </c>
      <c r="B65" s="39" t="s">
        <v>453</v>
      </c>
      <c r="C65" s="33"/>
      <c r="D65" s="33">
        <v>200</v>
      </c>
      <c r="E65" s="85" t="e">
        <f t="shared" si="4"/>
        <v>#REF!</v>
      </c>
      <c r="F65" s="86"/>
      <c r="G65" s="33" t="e">
        <f t="shared" si="5"/>
        <v>#REF!</v>
      </c>
      <c r="H65" s="86"/>
      <c r="I65" s="33" t="e">
        <f t="shared" si="6"/>
        <v>#REF!</v>
      </c>
      <c r="J65" s="33" t="e">
        <f t="shared" si="7"/>
        <v>#REF!</v>
      </c>
      <c r="K65" s="34"/>
      <c r="L65" s="35" t="e">
        <f>SUM(I63:I65)</f>
        <v>#REF!</v>
      </c>
      <c r="M65" s="114"/>
      <c r="N65" s="36">
        <v>43661</v>
      </c>
    </row>
    <row r="66" spans="1:14" s="37" customFormat="1" x14ac:dyDescent="0.35">
      <c r="A66" s="31">
        <v>43673</v>
      </c>
      <c r="B66" s="39" t="s">
        <v>488</v>
      </c>
      <c r="C66" s="33"/>
      <c r="D66" s="33">
        <v>300</v>
      </c>
      <c r="E66" s="85" t="e">
        <f t="shared" si="4"/>
        <v>#REF!</v>
      </c>
      <c r="F66" s="86"/>
      <c r="G66" s="33" t="e">
        <f t="shared" si="5"/>
        <v>#REF!</v>
      </c>
      <c r="H66" s="86"/>
      <c r="I66" s="33" t="e">
        <f t="shared" si="6"/>
        <v>#REF!</v>
      </c>
      <c r="J66" s="33" t="e">
        <f t="shared" si="7"/>
        <v>#REF!</v>
      </c>
      <c r="K66" s="34"/>
      <c r="L66" s="35" t="e">
        <f>SUM(I66)</f>
        <v>#REF!</v>
      </c>
      <c r="M66" s="35" t="e">
        <f>SUM(L65:L66)</f>
        <v>#REF!</v>
      </c>
      <c r="N66" s="36">
        <v>43677</v>
      </c>
    </row>
    <row r="67" spans="1:14" s="37" customFormat="1" x14ac:dyDescent="0.35">
      <c r="A67" s="31">
        <v>43690</v>
      </c>
      <c r="B67" s="39" t="s">
        <v>515</v>
      </c>
      <c r="C67" s="33"/>
      <c r="D67" s="33">
        <v>72</v>
      </c>
      <c r="E67" s="85" t="e">
        <f t="shared" si="4"/>
        <v>#REF!</v>
      </c>
      <c r="F67" s="86"/>
      <c r="G67" s="33" t="e">
        <f t="shared" si="5"/>
        <v>#REF!</v>
      </c>
      <c r="H67" s="86"/>
      <c r="I67" s="33" t="e">
        <f t="shared" si="6"/>
        <v>#REF!</v>
      </c>
      <c r="J67" s="33" t="e">
        <f t="shared" si="7"/>
        <v>#REF!</v>
      </c>
      <c r="K67" s="34"/>
      <c r="L67" s="35" t="e">
        <f>SUM(I67)</f>
        <v>#REF!</v>
      </c>
      <c r="M67" s="114"/>
      <c r="N67" s="36">
        <v>43692</v>
      </c>
    </row>
    <row r="68" spans="1:14" s="71" customFormat="1" x14ac:dyDescent="0.35">
      <c r="A68" s="23">
        <v>43693</v>
      </c>
      <c r="B68" s="69" t="s">
        <v>525</v>
      </c>
      <c r="C68" s="26"/>
      <c r="D68" s="26">
        <v>150</v>
      </c>
      <c r="E68" s="42" t="e">
        <f t="shared" si="4"/>
        <v>#REF!</v>
      </c>
      <c r="F68" s="43"/>
      <c r="G68" s="26" t="e">
        <f t="shared" si="5"/>
        <v>#REF!</v>
      </c>
      <c r="H68" s="43"/>
      <c r="I68" s="26" t="e">
        <f t="shared" si="6"/>
        <v>#REF!</v>
      </c>
      <c r="J68" s="26" t="e">
        <f t="shared" si="7"/>
        <v>#REF!</v>
      </c>
      <c r="K68" s="70"/>
      <c r="L68" s="98"/>
      <c r="M68" s="98"/>
      <c r="N68" s="98"/>
    </row>
    <row r="69" spans="1:14" s="71" customFormat="1" x14ac:dyDescent="0.35">
      <c r="A69" s="23">
        <v>43696</v>
      </c>
      <c r="B69" s="69" t="s">
        <v>528</v>
      </c>
      <c r="C69" s="26"/>
      <c r="D69" s="26">
        <v>200</v>
      </c>
      <c r="E69" s="42" t="e">
        <f t="shared" si="4"/>
        <v>#REF!</v>
      </c>
      <c r="F69" s="43"/>
      <c r="G69" s="26" t="e">
        <f t="shared" si="5"/>
        <v>#REF!</v>
      </c>
      <c r="H69" s="43"/>
      <c r="I69" s="26" t="e">
        <f t="shared" si="6"/>
        <v>#REF!</v>
      </c>
      <c r="J69" s="26" t="e">
        <f t="shared" si="7"/>
        <v>#REF!</v>
      </c>
      <c r="K69" s="70"/>
      <c r="L69" s="98"/>
      <c r="M69" s="98"/>
      <c r="N69" s="98"/>
    </row>
    <row r="70" spans="1:14" s="71" customFormat="1" x14ac:dyDescent="0.35">
      <c r="A70" s="23">
        <v>43698</v>
      </c>
      <c r="B70" s="69" t="s">
        <v>537</v>
      </c>
      <c r="C70" s="26"/>
      <c r="D70" s="26">
        <v>150</v>
      </c>
      <c r="E70" s="42" t="e">
        <f t="shared" si="4"/>
        <v>#REF!</v>
      </c>
      <c r="F70" s="43"/>
      <c r="G70" s="26" t="e">
        <f t="shared" si="5"/>
        <v>#REF!</v>
      </c>
      <c r="H70" s="43"/>
      <c r="I70" s="26" t="e">
        <f t="shared" si="6"/>
        <v>#REF!</v>
      </c>
      <c r="J70" s="26" t="e">
        <f t="shared" si="7"/>
        <v>#REF!</v>
      </c>
      <c r="K70" s="70"/>
      <c r="L70" s="98"/>
      <c r="M70" s="98"/>
      <c r="N70" s="98"/>
    </row>
    <row r="71" spans="1:14" s="37" customFormat="1" x14ac:dyDescent="0.35">
      <c r="A71" s="31">
        <v>43707</v>
      </c>
      <c r="B71" s="39" t="s">
        <v>560</v>
      </c>
      <c r="C71" s="33"/>
      <c r="D71" s="33">
        <v>100</v>
      </c>
      <c r="E71" s="85" t="e">
        <f t="shared" si="4"/>
        <v>#REF!</v>
      </c>
      <c r="F71" s="86"/>
      <c r="G71" s="33" t="e">
        <f t="shared" si="5"/>
        <v>#REF!</v>
      </c>
      <c r="H71" s="86"/>
      <c r="I71" s="33" t="e">
        <f t="shared" si="6"/>
        <v>#REF!</v>
      </c>
      <c r="J71" s="33" t="e">
        <f t="shared" si="7"/>
        <v>#REF!</v>
      </c>
      <c r="K71" s="34"/>
      <c r="L71" s="35" t="e">
        <f>SUM(I68:I71)</f>
        <v>#REF!</v>
      </c>
      <c r="M71" s="35" t="e">
        <f>SUM(L67:L71)</f>
        <v>#REF!</v>
      </c>
      <c r="N71" s="36">
        <v>43708</v>
      </c>
    </row>
    <row r="72" spans="1:14" s="37" customFormat="1" x14ac:dyDescent="0.35">
      <c r="A72" s="31">
        <v>43710</v>
      </c>
      <c r="B72" s="39" t="s">
        <v>565</v>
      </c>
      <c r="C72" s="33"/>
      <c r="D72" s="33">
        <v>150</v>
      </c>
      <c r="E72" s="85" t="e">
        <f t="shared" si="4"/>
        <v>#REF!</v>
      </c>
      <c r="F72" s="86"/>
      <c r="G72" s="33" t="e">
        <f t="shared" si="5"/>
        <v>#REF!</v>
      </c>
      <c r="H72" s="86"/>
      <c r="I72" s="33" t="e">
        <f t="shared" si="6"/>
        <v>#REF!</v>
      </c>
      <c r="J72" s="33" t="e">
        <f t="shared" si="7"/>
        <v>#REF!</v>
      </c>
      <c r="K72" s="34"/>
      <c r="L72" s="35" t="e">
        <f>SUM(I72)</f>
        <v>#REF!</v>
      </c>
      <c r="M72" s="114"/>
      <c r="N72" s="36">
        <v>43723</v>
      </c>
    </row>
    <row r="73" spans="1:14" s="71" customFormat="1" x14ac:dyDescent="0.35">
      <c r="A73" s="23">
        <v>43729</v>
      </c>
      <c r="B73" s="69" t="s">
        <v>604</v>
      </c>
      <c r="C73" s="26"/>
      <c r="D73" s="26">
        <v>50</v>
      </c>
      <c r="E73" s="42" t="e">
        <f t="shared" si="4"/>
        <v>#REF!</v>
      </c>
      <c r="F73" s="43"/>
      <c r="G73" s="26" t="e">
        <f t="shared" si="5"/>
        <v>#REF!</v>
      </c>
      <c r="H73" s="43"/>
      <c r="I73" s="26" t="e">
        <f t="shared" si="6"/>
        <v>#REF!</v>
      </c>
      <c r="J73" s="26" t="e">
        <f t="shared" si="7"/>
        <v>#REF!</v>
      </c>
      <c r="K73" s="70"/>
      <c r="L73" s="98"/>
      <c r="M73" s="98"/>
      <c r="N73" s="98"/>
    </row>
    <row r="74" spans="1:14" s="71" customFormat="1" x14ac:dyDescent="0.35">
      <c r="A74" s="23">
        <v>43731</v>
      </c>
      <c r="B74" s="69" t="s">
        <v>607</v>
      </c>
      <c r="C74" s="26"/>
      <c r="D74" s="26">
        <v>20</v>
      </c>
      <c r="E74" s="42" t="e">
        <f t="shared" si="4"/>
        <v>#REF!</v>
      </c>
      <c r="F74" s="43"/>
      <c r="G74" s="26" t="e">
        <f t="shared" si="5"/>
        <v>#REF!</v>
      </c>
      <c r="H74" s="43"/>
      <c r="I74" s="26" t="e">
        <f t="shared" si="6"/>
        <v>#REF!</v>
      </c>
      <c r="J74" s="26" t="e">
        <f t="shared" si="7"/>
        <v>#REF!</v>
      </c>
      <c r="K74" s="70"/>
      <c r="L74" s="98"/>
      <c r="M74" s="98"/>
      <c r="N74" s="98"/>
    </row>
    <row r="75" spans="1:14" s="71" customFormat="1" x14ac:dyDescent="0.35">
      <c r="A75" s="23">
        <v>43733</v>
      </c>
      <c r="B75" s="69" t="s">
        <v>614</v>
      </c>
      <c r="C75" s="26"/>
      <c r="D75" s="26">
        <v>250</v>
      </c>
      <c r="E75" s="42" t="e">
        <f t="shared" si="4"/>
        <v>#REF!</v>
      </c>
      <c r="F75" s="43"/>
      <c r="G75" s="26" t="e">
        <f t="shared" si="5"/>
        <v>#REF!</v>
      </c>
      <c r="H75" s="43"/>
      <c r="I75" s="26" t="e">
        <f t="shared" si="6"/>
        <v>#REF!</v>
      </c>
      <c r="J75" s="26" t="e">
        <f t="shared" si="7"/>
        <v>#REF!</v>
      </c>
      <c r="K75" s="70"/>
      <c r="L75" s="98"/>
      <c r="M75" s="98"/>
      <c r="N75" s="98"/>
    </row>
    <row r="76" spans="1:14" s="37" customFormat="1" x14ac:dyDescent="0.35">
      <c r="A76" s="31">
        <v>43735</v>
      </c>
      <c r="B76" s="39" t="s">
        <v>618</v>
      </c>
      <c r="C76" s="33"/>
      <c r="D76" s="33">
        <v>50</v>
      </c>
      <c r="E76" s="85" t="e">
        <f t="shared" si="4"/>
        <v>#REF!</v>
      </c>
      <c r="F76" s="86"/>
      <c r="G76" s="33" t="e">
        <f t="shared" si="5"/>
        <v>#REF!</v>
      </c>
      <c r="H76" s="86"/>
      <c r="I76" s="33" t="e">
        <f t="shared" si="6"/>
        <v>#REF!</v>
      </c>
      <c r="J76" s="33" t="e">
        <f t="shared" si="7"/>
        <v>#REF!</v>
      </c>
      <c r="K76" s="34"/>
      <c r="L76" s="35" t="e">
        <f>SUM(I73:I76)</f>
        <v>#REF!</v>
      </c>
      <c r="M76" s="35" t="e">
        <f>SUM(L72:L76)</f>
        <v>#REF!</v>
      </c>
      <c r="N76" s="36">
        <v>43738</v>
      </c>
    </row>
    <row r="77" spans="1:14" s="37" customFormat="1" x14ac:dyDescent="0.35">
      <c r="A77" s="31">
        <v>43749</v>
      </c>
      <c r="B77" s="39" t="s">
        <v>672</v>
      </c>
      <c r="C77" s="33"/>
      <c r="D77" s="33">
        <v>250</v>
      </c>
      <c r="E77" s="85" t="e">
        <f t="shared" si="4"/>
        <v>#REF!</v>
      </c>
      <c r="F77" s="86"/>
      <c r="G77" s="33" t="e">
        <f t="shared" si="5"/>
        <v>#REF!</v>
      </c>
      <c r="H77" s="86"/>
      <c r="I77" s="33" t="e">
        <f t="shared" si="6"/>
        <v>#REF!</v>
      </c>
      <c r="J77" s="33" t="e">
        <f t="shared" si="7"/>
        <v>#REF!</v>
      </c>
      <c r="K77" s="34"/>
      <c r="L77" s="35" t="e">
        <f>SUM(I77)</f>
        <v>#REF!</v>
      </c>
      <c r="M77" s="114"/>
      <c r="N77" s="36">
        <v>43753</v>
      </c>
    </row>
    <row r="78" spans="1:14" s="71" customFormat="1" x14ac:dyDescent="0.35">
      <c r="A78" s="75">
        <v>43755</v>
      </c>
      <c r="B78" s="69" t="s">
        <v>685</v>
      </c>
      <c r="C78" s="26"/>
      <c r="D78" s="26">
        <v>50</v>
      </c>
      <c r="E78" s="42" t="e">
        <f t="shared" si="4"/>
        <v>#REF!</v>
      </c>
      <c r="F78" s="43"/>
      <c r="G78" s="26" t="e">
        <f t="shared" si="5"/>
        <v>#REF!</v>
      </c>
      <c r="H78" s="43"/>
      <c r="I78" s="26" t="e">
        <f t="shared" si="6"/>
        <v>#REF!</v>
      </c>
      <c r="J78" s="26" t="e">
        <f t="shared" si="7"/>
        <v>#REF!</v>
      </c>
      <c r="K78" s="68"/>
      <c r="L78" s="98"/>
      <c r="M78" s="98"/>
      <c r="N78" s="98"/>
    </row>
    <row r="79" spans="1:14" s="71" customFormat="1" x14ac:dyDescent="0.35">
      <c r="A79" s="75">
        <v>43756</v>
      </c>
      <c r="B79" s="69" t="s">
        <v>686</v>
      </c>
      <c r="C79" s="26"/>
      <c r="D79" s="26">
        <v>150</v>
      </c>
      <c r="E79" s="42" t="e">
        <f t="shared" si="4"/>
        <v>#REF!</v>
      </c>
      <c r="F79" s="43"/>
      <c r="G79" s="26" t="e">
        <f t="shared" si="5"/>
        <v>#REF!</v>
      </c>
      <c r="H79" s="43"/>
      <c r="I79" s="26" t="e">
        <f t="shared" si="6"/>
        <v>#REF!</v>
      </c>
      <c r="J79" s="26" t="e">
        <f t="shared" si="7"/>
        <v>#REF!</v>
      </c>
      <c r="K79" s="68"/>
      <c r="L79" s="98"/>
      <c r="M79" s="98"/>
      <c r="N79" s="98"/>
    </row>
    <row r="80" spans="1:14" s="71" customFormat="1" x14ac:dyDescent="0.35">
      <c r="A80" s="75">
        <v>43757</v>
      </c>
      <c r="B80" s="69" t="s">
        <v>689</v>
      </c>
      <c r="C80" s="26"/>
      <c r="D80" s="26">
        <v>250</v>
      </c>
      <c r="E80" s="42" t="e">
        <f t="shared" ref="E80:E87" si="8">+E79-D80</f>
        <v>#REF!</v>
      </c>
      <c r="F80" s="43"/>
      <c r="G80" s="26" t="e">
        <f t="shared" ref="G80:G87" si="9">+J79/E79</f>
        <v>#REF!</v>
      </c>
      <c r="H80" s="43"/>
      <c r="I80" s="26" t="e">
        <f t="shared" ref="I80:I87" si="10">+D80*G80</f>
        <v>#REF!</v>
      </c>
      <c r="J80" s="26" t="e">
        <f t="shared" ref="J80:J87" si="11">+J79-I80</f>
        <v>#REF!</v>
      </c>
      <c r="K80" s="68"/>
      <c r="L80" s="98"/>
      <c r="M80" s="98"/>
      <c r="N80" s="98"/>
    </row>
    <row r="81" spans="1:14" s="71" customFormat="1" x14ac:dyDescent="0.35">
      <c r="A81" s="76">
        <v>43760</v>
      </c>
      <c r="B81" s="69" t="s">
        <v>696</v>
      </c>
      <c r="C81" s="74"/>
      <c r="D81" s="74">
        <v>50</v>
      </c>
      <c r="E81" s="42" t="e">
        <f t="shared" si="8"/>
        <v>#REF!</v>
      </c>
      <c r="F81" s="43"/>
      <c r="G81" s="26" t="e">
        <f t="shared" si="9"/>
        <v>#REF!</v>
      </c>
      <c r="H81" s="43"/>
      <c r="I81" s="26" t="e">
        <f t="shared" si="10"/>
        <v>#REF!</v>
      </c>
      <c r="J81" s="26" t="e">
        <f t="shared" si="11"/>
        <v>#REF!</v>
      </c>
      <c r="K81" s="69"/>
      <c r="L81" s="98"/>
      <c r="M81" s="98"/>
      <c r="N81" s="98"/>
    </row>
    <row r="82" spans="1:14" s="71" customFormat="1" x14ac:dyDescent="0.35">
      <c r="A82" s="76">
        <v>43761</v>
      </c>
      <c r="B82" s="69" t="s">
        <v>697</v>
      </c>
      <c r="C82" s="74"/>
      <c r="D82" s="74">
        <v>50</v>
      </c>
      <c r="E82" s="42" t="e">
        <f t="shared" si="8"/>
        <v>#REF!</v>
      </c>
      <c r="F82" s="43"/>
      <c r="G82" s="26" t="e">
        <f t="shared" si="9"/>
        <v>#REF!</v>
      </c>
      <c r="H82" s="43"/>
      <c r="I82" s="26" t="e">
        <f t="shared" si="10"/>
        <v>#REF!</v>
      </c>
      <c r="J82" s="26" t="e">
        <f t="shared" si="11"/>
        <v>#REF!</v>
      </c>
      <c r="K82" s="69"/>
      <c r="L82" s="98"/>
      <c r="M82" s="98"/>
      <c r="N82" s="98"/>
    </row>
    <row r="83" spans="1:14" s="71" customFormat="1" x14ac:dyDescent="0.35">
      <c r="A83" s="76">
        <v>43761</v>
      </c>
      <c r="B83" s="69" t="s">
        <v>702</v>
      </c>
      <c r="C83" s="74"/>
      <c r="D83" s="74">
        <v>120</v>
      </c>
      <c r="E83" s="42" t="e">
        <f t="shared" si="8"/>
        <v>#REF!</v>
      </c>
      <c r="F83" s="43"/>
      <c r="G83" s="26" t="e">
        <f t="shared" si="9"/>
        <v>#REF!</v>
      </c>
      <c r="H83" s="43"/>
      <c r="I83" s="26" t="e">
        <f t="shared" si="10"/>
        <v>#REF!</v>
      </c>
      <c r="J83" s="26" t="e">
        <f t="shared" si="11"/>
        <v>#REF!</v>
      </c>
      <c r="K83" s="69"/>
      <c r="L83" s="98"/>
      <c r="M83" s="98"/>
      <c r="N83" s="98"/>
    </row>
    <row r="84" spans="1:14" s="37" customFormat="1" x14ac:dyDescent="0.35">
      <c r="A84" s="88">
        <v>43764</v>
      </c>
      <c r="B84" s="39" t="s">
        <v>711</v>
      </c>
      <c r="C84" s="40"/>
      <c r="D84" s="40">
        <v>50</v>
      </c>
      <c r="E84" s="85" t="e">
        <f t="shared" si="8"/>
        <v>#REF!</v>
      </c>
      <c r="F84" s="86"/>
      <c r="G84" s="33" t="e">
        <f t="shared" si="9"/>
        <v>#REF!</v>
      </c>
      <c r="H84" s="86"/>
      <c r="I84" s="33" t="e">
        <f t="shared" si="10"/>
        <v>#REF!</v>
      </c>
      <c r="J84" s="33" t="e">
        <f t="shared" si="11"/>
        <v>#REF!</v>
      </c>
      <c r="K84" s="39"/>
      <c r="L84" s="35" t="e">
        <f>SUM(I78:I84)</f>
        <v>#REF!</v>
      </c>
      <c r="M84" s="35" t="e">
        <f>SUM(L77:L84)</f>
        <v>#REF!</v>
      </c>
      <c r="N84" s="36">
        <v>43769</v>
      </c>
    </row>
    <row r="85" spans="1:14" s="37" customFormat="1" x14ac:dyDescent="0.35">
      <c r="A85" s="88">
        <v>43783</v>
      </c>
      <c r="B85" s="39" t="s">
        <v>737</v>
      </c>
      <c r="C85" s="40"/>
      <c r="D85" s="40">
        <v>50</v>
      </c>
      <c r="E85" s="85" t="e">
        <f t="shared" si="8"/>
        <v>#REF!</v>
      </c>
      <c r="F85" s="86"/>
      <c r="G85" s="33" t="e">
        <f t="shared" si="9"/>
        <v>#REF!</v>
      </c>
      <c r="H85" s="86"/>
      <c r="I85" s="33" t="e">
        <f t="shared" si="10"/>
        <v>#REF!</v>
      </c>
      <c r="J85" s="33" t="e">
        <f t="shared" si="11"/>
        <v>#REF!</v>
      </c>
      <c r="K85" s="39"/>
      <c r="L85" s="35" t="e">
        <f>SUM(I85)</f>
        <v>#REF!</v>
      </c>
      <c r="M85" s="35" t="e">
        <f>SUM(L85)</f>
        <v>#REF!</v>
      </c>
      <c r="N85" s="36">
        <v>43784</v>
      </c>
    </row>
    <row r="86" spans="1:14" s="37" customFormat="1" x14ac:dyDescent="0.35">
      <c r="A86" s="88">
        <v>43804</v>
      </c>
      <c r="B86" s="39" t="s">
        <v>799</v>
      </c>
      <c r="C86" s="40"/>
      <c r="D86" s="40">
        <v>150</v>
      </c>
      <c r="E86" s="85" t="e">
        <f t="shared" si="8"/>
        <v>#REF!</v>
      </c>
      <c r="F86" s="86"/>
      <c r="G86" s="33" t="e">
        <f t="shared" si="9"/>
        <v>#REF!</v>
      </c>
      <c r="H86" s="86"/>
      <c r="I86" s="33" t="e">
        <f t="shared" si="10"/>
        <v>#REF!</v>
      </c>
      <c r="J86" s="33" t="e">
        <f t="shared" si="11"/>
        <v>#REF!</v>
      </c>
      <c r="K86" s="39"/>
      <c r="L86" s="35" t="e">
        <f>SUM(I86)</f>
        <v>#REF!</v>
      </c>
      <c r="M86" s="114"/>
      <c r="N86" s="36">
        <v>43814</v>
      </c>
    </row>
    <row r="87" spans="1:14" s="37" customFormat="1" x14ac:dyDescent="0.35">
      <c r="A87" s="88">
        <v>43816</v>
      </c>
      <c r="B87" s="39" t="s">
        <v>816</v>
      </c>
      <c r="C87" s="40"/>
      <c r="D87" s="40">
        <v>200</v>
      </c>
      <c r="E87" s="85" t="e">
        <f t="shared" si="8"/>
        <v>#REF!</v>
      </c>
      <c r="F87" s="86"/>
      <c r="G87" s="33" t="e">
        <f t="shared" si="9"/>
        <v>#REF!</v>
      </c>
      <c r="H87" s="86"/>
      <c r="I87" s="33" t="e">
        <f t="shared" si="10"/>
        <v>#REF!</v>
      </c>
      <c r="J87" s="33" t="e">
        <f t="shared" si="11"/>
        <v>#REF!</v>
      </c>
      <c r="K87" s="39"/>
      <c r="L87" s="35" t="e">
        <f>SUM(I87)</f>
        <v>#REF!</v>
      </c>
      <c r="M87" s="115" t="e">
        <f>SUM(I86:I87)</f>
        <v>#REF!</v>
      </c>
      <c r="N87" s="36">
        <v>43830</v>
      </c>
    </row>
    <row r="88" spans="1:14" s="71" customFormat="1" x14ac:dyDescent="0.35">
      <c r="A88" s="69"/>
      <c r="B88" s="69" t="s">
        <v>832</v>
      </c>
      <c r="C88" s="74">
        <f>SUM(C9:C87)</f>
        <v>0</v>
      </c>
      <c r="D88" s="74">
        <f>SUM(D9:D87)</f>
        <v>12539</v>
      </c>
      <c r="E88" s="42"/>
      <c r="F88" s="43"/>
      <c r="G88" s="26"/>
      <c r="H88" s="74">
        <f>SUM(H9:H87)</f>
        <v>206407.38</v>
      </c>
      <c r="I88" s="74" t="e">
        <f>SUM(I9:I87)</f>
        <v>#REF!</v>
      </c>
      <c r="J88" s="26"/>
      <c r="K88" s="69"/>
      <c r="L88" s="98"/>
      <c r="M88" s="96" t="e">
        <f>SUM(M27:M87)</f>
        <v>#REF!</v>
      </c>
      <c r="N88" s="98"/>
    </row>
    <row r="89" spans="1:14" x14ac:dyDescent="0.35">
      <c r="A89" s="57" t="s">
        <v>23</v>
      </c>
      <c r="B89" s="5"/>
      <c r="C89" s="4"/>
      <c r="D89" s="4"/>
      <c r="E89" s="4"/>
      <c r="F89" s="4"/>
      <c r="G89" s="1"/>
      <c r="H89" s="1"/>
      <c r="I89" s="1"/>
      <c r="J89" s="1"/>
    </row>
    <row r="90" spans="1:14" x14ac:dyDescent="0.35">
      <c r="A90" s="57" t="s">
        <v>669</v>
      </c>
      <c r="B90" s="5"/>
      <c r="C90" s="4"/>
      <c r="D90" s="4"/>
      <c r="E90" s="4"/>
      <c r="F90" s="4"/>
      <c r="G90" s="1"/>
      <c r="H90" s="1"/>
      <c r="I90" s="1"/>
      <c r="J90" s="58" t="e">
        <f>+E87*F9</f>
        <v>#REF!</v>
      </c>
    </row>
    <row r="91" spans="1:14" x14ac:dyDescent="0.35">
      <c r="A91" s="57" t="s">
        <v>24</v>
      </c>
      <c r="B91" s="5"/>
      <c r="C91" s="4"/>
      <c r="D91" s="4"/>
      <c r="E91" s="4"/>
      <c r="F91" s="4"/>
      <c r="G91" s="1"/>
      <c r="H91" s="1"/>
      <c r="I91" s="1"/>
      <c r="J91" s="59" t="e">
        <f>+J87</f>
        <v>#REF!</v>
      </c>
    </row>
    <row r="92" spans="1:14" ht="15" thickBot="1" x14ac:dyDescent="0.4">
      <c r="A92" s="57"/>
      <c r="B92" s="5" t="s">
        <v>25</v>
      </c>
      <c r="C92" s="4"/>
      <c r="D92" s="4"/>
      <c r="E92" s="4"/>
      <c r="F92" s="4"/>
      <c r="G92" s="1"/>
      <c r="H92" s="1"/>
      <c r="I92" s="1"/>
      <c r="J92" s="60" t="e">
        <f>+J90-J91</f>
        <v>#REF!</v>
      </c>
    </row>
    <row r="93" spans="1:14" ht="15" thickTop="1" x14ac:dyDescent="0.35"/>
  </sheetData>
  <mergeCells count="6">
    <mergeCell ref="D4:H4"/>
    <mergeCell ref="D5:G5"/>
    <mergeCell ref="D6:G6"/>
    <mergeCell ref="C7:E7"/>
    <mergeCell ref="F7:G7"/>
    <mergeCell ref="H7:J7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Blue-2019</vt:lpstr>
      <vt:lpstr>Ral-28-2009</vt:lpstr>
      <vt:lpstr>Ral-28-3003</vt:lpstr>
      <vt:lpstr>Clavos</vt:lpstr>
      <vt:lpstr>Ral-26-2009</vt:lpstr>
      <vt:lpstr>Zinc-28</vt:lpstr>
      <vt:lpstr>Zin-26</vt:lpstr>
      <vt:lpstr>Galva-28</vt:lpstr>
      <vt:lpstr>Tiraf63x76.2</vt:lpstr>
      <vt:lpstr>Tiraf63x63.5</vt:lpstr>
      <vt:lpstr>Ral28 3002</vt:lpstr>
      <vt:lpstr>Juntas de goma</vt:lpstr>
      <vt:lpstr>'Blue-2019'!Área_de_impresión</vt:lpstr>
      <vt:lpstr>'Galva-28'!Área_de_impresión</vt:lpstr>
      <vt:lpstr>'Ral-26-2009'!Área_de_impresión</vt:lpstr>
      <vt:lpstr>'Ral28 3002'!Área_de_impresión</vt:lpstr>
      <vt:lpstr>'Ral-28-2009'!Área_de_impresión</vt:lpstr>
      <vt:lpstr>'Ral-28-3003'!Área_de_impresión</vt:lpstr>
      <vt:lpstr>Tiraf63x63.5!Área_de_impresión</vt:lpstr>
      <vt:lpstr>Tiraf63x76.2!Área_de_impresión</vt:lpstr>
      <vt:lpstr>'Zin-26'!Área_de_impresión</vt:lpstr>
      <vt:lpstr>'Zinc-28'!Área_de_impresión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2023-12-06T20:15:43Z</dcterms:modified>
</cp:coreProperties>
</file>