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8D55F78-0A05-4282-9AFC-93339DDFDC45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Blue-2019" sheetId="1" r:id="rId1"/>
    <sheet name="Ral-28-2009" sheetId="2" r:id="rId2"/>
    <sheet name="Ral-28-3003" sheetId="3" r:id="rId3"/>
    <sheet name="Clavos" sheetId="17" r:id="rId4"/>
    <sheet name="Ral-26-2009" sheetId="4" r:id="rId5"/>
    <sheet name="Zinc-28" sheetId="5" r:id="rId6"/>
    <sheet name="Zin-26" sheetId="6" r:id="rId7"/>
    <sheet name="Galva-28" sheetId="7" r:id="rId8"/>
    <sheet name="Tiraf63x76.2" sheetId="8" r:id="rId9"/>
    <sheet name="Tiraf63x63.5" sheetId="9" r:id="rId10"/>
    <sheet name="Ral28 3002" sheetId="10" r:id="rId11"/>
    <sheet name="ZINC 28 0.35X1200" sheetId="11" r:id="rId12"/>
    <sheet name="Perno Aut12x1" sheetId="13" r:id="rId13"/>
    <sheet name="Perno Aut12x2 AS" sheetId="15" r:id="rId14"/>
    <sheet name="Perno Aut 12x2 A.F." sheetId="14" r:id="rId15"/>
    <sheet name="Juntas goma" sheetId="16" r:id="rId16"/>
  </sheets>
  <definedNames>
    <definedName name="_xlnm.Print_Area" localSheetId="0">'Blue-2019'!$A$1:$N$33</definedName>
    <definedName name="_xlnm.Print_Area" localSheetId="7">'Galva-28'!$A$1:$N$27</definedName>
    <definedName name="_xlnm.Print_Area" localSheetId="14">'Perno Aut 12x2 A.F.'!$A$1:$N$18</definedName>
    <definedName name="_xlnm.Print_Area" localSheetId="12">'Perno Aut12x1'!$A$1:$N$11</definedName>
    <definedName name="_xlnm.Print_Area" localSheetId="13">'Perno Aut12x2 AS'!$A$1:$N$17</definedName>
    <definedName name="_xlnm.Print_Area" localSheetId="4">'Ral-26-2009'!$A$1:$N$75</definedName>
    <definedName name="_xlnm.Print_Area" localSheetId="10">'Ral28 3002'!$A$1:$N$53</definedName>
    <definedName name="_xlnm.Print_Area" localSheetId="1">'Ral-28-2009'!$A$1:$N$60</definedName>
    <definedName name="_xlnm.Print_Area" localSheetId="2">'Ral-28-3003'!$A$1:$N$58</definedName>
    <definedName name="_xlnm.Print_Area" localSheetId="9">Tiraf63x63.5!$A$1:$N$54</definedName>
    <definedName name="_xlnm.Print_Area" localSheetId="8">Tiraf63x76.2!$A$1:$N$51</definedName>
    <definedName name="_xlnm.Print_Area" localSheetId="6">'Zin-26'!$A$1:$N$49</definedName>
    <definedName name="_xlnm.Print_Area" localSheetId="11">'ZINC 28 0.35X1200'!$A$1:$N$22</definedName>
    <definedName name="_xlnm.Print_Area" localSheetId="5">'Zinc-28'!$A$1:$O$180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17" l="1"/>
  <c r="J18" i="16"/>
  <c r="J11" i="16"/>
  <c r="J17" i="16" s="1"/>
  <c r="J19" i="16" s="1"/>
  <c r="F11" i="16"/>
  <c r="E11" i="16"/>
  <c r="H47" i="10" l="1"/>
  <c r="C9" i="10"/>
  <c r="F9" i="10" s="1"/>
  <c r="H9" i="10"/>
  <c r="H9" i="9"/>
  <c r="C9" i="9"/>
  <c r="H9" i="8"/>
  <c r="F9" i="8" s="1"/>
  <c r="C9" i="8"/>
  <c r="H9" i="6"/>
  <c r="H43" i="6" s="1"/>
  <c r="C9" i="6"/>
  <c r="C43" i="6" s="1"/>
  <c r="H9" i="5"/>
  <c r="F9" i="5" s="1"/>
  <c r="C9" i="5"/>
  <c r="C174" i="5" s="1"/>
  <c r="C68" i="4"/>
  <c r="H9" i="4"/>
  <c r="F9" i="4" s="1"/>
  <c r="C9" i="4"/>
  <c r="F9" i="3"/>
  <c r="H53" i="3"/>
  <c r="H55" i="2"/>
  <c r="F9" i="2"/>
  <c r="C55" i="2"/>
  <c r="H28" i="1"/>
  <c r="C28" i="1"/>
  <c r="D153" i="5"/>
  <c r="H68" i="4" l="1"/>
  <c r="F9" i="6"/>
  <c r="C47" i="10"/>
  <c r="D54" i="4"/>
  <c r="D138" i="5"/>
  <c r="D172" i="5"/>
  <c r="D27" i="1"/>
  <c r="D170" i="5"/>
  <c r="D171" i="5"/>
  <c r="D41" i="6"/>
  <c r="D40" i="6"/>
  <c r="D169" i="5"/>
  <c r="D39" i="6"/>
  <c r="D168" i="5"/>
  <c r="D167" i="5"/>
  <c r="D166" i="5"/>
  <c r="D165" i="5"/>
  <c r="D52" i="3"/>
  <c r="D164" i="5"/>
  <c r="D26" i="1"/>
  <c r="D46" i="10"/>
  <c r="D50" i="3"/>
  <c r="D49" i="3"/>
  <c r="D45" i="10"/>
  <c r="D48" i="3"/>
  <c r="D37" i="6"/>
  <c r="D67" i="4"/>
  <c r="K14" i="17" l="1"/>
  <c r="D66" i="4"/>
  <c r="D161" i="5"/>
  <c r="D54" i="2"/>
  <c r="D53" i="2"/>
  <c r="D52" i="2"/>
  <c r="D44" i="10"/>
  <c r="D64" i="4"/>
  <c r="D160" i="5"/>
  <c r="D62" i="4"/>
  <c r="D43" i="10"/>
  <c r="D158" i="5"/>
  <c r="D157" i="5"/>
  <c r="D156" i="5"/>
  <c r="D155" i="5"/>
  <c r="D154" i="5"/>
  <c r="D24" i="1"/>
  <c r="D61" i="4"/>
  <c r="D23" i="1"/>
  <c r="D21" i="1"/>
  <c r="D152" i="5"/>
  <c r="D151" i="5"/>
  <c r="D50" i="2" l="1"/>
  <c r="D150" i="5"/>
  <c r="D60" i="4"/>
  <c r="D149" i="5"/>
  <c r="D41" i="10"/>
  <c r="D148" i="5"/>
  <c r="D40" i="10"/>
  <c r="D39" i="10"/>
  <c r="D35" i="6"/>
  <c r="D57" i="4"/>
  <c r="D147" i="5"/>
  <c r="D56" i="4"/>
  <c r="D146" i="5"/>
  <c r="D38" i="10" l="1"/>
  <c r="D37" i="10"/>
  <c r="D36" i="10"/>
  <c r="D35" i="10"/>
  <c r="D145" i="5"/>
  <c r="D144" i="5"/>
  <c r="D143" i="5"/>
  <c r="D142" i="5"/>
  <c r="D141" i="5"/>
  <c r="D140" i="5"/>
  <c r="D53" i="4"/>
  <c r="D139" i="5"/>
  <c r="D137" i="5" l="1"/>
  <c r="D136" i="5"/>
  <c r="D52" i="4"/>
  <c r="D135" i="5"/>
  <c r="D134" i="5"/>
  <c r="D133" i="5"/>
  <c r="D34" i="10"/>
  <c r="D50" i="4"/>
  <c r="D132" i="5"/>
  <c r="D130" i="5"/>
  <c r="D32" i="6"/>
  <c r="D31" i="6"/>
  <c r="D47" i="2"/>
  <c r="D129" i="5"/>
  <c r="D128" i="5"/>
  <c r="D49" i="4"/>
  <c r="D48" i="4"/>
  <c r="D127" i="5"/>
  <c r="D47" i="4"/>
  <c r="D46" i="2"/>
  <c r="D124" i="5"/>
  <c r="D122" i="5"/>
  <c r="D120" i="5"/>
  <c r="D119" i="5"/>
  <c r="D44" i="4" l="1"/>
  <c r="D118" i="5" l="1"/>
  <c r="D117" i="5"/>
  <c r="D116" i="5" l="1"/>
  <c r="D30" i="6"/>
  <c r="D115" i="5"/>
  <c r="D45" i="2"/>
  <c r="D114" i="5"/>
  <c r="D101" i="5" l="1"/>
  <c r="D46" i="4"/>
  <c r="D28" i="6"/>
  <c r="D33" i="10"/>
  <c r="D113" i="5"/>
  <c r="D45" i="4"/>
  <c r="D112" i="5"/>
  <c r="D44" i="2"/>
  <c r="D111" i="5"/>
  <c r="D110" i="5"/>
  <c r="D11" i="13"/>
  <c r="C11" i="13"/>
  <c r="H9" i="14"/>
  <c r="J9" i="14" s="1"/>
  <c r="H9" i="15"/>
  <c r="J9" i="15" s="1"/>
  <c r="H9" i="13"/>
  <c r="J9" i="13" s="1"/>
  <c r="D11" i="14"/>
  <c r="C11" i="14"/>
  <c r="E9" i="14"/>
  <c r="E10" i="14" s="1"/>
  <c r="D11" i="15"/>
  <c r="C11" i="15"/>
  <c r="E9" i="15"/>
  <c r="E10" i="15" s="1"/>
  <c r="E9" i="13"/>
  <c r="E10" i="13" s="1"/>
  <c r="H11" i="13" l="1"/>
  <c r="H11" i="15"/>
  <c r="F9" i="14"/>
  <c r="J15" i="14" s="1"/>
  <c r="H11" i="14"/>
  <c r="F9" i="15"/>
  <c r="J15" i="15" s="1"/>
  <c r="F9" i="13"/>
  <c r="J13" i="13" s="1"/>
  <c r="G10" i="14"/>
  <c r="I10" i="14" s="1"/>
  <c r="G10" i="15"/>
  <c r="I10" i="15" s="1"/>
  <c r="G10" i="13"/>
  <c r="I10" i="13" s="1"/>
  <c r="D43" i="4"/>
  <c r="D107" i="5"/>
  <c r="D32" i="10"/>
  <c r="D42" i="4"/>
  <c r="D27" i="6"/>
  <c r="D26" i="6"/>
  <c r="D31" i="10"/>
  <c r="D25" i="6"/>
  <c r="D41" i="4"/>
  <c r="J10" i="13" l="1"/>
  <c r="J14" i="13" s="1"/>
  <c r="L10" i="13"/>
  <c r="M10" i="13" s="1"/>
  <c r="M11" i="13" s="1"/>
  <c r="I11" i="13"/>
  <c r="J10" i="15"/>
  <c r="J16" i="15" s="1"/>
  <c r="L10" i="15"/>
  <c r="M11" i="15"/>
  <c r="M10" i="15" s="1"/>
  <c r="J10" i="14"/>
  <c r="J16" i="14" s="1"/>
  <c r="L10" i="14"/>
  <c r="M10" i="14" s="1"/>
  <c r="M11" i="14" s="1"/>
  <c r="D40" i="4"/>
  <c r="D38" i="4"/>
  <c r="D105" i="5"/>
  <c r="D104" i="5"/>
  <c r="D19" i="1" l="1"/>
  <c r="D24" i="6"/>
  <c r="D42" i="2"/>
  <c r="D30" i="10"/>
  <c r="D37" i="4"/>
  <c r="F26" i="10" l="1"/>
  <c r="F34" i="2"/>
  <c r="F9" i="11"/>
  <c r="J9" i="11"/>
  <c r="E9" i="11"/>
  <c r="E10" i="11" s="1"/>
  <c r="E11" i="11" s="1"/>
  <c r="E12" i="11" s="1"/>
  <c r="E13" i="11" s="1"/>
  <c r="E14" i="11" s="1"/>
  <c r="E15" i="11" s="1"/>
  <c r="H16" i="11"/>
  <c r="C16" i="11"/>
  <c r="D16" i="11"/>
  <c r="F22" i="6"/>
  <c r="F94" i="5"/>
  <c r="K23" i="17" l="1"/>
  <c r="L23" i="17" s="1"/>
  <c r="J20" i="11"/>
  <c r="G10" i="11"/>
  <c r="I10" i="11"/>
  <c r="D102" i="5"/>
  <c r="D36" i="4"/>
  <c r="D41" i="2"/>
  <c r="D29" i="10"/>
  <c r="D46" i="3"/>
  <c r="D100" i="5"/>
  <c r="D40" i="2"/>
  <c r="D98" i="5"/>
  <c r="J10" i="11" l="1"/>
  <c r="D17" i="1"/>
  <c r="D97" i="5"/>
  <c r="G11" i="11" l="1"/>
  <c r="I11" i="11" s="1"/>
  <c r="L11" i="11" s="1"/>
  <c r="M11" i="11" s="1"/>
  <c r="D34" i="4"/>
  <c r="D23" i="6"/>
  <c r="D96" i="5"/>
  <c r="D45" i="3"/>
  <c r="D95" i="5"/>
  <c r="D33" i="4"/>
  <c r="J11" i="11" l="1"/>
  <c r="G12" i="11" s="1"/>
  <c r="I12" i="11" s="1"/>
  <c r="H45" i="8"/>
  <c r="D45" i="8"/>
  <c r="H174" i="5"/>
  <c r="C53" i="3"/>
  <c r="J12" i="11" l="1"/>
  <c r="L12" i="11"/>
  <c r="G13" i="11"/>
  <c r="I13" i="11" s="1"/>
  <c r="D25" i="4"/>
  <c r="D66" i="5"/>
  <c r="D27" i="2"/>
  <c r="D14" i="4"/>
  <c r="J13" i="11" l="1"/>
  <c r="G14" i="11"/>
  <c r="I14" i="11" s="1"/>
  <c r="J14" i="11" s="1"/>
  <c r="G15" i="11" s="1"/>
  <c r="I15" i="11" s="1"/>
  <c r="D32" i="4"/>
  <c r="D31" i="4"/>
  <c r="D30" i="4"/>
  <c r="D25" i="10"/>
  <c r="D92" i="5"/>
  <c r="D91" i="5"/>
  <c r="D90" i="5"/>
  <c r="D24" i="10"/>
  <c r="D89" i="5"/>
  <c r="D16" i="1"/>
  <c r="D37" i="2"/>
  <c r="D43" i="3"/>
  <c r="D42" i="3"/>
  <c r="D88" i="5"/>
  <c r="D41" i="3"/>
  <c r="D29" i="4"/>
  <c r="D87" i="5"/>
  <c r="D35" i="2"/>
  <c r="D86" i="5"/>
  <c r="D33" i="2"/>
  <c r="D40" i="3"/>
  <c r="D85" i="5"/>
  <c r="D32" i="2"/>
  <c r="K26" i="17" l="1"/>
  <c r="J15" i="11"/>
  <c r="J21" i="11" s="1"/>
  <c r="L15" i="11"/>
  <c r="M15" i="11" s="1"/>
  <c r="L14" i="11"/>
  <c r="M14" i="11" s="1"/>
  <c r="M16" i="11" s="1"/>
  <c r="D39" i="3"/>
  <c r="D35" i="3"/>
  <c r="D34" i="3"/>
  <c r="D84" i="5"/>
  <c r="D21" i="6"/>
  <c r="D83" i="5"/>
  <c r="D82" i="5"/>
  <c r="D81" i="5"/>
  <c r="D80" i="5"/>
  <c r="D79" i="5"/>
  <c r="D78" i="5"/>
  <c r="D76" i="5"/>
  <c r="D75" i="5"/>
  <c r="D74" i="5"/>
  <c r="D32" i="3"/>
  <c r="D28" i="4"/>
  <c r="D27" i="4"/>
  <c r="D73" i="5"/>
  <c r="D71" i="5" l="1"/>
  <c r="D70" i="5"/>
  <c r="D31" i="3"/>
  <c r="D30" i="3"/>
  <c r="D20" i="6"/>
  <c r="D30" i="2"/>
  <c r="D69" i="5"/>
  <c r="D28" i="3"/>
  <c r="D27" i="3"/>
  <c r="D29" i="2"/>
  <c r="D68" i="5"/>
  <c r="D67" i="5"/>
  <c r="D15" i="1"/>
  <c r="D14" i="1"/>
  <c r="D26" i="3" l="1"/>
  <c r="D28" i="2"/>
  <c r="D23" i="10"/>
  <c r="D65" i="5"/>
  <c r="D22" i="10"/>
  <c r="D64" i="5"/>
  <c r="D23" i="4"/>
  <c r="D16" i="6"/>
  <c r="D63" i="5"/>
  <c r="D25" i="3"/>
  <c r="D22" i="4"/>
  <c r="D21" i="4"/>
  <c r="D62" i="5"/>
  <c r="D61" i="5"/>
  <c r="D60" i="5"/>
  <c r="D59" i="5"/>
  <c r="D58" i="5"/>
  <c r="D20" i="4"/>
  <c r="D57" i="5"/>
  <c r="D56" i="5"/>
  <c r="D19" i="4"/>
  <c r="D55" i="5"/>
  <c r="D26" i="2"/>
  <c r="D25" i="2" l="1"/>
  <c r="D54" i="5"/>
  <c r="D53" i="5"/>
  <c r="D24" i="3"/>
  <c r="D15" i="6"/>
  <c r="D52" i="5"/>
  <c r="D24" i="2"/>
  <c r="D18" i="4"/>
  <c r="D23" i="3"/>
  <c r="D17" i="4"/>
  <c r="D51" i="5"/>
  <c r="D50" i="5"/>
  <c r="D49" i="5"/>
  <c r="D23" i="2"/>
  <c r="D22" i="3"/>
  <c r="D14" i="6"/>
  <c r="D19" i="3"/>
  <c r="D47" i="5"/>
  <c r="D18" i="3"/>
  <c r="D46" i="5"/>
  <c r="D17" i="3"/>
  <c r="D22" i="2"/>
  <c r="D16" i="3"/>
  <c r="D44" i="5"/>
  <c r="D43" i="5"/>
  <c r="D42" i="5"/>
  <c r="D15" i="3"/>
  <c r="D16" i="4"/>
  <c r="D13" i="6"/>
  <c r="D20" i="10"/>
  <c r="D41" i="5"/>
  <c r="D40" i="5"/>
  <c r="D39" i="5"/>
  <c r="D21" i="2" l="1"/>
  <c r="D12" i="1"/>
  <c r="D38" i="5"/>
  <c r="D37" i="5"/>
  <c r="D36" i="5"/>
  <c r="D18" i="10"/>
  <c r="D35" i="5"/>
  <c r="D20" i="2"/>
  <c r="D19" i="2"/>
  <c r="D17" i="10"/>
  <c r="D12" i="6"/>
  <c r="D15" i="4"/>
  <c r="D33" i="5"/>
  <c r="D13" i="3"/>
  <c r="D32" i="5"/>
  <c r="G10" i="9"/>
  <c r="I10" i="9" s="1"/>
  <c r="E10" i="9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D18" i="2"/>
  <c r="D11" i="6"/>
  <c r="D31" i="5"/>
  <c r="D30" i="5"/>
  <c r="D12" i="3"/>
  <c r="D17" i="2"/>
  <c r="D29" i="5"/>
  <c r="D28" i="5"/>
  <c r="D11" i="3"/>
  <c r="D16" i="10"/>
  <c r="D27" i="5"/>
  <c r="D16" i="2"/>
  <c r="D26" i="5"/>
  <c r="D15" i="2"/>
  <c r="D25" i="5"/>
  <c r="D24" i="5"/>
  <c r="D14" i="10"/>
  <c r="G10" i="6"/>
  <c r="D10" i="6"/>
  <c r="E10" i="6" s="1"/>
  <c r="D23" i="5"/>
  <c r="D22" i="5"/>
  <c r="D14" i="2"/>
  <c r="D13" i="10"/>
  <c r="D21" i="5"/>
  <c r="G10" i="1"/>
  <c r="D10" i="1"/>
  <c r="D28" i="1" s="1"/>
  <c r="D13" i="2"/>
  <c r="D13" i="4"/>
  <c r="D19" i="5"/>
  <c r="D12" i="2"/>
  <c r="G10" i="3"/>
  <c r="D10" i="3"/>
  <c r="D16" i="5"/>
  <c r="D11" i="2"/>
  <c r="D15" i="5"/>
  <c r="D11" i="10"/>
  <c r="D14" i="5"/>
  <c r="D13" i="5"/>
  <c r="G10" i="4"/>
  <c r="D10" i="4"/>
  <c r="D12" i="5"/>
  <c r="G10" i="10"/>
  <c r="D10" i="10"/>
  <c r="G10" i="5"/>
  <c r="D10" i="5"/>
  <c r="G10" i="8"/>
  <c r="I10" i="8" s="1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J49" i="8" s="1"/>
  <c r="G10" i="2"/>
  <c r="D10" i="2"/>
  <c r="F9" i="9"/>
  <c r="F9" i="1"/>
  <c r="E10" i="10" l="1"/>
  <c r="E11" i="10" s="1"/>
  <c r="E12" i="10" s="1"/>
  <c r="E13" i="10" s="1"/>
  <c r="E14" i="10" s="1"/>
  <c r="E15" i="10" s="1"/>
  <c r="E16" i="10" s="1"/>
  <c r="E17" i="10" s="1"/>
  <c r="D47" i="10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J73" i="4" s="1"/>
  <c r="D68" i="4"/>
  <c r="D53" i="3"/>
  <c r="D55" i="2"/>
  <c r="E18" i="10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J51" i="10" s="1"/>
  <c r="I10" i="10"/>
  <c r="I10" i="1"/>
  <c r="I10" i="3"/>
  <c r="E32" i="9"/>
  <c r="E33" i="9" s="1"/>
  <c r="E34" i="9" s="1"/>
  <c r="E35" i="9" s="1"/>
  <c r="E36" i="9" s="1"/>
  <c r="E37" i="9" s="1"/>
  <c r="E38" i="9" s="1"/>
  <c r="E39" i="9" s="1"/>
  <c r="D174" i="5"/>
  <c r="I10" i="5"/>
  <c r="J10" i="5" s="1"/>
  <c r="I10" i="2"/>
  <c r="J10" i="9"/>
  <c r="G11" i="9" s="1"/>
  <c r="I11" i="9" s="1"/>
  <c r="J11" i="9" s="1"/>
  <c r="G12" i="9" s="1"/>
  <c r="I12" i="9" s="1"/>
  <c r="J10" i="8"/>
  <c r="G11" i="8" s="1"/>
  <c r="I11" i="8" s="1"/>
  <c r="J11" i="8" s="1"/>
  <c r="G12" i="8" s="1"/>
  <c r="I12" i="8" s="1"/>
  <c r="J12" i="8" s="1"/>
  <c r="E10" i="1"/>
  <c r="E11" i="1" s="1"/>
  <c r="E12" i="1" s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I10" i="4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J56" i="3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I10" i="6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H49" i="9"/>
  <c r="D49" i="9"/>
  <c r="C49" i="9"/>
  <c r="C45" i="8"/>
  <c r="D43" i="6"/>
  <c r="J10" i="10" l="1"/>
  <c r="G11" i="10" s="1"/>
  <c r="I11" i="10" s="1"/>
  <c r="G11" i="5"/>
  <c r="I11" i="5" s="1"/>
  <c r="J11" i="5" s="1"/>
  <c r="G12" i="5" s="1"/>
  <c r="I12" i="5" s="1"/>
  <c r="J10" i="1"/>
  <c r="J11" i="10"/>
  <c r="G12" i="10" s="1"/>
  <c r="I12" i="10" s="1"/>
  <c r="J12" i="10" s="1"/>
  <c r="G13" i="10" s="1"/>
  <c r="I13" i="10" s="1"/>
  <c r="J13" i="10" s="1"/>
  <c r="J10" i="3"/>
  <c r="G11" i="3" s="1"/>
  <c r="I11" i="3" s="1"/>
  <c r="L10" i="3"/>
  <c r="L10" i="1"/>
  <c r="E13" i="1"/>
  <c r="E40" i="9"/>
  <c r="E41" i="9" s="1"/>
  <c r="E42" i="9" s="1"/>
  <c r="E43" i="9" s="1"/>
  <c r="E44" i="9" s="1"/>
  <c r="E45" i="9" s="1"/>
  <c r="E46" i="9" s="1"/>
  <c r="E47" i="9" s="1"/>
  <c r="E48" i="9" s="1"/>
  <c r="J52" i="9" s="1"/>
  <c r="G11" i="1"/>
  <c r="I11" i="1" s="1"/>
  <c r="J11" i="1" s="1"/>
  <c r="G12" i="1" s="1"/>
  <c r="I12" i="1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J178" i="5" s="1"/>
  <c r="E34" i="2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J12" i="9"/>
  <c r="G13" i="9" s="1"/>
  <c r="I13" i="9" s="1"/>
  <c r="J13" i="9" s="1"/>
  <c r="L11" i="9"/>
  <c r="M11" i="9" s="1"/>
  <c r="J10" i="4"/>
  <c r="G11" i="4" s="1"/>
  <c r="I11" i="4" s="1"/>
  <c r="J11" i="4" s="1"/>
  <c r="G12" i="4" s="1"/>
  <c r="I12" i="4" s="1"/>
  <c r="J12" i="4" s="1"/>
  <c r="G13" i="4" s="1"/>
  <c r="I13" i="4" s="1"/>
  <c r="J13" i="4" s="1"/>
  <c r="G14" i="4" s="1"/>
  <c r="I14" i="4" s="1"/>
  <c r="J14" i="4" s="1"/>
  <c r="G15" i="4" s="1"/>
  <c r="I15" i="4" s="1"/>
  <c r="J10" i="6"/>
  <c r="G11" i="6" s="1"/>
  <c r="I11" i="6" s="1"/>
  <c r="J11" i="6" s="1"/>
  <c r="G12" i="6" s="1"/>
  <c r="I12" i="6" s="1"/>
  <c r="J12" i="6" s="1"/>
  <c r="G13" i="6" s="1"/>
  <c r="I13" i="6" s="1"/>
  <c r="L10" i="6"/>
  <c r="E25" i="6"/>
  <c r="E26" i="6" s="1"/>
  <c r="E27" i="6" s="1"/>
  <c r="E28" i="6" s="1"/>
  <c r="E29" i="6" s="1"/>
  <c r="E30" i="6" s="1"/>
  <c r="E31" i="6" s="1"/>
  <c r="E32" i="6" s="1"/>
  <c r="E33" i="6" s="1"/>
  <c r="L12" i="8"/>
  <c r="J10" i="2"/>
  <c r="G11" i="2" s="1"/>
  <c r="I11" i="2" s="1"/>
  <c r="J11" i="2" s="1"/>
  <c r="G12" i="2" s="1"/>
  <c r="I12" i="2" s="1"/>
  <c r="J12" i="2" s="1"/>
  <c r="G13" i="2" s="1"/>
  <c r="I13" i="2" s="1"/>
  <c r="J13" i="2" s="1"/>
  <c r="J12" i="5"/>
  <c r="G13" i="5" s="1"/>
  <c r="I13" i="5" s="1"/>
  <c r="G13" i="8"/>
  <c r="I13" i="8" s="1"/>
  <c r="K30" i="17" l="1"/>
  <c r="L30" i="17" s="1"/>
  <c r="E34" i="6"/>
  <c r="E35" i="6" s="1"/>
  <c r="E36" i="6" s="1"/>
  <c r="E37" i="6" s="1"/>
  <c r="E38" i="6" s="1"/>
  <c r="E39" i="6" s="1"/>
  <c r="E40" i="6" s="1"/>
  <c r="E41" i="6" s="1"/>
  <c r="E42" i="6" s="1"/>
  <c r="J47" i="6" s="1"/>
  <c r="J11" i="3"/>
  <c r="G12" i="3" s="1"/>
  <c r="I12" i="3" s="1"/>
  <c r="L11" i="1"/>
  <c r="M11" i="1" s="1"/>
  <c r="E14" i="1"/>
  <c r="J12" i="1"/>
  <c r="J13" i="8"/>
  <c r="G14" i="8" s="1"/>
  <c r="I14" i="8" s="1"/>
  <c r="J14" i="8" s="1"/>
  <c r="L14" i="4"/>
  <c r="J15" i="4"/>
  <c r="G16" i="4" s="1"/>
  <c r="I16" i="4" s="1"/>
  <c r="L15" i="4"/>
  <c r="L13" i="10"/>
  <c r="J13" i="6"/>
  <c r="G14" i="6" s="1"/>
  <c r="I14" i="6" s="1"/>
  <c r="L13" i="6"/>
  <c r="L12" i="6"/>
  <c r="M12" i="6" s="1"/>
  <c r="J13" i="5"/>
  <c r="G14" i="5" s="1"/>
  <c r="I14" i="5" s="1"/>
  <c r="J14" i="5" s="1"/>
  <c r="G14" i="9"/>
  <c r="I14" i="9" s="1"/>
  <c r="J14" i="9" s="1"/>
  <c r="G14" i="10"/>
  <c r="I14" i="10" s="1"/>
  <c r="G14" i="2"/>
  <c r="I14" i="2" s="1"/>
  <c r="J14" i="2" s="1"/>
  <c r="H21" i="7"/>
  <c r="D21" i="7"/>
  <c r="J25" i="7" s="1"/>
  <c r="C21" i="7"/>
  <c r="J12" i="3" l="1"/>
  <c r="G13" i="3" s="1"/>
  <c r="I13" i="3" s="1"/>
  <c r="J13" i="3" s="1"/>
  <c r="G14" i="3" s="1"/>
  <c r="I14" i="3" s="1"/>
  <c r="J14" i="3" s="1"/>
  <c r="G15" i="3" s="1"/>
  <c r="I15" i="3" s="1"/>
  <c r="E15" i="1"/>
  <c r="G13" i="1"/>
  <c r="I13" i="1" s="1"/>
  <c r="G22" i="1"/>
  <c r="I22" i="1" s="1"/>
  <c r="M15" i="4"/>
  <c r="L14" i="2"/>
  <c r="L14" i="8"/>
  <c r="M14" i="8" s="1"/>
  <c r="L14" i="9"/>
  <c r="J16" i="4"/>
  <c r="G17" i="4" s="1"/>
  <c r="I17" i="4" s="1"/>
  <c r="L16" i="4"/>
  <c r="J14" i="10"/>
  <c r="G15" i="10" s="1"/>
  <c r="I15" i="10" s="1"/>
  <c r="J15" i="10" s="1"/>
  <c r="J14" i="6"/>
  <c r="G15" i="6" s="1"/>
  <c r="I15" i="6" s="1"/>
  <c r="J15" i="6" s="1"/>
  <c r="G15" i="9"/>
  <c r="I15" i="9" s="1"/>
  <c r="G15" i="5"/>
  <c r="I15" i="5" s="1"/>
  <c r="J15" i="5" s="1"/>
  <c r="G15" i="8"/>
  <c r="I15" i="8" s="1"/>
  <c r="G15" i="2"/>
  <c r="I15" i="2" s="1"/>
  <c r="J13" i="1" l="1"/>
  <c r="G14" i="1" s="1"/>
  <c r="I14" i="1" s="1"/>
  <c r="L14" i="3"/>
  <c r="M14" i="3" s="1"/>
  <c r="E16" i="1"/>
  <c r="L13" i="1"/>
  <c r="M13" i="1" s="1"/>
  <c r="J15" i="8"/>
  <c r="G16" i="8" s="1"/>
  <c r="I16" i="8" s="1"/>
  <c r="L15" i="8"/>
  <c r="M15" i="8" s="1"/>
  <c r="J17" i="4"/>
  <c r="G18" i="4" s="1"/>
  <c r="I18" i="4" s="1"/>
  <c r="J18" i="4" s="1"/>
  <c r="G19" i="4" s="1"/>
  <c r="I19" i="4" s="1"/>
  <c r="J15" i="3"/>
  <c r="G16" i="3" s="1"/>
  <c r="I16" i="3" s="1"/>
  <c r="J15" i="9"/>
  <c r="G16" i="9" s="1"/>
  <c r="I16" i="9" s="1"/>
  <c r="J15" i="2"/>
  <c r="G16" i="2" s="1"/>
  <c r="I16" i="2" s="1"/>
  <c r="L15" i="6"/>
  <c r="M15" i="6" s="1"/>
  <c r="G16" i="6"/>
  <c r="I16" i="6" s="1"/>
  <c r="G16" i="10"/>
  <c r="I16" i="10" s="1"/>
  <c r="G16" i="5"/>
  <c r="I16" i="5" s="1"/>
  <c r="J16" i="5" s="1"/>
  <c r="J14" i="1" l="1"/>
  <c r="G23" i="1"/>
  <c r="I23" i="1" s="1"/>
  <c r="G15" i="1"/>
  <c r="I15" i="1" s="1"/>
  <c r="J15" i="1" s="1"/>
  <c r="G24" i="1"/>
  <c r="I24" i="1" s="1"/>
  <c r="L15" i="1"/>
  <c r="M15" i="1" s="1"/>
  <c r="E17" i="1"/>
  <c r="L18" i="4"/>
  <c r="M18" i="4" s="1"/>
  <c r="J16" i="9"/>
  <c r="G17" i="9" s="1"/>
  <c r="I17" i="9" s="1"/>
  <c r="L16" i="9"/>
  <c r="M16" i="9" s="1"/>
  <c r="J16" i="2"/>
  <c r="G17" i="2" s="1"/>
  <c r="I17" i="2" s="1"/>
  <c r="J16" i="3"/>
  <c r="G17" i="3" s="1"/>
  <c r="I17" i="3" s="1"/>
  <c r="J17" i="3" s="1"/>
  <c r="J16" i="8"/>
  <c r="G17" i="8" s="1"/>
  <c r="I17" i="8" s="1"/>
  <c r="J17" i="8" s="1"/>
  <c r="J19" i="4"/>
  <c r="G20" i="4" s="1"/>
  <c r="I20" i="4" s="1"/>
  <c r="J20" i="4" s="1"/>
  <c r="J16" i="10"/>
  <c r="G17" i="10" s="1"/>
  <c r="I17" i="10" s="1"/>
  <c r="J16" i="6"/>
  <c r="G17" i="6" s="1"/>
  <c r="I17" i="6" s="1"/>
  <c r="J17" i="6" s="1"/>
  <c r="G18" i="6" s="1"/>
  <c r="I18" i="6" s="1"/>
  <c r="G17" i="5"/>
  <c r="I17" i="5" s="1"/>
  <c r="J17" i="5" s="1"/>
  <c r="J18" i="6" l="1"/>
  <c r="G19" i="6" s="1"/>
  <c r="I19" i="6" s="1"/>
  <c r="E18" i="1"/>
  <c r="G16" i="1"/>
  <c r="I16" i="1" s="1"/>
  <c r="L16" i="1" s="1"/>
  <c r="M16" i="1" s="1"/>
  <c r="G25" i="1"/>
  <c r="I25" i="1" s="1"/>
  <c r="J17" i="2"/>
  <c r="G18" i="2" s="1"/>
  <c r="I18" i="2" s="1"/>
  <c r="J17" i="9"/>
  <c r="G18" i="9" s="1"/>
  <c r="I18" i="9" s="1"/>
  <c r="L17" i="9"/>
  <c r="G21" i="4"/>
  <c r="I21" i="4" s="1"/>
  <c r="L18" i="6"/>
  <c r="G18" i="3"/>
  <c r="I18" i="3" s="1"/>
  <c r="J18" i="3" s="1"/>
  <c r="J17" i="10"/>
  <c r="G18" i="5"/>
  <c r="I18" i="5" s="1"/>
  <c r="J18" i="5" s="1"/>
  <c r="G18" i="8"/>
  <c r="I18" i="8" s="1"/>
  <c r="J18" i="8" s="1"/>
  <c r="J19" i="6" l="1"/>
  <c r="G20" i="6" s="1"/>
  <c r="I20" i="6" s="1"/>
  <c r="J20" i="6" s="1"/>
  <c r="G21" i="6" s="1"/>
  <c r="I21" i="6" s="1"/>
  <c r="J16" i="1"/>
  <c r="E19" i="1"/>
  <c r="J18" i="2"/>
  <c r="G19" i="2" s="1"/>
  <c r="I19" i="2" s="1"/>
  <c r="J21" i="4"/>
  <c r="G22" i="4" s="1"/>
  <c r="I22" i="4" s="1"/>
  <c r="J22" i="4" s="1"/>
  <c r="J18" i="9"/>
  <c r="G19" i="9" s="1"/>
  <c r="I19" i="9" s="1"/>
  <c r="L18" i="3"/>
  <c r="L20" i="6"/>
  <c r="M20" i="6" s="1"/>
  <c r="J21" i="6"/>
  <c r="J22" i="6" s="1"/>
  <c r="L21" i="6"/>
  <c r="M21" i="6" s="1"/>
  <c r="G19" i="3"/>
  <c r="I19" i="3" s="1"/>
  <c r="G18" i="10"/>
  <c r="I18" i="10" s="1"/>
  <c r="L18" i="10" s="1"/>
  <c r="M18" i="10" s="1"/>
  <c r="G19" i="5"/>
  <c r="I19" i="5" s="1"/>
  <c r="J19" i="5" s="1"/>
  <c r="G19" i="8"/>
  <c r="I19" i="8" s="1"/>
  <c r="J19" i="8" s="1"/>
  <c r="G23" i="6" l="1"/>
  <c r="I23" i="6" s="1"/>
  <c r="G26" i="1"/>
  <c r="I26" i="1" s="1"/>
  <c r="L26" i="1" s="1"/>
  <c r="G17" i="1"/>
  <c r="I17" i="1" s="1"/>
  <c r="E20" i="1"/>
  <c r="L19" i="8"/>
  <c r="M19" i="8" s="1"/>
  <c r="J19" i="9"/>
  <c r="G20" i="9" s="1"/>
  <c r="I20" i="9" s="1"/>
  <c r="L19" i="9"/>
  <c r="M19" i="9" s="1"/>
  <c r="J19" i="2"/>
  <c r="G20" i="2" s="1"/>
  <c r="I20" i="2" s="1"/>
  <c r="J20" i="2" s="1"/>
  <c r="J19" i="3"/>
  <c r="G20" i="3" s="1"/>
  <c r="I20" i="3" s="1"/>
  <c r="J20" i="3" s="1"/>
  <c r="G23" i="4"/>
  <c r="I23" i="4" s="1"/>
  <c r="J23" i="4" s="1"/>
  <c r="G24" i="4" s="1"/>
  <c r="I24" i="4" s="1"/>
  <c r="J24" i="4" s="1"/>
  <c r="G25" i="4" s="1"/>
  <c r="I25" i="4" s="1"/>
  <c r="J18" i="10"/>
  <c r="G20" i="5"/>
  <c r="I20" i="5" s="1"/>
  <c r="J20" i="5" s="1"/>
  <c r="G20" i="8"/>
  <c r="I20" i="8" s="1"/>
  <c r="M21" i="7"/>
  <c r="I21" i="7"/>
  <c r="J26" i="7" s="1"/>
  <c r="L23" i="6" l="1"/>
  <c r="J23" i="6"/>
  <c r="G24" i="6" s="1"/>
  <c r="I24" i="6" s="1"/>
  <c r="L24" i="6" s="1"/>
  <c r="M24" i="6" s="1"/>
  <c r="M27" i="1"/>
  <c r="J17" i="1"/>
  <c r="G18" i="1"/>
  <c r="I18" i="1" s="1"/>
  <c r="J18" i="1" s="1"/>
  <c r="G27" i="1"/>
  <c r="I27" i="1" s="1"/>
  <c r="L27" i="1" s="1"/>
  <c r="E21" i="1"/>
  <c r="E22" i="1" s="1"/>
  <c r="E23" i="1" s="1"/>
  <c r="E24" i="1" s="1"/>
  <c r="E25" i="1" s="1"/>
  <c r="E26" i="1" s="1"/>
  <c r="E27" i="1" s="1"/>
  <c r="J31" i="1" s="1"/>
  <c r="J25" i="4"/>
  <c r="G26" i="4" s="1"/>
  <c r="I26" i="4" s="1"/>
  <c r="L25" i="4"/>
  <c r="J20" i="8"/>
  <c r="G21" i="8" s="1"/>
  <c r="I21" i="8" s="1"/>
  <c r="L20" i="2"/>
  <c r="M20" i="2" s="1"/>
  <c r="J20" i="9"/>
  <c r="G21" i="9" s="1"/>
  <c r="I21" i="9" s="1"/>
  <c r="G21" i="3"/>
  <c r="I21" i="3" s="1"/>
  <c r="J21" i="3" s="1"/>
  <c r="G19" i="10"/>
  <c r="I19" i="10" s="1"/>
  <c r="G21" i="5"/>
  <c r="I21" i="5" s="1"/>
  <c r="J21" i="5" s="1"/>
  <c r="G21" i="2"/>
  <c r="I21" i="2" s="1"/>
  <c r="G19" i="1" l="1"/>
  <c r="I19" i="1" s="1"/>
  <c r="L19" i="1" s="1"/>
  <c r="L18" i="1"/>
  <c r="J24" i="6"/>
  <c r="J21" i="8"/>
  <c r="G22" i="8" s="1"/>
  <c r="I22" i="8" s="1"/>
  <c r="J22" i="8" s="1"/>
  <c r="J21" i="2"/>
  <c r="G22" i="2" s="1"/>
  <c r="I22" i="2" s="1"/>
  <c r="J26" i="4"/>
  <c r="G27" i="4" s="1"/>
  <c r="I27" i="4" s="1"/>
  <c r="L26" i="4"/>
  <c r="M26" i="4" s="1"/>
  <c r="J21" i="9"/>
  <c r="G22" i="3"/>
  <c r="I22" i="3" s="1"/>
  <c r="J19" i="10"/>
  <c r="G22" i="5"/>
  <c r="I22" i="5" s="1"/>
  <c r="J22" i="5" s="1"/>
  <c r="K38" i="17" l="1"/>
  <c r="L38" i="17" s="1"/>
  <c r="G25" i="6"/>
  <c r="I25" i="6" s="1"/>
  <c r="J25" i="6" s="1"/>
  <c r="M19" i="1"/>
  <c r="J19" i="1"/>
  <c r="J22" i="2"/>
  <c r="G23" i="2" s="1"/>
  <c r="I23" i="2" s="1"/>
  <c r="L22" i="2"/>
  <c r="J27" i="4"/>
  <c r="G28" i="4" s="1"/>
  <c r="I28" i="4" s="1"/>
  <c r="J28" i="4" s="1"/>
  <c r="G29" i="4" s="1"/>
  <c r="I29" i="4" s="1"/>
  <c r="J22" i="3"/>
  <c r="G23" i="3" s="1"/>
  <c r="I23" i="3" s="1"/>
  <c r="G22" i="9"/>
  <c r="I22" i="9" s="1"/>
  <c r="L22" i="9" s="1"/>
  <c r="G20" i="10"/>
  <c r="I20" i="10" s="1"/>
  <c r="G23" i="5"/>
  <c r="I23" i="5" s="1"/>
  <c r="L23" i="5" s="1"/>
  <c r="G23" i="8"/>
  <c r="I23" i="8" s="1"/>
  <c r="J23" i="8" s="1"/>
  <c r="G26" i="6" l="1"/>
  <c r="I26" i="6" s="1"/>
  <c r="G20" i="1"/>
  <c r="I20" i="1" s="1"/>
  <c r="J23" i="3"/>
  <c r="G24" i="3" s="1"/>
  <c r="I24" i="3" s="1"/>
  <c r="L23" i="8"/>
  <c r="M23" i="8" s="1"/>
  <c r="J29" i="4"/>
  <c r="G30" i="4" s="1"/>
  <c r="I30" i="4" s="1"/>
  <c r="J30" i="4" s="1"/>
  <c r="G31" i="4" s="1"/>
  <c r="I31" i="4" s="1"/>
  <c r="J31" i="4" s="1"/>
  <c r="G32" i="4" s="1"/>
  <c r="I32" i="4" s="1"/>
  <c r="J32" i="4" s="1"/>
  <c r="L28" i="4"/>
  <c r="J23" i="2"/>
  <c r="G24" i="2" s="1"/>
  <c r="I24" i="2" s="1"/>
  <c r="J20" i="10"/>
  <c r="G21" i="10" s="1"/>
  <c r="I21" i="10" s="1"/>
  <c r="J21" i="10" s="1"/>
  <c r="J22" i="9"/>
  <c r="J23" i="5"/>
  <c r="G24" i="5" s="1"/>
  <c r="I24" i="5" s="1"/>
  <c r="G24" i="8"/>
  <c r="I24" i="8" s="1"/>
  <c r="L24" i="8" s="1"/>
  <c r="M24" i="8" s="1"/>
  <c r="J20" i="1" l="1"/>
  <c r="L25" i="1"/>
  <c r="M25" i="1" s="1"/>
  <c r="M28" i="1" s="1"/>
  <c r="I28" i="1"/>
  <c r="J26" i="6"/>
  <c r="G21" i="1"/>
  <c r="I21" i="1" s="1"/>
  <c r="J21" i="1" s="1"/>
  <c r="J22" i="1" s="1"/>
  <c r="J23" i="1" s="1"/>
  <c r="J24" i="1" s="1"/>
  <c r="J25" i="1" s="1"/>
  <c r="J26" i="1" s="1"/>
  <c r="J27" i="1" s="1"/>
  <c r="J32" i="1" s="1"/>
  <c r="J24" i="3"/>
  <c r="L24" i="3"/>
  <c r="M24" i="3" s="1"/>
  <c r="J24" i="2"/>
  <c r="G25" i="2" s="1"/>
  <c r="I25" i="2" s="1"/>
  <c r="J25" i="2" s="1"/>
  <c r="G33" i="4"/>
  <c r="I33" i="4" s="1"/>
  <c r="L33" i="4" s="1"/>
  <c r="M33" i="4" s="1"/>
  <c r="L32" i="4"/>
  <c r="M32" i="4" s="1"/>
  <c r="L21" i="10"/>
  <c r="M21" i="10" s="1"/>
  <c r="J24" i="8"/>
  <c r="G25" i="8" s="1"/>
  <c r="I25" i="8" s="1"/>
  <c r="J24" i="5"/>
  <c r="G25" i="5" s="1"/>
  <c r="I25" i="5" s="1"/>
  <c r="J25" i="5" s="1"/>
  <c r="G26" i="5" s="1"/>
  <c r="I26" i="5" s="1"/>
  <c r="J26" i="5" s="1"/>
  <c r="G27" i="5" s="1"/>
  <c r="I27" i="5" s="1"/>
  <c r="J27" i="5" s="1"/>
  <c r="G28" i="5" s="1"/>
  <c r="I28" i="5" s="1"/>
  <c r="J28" i="5" s="1"/>
  <c r="G23" i="9"/>
  <c r="I23" i="9" s="1"/>
  <c r="G25" i="3"/>
  <c r="I25" i="3" s="1"/>
  <c r="G22" i="10"/>
  <c r="I22" i="10" s="1"/>
  <c r="G27" i="6" l="1"/>
  <c r="I27" i="6" s="1"/>
  <c r="J27" i="6" s="1"/>
  <c r="J33" i="4"/>
  <c r="G34" i="4" s="1"/>
  <c r="I34" i="4" s="1"/>
  <c r="J25" i="8"/>
  <c r="G26" i="8" s="1"/>
  <c r="I26" i="8" s="1"/>
  <c r="L25" i="8"/>
  <c r="M25" i="8" s="1"/>
  <c r="J25" i="3"/>
  <c r="G26" i="3" s="1"/>
  <c r="I26" i="3" s="1"/>
  <c r="J26" i="3" s="1"/>
  <c r="J22" i="10"/>
  <c r="G23" i="10" s="1"/>
  <c r="I23" i="10" s="1"/>
  <c r="J23" i="10" s="1"/>
  <c r="G29" i="5"/>
  <c r="I29" i="5" s="1"/>
  <c r="J29" i="5" s="1"/>
  <c r="J23" i="9"/>
  <c r="G26" i="2"/>
  <c r="I26" i="2" s="1"/>
  <c r="J26" i="2" s="1"/>
  <c r="G27" i="2" s="1"/>
  <c r="I27" i="2" s="1"/>
  <c r="L27" i="6" l="1"/>
  <c r="L26" i="2"/>
  <c r="M26" i="2" s="1"/>
  <c r="J34" i="4"/>
  <c r="G35" i="4" s="1"/>
  <c r="I35" i="4" s="1"/>
  <c r="L34" i="4"/>
  <c r="L26" i="3"/>
  <c r="J27" i="2"/>
  <c r="G28" i="2" s="1"/>
  <c r="I28" i="2" s="1"/>
  <c r="J28" i="2" s="1"/>
  <c r="L23" i="10"/>
  <c r="M23" i="10" s="1"/>
  <c r="G30" i="5"/>
  <c r="I30" i="5" s="1"/>
  <c r="J30" i="5" s="1"/>
  <c r="G24" i="9"/>
  <c r="I24" i="9" s="1"/>
  <c r="G27" i="3"/>
  <c r="I27" i="3" s="1"/>
  <c r="G24" i="10"/>
  <c r="I24" i="10" s="1"/>
  <c r="J26" i="8"/>
  <c r="J27" i="7"/>
  <c r="G28" i="6" l="1"/>
  <c r="I28" i="6" s="1"/>
  <c r="J28" i="6" s="1"/>
  <c r="J35" i="4"/>
  <c r="G36" i="4" s="1"/>
  <c r="I36" i="4" s="1"/>
  <c r="J36" i="4" s="1"/>
  <c r="G37" i="4" s="1"/>
  <c r="I37" i="4" s="1"/>
  <c r="J37" i="4" s="1"/>
  <c r="L28" i="2"/>
  <c r="J27" i="3"/>
  <c r="G28" i="3" s="1"/>
  <c r="I28" i="3" s="1"/>
  <c r="J28" i="3" s="1"/>
  <c r="J24" i="9"/>
  <c r="G25" i="9" s="1"/>
  <c r="I25" i="9" s="1"/>
  <c r="J25" i="9" s="1"/>
  <c r="J24" i="10"/>
  <c r="G25" i="10" s="1"/>
  <c r="I25" i="10" s="1"/>
  <c r="G29" i="2"/>
  <c r="I29" i="2" s="1"/>
  <c r="G31" i="5"/>
  <c r="I31" i="5" s="1"/>
  <c r="J31" i="5" s="1"/>
  <c r="G32" i="5" s="1"/>
  <c r="I32" i="5" s="1"/>
  <c r="J32" i="5" s="1"/>
  <c r="G33" i="5" s="1"/>
  <c r="I33" i="5" s="1"/>
  <c r="J33" i="5" s="1"/>
  <c r="G34" i="5" s="1"/>
  <c r="I34" i="5" s="1"/>
  <c r="J34" i="5" s="1"/>
  <c r="G27" i="8"/>
  <c r="I27" i="8" s="1"/>
  <c r="K41" i="17" l="1"/>
  <c r="L41" i="17" s="1"/>
  <c r="G29" i="6"/>
  <c r="I29" i="6" s="1"/>
  <c r="J29" i="6" s="1"/>
  <c r="L37" i="4"/>
  <c r="M37" i="4" s="1"/>
  <c r="G38" i="4"/>
  <c r="I38" i="4" s="1"/>
  <c r="J38" i="4" s="1"/>
  <c r="G39" i="4" s="1"/>
  <c r="I39" i="4" s="1"/>
  <c r="J39" i="4" s="1"/>
  <c r="G40" i="4" s="1"/>
  <c r="I40" i="4" s="1"/>
  <c r="J40" i="4" s="1"/>
  <c r="G41" i="4" s="1"/>
  <c r="I41" i="4" s="1"/>
  <c r="J41" i="4" s="1"/>
  <c r="G42" i="4" s="1"/>
  <c r="I42" i="4" s="1"/>
  <c r="J42" i="4" s="1"/>
  <c r="G43" i="4" s="1"/>
  <c r="I43" i="4" s="1"/>
  <c r="J43" i="4" s="1"/>
  <c r="G44" i="4" s="1"/>
  <c r="I44" i="4" s="1"/>
  <c r="I11" i="15"/>
  <c r="J17" i="15"/>
  <c r="J29" i="2"/>
  <c r="G30" i="2" s="1"/>
  <c r="I30" i="2" s="1"/>
  <c r="J30" i="2" s="1"/>
  <c r="G31" i="2" s="1"/>
  <c r="I31" i="2" s="1"/>
  <c r="J25" i="10"/>
  <c r="J26" i="10" s="1"/>
  <c r="G27" i="10" s="1"/>
  <c r="I27" i="10" s="1"/>
  <c r="L25" i="10"/>
  <c r="M25" i="10" s="1"/>
  <c r="G35" i="5"/>
  <c r="I35" i="5" s="1"/>
  <c r="J35" i="5" s="1"/>
  <c r="G36" i="5" s="1"/>
  <c r="I36" i="5" s="1"/>
  <c r="J36" i="5" s="1"/>
  <c r="G37" i="5" s="1"/>
  <c r="I37" i="5" s="1"/>
  <c r="J37" i="5" s="1"/>
  <c r="G38" i="5" s="1"/>
  <c r="I38" i="5" s="1"/>
  <c r="G26" i="9"/>
  <c r="I26" i="9" s="1"/>
  <c r="J26" i="9" s="1"/>
  <c r="G29" i="3"/>
  <c r="I29" i="3" s="1"/>
  <c r="J29" i="3" s="1"/>
  <c r="J27" i="8"/>
  <c r="G30" i="6" l="1"/>
  <c r="I30" i="6" s="1"/>
  <c r="J30" i="6" s="1"/>
  <c r="L30" i="2"/>
  <c r="M30" i="2" s="1"/>
  <c r="J44" i="4"/>
  <c r="G45" i="4" s="1"/>
  <c r="I45" i="4" s="1"/>
  <c r="J45" i="4" s="1"/>
  <c r="G46" i="4" s="1"/>
  <c r="I46" i="4" s="1"/>
  <c r="J46" i="4" s="1"/>
  <c r="G47" i="4" s="1"/>
  <c r="I47" i="4" s="1"/>
  <c r="J27" i="10"/>
  <c r="G28" i="10" s="1"/>
  <c r="I28" i="10" s="1"/>
  <c r="L27" i="10"/>
  <c r="M27" i="10" s="1"/>
  <c r="L43" i="4"/>
  <c r="I11" i="14"/>
  <c r="J17" i="14"/>
  <c r="J15" i="13"/>
  <c r="J31" i="2"/>
  <c r="G32" i="2" s="1"/>
  <c r="I32" i="2" s="1"/>
  <c r="J32" i="2" s="1"/>
  <c r="G33" i="2" s="1"/>
  <c r="I33" i="2" s="1"/>
  <c r="J33" i="2" s="1"/>
  <c r="L31" i="2"/>
  <c r="L26" i="9"/>
  <c r="M26" i="9" s="1"/>
  <c r="J38" i="5"/>
  <c r="G39" i="5" s="1"/>
  <c r="I39" i="5" s="1"/>
  <c r="L38" i="5"/>
  <c r="M38" i="5" s="1"/>
  <c r="G27" i="9"/>
  <c r="I27" i="9" s="1"/>
  <c r="G30" i="3"/>
  <c r="I30" i="3" s="1"/>
  <c r="J30" i="3" s="1"/>
  <c r="G28" i="8"/>
  <c r="I28" i="8" s="1"/>
  <c r="K42" i="17" l="1"/>
  <c r="J47" i="4"/>
  <c r="G48" i="4" s="1"/>
  <c r="I48" i="4" s="1"/>
  <c r="J48" i="4" s="1"/>
  <c r="G49" i="4" s="1"/>
  <c r="I49" i="4" s="1"/>
  <c r="J49" i="4" s="1"/>
  <c r="G50" i="4" s="1"/>
  <c r="I50" i="4" s="1"/>
  <c r="J50" i="4" s="1"/>
  <c r="G51" i="4" s="1"/>
  <c r="I51" i="4" s="1"/>
  <c r="L50" i="4"/>
  <c r="G31" i="6"/>
  <c r="I31" i="6" s="1"/>
  <c r="L30" i="6"/>
  <c r="M30" i="6" s="1"/>
  <c r="L46" i="4"/>
  <c r="M46" i="4" s="1"/>
  <c r="J28" i="10"/>
  <c r="J27" i="9"/>
  <c r="G28" i="9" s="1"/>
  <c r="I28" i="9" s="1"/>
  <c r="L27" i="9"/>
  <c r="M27" i="9" s="1"/>
  <c r="J28" i="8"/>
  <c r="G29" i="8" s="1"/>
  <c r="I29" i="8" s="1"/>
  <c r="J29" i="8" s="1"/>
  <c r="J34" i="2"/>
  <c r="J39" i="5"/>
  <c r="G40" i="5" s="1"/>
  <c r="I40" i="5" s="1"/>
  <c r="J40" i="5" s="1"/>
  <c r="G41" i="5" s="1"/>
  <c r="I41" i="5" s="1"/>
  <c r="J41" i="5" s="1"/>
  <c r="G42" i="5" s="1"/>
  <c r="I42" i="5" s="1"/>
  <c r="J42" i="5" s="1"/>
  <c r="G43" i="5" s="1"/>
  <c r="I43" i="5" s="1"/>
  <c r="J43" i="5" s="1"/>
  <c r="G44" i="5" s="1"/>
  <c r="I44" i="5" s="1"/>
  <c r="J44" i="5" s="1"/>
  <c r="G45" i="5" s="1"/>
  <c r="I45" i="5" s="1"/>
  <c r="J45" i="5" s="1"/>
  <c r="G46" i="5" s="1"/>
  <c r="I46" i="5" s="1"/>
  <c r="J46" i="5" s="1"/>
  <c r="G47" i="5" s="1"/>
  <c r="I47" i="5" s="1"/>
  <c r="J47" i="5" s="1"/>
  <c r="G48" i="5" s="1"/>
  <c r="I48" i="5" s="1"/>
  <c r="G31" i="3"/>
  <c r="I31" i="3" s="1"/>
  <c r="J31" i="3" s="1"/>
  <c r="G29" i="10"/>
  <c r="I29" i="10" s="1"/>
  <c r="J29" i="10" s="1"/>
  <c r="J33" i="1"/>
  <c r="J51" i="4" l="1"/>
  <c r="J31" i="6"/>
  <c r="L31" i="3"/>
  <c r="M31" i="3" s="1"/>
  <c r="J28" i="9"/>
  <c r="G29" i="9" s="1"/>
  <c r="I29" i="9" s="1"/>
  <c r="J29" i="9" s="1"/>
  <c r="L29" i="8"/>
  <c r="G35" i="2"/>
  <c r="I35" i="2" s="1"/>
  <c r="J35" i="2" s="1"/>
  <c r="J48" i="5"/>
  <c r="G49" i="5" s="1"/>
  <c r="I49" i="5" s="1"/>
  <c r="J49" i="5" s="1"/>
  <c r="G50" i="5" s="1"/>
  <c r="I50" i="5" s="1"/>
  <c r="J50" i="5" s="1"/>
  <c r="G51" i="5" s="1"/>
  <c r="I51" i="5" s="1"/>
  <c r="J51" i="5" s="1"/>
  <c r="L47" i="5"/>
  <c r="G52" i="4"/>
  <c r="I52" i="4" s="1"/>
  <c r="J52" i="4" s="1"/>
  <c r="G32" i="3"/>
  <c r="I32" i="3" s="1"/>
  <c r="G30" i="10"/>
  <c r="I30" i="10" s="1"/>
  <c r="J30" i="10" s="1"/>
  <c r="G30" i="8"/>
  <c r="I30" i="8" s="1"/>
  <c r="G32" i="6" l="1"/>
  <c r="I32" i="6" s="1"/>
  <c r="L30" i="10"/>
  <c r="M30" i="10" s="1"/>
  <c r="L29" i="9"/>
  <c r="J30" i="8"/>
  <c r="G31" i="8" s="1"/>
  <c r="I31" i="8" s="1"/>
  <c r="J31" i="8" s="1"/>
  <c r="J32" i="3"/>
  <c r="G33" i="3" s="1"/>
  <c r="I33" i="3" s="1"/>
  <c r="G36" i="2"/>
  <c r="I36" i="2" s="1"/>
  <c r="J36" i="2" s="1"/>
  <c r="G37" i="2" s="1"/>
  <c r="I37" i="2" s="1"/>
  <c r="J37" i="2" s="1"/>
  <c r="G38" i="2" s="1"/>
  <c r="I38" i="2" s="1"/>
  <c r="J38" i="2" s="1"/>
  <c r="G39" i="2" s="1"/>
  <c r="I39" i="2" s="1"/>
  <c r="J39" i="2" s="1"/>
  <c r="G53" i="4"/>
  <c r="I53" i="4" s="1"/>
  <c r="G52" i="5"/>
  <c r="I52" i="5" s="1"/>
  <c r="J52" i="5" s="1"/>
  <c r="G30" i="9"/>
  <c r="I30" i="9" s="1"/>
  <c r="G31" i="10"/>
  <c r="I31" i="10" s="1"/>
  <c r="J32" i="6" l="1"/>
  <c r="J30" i="9"/>
  <c r="G31" i="9" s="1"/>
  <c r="I31" i="9" s="1"/>
  <c r="J31" i="9" s="1"/>
  <c r="G32" i="9" s="1"/>
  <c r="I32" i="9" s="1"/>
  <c r="J31" i="10"/>
  <c r="G32" i="10" s="1"/>
  <c r="I32" i="10" s="1"/>
  <c r="J32" i="10" s="1"/>
  <c r="L31" i="8"/>
  <c r="M31" i="8" s="1"/>
  <c r="J33" i="3"/>
  <c r="G34" i="3" s="1"/>
  <c r="I34" i="3" s="1"/>
  <c r="G40" i="2"/>
  <c r="I40" i="2" s="1"/>
  <c r="L39" i="2"/>
  <c r="M39" i="2" s="1"/>
  <c r="J53" i="4"/>
  <c r="G54" i="4" s="1"/>
  <c r="I54" i="4" s="1"/>
  <c r="J54" i="4" s="1"/>
  <c r="G55" i="4" s="1"/>
  <c r="I55" i="4" s="1"/>
  <c r="G53" i="5"/>
  <c r="I53" i="5" s="1"/>
  <c r="J53" i="5" s="1"/>
  <c r="G32" i="8"/>
  <c r="I32" i="8" s="1"/>
  <c r="K45" i="17" l="1"/>
  <c r="L45" i="17" s="1"/>
  <c r="J55" i="4"/>
  <c r="G56" i="4" s="1"/>
  <c r="I56" i="4" s="1"/>
  <c r="J56" i="4" s="1"/>
  <c r="G57" i="4" s="1"/>
  <c r="I57" i="4" s="1"/>
  <c r="J57" i="4" s="1"/>
  <c r="G58" i="4" s="1"/>
  <c r="I58" i="4" s="1"/>
  <c r="J58" i="4" s="1"/>
  <c r="G59" i="4" s="1"/>
  <c r="I59" i="4" s="1"/>
  <c r="J59" i="4" s="1"/>
  <c r="G60" i="4" s="1"/>
  <c r="I60" i="4" s="1"/>
  <c r="J60" i="4" s="1"/>
  <c r="G61" i="4" s="1"/>
  <c r="I61" i="4" s="1"/>
  <c r="L60" i="4"/>
  <c r="L54" i="4"/>
  <c r="M54" i="4" s="1"/>
  <c r="J32" i="8"/>
  <c r="G33" i="8" s="1"/>
  <c r="I33" i="8" s="1"/>
  <c r="J33" i="8" s="1"/>
  <c r="G33" i="6"/>
  <c r="I33" i="6" s="1"/>
  <c r="L32" i="10"/>
  <c r="L31" i="9"/>
  <c r="J40" i="2"/>
  <c r="G41" i="2" s="1"/>
  <c r="I41" i="2" s="1"/>
  <c r="J41" i="2" s="1"/>
  <c r="G42" i="2" s="1"/>
  <c r="I42" i="2" s="1"/>
  <c r="J42" i="2" s="1"/>
  <c r="G43" i="2" s="1"/>
  <c r="I43" i="2" s="1"/>
  <c r="J32" i="9"/>
  <c r="L32" i="9"/>
  <c r="M31" i="9"/>
  <c r="J34" i="3"/>
  <c r="G35" i="3" s="1"/>
  <c r="I35" i="3" s="1"/>
  <c r="J35" i="3" s="1"/>
  <c r="G54" i="5"/>
  <c r="I54" i="5" s="1"/>
  <c r="G33" i="10"/>
  <c r="I33" i="10" s="1"/>
  <c r="J61" i="4" l="1"/>
  <c r="G62" i="4" s="1"/>
  <c r="I62" i="4" s="1"/>
  <c r="L61" i="4"/>
  <c r="M61" i="4" s="1"/>
  <c r="J33" i="6"/>
  <c r="L33" i="6"/>
  <c r="J33" i="10"/>
  <c r="L33" i="10"/>
  <c r="J43" i="2"/>
  <c r="G44" i="2" s="1"/>
  <c r="I44" i="2" s="1"/>
  <c r="L43" i="2"/>
  <c r="L42" i="2"/>
  <c r="M42" i="2" s="1"/>
  <c r="M33" i="10"/>
  <c r="I16" i="11"/>
  <c r="J54" i="5"/>
  <c r="G55" i="5" s="1"/>
  <c r="I55" i="5" s="1"/>
  <c r="L54" i="5"/>
  <c r="M54" i="5" s="1"/>
  <c r="G36" i="3"/>
  <c r="I36" i="3" s="1"/>
  <c r="J36" i="3" s="1"/>
  <c r="G34" i="10"/>
  <c r="I34" i="10" s="1"/>
  <c r="G34" i="8"/>
  <c r="I34" i="8" s="1"/>
  <c r="J34" i="8" s="1"/>
  <c r="K47" i="17" l="1"/>
  <c r="J34" i="10"/>
  <c r="J62" i="4"/>
  <c r="G63" i="4" s="1"/>
  <c r="I63" i="4" s="1"/>
  <c r="J63" i="4" s="1"/>
  <c r="G64" i="4" s="1"/>
  <c r="I64" i="4" s="1"/>
  <c r="J64" i="4" s="1"/>
  <c r="G65" i="4" s="1"/>
  <c r="I65" i="4" s="1"/>
  <c r="J65" i="4" s="1"/>
  <c r="G66" i="4" s="1"/>
  <c r="I66" i="4" s="1"/>
  <c r="J66" i="4" s="1"/>
  <c r="G67" i="4" s="1"/>
  <c r="I67" i="4" s="1"/>
  <c r="L67" i="4"/>
  <c r="M67" i="4" s="1"/>
  <c r="M68" i="4" s="1"/>
  <c r="G34" i="6"/>
  <c r="I34" i="6" s="1"/>
  <c r="J44" i="2"/>
  <c r="G45" i="2" s="1"/>
  <c r="I45" i="2" s="1"/>
  <c r="J45" i="2" s="1"/>
  <c r="G46" i="2" s="1"/>
  <c r="I46" i="2" s="1"/>
  <c r="J22" i="11"/>
  <c r="J55" i="5"/>
  <c r="G56" i="5" s="1"/>
  <c r="I56" i="5" s="1"/>
  <c r="G33" i="9"/>
  <c r="I33" i="9" s="1"/>
  <c r="G37" i="3"/>
  <c r="I37" i="3" s="1"/>
  <c r="G35" i="10"/>
  <c r="I35" i="10" s="1"/>
  <c r="J35" i="10" s="1"/>
  <c r="G35" i="8"/>
  <c r="I35" i="8" s="1"/>
  <c r="J35" i="8" s="1"/>
  <c r="J67" i="4" l="1"/>
  <c r="J74" i="4" s="1"/>
  <c r="I68" i="4"/>
  <c r="L35" i="8"/>
  <c r="L34" i="6"/>
  <c r="M34" i="6" s="1"/>
  <c r="J34" i="6"/>
  <c r="L45" i="2"/>
  <c r="M45" i="2" s="1"/>
  <c r="J46" i="2"/>
  <c r="G47" i="2" s="1"/>
  <c r="I47" i="2" s="1"/>
  <c r="J47" i="2" s="1"/>
  <c r="G48" i="2" s="1"/>
  <c r="I48" i="2" s="1"/>
  <c r="J33" i="9"/>
  <c r="G34" i="9" s="1"/>
  <c r="I34" i="9" s="1"/>
  <c r="L34" i="9" s="1"/>
  <c r="L33" i="9"/>
  <c r="M33" i="9" s="1"/>
  <c r="J37" i="3"/>
  <c r="G38" i="3" s="1"/>
  <c r="I38" i="3" s="1"/>
  <c r="J38" i="3" s="1"/>
  <c r="J56" i="5"/>
  <c r="G57" i="5" s="1"/>
  <c r="I57" i="5" s="1"/>
  <c r="G36" i="10"/>
  <c r="I36" i="10" s="1"/>
  <c r="G36" i="8"/>
  <c r="I36" i="8" s="1"/>
  <c r="K51" i="17" l="1"/>
  <c r="L51" i="17" s="1"/>
  <c r="J36" i="8"/>
  <c r="L36" i="8"/>
  <c r="M36" i="8" s="1"/>
  <c r="G35" i="6"/>
  <c r="I35" i="6" s="1"/>
  <c r="L47" i="2"/>
  <c r="J48" i="2"/>
  <c r="G49" i="2" s="1"/>
  <c r="L48" i="2"/>
  <c r="J34" i="9"/>
  <c r="J57" i="5"/>
  <c r="G58" i="5" s="1"/>
  <c r="I58" i="5" s="1"/>
  <c r="G35" i="9"/>
  <c r="I35" i="9" s="1"/>
  <c r="G39" i="3"/>
  <c r="I39" i="3" s="1"/>
  <c r="J36" i="10"/>
  <c r="G37" i="10" s="1"/>
  <c r="I37" i="10" s="1"/>
  <c r="G37" i="8"/>
  <c r="I37" i="8" s="1"/>
  <c r="J35" i="9" l="1"/>
  <c r="J37" i="10"/>
  <c r="G38" i="10" s="1"/>
  <c r="I38" i="10" s="1"/>
  <c r="J38" i="10" s="1"/>
  <c r="G39" i="10" s="1"/>
  <c r="I39" i="10" s="1"/>
  <c r="L38" i="10"/>
  <c r="M38" i="10" s="1"/>
  <c r="J37" i="8"/>
  <c r="J35" i="6"/>
  <c r="M48" i="2"/>
  <c r="J39" i="3"/>
  <c r="G40" i="3" s="1"/>
  <c r="I40" i="3" s="1"/>
  <c r="L39" i="3"/>
  <c r="J58" i="5"/>
  <c r="G59" i="5" s="1"/>
  <c r="I59" i="5" s="1"/>
  <c r="G36" i="9"/>
  <c r="I36" i="9" s="1"/>
  <c r="G38" i="8"/>
  <c r="I38" i="8" s="1"/>
  <c r="J38" i="8" s="1"/>
  <c r="J39" i="10" l="1"/>
  <c r="G40" i="10" s="1"/>
  <c r="I40" i="10" s="1"/>
  <c r="J40" i="10" s="1"/>
  <c r="G41" i="10" s="1"/>
  <c r="I41" i="10" s="1"/>
  <c r="J41" i="10" s="1"/>
  <c r="G42" i="10" s="1"/>
  <c r="I42" i="10" s="1"/>
  <c r="L41" i="10"/>
  <c r="G36" i="6"/>
  <c r="I36" i="6" s="1"/>
  <c r="J36" i="9"/>
  <c r="G37" i="9" s="1"/>
  <c r="I37" i="9" s="1"/>
  <c r="J40" i="3"/>
  <c r="G41" i="3" s="1"/>
  <c r="I41" i="3" s="1"/>
  <c r="J41" i="3" s="1"/>
  <c r="J59" i="5"/>
  <c r="G60" i="5" s="1"/>
  <c r="I60" i="5" s="1"/>
  <c r="J60" i="5" s="1"/>
  <c r="G39" i="8"/>
  <c r="I39" i="8" s="1"/>
  <c r="J39" i="8" s="1"/>
  <c r="J37" i="9" l="1"/>
  <c r="L38" i="9"/>
  <c r="M38" i="9" s="1"/>
  <c r="J42" i="10"/>
  <c r="G43" i="10" s="1"/>
  <c r="I43" i="10" s="1"/>
  <c r="J43" i="10" s="1"/>
  <c r="G44" i="10" s="1"/>
  <c r="I44" i="10" s="1"/>
  <c r="L39" i="8"/>
  <c r="J36" i="6"/>
  <c r="L36" i="6"/>
  <c r="M36" i="6" s="1"/>
  <c r="G61" i="5"/>
  <c r="I61" i="5" s="1"/>
  <c r="J61" i="5" s="1"/>
  <c r="G38" i="9"/>
  <c r="I38" i="9" s="1"/>
  <c r="J38" i="9" s="1"/>
  <c r="G42" i="3"/>
  <c r="I42" i="3" s="1"/>
  <c r="J42" i="3" s="1"/>
  <c r="G40" i="8"/>
  <c r="I40" i="8" s="1"/>
  <c r="J44" i="10" l="1"/>
  <c r="G45" i="10" s="1"/>
  <c r="I45" i="10" s="1"/>
  <c r="J45" i="10" s="1"/>
  <c r="G46" i="10" s="1"/>
  <c r="I46" i="10" s="1"/>
  <c r="L46" i="10"/>
  <c r="M46" i="10" s="1"/>
  <c r="L43" i="10"/>
  <c r="M43" i="10" s="1"/>
  <c r="M47" i="10" s="1"/>
  <c r="J40" i="8"/>
  <c r="L40" i="8"/>
  <c r="M40" i="8"/>
  <c r="G37" i="6"/>
  <c r="I37" i="6" s="1"/>
  <c r="J75" i="4"/>
  <c r="G62" i="5"/>
  <c r="I62" i="5" s="1"/>
  <c r="J62" i="5" s="1"/>
  <c r="G39" i="9"/>
  <c r="I39" i="9" s="1"/>
  <c r="G43" i="3"/>
  <c r="I43" i="3" s="1"/>
  <c r="G41" i="8"/>
  <c r="I41" i="8" s="1"/>
  <c r="J46" i="10" l="1"/>
  <c r="J52" i="10" s="1"/>
  <c r="J53" i="10" s="1"/>
  <c r="I47" i="10"/>
  <c r="J41" i="8"/>
  <c r="G42" i="8" s="1"/>
  <c r="I42" i="8" s="1"/>
  <c r="J42" i="8" s="1"/>
  <c r="J37" i="6"/>
  <c r="J39" i="9"/>
  <c r="J43" i="3"/>
  <c r="G44" i="3" s="1"/>
  <c r="I44" i="3" s="1"/>
  <c r="J44" i="3" s="1"/>
  <c r="G63" i="5"/>
  <c r="I63" i="5" s="1"/>
  <c r="J63" i="5" s="1"/>
  <c r="G38" i="6" l="1"/>
  <c r="I38" i="6" s="1"/>
  <c r="G40" i="9"/>
  <c r="I40" i="9" s="1"/>
  <c r="L44" i="3"/>
  <c r="M44" i="3" s="1"/>
  <c r="G64" i="5"/>
  <c r="I64" i="5" s="1"/>
  <c r="J64" i="5" s="1"/>
  <c r="G45" i="3"/>
  <c r="I45" i="3" s="1"/>
  <c r="L45" i="3" s="1"/>
  <c r="M45" i="3" s="1"/>
  <c r="G43" i="8"/>
  <c r="I43" i="8" s="1"/>
  <c r="J43" i="8" s="1"/>
  <c r="K55" i="17" l="1"/>
  <c r="J40" i="9"/>
  <c r="G41" i="9" s="1"/>
  <c r="I41" i="9" s="1"/>
  <c r="J41" i="9" s="1"/>
  <c r="L42" i="9"/>
  <c r="M42" i="9" s="1"/>
  <c r="J38" i="6"/>
  <c r="L38" i="6"/>
  <c r="G42" i="9"/>
  <c r="I42" i="9" s="1"/>
  <c r="J42" i="9" s="1"/>
  <c r="G43" i="9" s="1"/>
  <c r="I43" i="9" s="1"/>
  <c r="J45" i="3"/>
  <c r="G46" i="3" s="1"/>
  <c r="I46" i="3" s="1"/>
  <c r="G65" i="5"/>
  <c r="I65" i="5" s="1"/>
  <c r="J65" i="5" s="1"/>
  <c r="G66" i="5" s="1"/>
  <c r="I66" i="5" s="1"/>
  <c r="J66" i="5" s="1"/>
  <c r="G67" i="5" s="1"/>
  <c r="I67" i="5" s="1"/>
  <c r="G44" i="8"/>
  <c r="I44" i="8" s="1"/>
  <c r="J44" i="8" s="1"/>
  <c r="J50" i="8" s="1"/>
  <c r="J51" i="8" s="1"/>
  <c r="J43" i="9" l="1"/>
  <c r="G44" i="9" s="1"/>
  <c r="I44" i="9" s="1"/>
  <c r="L44" i="8"/>
  <c r="M44" i="8" s="1"/>
  <c r="M45" i="8" s="1"/>
  <c r="G39" i="6"/>
  <c r="I39" i="6" s="1"/>
  <c r="J46" i="3"/>
  <c r="G47" i="3" s="1"/>
  <c r="I47" i="3" s="1"/>
  <c r="L47" i="3" s="1"/>
  <c r="M47" i="3" s="1"/>
  <c r="L46" i="3"/>
  <c r="M46" i="3" s="1"/>
  <c r="J67" i="5"/>
  <c r="L67" i="5"/>
  <c r="J44" i="9" l="1"/>
  <c r="G45" i="9" s="1"/>
  <c r="I45" i="9" s="1"/>
  <c r="J45" i="9" s="1"/>
  <c r="J39" i="6"/>
  <c r="G46" i="9"/>
  <c r="I46" i="9" s="1"/>
  <c r="J46" i="9" s="1"/>
  <c r="G47" i="9" s="1"/>
  <c r="I47" i="9" s="1"/>
  <c r="J47" i="9" s="1"/>
  <c r="J47" i="3"/>
  <c r="G48" i="3" s="1"/>
  <c r="I48" i="3" s="1"/>
  <c r="G68" i="5"/>
  <c r="I68" i="5" s="1"/>
  <c r="K57" i="17" l="1"/>
  <c r="L57" i="17" s="1"/>
  <c r="L48" i="9"/>
  <c r="M48" i="9" s="1"/>
  <c r="M49" i="9" s="1"/>
  <c r="G40" i="6"/>
  <c r="I40" i="6" s="1"/>
  <c r="J48" i="3"/>
  <c r="G49" i="3" s="1"/>
  <c r="I49" i="3" s="1"/>
  <c r="G48" i="9"/>
  <c r="I48" i="9" s="1"/>
  <c r="J48" i="9" s="1"/>
  <c r="J53" i="9" s="1"/>
  <c r="J54" i="9" s="1"/>
  <c r="J68" i="5"/>
  <c r="G69" i="5" s="1"/>
  <c r="I69" i="5" s="1"/>
  <c r="J69" i="5" s="1"/>
  <c r="J40" i="6" l="1"/>
  <c r="J49" i="3"/>
  <c r="G50" i="3" s="1"/>
  <c r="I50" i="3" s="1"/>
  <c r="J50" i="3" s="1"/>
  <c r="G70" i="5"/>
  <c r="I70" i="5" s="1"/>
  <c r="J70" i="5" s="1"/>
  <c r="G71" i="5" s="1"/>
  <c r="I71" i="5" s="1"/>
  <c r="J71" i="5" s="1"/>
  <c r="G41" i="6" l="1"/>
  <c r="I41" i="6" s="1"/>
  <c r="L71" i="5"/>
  <c r="M71" i="5" s="1"/>
  <c r="G72" i="5"/>
  <c r="I72" i="5" s="1"/>
  <c r="J72" i="5" s="1"/>
  <c r="G73" i="5" s="1"/>
  <c r="I73" i="5" s="1"/>
  <c r="J73" i="5" s="1"/>
  <c r="G51" i="3"/>
  <c r="I51" i="3" s="1"/>
  <c r="I45" i="8"/>
  <c r="J41" i="6" l="1"/>
  <c r="J51" i="3"/>
  <c r="G52" i="3" s="1"/>
  <c r="I52" i="3" s="1"/>
  <c r="G74" i="5"/>
  <c r="I74" i="5" s="1"/>
  <c r="J74" i="5" s="1"/>
  <c r="G75" i="5" s="1"/>
  <c r="I75" i="5" s="1"/>
  <c r="J75" i="5" s="1"/>
  <c r="G42" i="6" l="1"/>
  <c r="I42" i="6" s="1"/>
  <c r="J42" i="6" s="1"/>
  <c r="J48" i="6" s="1"/>
  <c r="J49" i="6" s="1"/>
  <c r="J52" i="3"/>
  <c r="J57" i="3" s="1"/>
  <c r="J58" i="3" s="1"/>
  <c r="I53" i="3"/>
  <c r="L52" i="3"/>
  <c r="M52" i="3" s="1"/>
  <c r="M53" i="3" s="1"/>
  <c r="G76" i="5"/>
  <c r="I76" i="5" s="1"/>
  <c r="J76" i="5" s="1"/>
  <c r="G77" i="5" s="1"/>
  <c r="I77" i="5" s="1"/>
  <c r="J77" i="5" s="1"/>
  <c r="G78" i="5" s="1"/>
  <c r="I78" i="5" s="1"/>
  <c r="J78" i="5" s="1"/>
  <c r="G79" i="5" s="1"/>
  <c r="I79" i="5" s="1"/>
  <c r="J79" i="5" s="1"/>
  <c r="I43" i="6" l="1"/>
  <c r="L42" i="6"/>
  <c r="M42" i="6" s="1"/>
  <c r="M43" i="6" s="1"/>
  <c r="G80" i="5"/>
  <c r="I80" i="5" s="1"/>
  <c r="J80" i="5" s="1"/>
  <c r="G81" i="5" l="1"/>
  <c r="I81" i="5" s="1"/>
  <c r="J81" i="5" s="1"/>
  <c r="G82" i="5" l="1"/>
  <c r="I82" i="5" s="1"/>
  <c r="J82" i="5" s="1"/>
  <c r="K62" i="17" l="1"/>
  <c r="G83" i="5"/>
  <c r="I83" i="5" s="1"/>
  <c r="J83" i="5" s="1"/>
  <c r="G84" i="5" l="1"/>
  <c r="I84" i="5" s="1"/>
  <c r="L84" i="5" s="1"/>
  <c r="J84" i="5" l="1"/>
  <c r="G85" i="5" l="1"/>
  <c r="I85" i="5" s="1"/>
  <c r="J85" i="5" l="1"/>
  <c r="G86" i="5" s="1"/>
  <c r="I86" i="5" s="1"/>
  <c r="J86" i="5" s="1"/>
  <c r="G87" i="5" s="1"/>
  <c r="I87" i="5" s="1"/>
  <c r="J87" i="5" s="1"/>
  <c r="G88" i="5" l="1"/>
  <c r="I88" i="5" s="1"/>
  <c r="J88" i="5" s="1"/>
  <c r="G89" i="5" s="1"/>
  <c r="I89" i="5" s="1"/>
  <c r="K65" i="17" l="1"/>
  <c r="L65" i="17" s="1"/>
  <c r="J89" i="5"/>
  <c r="G90" i="5" s="1"/>
  <c r="I90" i="5" s="1"/>
  <c r="J90" i="5" s="1"/>
  <c r="G91" i="5" s="1"/>
  <c r="I91" i="5" s="1"/>
  <c r="J91" i="5" s="1"/>
  <c r="G92" i="5" s="1"/>
  <c r="I92" i="5" s="1"/>
  <c r="J92" i="5" s="1"/>
  <c r="G93" i="5" s="1"/>
  <c r="I93" i="5" s="1"/>
  <c r="J93" i="5" s="1"/>
  <c r="J94" i="5" s="1"/>
  <c r="L92" i="5" l="1"/>
  <c r="M92" i="5" s="1"/>
  <c r="G95" i="5"/>
  <c r="I95" i="5" s="1"/>
  <c r="J95" i="5" s="1"/>
  <c r="G96" i="5" s="1"/>
  <c r="I96" i="5" s="1"/>
  <c r="J96" i="5" l="1"/>
  <c r="G97" i="5" s="1"/>
  <c r="I97" i="5" s="1"/>
  <c r="J97" i="5" s="1"/>
  <c r="G98" i="5" s="1"/>
  <c r="I98" i="5" s="1"/>
  <c r="J98" i="5" s="1"/>
  <c r="G99" i="5" s="1"/>
  <c r="I99" i="5" s="1"/>
  <c r="J99" i="5" s="1"/>
  <c r="G100" i="5" s="1"/>
  <c r="I100" i="5" s="1"/>
  <c r="J100" i="5" s="1"/>
  <c r="G101" i="5" s="1"/>
  <c r="I101" i="5" s="1"/>
  <c r="J101" i="5" s="1"/>
  <c r="G102" i="5" s="1"/>
  <c r="I102" i="5" s="1"/>
  <c r="J102" i="5" s="1"/>
  <c r="G103" i="5" s="1"/>
  <c r="I103" i="5" s="1"/>
  <c r="J103" i="5" s="1"/>
  <c r="L96" i="5"/>
  <c r="M96" i="5" s="1"/>
  <c r="L98" i="5" l="1"/>
  <c r="G104" i="5"/>
  <c r="I104" i="5" s="1"/>
  <c r="J104" i="5" s="1"/>
  <c r="L102" i="5"/>
  <c r="M102" i="5" l="1"/>
  <c r="G105" i="5"/>
  <c r="I105" i="5" s="1"/>
  <c r="J105" i="5" s="1"/>
  <c r="G106" i="5" s="1"/>
  <c r="I106" i="5" s="1"/>
  <c r="J106" i="5" l="1"/>
  <c r="G107" i="5" s="1"/>
  <c r="I107" i="5" s="1"/>
  <c r="J107" i="5" s="1"/>
  <c r="G108" i="5" s="1"/>
  <c r="I108" i="5" s="1"/>
  <c r="J108" i="5" s="1"/>
  <c r="G109" i="5" s="1"/>
  <c r="I109" i="5" s="1"/>
  <c r="J109" i="5" s="1"/>
  <c r="G110" i="5" s="1"/>
  <c r="I110" i="5" s="1"/>
  <c r="J110" i="5" s="1"/>
  <c r="G111" i="5" s="1"/>
  <c r="I111" i="5" s="1"/>
  <c r="J111" i="5" s="1"/>
  <c r="L109" i="5" l="1"/>
  <c r="G112" i="5"/>
  <c r="I112" i="5" s="1"/>
  <c r="J112" i="5" l="1"/>
  <c r="G113" i="5" s="1"/>
  <c r="I113" i="5" s="1"/>
  <c r="J113" i="5" s="1"/>
  <c r="G114" i="5" s="1"/>
  <c r="I114" i="5" s="1"/>
  <c r="J114" i="5" s="1"/>
  <c r="G115" i="5" s="1"/>
  <c r="I115" i="5" s="1"/>
  <c r="J115" i="5" s="1"/>
  <c r="K73" i="17" l="1"/>
  <c r="G116" i="5"/>
  <c r="I116" i="5" s="1"/>
  <c r="J116" i="5" s="1"/>
  <c r="G117" i="5" l="1"/>
  <c r="I117" i="5" s="1"/>
  <c r="J117" i="5" s="1"/>
  <c r="G118" i="5" l="1"/>
  <c r="I118" i="5" s="1"/>
  <c r="J118" i="5" s="1"/>
  <c r="L118" i="5" l="1"/>
  <c r="M118" i="5" s="1"/>
  <c r="G119" i="5"/>
  <c r="I119" i="5" s="1"/>
  <c r="J119" i="5" l="1"/>
  <c r="G120" i="5" s="1"/>
  <c r="I120" i="5" s="1"/>
  <c r="J120" i="5" s="1"/>
  <c r="G121" i="5" s="1"/>
  <c r="I121" i="5" s="1"/>
  <c r="J121" i="5" s="1"/>
  <c r="G122" i="5" s="1"/>
  <c r="I122" i="5" s="1"/>
  <c r="J122" i="5" s="1"/>
  <c r="G123" i="5" s="1"/>
  <c r="I123" i="5" s="1"/>
  <c r="J123" i="5" s="1"/>
  <c r="G124" i="5" s="1"/>
  <c r="I124" i="5" s="1"/>
  <c r="J124" i="5" s="1"/>
  <c r="G125" i="5" s="1"/>
  <c r="I125" i="5" s="1"/>
  <c r="J125" i="5" s="1"/>
  <c r="G126" i="5" s="1"/>
  <c r="I126" i="5" s="1"/>
  <c r="J126" i="5" s="1"/>
  <c r="G127" i="5" s="1"/>
  <c r="I127" i="5" s="1"/>
  <c r="J127" i="5" s="1"/>
  <c r="G128" i="5" s="1"/>
  <c r="I128" i="5" s="1"/>
  <c r="J128" i="5" s="1"/>
  <c r="G129" i="5" s="1"/>
  <c r="I129" i="5" s="1"/>
  <c r="J129" i="5" s="1"/>
  <c r="G130" i="5" s="1"/>
  <c r="I130" i="5" s="1"/>
  <c r="J130" i="5" s="1"/>
  <c r="G131" i="5" s="1"/>
  <c r="I131" i="5" s="1"/>
  <c r="J131" i="5" s="1"/>
  <c r="G132" i="5" s="1"/>
  <c r="I132" i="5" s="1"/>
  <c r="J132" i="5" s="1"/>
  <c r="G133" i="5" s="1"/>
  <c r="I133" i="5" s="1"/>
  <c r="I49" i="9"/>
  <c r="J133" i="5" l="1"/>
  <c r="G134" i="5" s="1"/>
  <c r="I134" i="5" s="1"/>
  <c r="J134" i="5" s="1"/>
  <c r="G135" i="5" s="1"/>
  <c r="I135" i="5" s="1"/>
  <c r="J135" i="5" s="1"/>
  <c r="G136" i="5" s="1"/>
  <c r="I136" i="5" s="1"/>
  <c r="J136" i="5" s="1"/>
  <c r="G137" i="5" s="1"/>
  <c r="I137" i="5" s="1"/>
  <c r="J137" i="5" s="1"/>
  <c r="G138" i="5" s="1"/>
  <c r="I138" i="5" s="1"/>
  <c r="J138" i="5" s="1"/>
  <c r="G139" i="5" s="1"/>
  <c r="I139" i="5" s="1"/>
  <c r="J139" i="5" s="1"/>
  <c r="G140" i="5" s="1"/>
  <c r="I140" i="5" s="1"/>
  <c r="J140" i="5" s="1"/>
  <c r="G141" i="5" s="1"/>
  <c r="I141" i="5" s="1"/>
  <c r="J141" i="5" s="1"/>
  <c r="G142" i="5" s="1"/>
  <c r="I142" i="5" s="1"/>
  <c r="J142" i="5" s="1"/>
  <c r="G143" i="5" s="1"/>
  <c r="I143" i="5" s="1"/>
  <c r="J143" i="5" s="1"/>
  <c r="G144" i="5" s="1"/>
  <c r="I144" i="5" s="1"/>
  <c r="J144" i="5" s="1"/>
  <c r="G145" i="5" s="1"/>
  <c r="I145" i="5" s="1"/>
  <c r="J145" i="5" s="1"/>
  <c r="G146" i="5" s="1"/>
  <c r="I146" i="5" s="1"/>
  <c r="L132" i="5"/>
  <c r="E49" i="2"/>
  <c r="E50" i="2" s="1"/>
  <c r="E51" i="2" s="1"/>
  <c r="E52" i="2" s="1"/>
  <c r="E53" i="2" s="1"/>
  <c r="E54" i="2" s="1"/>
  <c r="J58" i="2" s="1"/>
  <c r="I49" i="2"/>
  <c r="J49" i="2"/>
  <c r="L145" i="5" l="1"/>
  <c r="M145" i="5" s="1"/>
  <c r="J146" i="5"/>
  <c r="G147" i="5" s="1"/>
  <c r="I147" i="5" s="1"/>
  <c r="J147" i="5" s="1"/>
  <c r="G148" i="5" s="1"/>
  <c r="I148" i="5" s="1"/>
  <c r="J148" i="5" s="1"/>
  <c r="G149" i="5" s="1"/>
  <c r="I149" i="5" s="1"/>
  <c r="J149" i="5" s="1"/>
  <c r="G150" i="5" s="1"/>
  <c r="I150" i="5" s="1"/>
  <c r="J150" i="5" s="1"/>
  <c r="G151" i="5" s="1"/>
  <c r="I151" i="5" s="1"/>
  <c r="L150" i="5"/>
  <c r="L49" i="2"/>
  <c r="G50" i="2"/>
  <c r="I50" i="2" s="1"/>
  <c r="J151" i="5" l="1"/>
  <c r="G152" i="5" s="1"/>
  <c r="I152" i="5" s="1"/>
  <c r="J152" i="5" s="1"/>
  <c r="G153" i="5" s="1"/>
  <c r="I153" i="5" s="1"/>
  <c r="J153" i="5" s="1"/>
  <c r="G154" i="5" s="1"/>
  <c r="I154" i="5" s="1"/>
  <c r="J154" i="5" s="1"/>
  <c r="G155" i="5" s="1"/>
  <c r="I155" i="5" s="1"/>
  <c r="J155" i="5" s="1"/>
  <c r="J50" i="2"/>
  <c r="G51" i="2" s="1"/>
  <c r="I51" i="2" s="1"/>
  <c r="G156" i="5" l="1"/>
  <c r="I156" i="5" s="1"/>
  <c r="J51" i="2"/>
  <c r="G52" i="2" s="1"/>
  <c r="I52" i="2" s="1"/>
  <c r="L51" i="2"/>
  <c r="M51" i="2" s="1"/>
  <c r="J156" i="5" l="1"/>
  <c r="G157" i="5" s="1"/>
  <c r="I157" i="5" s="1"/>
  <c r="J157" i="5" s="1"/>
  <c r="G158" i="5" s="1"/>
  <c r="I158" i="5" s="1"/>
  <c r="J158" i="5" s="1"/>
  <c r="G159" i="5" s="1"/>
  <c r="I159" i="5" s="1"/>
  <c r="J159" i="5" s="1"/>
  <c r="G160" i="5" s="1"/>
  <c r="I160" i="5" s="1"/>
  <c r="J52" i="2"/>
  <c r="G53" i="2" s="1"/>
  <c r="I53" i="2" s="1"/>
  <c r="J53" i="2" s="1"/>
  <c r="G54" i="2" s="1"/>
  <c r="I54" i="2" s="1"/>
  <c r="J54" i="2"/>
  <c r="J59" i="2" s="1"/>
  <c r="J60" i="2" s="1"/>
  <c r="L159" i="5" l="1"/>
  <c r="M159" i="5" s="1"/>
  <c r="L54" i="2"/>
  <c r="M54" i="2" s="1"/>
  <c r="M55" i="2" s="1"/>
  <c r="I55" i="2"/>
  <c r="J160" i="5"/>
  <c r="G161" i="5" s="1"/>
  <c r="I161" i="5" s="1"/>
  <c r="J161" i="5" s="1"/>
  <c r="G162" i="5" s="1"/>
  <c r="I162" i="5" s="1"/>
  <c r="J162" i="5" s="1"/>
  <c r="G163" i="5"/>
  <c r="I163" i="5" s="1"/>
  <c r="J163" i="5" l="1"/>
  <c r="G164" i="5" s="1"/>
  <c r="I164" i="5" s="1"/>
  <c r="J164" i="5" s="1"/>
  <c r="G165" i="5" s="1"/>
  <c r="I165" i="5" s="1"/>
  <c r="J165" i="5" s="1"/>
  <c r="G166" i="5" s="1"/>
  <c r="I166" i="5" s="1"/>
  <c r="J166" i="5" s="1"/>
  <c r="G167" i="5" s="1"/>
  <c r="I167" i="5" s="1"/>
  <c r="J167" i="5" s="1"/>
  <c r="G168" i="5" s="1"/>
  <c r="I168" i="5" s="1"/>
  <c r="J168" i="5" l="1"/>
  <c r="G169" i="5" s="1"/>
  <c r="I169" i="5" s="1"/>
  <c r="J169" i="5" s="1"/>
  <c r="G170" i="5" s="1"/>
  <c r="I170" i="5" s="1"/>
  <c r="J170" i="5" s="1"/>
  <c r="G171" i="5" s="1"/>
  <c r="I171" i="5" s="1"/>
  <c r="J171" i="5" s="1"/>
  <c r="G172" i="5" s="1"/>
  <c r="I172" i="5" s="1"/>
  <c r="J172" i="5" s="1"/>
  <c r="L167" i="5"/>
  <c r="G173" i="5" l="1"/>
  <c r="I173" i="5" s="1"/>
  <c r="I174" i="5" s="1"/>
  <c r="L173" i="5" l="1"/>
  <c r="M173" i="5" s="1"/>
  <c r="M174" i="5" s="1"/>
  <c r="J173" i="5"/>
  <c r="J179" i="5" s="1"/>
  <c r="J180" i="5" s="1"/>
  <c r="J89" i="17" l="1"/>
  <c r="J90" i="17" s="1"/>
  <c r="K83" i="17" l="1"/>
  <c r="L83" i="17" s="1"/>
  <c r="L84" i="17" s="1"/>
</calcChain>
</file>

<file path=xl/sharedStrings.xml><?xml version="1.0" encoding="utf-8"?>
<sst xmlns="http://schemas.openxmlformats.org/spreadsheetml/2006/main" count="1021" uniqueCount="613">
  <si>
    <t>FELIX DELGADILLO MEJIA</t>
  </si>
  <si>
    <t>Metodo:Promedio Ponderado</t>
  </si>
  <si>
    <t>NIT  358900018</t>
  </si>
  <si>
    <t>Mercaderia:Planchas Galvanizada Cortadas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</si>
  <si>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</si>
  <si>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</si>
  <si>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</si>
  <si>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</si>
  <si>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</si>
  <si>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</si>
  <si>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</si>
  <si>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</si>
  <si>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</si>
  <si>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</si>
  <si>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</si>
  <si>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</si>
  <si>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</si>
  <si>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</si>
  <si>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</si>
  <si>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</si>
  <si>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</si>
  <si>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>OBSERVACIONES</t>
  </si>
  <si>
    <t xml:space="preserve">Inventario Inicial </t>
  </si>
  <si>
    <t>VALORACIÓN INVENTARIO FINAL, PRECIO DE LAS FACTURAS DE COMPRAS (ULTIMAS COMPRAS) Art..9 del D.S. 24051</t>
  </si>
  <si>
    <t>INVENTARIO FINAL AL COSTO HISTORICO</t>
  </si>
  <si>
    <t>AJUSTE</t>
  </si>
  <si>
    <t>Mercaderia:Plancha 0.35*1000mm RAL2009</t>
  </si>
  <si>
    <t>Mercaderia:Plancha 0.35*1000mm RAL3003</t>
  </si>
  <si>
    <t>Mercaderia:Planchas 0.40*1000mm RAL2009</t>
  </si>
  <si>
    <t>Mercaderia:Planchas 0.35*1000mm</t>
  </si>
  <si>
    <t>Mercaderia:Planchas 0.40*1000mm</t>
  </si>
  <si>
    <t>Mercaderia:Tirafondos 63*76.2 c/junta de goma</t>
  </si>
  <si>
    <t>Mercaderia:Titafondos 63*63.5 c/ junta de goma</t>
  </si>
  <si>
    <t>Mercaderia:Plancha 0.35*1000mm RAL3002</t>
  </si>
  <si>
    <t>TOTAL</t>
  </si>
  <si>
    <t xml:space="preserve">                Practicado al 31 diciembre 2020</t>
  </si>
  <si>
    <t>INVENTARIO FINAL AL 31/12/2020</t>
  </si>
  <si>
    <t xml:space="preserve">Inv, Inic. Calamina  0.35*1000mm RAL3003 </t>
  </si>
  <si>
    <t xml:space="preserve">Inv. Inic. Plancha 0.40x1000mm </t>
  </si>
  <si>
    <t xml:space="preserve">Venta Calamina Galvanizada F- </t>
  </si>
  <si>
    <t xml:space="preserve">Inv,INIC. 0.35*1000mmRAL2009 </t>
  </si>
  <si>
    <t xml:space="preserve">Venta Calamina 0.40*1000mm RAL2009 F- </t>
  </si>
  <si>
    <t>Venta Calamina  0.35*1000mm RAL2009 F- 2630</t>
  </si>
  <si>
    <t>Venta Tirafondos 63*76.2 c/gomas F- 2630</t>
  </si>
  <si>
    <t>Venta Tirafondos 63*76.2 c/gomas F- 2631</t>
  </si>
  <si>
    <t>Venta Calamina 0.35*1000mm  F- 2632</t>
  </si>
  <si>
    <t>Venta Calamina  0.35*1000mm RAL3002 F- 2633</t>
  </si>
  <si>
    <t>Venta Calamina 0.35*1000mm  F- 2634</t>
  </si>
  <si>
    <t>Venta Calamina 0.35*1000mm  F- 2635</t>
  </si>
  <si>
    <t>Venta Calamina 0.40*1000mm RAL2009 F- 2636</t>
  </si>
  <si>
    <t>Venta Tirafondos 63*76.2 c/gomas F- 2636</t>
  </si>
  <si>
    <t>Venta Calamina 0.35*1000mm  F- 2637</t>
  </si>
  <si>
    <t>Venta Calamina 0.35*1000mm  F- 2638</t>
  </si>
  <si>
    <t>Venta Calamina  0.35*1000mm RAL3002 F- 2639</t>
  </si>
  <si>
    <t>Venta Calamina 0.35*1000mm  F- 2640</t>
  </si>
  <si>
    <t>Venta Calamina  0.35*1000mm RAL2009 F- 2641</t>
  </si>
  <si>
    <t>Venta Calamina 0.35*1000mm  F- 2642</t>
  </si>
  <si>
    <t>Venta Calamina 0.40*1000mm RAL2009 F- 2643</t>
  </si>
  <si>
    <t>Venta Calamina  0.35*1000mm RAL3003 F- 2644</t>
  </si>
  <si>
    <t>Venta Calamina 0.35*1000mm  F- 2645</t>
  </si>
  <si>
    <t>Venta Calamina  0.35*1000mm RAL2009 F- 2646</t>
  </si>
  <si>
    <t>Venta Calamina 0.40*1000mm RAL2009 F- 2646</t>
  </si>
  <si>
    <t>Venta Calamina 0.35*1000mm  F- 2647</t>
  </si>
  <si>
    <t>Venta Calamina 0.35*1000mm  F- 2648</t>
  </si>
  <si>
    <t>Venta Calamina 0.40*1000mm RAL2009 F- 2649</t>
  </si>
  <si>
    <t>Venta Calamina  0.35*1000mm RAL2009 F- 2650</t>
  </si>
  <si>
    <t>Venta Calamina 0.35*1000mm  F- 2652</t>
  </si>
  <si>
    <t>Venta Calamina 0.35*1000mm  F- 2653</t>
  </si>
  <si>
    <t>ANULADA F- 2654</t>
  </si>
  <si>
    <t>Venta Calamina  0.35*1000mm RAL3002 F- 2655</t>
  </si>
  <si>
    <t>Venta Calamina  0.35*1000mm RAL2009 F- 2656</t>
  </si>
  <si>
    <t>Venta Calamina 0.35*1000mm  F- 2657</t>
  </si>
  <si>
    <t>Venta Calamina 0.35*1000mm  F- 2658</t>
  </si>
  <si>
    <t>Venta Calamina 0.40*1000mm  F- 2660</t>
  </si>
  <si>
    <t>Venta Calamina  0.35*1000mm RAL3002 F- 2661</t>
  </si>
  <si>
    <t>Venta Calamina 0.35*1000mm  F- 2662</t>
  </si>
  <si>
    <t>Venta Calamina 0.35*1000mm  F- 2663</t>
  </si>
  <si>
    <t>Venta Calamina  0.35*1000mm RAL2009 F- 2664</t>
  </si>
  <si>
    <t>Venta Calamina  0.35*1000mm RAL3002 F- 2665</t>
  </si>
  <si>
    <t>Venta Calamina 0.35*1000mm  F- 2666</t>
  </si>
  <si>
    <t>Venta Calamina  0.35*1000mm RAL2009 F- 2667</t>
  </si>
  <si>
    <t>Venta Calamina 0.35*1000mm  F- 2668</t>
  </si>
  <si>
    <t>Venta Calamina  0.35*1000mm RAL3002 F- 2669</t>
  </si>
  <si>
    <t>Venta Calamina  0.35*1000mm RAL3003 F- 2670</t>
  </si>
  <si>
    <t>Venta Calamina 0.35*1000mm  F- 2671</t>
  </si>
  <si>
    <t>Venta Calamina 0.35*1000mm  F- 2672</t>
  </si>
  <si>
    <t>Venta Calamina  0.35*1000mm RAL2009 F- 2673</t>
  </si>
  <si>
    <t>Venta Calamina  0.35*1000mm RAL3003 F- 2674</t>
  </si>
  <si>
    <t>Venta Calamina 0.35*1000mm  F- 2675</t>
  </si>
  <si>
    <t>Venta Calamina 0.35*1000mm  F- 2676</t>
  </si>
  <si>
    <t>Venta Calamina  0.35x1000mm SEA BLUE F- 2677</t>
  </si>
  <si>
    <t>Venta Calamina 0.40*1000mm  F- 2678</t>
  </si>
  <si>
    <t>Venta Tirafondos 63*76.2 c/gomas F- 2679</t>
  </si>
  <si>
    <t>Venta Calamina  0.35*1000mm RAL2009 F- 2680</t>
  </si>
  <si>
    <t>Venta Tirafondos 63*63.5 c/gomas F- 2680</t>
  </si>
  <si>
    <t>Venta Calamina  0.35*1000mm RAL3003 F- 2682</t>
  </si>
  <si>
    <t>Venta Calamina 0.35*1000mm  F- 2683</t>
  </si>
  <si>
    <t>Venta Calamina  0.35*1000mm RAL3003 F- 2684</t>
  </si>
  <si>
    <t>Venta Calamina 0.40*1000mm RAL2009 F- 2685</t>
  </si>
  <si>
    <t>Venta Calamina 0.40*1000mm  F- 2686</t>
  </si>
  <si>
    <t>Venta Calamina 0.35*1000mm  F- 2687</t>
  </si>
  <si>
    <t>Venta Calamina  0.35*1000mm RAL3002 F- 2688</t>
  </si>
  <si>
    <t>Venta Calamina  0.35*1000mm RAL2009 F- 2689</t>
  </si>
  <si>
    <t>Venta Calamina  0.35*1000mm RAL2009 F- 2690</t>
  </si>
  <si>
    <t>Venta Tirafondos 63*76.2 c/gomas F- 2690</t>
  </si>
  <si>
    <t>Venta Calamina 0.35*1000mm  F- 2691</t>
  </si>
  <si>
    <t>Venta Calamina  0.35*1000mm RAL3002 F- 2692</t>
  </si>
  <si>
    <t>Venta Tirafondos 63*63.5 c/gomas F- 2692</t>
  </si>
  <si>
    <t>Venta Calamina 0.35*1000mm  F- 2693</t>
  </si>
  <si>
    <t>Venta Calamina 0.35*1000mm  F- 2694</t>
  </si>
  <si>
    <t>Venta Calamina 0.35*1000mm  F- 2695</t>
  </si>
  <si>
    <t>Venta Calamina  0.35x1000mm SEA BLUE F- 2696</t>
  </si>
  <si>
    <t>Venta Calamina  0.35*1000mm RAL2009 F- 2697</t>
  </si>
  <si>
    <t>Venta Tirafondos 63*63.5 c/gomas F- 2697</t>
  </si>
  <si>
    <t>Venta Calamina 0.35*1000mm  F- 2698</t>
  </si>
  <si>
    <t>Venta Calamina 0.35*1000mm  F- 2699</t>
  </si>
  <si>
    <t>Venta Calamina 0.35*1000mm  F- 2700</t>
  </si>
  <si>
    <t>ANULADA F- 2701</t>
  </si>
  <si>
    <t>Venta Calamina  0.35*1000mm RAL3002 F- 2702</t>
  </si>
  <si>
    <t>Venta Calamina 0.40*1000mm  F- 2703</t>
  </si>
  <si>
    <t>Venta Calamina 0.40*1000mm RAL2009 F- 2704</t>
  </si>
  <si>
    <t>Venta Tirafondos 63*63.5 c/gomas F- 2704</t>
  </si>
  <si>
    <t>Venta Tirafondos 63*63.5 c/gomas F- 2705</t>
  </si>
  <si>
    <t>Venta Calamina  0.35*1000mm RAL3003 F- 2705</t>
  </si>
  <si>
    <t>Venta Calamina 0.35*1000mm  F- 2706</t>
  </si>
  <si>
    <t>Venta Calamina 0.35*1000mm  F- 2707</t>
  </si>
  <si>
    <t>Venta Calamina 0.35*1000mm  F- 2708</t>
  </si>
  <si>
    <t>Venta Calamina  0.35*1000mm RAL3003 F- 2709</t>
  </si>
  <si>
    <t>Venta Calamina  0.35*1000mm RAL2009 F- 2710</t>
  </si>
  <si>
    <t>Venta Calamina  0.35*1000mm RAL3003 F- 2711</t>
  </si>
  <si>
    <t>Venta Calamina  0.35*1000mm RAL3002 F- 2712</t>
  </si>
  <si>
    <t>ANULADA  F- 2713</t>
  </si>
  <si>
    <t>Venta Calamina 0.35*1000mm  F- 2714</t>
  </si>
  <si>
    <t>Venta Calamina  0.35*1000mm RAL3003 F- 2716</t>
  </si>
  <si>
    <t>Venta Calamina 0.35*1000mm  F- 2717</t>
  </si>
  <si>
    <t>Venta Calamina  0.35*1000mm RAL3003 F- 2718</t>
  </si>
  <si>
    <t>ANULADA F- 2719</t>
  </si>
  <si>
    <t>Venta Calamina  0.35*1000mm RAL3003 F- 2720</t>
  </si>
  <si>
    <t>Venta Calamina 0.40*1000mm  F- 2721</t>
  </si>
  <si>
    <t>Venta Calamina  0.35*1000mm RAL3003 F- 2722</t>
  </si>
  <si>
    <t>Venta Tirafondos 63*63.5 c/gomas F- 2722</t>
  </si>
  <si>
    <t>Venta Calamina  0.35*1000mm RAL2009 F- 2723</t>
  </si>
  <si>
    <t>ANULADA  F- 2724</t>
  </si>
  <si>
    <t>Venta Calamina 0.35*1000mm  F- 2725</t>
  </si>
  <si>
    <t>Venta Calamina 0.35*1000mm  F- 2726</t>
  </si>
  <si>
    <t>Venta Calamina 0.35*1000mm  F- 2727</t>
  </si>
  <si>
    <t>Venta Calamina 0.40*1000mm RAL2009 F- 2728</t>
  </si>
  <si>
    <t>Venta Calamina  0.35*1000mm RAL3003 F- 2729</t>
  </si>
  <si>
    <t>Venta Calamina 0.40*1000mm RAL2009 F- 2730</t>
  </si>
  <si>
    <t>Venta Calamina  0.35*1000mm RAL2009 F- 2731</t>
  </si>
  <si>
    <t>Venta Calamina 0.35*1000mm  F- 2732</t>
  </si>
  <si>
    <t>Venta Calamina 0.40*1000mm  F- 2733</t>
  </si>
  <si>
    <t>Venta Calamina  0.35*1000mm RAL3003 F- 2734</t>
  </si>
  <si>
    <t>Venta Calamina 0.35*1000mm  F- 2735</t>
  </si>
  <si>
    <t>Venta Calamina 0.35*1000mm  F- 2736</t>
  </si>
  <si>
    <t>Venta Calamina  0.35*1000mm RAL2009 F- 2737</t>
  </si>
  <si>
    <t>Venta Tirafondos 63*63.5 c/gomas F- 2737</t>
  </si>
  <si>
    <t>Venta Calamina  0.35*1000mm RAL2009 F- 2738</t>
  </si>
  <si>
    <t>Venta Tirafondos 63*76.2 c/gomas F- 2738</t>
  </si>
  <si>
    <t>Venta Calamina 0.35*1000mm  F- 2739</t>
  </si>
  <si>
    <t>Venta Calamina 0.40*1000mm RAL2009 F- 2740</t>
  </si>
  <si>
    <t>Venta Tirafondos 63*76.2 c/gomas F- 2740</t>
  </si>
  <si>
    <t>Venta Calamina 0.35*1000mm  F- 2741</t>
  </si>
  <si>
    <t>Venta Calamina 0.35*1000mm  F- 2742</t>
  </si>
  <si>
    <t>Venta Calamina 0.40*1000mm RAL2009 F- 2743</t>
  </si>
  <si>
    <t>Venta Tirafondos 63*76.2 c/gomas F- 2743</t>
  </si>
  <si>
    <t>Venta Calamina 0.35*1000mm  F- 2744</t>
  </si>
  <si>
    <t>Venta Calamina 0.35*1000mm  F- 2745</t>
  </si>
  <si>
    <t>Venta Calamina 0.35*1000mm  F- 2746</t>
  </si>
  <si>
    <t>Venta Calamina 0.35*1000mm  F- 2747</t>
  </si>
  <si>
    <t>Venta Calamina 0.35*1000mm  F- 2748</t>
  </si>
  <si>
    <t>Venta Calamina 0.40*1000mm RAL2009 F- 2749</t>
  </si>
  <si>
    <t>Venta Calamina 0.40*1000mm RAL2009 F- 2750</t>
  </si>
  <si>
    <t>Venta Tirafondos 63*76.2 c/gomas F- 2750</t>
  </si>
  <si>
    <t>Venta Calamina  0.35*1000mm RAL3003 F- 2751</t>
  </si>
  <si>
    <t>Venta Calamina 0.35*1000mm  F- 2752</t>
  </si>
  <si>
    <t>Venta Calamina 0.40*1000mm  F- 2753</t>
  </si>
  <si>
    <t>Venta Calamina 0.40*1000mm  F- 2754</t>
  </si>
  <si>
    <t>Venta Calamina 0.40*1000mm RAL2009 F- 2756</t>
  </si>
  <si>
    <t>Venta Calamina 0.35*1000mm  F- 2757</t>
  </si>
  <si>
    <t>Venta Tirafondos 63*76.2 c/gomas F- 2757</t>
  </si>
  <si>
    <t>Venta Calamina 0.40*1000mm RAL2009 F- 2758</t>
  </si>
  <si>
    <t>Venta Calamina  0.35*1000mm RAL3002 F- 2759</t>
  </si>
  <si>
    <t>Venta Calamina 0.35*1000mm  F- 2760</t>
  </si>
  <si>
    <t>Venta Tirafondos 63*63.5 c/gomas F- 2760</t>
  </si>
  <si>
    <t>Venta Calamina  0.35*1000mm RAL3002 F- 2761</t>
  </si>
  <si>
    <t>Venta Calamina  0.35*1000mm RAL2009 F- 2762</t>
  </si>
  <si>
    <t>Venta Calamina 0.40*1000mm  F- 2763</t>
  </si>
  <si>
    <t>Venta Calamina  0.35*1000mm RAL3003 F- 2764</t>
  </si>
  <si>
    <t>Venta Calamina  0.35x1000mm SEA BLUE F- 2765</t>
  </si>
  <si>
    <t>Venta Calamina  0.35x1000mm SEA BLUE F- 2766</t>
  </si>
  <si>
    <t>Venta Calamina 0.35*1000mm  F- 2769</t>
  </si>
  <si>
    <t>Venta Calamina 0.35*1000mm  F- 2770</t>
  </si>
  <si>
    <t>Venta Tirafondos 63*63.5 c/gomas F- 2770</t>
  </si>
  <si>
    <t>Venta Calamina  0.35*1000mm RAL2009 F- 2771</t>
  </si>
  <si>
    <t>Venta Tirafondos 63*63.5 c/gomas F- 2771</t>
  </si>
  <si>
    <t>Venta Calamina  0.35*1000mm RAL3003 F- 2772</t>
  </si>
  <si>
    <t>Venta Calamina  0.35*1000mm RAL3003 F- 2773</t>
  </si>
  <si>
    <t>Venta Calamina  0.35*1000mm RAL3003 F- 2774</t>
  </si>
  <si>
    <t>Venta Calamina 0.35*1000mm  F- 2775</t>
  </si>
  <si>
    <t>Venta Calamina  0.35*1000mm RAL2009 F- 2776</t>
  </si>
  <si>
    <t>ANULADA  F- 2777</t>
  </si>
  <si>
    <t>Venta Calamina 0.40*1000mm  F- 2778</t>
  </si>
  <si>
    <t>Venta Calamina  0.35*1000mm RAL3003 F- 2779</t>
  </si>
  <si>
    <t>Venta Calamina  0.35*1000mm RAL3003 F- 2780</t>
  </si>
  <si>
    <t>Venta Calamina 0.35*1000mm  F- 2781</t>
  </si>
  <si>
    <t>Venta Calamina 0.40*1000mm RAL2009 F- 2782</t>
  </si>
  <si>
    <t>Venta Calamina 0.35*1000mm  F- 2783</t>
  </si>
  <si>
    <t>Venta Calamina 0.35*1000mm  F- 2784</t>
  </si>
  <si>
    <t>Venta Calamina 0.35*1000mm  F- 2785</t>
  </si>
  <si>
    <t>Venta Tirafondos 63*63.5 c/gomas F- 2785</t>
  </si>
  <si>
    <t>Venta Calamina 0.40*1000mm RAL2009 F- 2786</t>
  </si>
  <si>
    <t>Venta Tirafondos 63*63.5 c/gomas F- 2786</t>
  </si>
  <si>
    <t>Venta Calamina 0.40*1000mm RAL2009 F- 2787</t>
  </si>
  <si>
    <t>Venta Calamina  0.35*1000mm RAL3003 F- 2788</t>
  </si>
  <si>
    <t>Venta Calamina 0.35*1000mm  F- 2789</t>
  </si>
  <si>
    <t>Venta Calamina 0.35*1000mm  F- 2790</t>
  </si>
  <si>
    <t>Venta Calamina 0.35*1000mm  F- 2791</t>
  </si>
  <si>
    <t>Venta Calamina 0.35*1000mm  F- 2792</t>
  </si>
  <si>
    <t>Venta Calamina 0.35*1000mm  F- 2793</t>
  </si>
  <si>
    <t>Venta Calamina 0.35*1000mm  F- 2794</t>
  </si>
  <si>
    <t>Venta Calamina 0.35*1000mm  F- 2795</t>
  </si>
  <si>
    <t>Venta Calamina 0.35*1000mm  F- 2796</t>
  </si>
  <si>
    <t>Venta Calamina 0.35*1000mm  F- 2797</t>
  </si>
  <si>
    <t>Venta Calamina 0.35*1000mm  F- 2798</t>
  </si>
  <si>
    <t>Venta Calamina 0.40*1000mm  F- 2799</t>
  </si>
  <si>
    <t>Venta Calamina 0.35*1000mm  F- 2799</t>
  </si>
  <si>
    <t>Venta Calamina  0.35*1000mm RAL3003 F- 2801</t>
  </si>
  <si>
    <t>Venta Calamina  0.35*1000mm RAL3003 F- 2802</t>
  </si>
  <si>
    <t>Venta Tirafondos 63*63.5 c/gomas F- 2803</t>
  </si>
  <si>
    <t>Venta Calamina  0.35*1000mm RAL3003 F- 2804</t>
  </si>
  <si>
    <t>Venta Calamina  0.35*1000mm RAL3003 F- 2805</t>
  </si>
  <si>
    <t>Venta Calamina  0.35*1000mm RAL3003 F- 2807</t>
  </si>
  <si>
    <t>Venta Calamina  0.35*1000mm RAL3003 F- 2808</t>
  </si>
  <si>
    <t>ANULADA F- 2800</t>
  </si>
  <si>
    <t>ANULADA F- 2806</t>
  </si>
  <si>
    <t>Venta Calamina  0.35*1000mm RAL2009 F- 2809</t>
  </si>
  <si>
    <t>Venta Tirafondos 63*63.5 c/gomas F- 2809</t>
  </si>
  <si>
    <t>Venta Calamina 0.35*1000mm  F- 2810</t>
  </si>
  <si>
    <t>Venta Tirafondos 63*63.5 c/gomas F- 2811</t>
  </si>
  <si>
    <t>Venta Calamina  0.35*1000mm RAL3003 F- 2812</t>
  </si>
  <si>
    <t>Venta Calamina  0.35*1000mm RAL2009 F- 2813</t>
  </si>
  <si>
    <t>Venta Calamina 0.35*1000mm  F- 2814</t>
  </si>
  <si>
    <t>Venta Tirafondos 63*63.5 c/gomas F- 2814</t>
  </si>
  <si>
    <t>Venta Calamina  0.35*1000mm RAL2009 F- 2815</t>
  </si>
  <si>
    <t>Venta Calamina  0.35*1000mm RAL2009 F- 2816</t>
  </si>
  <si>
    <t>Venta Calamina 0.35*1000mm  F- 2817</t>
  </si>
  <si>
    <t>Venta Calamina 0.40*1000mm RAL2009 F- 2818</t>
  </si>
  <si>
    <t>Venta Calamina  0.35*1000mm RAL3003 F- 2819</t>
  </si>
  <si>
    <t>Venta Calamina 0.35*1000mm  F- 2820</t>
  </si>
  <si>
    <t>Venta Calamina  0.35*1000mm RAL3003 F- 2821</t>
  </si>
  <si>
    <t>Venta Calamina  0.35*1000mm RAL3003 F- 2822</t>
  </si>
  <si>
    <t>Venta Calamina  0.35*1000mm RAL2009 F- 2823</t>
  </si>
  <si>
    <t>Venta Tirafondos 63*76.2 c/gomas F- 2824</t>
  </si>
  <si>
    <t>Venta Tirafondos 63*76.2 c/gomas F- 2825</t>
  </si>
  <si>
    <t>Venta Calamina  0.35*1000mm RAL2009 F- 2825</t>
  </si>
  <si>
    <t>Venta Calamina  0.35*1000mm RAL2009 F- 2826</t>
  </si>
  <si>
    <t>Venta Calamina  0.35x1000mm SEA BLUE F- 2827</t>
  </si>
  <si>
    <t>Venta Tirafondos 63*63.5 c/gomas F- 2827</t>
  </si>
  <si>
    <t>Venta Tirafondos 63*76.2 c/gomas F- 2828</t>
  </si>
  <si>
    <t>Venta Calamina  0.35*1000mm RAL3003 F- 2829</t>
  </si>
  <si>
    <t>Venta Calamina 0.35*1000mm  F- 2830</t>
  </si>
  <si>
    <t>Venta Calamina  0.35*1000mm RAL3002 F- 2831</t>
  </si>
  <si>
    <t>Venta Calamina 0.35*1000mm  F- 2832</t>
  </si>
  <si>
    <t>Venta Calamina 0.35*1000mm  F- 2833</t>
  </si>
  <si>
    <t>Venta Calamina 0.35*1000mm  F- 2834</t>
  </si>
  <si>
    <t>Venta Calamina  0.35*1000mm RAL3002 F- 2835</t>
  </si>
  <si>
    <t>Venta Tirafondos 63*76.2 c/gomas F- 2836</t>
  </si>
  <si>
    <t>Venta Calamina 0.40*1000mm RAL2009 F- 2837</t>
  </si>
  <si>
    <t>Venta Calamina 0.40*1000mm RAL2009 F- 2838</t>
  </si>
  <si>
    <t>Venta Calamina 0.40*1000mm RAL2009 F- 2839</t>
  </si>
  <si>
    <t>Venta Calamina  0.35x1000mm SEA BLUE F- 2651</t>
  </si>
  <si>
    <t>Venta Calamina 0.40*1000mm RAL2009 F- 2659</t>
  </si>
  <si>
    <t>Venta Calamina 0.35*1000mm  F- 2681</t>
  </si>
  <si>
    <t>Venta Calamina  0.35x1000mm SEA BLUE F- 2715</t>
  </si>
  <si>
    <t>Venta Calamina  0.35*1000mm RAL2009 F- 2755</t>
  </si>
  <si>
    <t>Venta Calamina 0.35*1000mm  F- 2767</t>
  </si>
  <si>
    <t>Venta Calamina 0.40*1000mm RAL2009 F- 2768</t>
  </si>
  <si>
    <t>ANULADA  F- 2840-2950</t>
  </si>
  <si>
    <t>Venta Calamina  0.35*1000mm RAL3002 F- 2951</t>
  </si>
  <si>
    <t>Venta Calamina 0.40*1000mm RAL2009 F- 2952</t>
  </si>
  <si>
    <t>Venta Tirafondos 63*76.2 c/gomas F- 2952</t>
  </si>
  <si>
    <t>Venta Calamina 0.35*1000mm  F- 2953</t>
  </si>
  <si>
    <t>Venta Calamina  0.35*1000mm RAL3003 F- 2954</t>
  </si>
  <si>
    <t>Venta Tirafondos 63*63.5 c/gomas F- 2954</t>
  </si>
  <si>
    <t>Venta Calamina 0.35*1000mm  F- 2955</t>
  </si>
  <si>
    <t>Venta Tirafondos 63*63.5 c/gomas F- 2956</t>
  </si>
  <si>
    <t>Venta Tirafondos 63*76.2 c/gomas F- 2957</t>
  </si>
  <si>
    <t>Venta Calamina 0.40*1000mm  F- 2958</t>
  </si>
  <si>
    <t xml:space="preserve">Venta Calamina 0.40*1000mm RAL2009 F-2959 </t>
  </si>
  <si>
    <t>Venta Tirafondos 63*63.5 c/gomas F- 2960</t>
  </si>
  <si>
    <t>Venta Calamina 0.35*1000mm  F- 2961</t>
  </si>
  <si>
    <t>Venta Calamina  0.35x1000mm SEA BLUE F- 2962</t>
  </si>
  <si>
    <t>Venta Calamina  0.35x1000mm SEA BLUE F- 2963</t>
  </si>
  <si>
    <t>Venta Calamina 0.35*1000mm  F- 2964</t>
  </si>
  <si>
    <t>Venta Calamina 0.40*1000mm RAL2009 F- 2965</t>
  </si>
  <si>
    <t xml:space="preserve">ANULADA  F-2966 </t>
  </si>
  <si>
    <t>Venta Calamina 0.35*1000mm  F- 2967</t>
  </si>
  <si>
    <t>Venta Calamina  0.35*1000mm RAL3003 F- 2968</t>
  </si>
  <si>
    <t>Venta Tirafondos 63*63.5 c/gomas F- 2968</t>
  </si>
  <si>
    <t>Venta Calamina  0.35*1000mm RAL3002 F- 2969</t>
  </si>
  <si>
    <t>Venta Calamina  0.35*1000mm RAL3002 F- 2970</t>
  </si>
  <si>
    <t>Venta Tirafondos 63*63.5 c/gomas F- 2970</t>
  </si>
  <si>
    <t>Venta Calamina  0.35*1000mm RAL2009 F- 2972</t>
  </si>
  <si>
    <t>Venta Calamina 0.40*1000mm RAL2009 F- 2973</t>
  </si>
  <si>
    <t>Venta Calamina 0.35*1000mm  F- 2974</t>
  </si>
  <si>
    <t>Compra DUI C-11710</t>
  </si>
  <si>
    <t xml:space="preserve">Mercaderia:Plancha 0.35*1200mm </t>
  </si>
  <si>
    <t>Compra DUI C-11796</t>
  </si>
  <si>
    <t>Venta Calamina 0.40*1000mm RAL2009 F- 2975</t>
  </si>
  <si>
    <t>Venta Calamina  0.35*1000mm RAL3002 F- 2976</t>
  </si>
  <si>
    <t>Venta Calamina  0.35*1000mm RAL2009 F- 2977</t>
  </si>
  <si>
    <t>Venta Calamina 0.40*1000mm  F- 2978</t>
  </si>
  <si>
    <t>Venta Calamina  0.35x1000mm SEA BLUE F- 2979</t>
  </si>
  <si>
    <t>Venta Calamina 0.35*1000mm  F- 2981</t>
  </si>
  <si>
    <t>Venta Calamina 0.35*1000mm  F- 2982</t>
  </si>
  <si>
    <t>Venta Calamina 0.40*1000mm RAL2009 F- 2983</t>
  </si>
  <si>
    <t>Venta Calamina 0.40*1000mm RAL2009 F- 2984</t>
  </si>
  <si>
    <t>Venta Calamina 0.40*1000mm RAL2009 F- 2985</t>
  </si>
  <si>
    <t>Venta Tirafondos 63*76.2 c/gomas F- 2985</t>
  </si>
  <si>
    <t>Venta Calamina 0.35*1000mm  F- 2986</t>
  </si>
  <si>
    <t>Venta Calamina 0.40*1000mm RAL2009 F- 2987</t>
  </si>
  <si>
    <t>Venta Tirafondos 63*76.2 c/gomas F- 2987</t>
  </si>
  <si>
    <t>Venta Calamina 0.40*1000mm  F- 2988</t>
  </si>
  <si>
    <t>Venta Calamina  0.35*1000mm RAL3002 F- 2989</t>
  </si>
  <si>
    <t>Venta Tirafondos 63*63.5 c/gomas F- 2990</t>
  </si>
  <si>
    <t>Venta Tirafondos 63*76.2 c/gomas F- 2990</t>
  </si>
  <si>
    <t xml:space="preserve">Venta Calamina 0.40*1000mm  F-2991 </t>
  </si>
  <si>
    <t>Venta Calamina 0.40*1000mm  F- 2992</t>
  </si>
  <si>
    <t>Venta Calamina 0.40*1000mm RAL2009 F- 2993</t>
  </si>
  <si>
    <t>Venta Tirafondos 63*76.2 c/gomas F- 2993</t>
  </si>
  <si>
    <t>Venta Calamina  0.35*1000mm RAL3002 F- 2994</t>
  </si>
  <si>
    <t>Venta Calamina 0.35*1000mm  F- 2995</t>
  </si>
  <si>
    <t>Venta Calamina 0.40*1000mm RAL2009 F- 2996</t>
  </si>
  <si>
    <t>Venta Calamina 0.35*1000mm  F- 2997</t>
  </si>
  <si>
    <t>Venta Calamina 0.35*1000mm  F- 2998</t>
  </si>
  <si>
    <t>Mercaderia:Perno Autoperforante 12x1 A.F.</t>
  </si>
  <si>
    <t>Compra f-1457</t>
  </si>
  <si>
    <t>Mercaderia:Perno Autoperforante 12x2 A.S.</t>
  </si>
  <si>
    <t>Compra Perno Autoperforante 12x2 A.S. F-1457</t>
  </si>
  <si>
    <t>Mercaderia:Perno Autoperforante 12x2 A.F.</t>
  </si>
  <si>
    <t>Venta Perno Autoperforante 12x2 A.S. F-2998</t>
  </si>
  <si>
    <t>Compra Perno Autoperforante 12x2 A.F. F-1457</t>
  </si>
  <si>
    <t>Venta Perno Autoperforante 12x2 A.F. F-2998</t>
  </si>
  <si>
    <t>Venta Perno Autoperforante 12x1 A.F-  F- 2989</t>
  </si>
  <si>
    <t>Total</t>
  </si>
  <si>
    <t>Venta Calamina  0.35*1000mm RAL2009 F- 2999</t>
  </si>
  <si>
    <t>Venta Calamina 0.35*1000mm  F- 3000</t>
  </si>
  <si>
    <t>Venta Calamina 0.35*1000mm  F- 3001</t>
  </si>
  <si>
    <t>Venta Calamina  0.35*1000mm RAL2009 F- 3002</t>
  </si>
  <si>
    <t>Venta Calamina 0.40*1000mm RAL2009 F- 30003</t>
  </si>
  <si>
    <t>Venta Calamina 0.35*1000mm  F- 3004</t>
  </si>
  <si>
    <t>Venta Tirafondos 63*76.2 c/gomas F- 3005</t>
  </si>
  <si>
    <t>Venta Calamina 0.40*1000mm RAL2009 F- 3006</t>
  </si>
  <si>
    <t>Venta Tirafondos 63*76.2 c/gomas F- 3006</t>
  </si>
  <si>
    <t>Venta Calamina 0.35*1000mm  F- 3007</t>
  </si>
  <si>
    <t>Venta Calamina  0.35*1000mm RAL3002 F- 3008</t>
  </si>
  <si>
    <t>Venta Calamina  0.35*1200mm  F- 3008</t>
  </si>
  <si>
    <t>Venta Calamina 0.40*1000mm  F- 3009</t>
  </si>
  <si>
    <t>Venta Calamina 0.40*1000mm RAL2009 F- 3010</t>
  </si>
  <si>
    <t>Venta Calamina  0.35*1000mm RAL2009 F- 2965</t>
  </si>
  <si>
    <t>Venta Calamina 0.35*1000mm  F- 2971</t>
  </si>
  <si>
    <t>Venta Calamina 0.40*1000mm  F- 3011</t>
  </si>
  <si>
    <t>Venta Calamina 0.35*1000mm  F- 3012</t>
  </si>
  <si>
    <t>Venta Calamina  0.35*1000mm RAL2009 F- 3013</t>
  </si>
  <si>
    <t>Venta Tirafondos 63*63.5 c/gomas F- 3013</t>
  </si>
  <si>
    <t>Venta Calamina 0.35*1000mm  F- 3014</t>
  </si>
  <si>
    <t>Venta Calamina  0.35*1200mm  F- 3015</t>
  </si>
  <si>
    <t>Venta Calamina 0.40*1000mm  F- 3016</t>
  </si>
  <si>
    <t>Venta Calamina 0.35*1000mm  F- 3017</t>
  </si>
  <si>
    <t>Venta Calamina 0.35*1000mm  F- 3018</t>
  </si>
  <si>
    <t>Venta Calamina 0.35*1000mm  F- 3019</t>
  </si>
  <si>
    <t>Venta Calamina 0.35*1000mm  F- 3020</t>
  </si>
  <si>
    <t>Venta Calamina 0.35*1000mm  F- 3021</t>
  </si>
  <si>
    <t>Venta Tirafondos 63*76.2 c/gomas F- 3021</t>
  </si>
  <si>
    <t>Venta Calamina 0.35*1000mm  F- 3022</t>
  </si>
  <si>
    <t>Venta Calamina 0.35*1000mm  F- 3023</t>
  </si>
  <si>
    <t>Venta Calamina 0.35*1000mm  F- 3024</t>
  </si>
  <si>
    <t>Venta Calamina 0.35*1000mm  F- 3025</t>
  </si>
  <si>
    <t>Venta Calamina  0.35*1000mm RAL2009 F- 3026</t>
  </si>
  <si>
    <t>Venta Calamina 0.35*1000mm  F- 3027</t>
  </si>
  <si>
    <t>Venta Calamina 0.40*1000mm RAL2009 F- 3028</t>
  </si>
  <si>
    <t>Venta Tirafondos 63*76.2 c/gomas F- 3028</t>
  </si>
  <si>
    <t>Venta Calamina 0.35*1000mm  F- 3029</t>
  </si>
  <si>
    <t>Venta Tirafondos 63*63.5 c/gomas F- 3030</t>
  </si>
  <si>
    <t>Venta Calamina 0.35*1000mm  F- 3031</t>
  </si>
  <si>
    <t>Venta Calamina 0.40*1000mm RAL2009 F- 3032</t>
  </si>
  <si>
    <t>Venta Calamina 0.40*1000mm RAL2009 F- 3033</t>
  </si>
  <si>
    <t>Venta Tirafondos 63*76.2 c/gomas F- 3033</t>
  </si>
  <si>
    <t>Venta Calamina 0.35*1000mm  F- 3034</t>
  </si>
  <si>
    <t>Venta Calamina 0.35*1000mm  F- 3035</t>
  </si>
  <si>
    <t>Venta Calamina  0.35*1000mm RAL2009 F- 3036</t>
  </si>
  <si>
    <t>Venta Calamina  0.35*1200mm  F- 3037</t>
  </si>
  <si>
    <t>Venta Calamina 0.40*1000mm  F- 3038</t>
  </si>
  <si>
    <t>Venta Calamina 0.40*1000mm  F- 3039</t>
  </si>
  <si>
    <t>Venta Calamina 0.35*1000mm  F- 3040</t>
  </si>
  <si>
    <t>ANULADA  F- 3041</t>
  </si>
  <si>
    <t>Venta Calamina 0.35*1000mm  F- 3042</t>
  </si>
  <si>
    <t>Venta Calamina 0.40*1000mm  F- 3043</t>
  </si>
  <si>
    <t>Venta Calamina 0.40*1000mm RAL2009 F- 3044</t>
  </si>
  <si>
    <t>Venta Tirafondos 63*76.2 c/gomas F- 3044</t>
  </si>
  <si>
    <t>Venta Calamina  0.35*1000mm RAL3002 F- 3045</t>
  </si>
  <si>
    <t>Venta Calamina 0.35*1000mm  F- 3046</t>
  </si>
  <si>
    <t>Venta Calamina 0.35*1000mm  F- 3047</t>
  </si>
  <si>
    <t>Venta Calamina 0.35*1000mm  F- 3048</t>
  </si>
  <si>
    <t>ANULADA F- 3049</t>
  </si>
  <si>
    <t>Venta Calamina 0.40*1000mm RAL2009 F- 3050</t>
  </si>
  <si>
    <t>Venta Calamina 0.35*1000mm  F- 3051</t>
  </si>
  <si>
    <t>Venta Calamina  0.35*1000mm RAL3003 F- 3052</t>
  </si>
  <si>
    <t>Venta Calamina 0.35*1000mm  F- 3054</t>
  </si>
  <si>
    <t>Venta Calamina 0.35*1000mm  F- 3055</t>
  </si>
  <si>
    <t>ANULADA F- 2980</t>
  </si>
  <si>
    <t>Venta Calamina 0.35*1000mm  F- 3056</t>
  </si>
  <si>
    <t>Venta Calamina 0.40*1000mm RAL2009 F- 3057</t>
  </si>
  <si>
    <t>Venta Tirafondos 63*76.2 c/gomas F- 3057</t>
  </si>
  <si>
    <t>Venta Calamina 0.35*1000mm  F- 3058</t>
  </si>
  <si>
    <t>Venta Calamina 0.35*1000mm  F- 3059</t>
  </si>
  <si>
    <t>Venta Calamina  0.35*1200mm  F- 3059</t>
  </si>
  <si>
    <t>Venta Calamina 0.35*1000mm  F- 3061</t>
  </si>
  <si>
    <t>Venta Tirafondos 63*63.5 c/gomas F- 3061</t>
  </si>
  <si>
    <t>Venta Calamina 0.35*1000mm  F- 3062</t>
  </si>
  <si>
    <t>Venta Calamina 0.35*1000mm  F- 3063</t>
  </si>
  <si>
    <t>Venta Calamina 0.35*1000mm  F- 3064</t>
  </si>
  <si>
    <t>Venta Calamina 0.40*1000mm  F- 3065</t>
  </si>
  <si>
    <t>ANULADA F- 3066</t>
  </si>
  <si>
    <t>Venta Tirafondos 63*63.5 c/gomas F- 3067</t>
  </si>
  <si>
    <t>Venta Tirafondos 63*63.5 c/gomas F- 3068</t>
  </si>
  <si>
    <t>Venta Calamina  0.35*1200mm  F- 3069</t>
  </si>
  <si>
    <t>Venta Calamina  0.35*1000mm RAL3002 F- 3070</t>
  </si>
  <si>
    <t>Venta Calamina  0.35*1000mm RAL3002 F- 3071</t>
  </si>
  <si>
    <t>Venta Calamina  0.35*1000mm RAL3002 F- 3072</t>
  </si>
  <si>
    <t>Venta Calamina  0.35*1000mm RAL3002 F- 3073</t>
  </si>
  <si>
    <t>Venta Calamina 0.35*1000mm  F- 3074</t>
  </si>
  <si>
    <t>Venta Calamina  0.35*1000mm RAL2009 F- 3075</t>
  </si>
  <si>
    <t>Venta Calamina 0.40*1000mm RAL2009 F- 3076</t>
  </si>
  <si>
    <t>Venta Calamina 0.35*1000mm  F- 3077</t>
  </si>
  <si>
    <t>Venta Calamina 0.40*1000mm RAL2009 F- 3078</t>
  </si>
  <si>
    <t>Venta Tirafondos 63*76.2 c/gomas F- 3078</t>
  </si>
  <si>
    <t>Venta Calamina 0.40*1000mm  F- 3079</t>
  </si>
  <si>
    <t>Venta Calamina  0.35*1000mm RAL3002 F- 3080</t>
  </si>
  <si>
    <t>Venta Calamina  0.35*1000mm RAL3002 F- 3081</t>
  </si>
  <si>
    <t>Venta Calamina 0.35*1000mm  F- 3082</t>
  </si>
  <si>
    <t>Venta Calamina  0.35*1200mm  F- 3083</t>
  </si>
  <si>
    <t>Venta Calamina 0.40*1000mm RAL2009 F- 3083</t>
  </si>
  <si>
    <t>Venta Calamina 0.40*1000mm  F- 3084</t>
  </si>
  <si>
    <t>Venta Calamina  0.35*1000mm RAL3002 F- 3085</t>
  </si>
  <si>
    <t>Venta Calamina 0.40*1000mm RAL2009 F-3086</t>
  </si>
  <si>
    <t>Venta Tirafondos 63*76.2 c/gomas F- 3086</t>
  </si>
  <si>
    <t>Venta Calamina 0.35*1000mm  F- 3087</t>
  </si>
  <si>
    <t>Venta Calamina 0.40*1000mm RAL2009 F- 3088</t>
  </si>
  <si>
    <t xml:space="preserve">Venta Tirafondos 63*76.2 c/gomas F-3088 </t>
  </si>
  <si>
    <t>Venta Calamina 0.35*1000mm  F- 3089</t>
  </si>
  <si>
    <t>Venta Calamina  0.35*1000mm RAL2009 F- 3090</t>
  </si>
  <si>
    <t>Venta Tirafondos 63*63.5 c/gomas F- 3090</t>
  </si>
  <si>
    <t>Venta Tirafondos 63*63.5 c/gomas F- 3091</t>
  </si>
  <si>
    <t>Venta Calamina 0.40*1000mm RAL2009 F- 3075</t>
  </si>
  <si>
    <t>Venta Calamina 0.35*1000mm  F- 3092</t>
  </si>
  <si>
    <t>Venta Calamina 0.35*1000mm  F- 3093</t>
  </si>
  <si>
    <t>ANULADA F- 3094</t>
  </si>
  <si>
    <t>Venta Calamina  0.35x1000mm SEA BLUE F- 3095</t>
  </si>
  <si>
    <t>ANULADA F- 3096</t>
  </si>
  <si>
    <t>Venta Calamina  0.35x1000mm SEA BLUE F- 3099</t>
  </si>
  <si>
    <t>ANULADA F- 3098</t>
  </si>
  <si>
    <t>Venta Calamina 0.40*1000mm RAL2009 F- 3100</t>
  </si>
  <si>
    <t>Venta Tirafondos 63*76.2 c/gomas F- 3100</t>
  </si>
  <si>
    <t>Venta Calamina  0.35x1000mm SEA BLUE F- 3101</t>
  </si>
  <si>
    <t>Venta Calamina  0.35x1000mm SEA BLUE F- 3102</t>
  </si>
  <si>
    <t>Venta Calamina 0.35*1000mm  F- 3103</t>
  </si>
  <si>
    <t>Venta Tirafondos 63*63.5 c/gomas F- 3104</t>
  </si>
  <si>
    <t>Venta Calamina  0.35*1000mm RAL3002 F- 3105</t>
  </si>
  <si>
    <t>Venta Calamina 0.35*1000mm  F- 3106</t>
  </si>
  <si>
    <t>Venta Calamina 0.35*1000mm  F- 3107</t>
  </si>
  <si>
    <t>Venta Tirafondos 63*63.5 c/gomas F- 3108</t>
  </si>
  <si>
    <t>Venta Calamina 0.35*1000mm  F- 3109</t>
  </si>
  <si>
    <t>Venta Calamina 0.35*1000mm  F- 3110</t>
  </si>
  <si>
    <t>Venta Calamina  0.35*1000mm RAL3002 F- 3111</t>
  </si>
  <si>
    <t>Venta Calamina 0.35*1000mm  F- 3112</t>
  </si>
  <si>
    <t>Venta Calamina 0.40*1000mm RAL2009 F- 3113</t>
  </si>
  <si>
    <t>Venta Tirafondos 63*76.2 c/gomas F- 3113</t>
  </si>
  <si>
    <t>Venta Calamina 0.35*1000mm  F- 3114</t>
  </si>
  <si>
    <t>Venta Calamina 0.40*1000mm RAL2009 F- 3115</t>
  </si>
  <si>
    <t>Venta Calamina  0.35*1000mm RAL3002 F- 3116</t>
  </si>
  <si>
    <t>Venta Calamina  0.35*1000mm RAL2009 F- 3117</t>
  </si>
  <si>
    <t>Venta Calamina 0.40*1000mm RAL2009 F- 3118</t>
  </si>
  <si>
    <t>Venta Calamina  0.35*1000mm RAL2009 F- 3119</t>
  </si>
  <si>
    <t>Venta Calamina  0.35*1000mm RAL2009 F- 3120</t>
  </si>
  <si>
    <t>Venta Calamina 0.35*1000mm  F- 3121</t>
  </si>
  <si>
    <t>Venta Calamina 0.40*1000mm RAL2009 F- 3122</t>
  </si>
  <si>
    <t>Venta Tirafondos 63*76.2 c/gomas F- 3122</t>
  </si>
  <si>
    <t>Venta Tirafondos 63*76.2 c/gomas F- 3123</t>
  </si>
  <si>
    <t>Venta Tirafondos 63*63.5 c/gomas F- 3123</t>
  </si>
  <si>
    <t>Venta Calamina 0.40*1000mm RAL2009 F- 3123</t>
  </si>
  <si>
    <t>Venta Calamina 0.40*1000mm  F- 3124</t>
  </si>
  <si>
    <t>Venta Calamina  0.35*1000mm RAL3003 F- 3125</t>
  </si>
  <si>
    <t>Venta Calamina  0.35*1000mm RAL3002 F- 3126</t>
  </si>
  <si>
    <t>Venta Calamina  0.35*1000mm RAL3003 F- 3127</t>
  </si>
  <si>
    <t>Venta Tirafondos 63*63.5 c/gomas F- 3127</t>
  </si>
  <si>
    <t>Venta Calamina  0.35*1000mm RAL3003 F- 3128</t>
  </si>
  <si>
    <t>Venta Tirafondos 63*63.5 c/gomas F- 3128</t>
  </si>
  <si>
    <t>Venta Calamina  0.35*1000mm RAL3002 F- 3129</t>
  </si>
  <si>
    <t>Venta Tirafondos 63*63.5 c/gomas F- 3129</t>
  </si>
  <si>
    <t>ANULADA  F- 3130</t>
  </si>
  <si>
    <t>Venta Calamina 0.35*1000mm  F- 3131</t>
  </si>
  <si>
    <t>Venta Tirafondos 63*63.5 c/gomas F- 3132</t>
  </si>
  <si>
    <t>Venta Calamina  0.35x1000mm SEA BLUE F- 3133</t>
  </si>
  <si>
    <t>Venta Tirafondos 63*76.2 c/gomas F- 3133</t>
  </si>
  <si>
    <t>Venta Calamina 0.35*1000mm  F- 3134</t>
  </si>
  <si>
    <t>Venta Tirafondos 63*63.5 c/gomas F- 3134</t>
  </si>
  <si>
    <t>Venta Calamina  0.35*1000mm RAL3003 F- 3135</t>
  </si>
  <si>
    <t>Venta Calamina 0.40*1000mm  F- 3136</t>
  </si>
  <si>
    <t>Venta Calamina  0.35*1000mm RAL3003 F- 3137</t>
  </si>
  <si>
    <t>Venta Calamina 0.35*1000mm  F- 3138</t>
  </si>
  <si>
    <t>Venta Calamina 0.35*1000mm  F- 3139</t>
  </si>
  <si>
    <t>Venta Calamina 0.35*1000mm  F- 3140</t>
  </si>
  <si>
    <t>Venta Calamina 0.35*1000mm  F- 3141</t>
  </si>
  <si>
    <t>Venta Calamina 0.40*1000mm  F- 3142</t>
  </si>
  <si>
    <t>Venta Calamina 0.35*1000mm  F- 3143</t>
  </si>
  <si>
    <t>Venta Calamina 0.40*1000mm  F- 3144</t>
  </si>
  <si>
    <t>Venta Calamina 0.40*1000mm  F- 3145</t>
  </si>
  <si>
    <t>Venta Calamina 0.35*1000mm  F- 3146</t>
  </si>
  <si>
    <t>Venta Calamina 0.40*1000mm  F- 3147</t>
  </si>
  <si>
    <t>Venta Calamina 0.35*1000mm  F- 3148</t>
  </si>
  <si>
    <t>Venta Calamina  0.35x1000mm SEA BLUE F- 3149</t>
  </si>
  <si>
    <t>Venta Calamina 0.35*1000mm  F- 3150</t>
  </si>
  <si>
    <t>Venta Calamina 0.35*1000mm  F- 1</t>
  </si>
  <si>
    <t>Venta Calamina  0.35*1000mm RAL2009 F- 3053</t>
  </si>
  <si>
    <t>Venta Calamina 0.40*1000mm RAL2009 F- 3060</t>
  </si>
  <si>
    <t>Venta Calamina 0.35*1000mm  F- 3097</t>
  </si>
  <si>
    <t>Mercaderia:SEA BLUE - 0.35x1000mm</t>
  </si>
  <si>
    <t>Mercaderia:Juntas de goma</t>
  </si>
  <si>
    <t>Unidad de Medida:Uds.</t>
  </si>
  <si>
    <t xml:space="preserve">ENTRADA </t>
  </si>
  <si>
    <t>INENTARIO INICIAL</t>
  </si>
  <si>
    <t xml:space="preserve">                Practicado al 31 de diciembre de 2020</t>
  </si>
  <si>
    <t>ELVA FERNANDEZ DE DELGADILLO</t>
  </si>
  <si>
    <t>NIT  3733613014</t>
  </si>
  <si>
    <t>Mercaderia:Clavos de Calamina</t>
  </si>
  <si>
    <t>Peso: kg</t>
  </si>
  <si>
    <t xml:space="preserve">                Practicado al 31 de diciembre DE 2020</t>
  </si>
  <si>
    <t>INVENTARIO INICIAL CLAVOS CALAMINA</t>
  </si>
  <si>
    <t>Venta Clavos calamina en Kg. F-2388</t>
  </si>
  <si>
    <t>Venta Clavos calamina en Kg. F-2404</t>
  </si>
  <si>
    <t>Venta Clavos calamina en Kg. F-2416</t>
  </si>
  <si>
    <t>Venta Clavos calamina en Kg. F-2420</t>
  </si>
  <si>
    <t>Venta Clavos calamina en Kg. F-2424</t>
  </si>
  <si>
    <t>Venta Clavos calamina en Kg. F-2428</t>
  </si>
  <si>
    <t>Venta Clavos calamina en Kg. F-2430</t>
  </si>
  <si>
    <t>Venta Clavos calamina en Kg. F-2434</t>
  </si>
  <si>
    <t>Venta Clavos calamina en Kg. F-2435</t>
  </si>
  <si>
    <t>Venta Clavos calamina en Kg. F-2438</t>
  </si>
  <si>
    <t>Compra Clavos calamina en Kg. F-2024</t>
  </si>
  <si>
    <t>Venta Clavos calamina en Kg. F-2441</t>
  </si>
  <si>
    <t>ANULADA Kg. F-2454</t>
  </si>
  <si>
    <t>Venta Clavos calamina en Kg. F-2455</t>
  </si>
  <si>
    <t>Venta Clavos calamina en Kg. F-2460</t>
  </si>
  <si>
    <t>ANULADA F-2461</t>
  </si>
  <si>
    <t>Venta Clavos calamina en Kg. F-2462</t>
  </si>
  <si>
    <t>Venta Clavos calamina en Kg. F-2466</t>
  </si>
  <si>
    <t>Venta Clavos calamina en Kg. F-2472</t>
  </si>
  <si>
    <t>Venta Clavos calamina en Kg. F-2479</t>
  </si>
  <si>
    <t>Venta Clavos calamina en Kg. F-2480</t>
  </si>
  <si>
    <t>Venta Clavos calamina en Kg. F-2481</t>
  </si>
  <si>
    <t>Venta Clavos calamina en Kg. F-2483</t>
  </si>
  <si>
    <t>Venta Clavos calamina en Kg. F-2485</t>
  </si>
  <si>
    <t>Venta Clavos calamina en Kg. F-2487</t>
  </si>
  <si>
    <t>Venta Clavos calamina en Kg. F-2489</t>
  </si>
  <si>
    <t>Venta Clavos calamina en Kg. F-2491</t>
  </si>
  <si>
    <t>Venta Clavos calamina en Kg. F-2710</t>
  </si>
  <si>
    <t>Venta Clavos calamina en Kg. F-2720</t>
  </si>
  <si>
    <t>Venta Clavos calamina en Kg. F-2723</t>
  </si>
  <si>
    <t>Venta Clavos calamina en Kg. F-2728</t>
  </si>
  <si>
    <t>Venta Clavos calamina en Kg. F-2729</t>
  </si>
  <si>
    <t>Venta Clavos calamina en Kg. F-2732</t>
  </si>
  <si>
    <t>Venta Clavos calamina en Kg. F-2735</t>
  </si>
  <si>
    <t>Venta Clavos calamina en Kg. F-2743</t>
  </si>
  <si>
    <t>Venta Clavos calamina en Kg. F-2745</t>
  </si>
  <si>
    <t>Venta Clavos calamina en Kg. F-2746</t>
  </si>
  <si>
    <t>Compra Clavos calamina en Kg. F-55</t>
  </si>
  <si>
    <t>Venta Clavos calamina en Kg. F-2753</t>
  </si>
  <si>
    <t>Venta Clavos calamina en Kg. F-2755</t>
  </si>
  <si>
    <t>Venta Clavos calamina en Kg. F-2761</t>
  </si>
  <si>
    <t>Venta Clavos calamina en Kg. F-2766</t>
  </si>
  <si>
    <t>Venta Clavos calamina en Kg. F-2771</t>
  </si>
  <si>
    <t>Venta Clavos calamina en Kg. F-2775</t>
  </si>
  <si>
    <t>Venta Clavos calamina en Kg. F-2780</t>
  </si>
  <si>
    <t>Venta Clavos calamina en Kg. F-2784</t>
  </si>
  <si>
    <t>Venta Clavos calamina en Kg. F-2787</t>
  </si>
  <si>
    <t>Venta Clavos calamina en Kg. F-2796</t>
  </si>
  <si>
    <t>Venta Clavos calamina en Kg. F-2798</t>
  </si>
  <si>
    <t>Venta Clavos calamina en Kg. F-2802</t>
  </si>
  <si>
    <t>Venta Clavos calamina en Kg. F-2807</t>
  </si>
  <si>
    <t>Venta Clavos calamina en Kg. F-2820</t>
  </si>
  <si>
    <t>Venta Clavos calamina en Kg. F-2821</t>
  </si>
  <si>
    <t>Venta Clavos calamina en Kg. F-2831</t>
  </si>
  <si>
    <t>Venta Clavos calamina en Kg. F-2839</t>
  </si>
  <si>
    <t>Venta Clavos calamina en Kg. F-2841</t>
  </si>
  <si>
    <t>Venta Clavos calamina en Kg. F-2844</t>
  </si>
  <si>
    <t>Venta Clavos calamina en Kg. F-2848</t>
  </si>
  <si>
    <t>ANULADAS Kg. F-2853</t>
  </si>
  <si>
    <t>Venta Clavos calamina en Kg. F-2854</t>
  </si>
  <si>
    <t>Venta Clavos calamina en Kg. F-2856</t>
  </si>
  <si>
    <t>Venta Clavos calamina en Kg. F-2860</t>
  </si>
  <si>
    <t>Venta Clavos calamina en Kg. F-2867</t>
  </si>
  <si>
    <t>Venta Clavos calamina en Kg. F-2871</t>
  </si>
  <si>
    <t>Venta Clavos calamina en Kg. F-2884</t>
  </si>
  <si>
    <t>Venta Clavos calamina en Kg. F-2885</t>
  </si>
  <si>
    <t>Venta Clavos calamina en Kg. F-2893</t>
  </si>
  <si>
    <t>Venta Clavos calamina en Kg. F-2894</t>
  </si>
  <si>
    <t>Venta Clavos calamina en Kg. F-2896</t>
  </si>
  <si>
    <t>Venta Clavos calamina en Kg. F-205</t>
  </si>
  <si>
    <t>Venta Clavos calamina en Kg. F-208</t>
  </si>
  <si>
    <t>Venta Clavos calamina en Kg. F-214</t>
  </si>
  <si>
    <t>VALORACIÓN INVENTARIO FINAL, PERCIO DE LAS FACTURAS DE COMPRAS (ULTIMAS COMPRAS) Art..9 del D.S. 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</si>
</sst>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u/>
      <sz val="8"/>
      <name val="Arial"/>
      <family val="2"/>
    </font>
    <font>
      <b/>
      <sz val="6"/>
      <name val="Arial"/>
      <family val="2"/>
    </font>
    <font>
      <sz val="8"/>
      <color rgb="FFFF0000"/>
      <name val="Calibri"/>
      <family val="2"/>
      <scheme val="minor"/>
    </font>
    <font>
      <sz val="8"/>
      <color theme="1" tint="4.9989318521683403E-2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4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2" xfId="0" applyFont="1" applyBorder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4" fillId="0" borderId="1" xfId="0" applyFont="1" applyBorder="1"/>
    <xf numFmtId="0" fontId="2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5" fillId="0" borderId="9" xfId="0" applyNumberFormat="1" applyFont="1" applyBorder="1"/>
    <xf numFmtId="0" fontId="5" fillId="0" borderId="11" xfId="0" applyFont="1" applyBorder="1"/>
    <xf numFmtId="2" fontId="5" fillId="0" borderId="14" xfId="0" applyNumberFormat="1" applyFont="1" applyFill="1" applyBorder="1"/>
    <xf numFmtId="2" fontId="5" fillId="0" borderId="14" xfId="0" applyNumberFormat="1" applyFont="1" applyBorder="1"/>
    <xf numFmtId="2" fontId="5" fillId="0" borderId="14" xfId="0" applyNumberFormat="1" applyFont="1" applyBorder="1" applyAlignment="1">
      <alignment horizontal="right" vertical="center" wrapText="1"/>
    </xf>
    <xf numFmtId="2" fontId="4" fillId="0" borderId="14" xfId="0" applyNumberFormat="1" applyFont="1" applyBorder="1"/>
    <xf numFmtId="2" fontId="6" fillId="0" borderId="14" xfId="0" applyNumberFormat="1" applyFont="1" applyBorder="1"/>
    <xf numFmtId="0" fontId="4" fillId="0" borderId="2" xfId="0" applyFont="1" applyBorder="1"/>
    <xf numFmtId="14" fontId="3" fillId="0" borderId="9" xfId="0" applyNumberFormat="1" applyFont="1" applyBorder="1"/>
    <xf numFmtId="0" fontId="3" fillId="0" borderId="14" xfId="0" applyFont="1" applyBorder="1"/>
    <xf numFmtId="2" fontId="3" fillId="0" borderId="14" xfId="0" applyNumberFormat="1" applyFont="1" applyBorder="1"/>
    <xf numFmtId="0" fontId="3" fillId="0" borderId="15" xfId="0" applyFont="1" applyBorder="1"/>
    <xf numFmtId="2" fontId="9" fillId="0" borderId="0" xfId="0" applyNumberFormat="1" applyFont="1"/>
    <xf numFmtId="14" fontId="9" fillId="0" borderId="0" xfId="0" applyNumberFormat="1" applyFont="1"/>
    <xf numFmtId="0" fontId="1" fillId="0" borderId="0" xfId="0" applyFont="1"/>
    <xf numFmtId="14" fontId="9" fillId="0" borderId="16" xfId="0" applyNumberFormat="1" applyFont="1" applyBorder="1"/>
    <xf numFmtId="0" fontId="9" fillId="0" borderId="14" xfId="0" applyFont="1" applyBorder="1"/>
    <xf numFmtId="2" fontId="9" fillId="0" borderId="14" xfId="0" applyNumberFormat="1" applyFont="1" applyBorder="1"/>
    <xf numFmtId="2" fontId="5" fillId="0" borderId="14" xfId="0" applyNumberFormat="1" applyFont="1" applyBorder="1" applyAlignment="1">
      <alignment horizontal="right"/>
    </xf>
    <xf numFmtId="2" fontId="5" fillId="2" borderId="14" xfId="0" applyNumberFormat="1" applyFont="1" applyFill="1" applyBorder="1"/>
    <xf numFmtId="0" fontId="4" fillId="0" borderId="17" xfId="0" applyFont="1" applyBorder="1"/>
    <xf numFmtId="0" fontId="10" fillId="0" borderId="18" xfId="0" applyFont="1" applyFill="1" applyBorder="1"/>
    <xf numFmtId="2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2" fontId="4" fillId="0" borderId="0" xfId="0" applyNumberFormat="1" applyFont="1"/>
    <xf numFmtId="2" fontId="0" fillId="0" borderId="0" xfId="0" applyNumberFormat="1"/>
    <xf numFmtId="14" fontId="4" fillId="0" borderId="0" xfId="0" applyNumberFormat="1" applyFont="1" applyBorder="1"/>
    <xf numFmtId="4" fontId="4" fillId="0" borderId="0" xfId="0" applyNumberFormat="1" applyFont="1"/>
    <xf numFmtId="4" fontId="4" fillId="0" borderId="3" xfId="0" applyNumberFormat="1" applyFont="1" applyBorder="1"/>
    <xf numFmtId="4" fontId="4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22" xfId="0" applyFont="1" applyBorder="1"/>
    <xf numFmtId="0" fontId="4" fillId="0" borderId="22" xfId="0" applyFont="1" applyBorder="1"/>
    <xf numFmtId="0" fontId="5" fillId="0" borderId="22" xfId="0" applyFont="1" applyBorder="1"/>
    <xf numFmtId="0" fontId="6" fillId="0" borderId="23" xfId="0" applyFont="1" applyBorder="1"/>
    <xf numFmtId="0" fontId="5" fillId="2" borderId="14" xfId="0" applyFont="1" applyFill="1" applyBorder="1"/>
    <xf numFmtId="0" fontId="5" fillId="0" borderId="14" xfId="0" applyFont="1" applyBorder="1"/>
    <xf numFmtId="0" fontId="11" fillId="0" borderId="14" xfId="0" applyFont="1" applyBorder="1"/>
    <xf numFmtId="0" fontId="5" fillId="0" borderId="15" xfId="0" applyFont="1" applyBorder="1"/>
    <xf numFmtId="0" fontId="12" fillId="0" borderId="0" xfId="0" applyFont="1"/>
    <xf numFmtId="14" fontId="11" fillId="0" borderId="16" xfId="0" applyNumberFormat="1" applyFont="1" applyBorder="1"/>
    <xf numFmtId="2" fontId="5" fillId="0" borderId="11" xfId="0" applyNumberFormat="1" applyFont="1" applyBorder="1"/>
    <xf numFmtId="2" fontId="11" fillId="0" borderId="14" xfId="0" applyNumberFormat="1" applyFont="1" applyBorder="1"/>
    <xf numFmtId="14" fontId="5" fillId="0" borderId="14" xfId="0" applyNumberFormat="1" applyFont="1" applyBorder="1"/>
    <xf numFmtId="14" fontId="11" fillId="0" borderId="14" xfId="0" applyNumberFormat="1" applyFont="1" applyBorder="1"/>
    <xf numFmtId="2" fontId="3" fillId="0" borderId="14" xfId="0" applyNumberFormat="1" applyFont="1" applyBorder="1" applyAlignment="1">
      <alignment horizontal="right"/>
    </xf>
    <xf numFmtId="2" fontId="3" fillId="2" borderId="14" xfId="0" applyNumberFormat="1" applyFont="1" applyFill="1" applyBorder="1"/>
    <xf numFmtId="2" fontId="3" fillId="0" borderId="11" xfId="0" applyNumberFormat="1" applyFont="1" applyBorder="1"/>
    <xf numFmtId="14" fontId="9" fillId="0" borderId="14" xfId="0" applyNumberFormat="1" applyFont="1" applyBorder="1"/>
    <xf numFmtId="0" fontId="1" fillId="0" borderId="0" xfId="0" applyFont="1" applyBorder="1"/>
    <xf numFmtId="0" fontId="12" fillId="0" borderId="0" xfId="0" applyFont="1" applyBorder="1"/>
    <xf numFmtId="0" fontId="4" fillId="0" borderId="14" xfId="0" applyFont="1" applyBorder="1"/>
    <xf numFmtId="14" fontId="4" fillId="0" borderId="14" xfId="0" applyNumberFormat="1" applyFont="1" applyBorder="1"/>
    <xf numFmtId="2" fontId="9" fillId="0" borderId="24" xfId="0" applyNumberFormat="1" applyFont="1" applyBorder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0" fontId="0" fillId="0" borderId="14" xfId="0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3" fontId="2" fillId="2" borderId="26" xfId="0" applyNumberFormat="1" applyFont="1" applyFill="1" applyBorder="1" applyAlignment="1">
      <alignment horizontal="center"/>
    </xf>
    <xf numFmtId="2" fontId="2" fillId="2" borderId="26" xfId="0" applyNumberFormat="1" applyFont="1" applyFill="1" applyBorder="1" applyAlignment="1">
      <alignment horizontal="center"/>
    </xf>
    <xf numFmtId="4" fontId="2" fillId="2" borderId="26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4" fontId="3" fillId="0" borderId="14" xfId="0" applyNumberFormat="1" applyFont="1" applyBorder="1"/>
    <xf numFmtId="14" fontId="11" fillId="0" borderId="0" xfId="0" applyNumberFormat="1" applyFont="1" applyBorder="1"/>
    <xf numFmtId="2" fontId="11" fillId="0" borderId="0" xfId="0" applyNumberFormat="1" applyFont="1" applyBorder="1"/>
    <xf numFmtId="2" fontId="5" fillId="0" borderId="0" xfId="0" applyNumberFormat="1" applyFont="1" applyBorder="1" applyAlignment="1">
      <alignment horizontal="right"/>
    </xf>
    <xf numFmtId="2" fontId="5" fillId="2" borderId="0" xfId="0" applyNumberFormat="1" applyFont="1" applyFill="1" applyBorder="1"/>
    <xf numFmtId="2" fontId="5" fillId="0" borderId="0" xfId="0" applyNumberFormat="1" applyFont="1" applyBorder="1"/>
    <xf numFmtId="0" fontId="11" fillId="0" borderId="0" xfId="0" applyFont="1" applyBorder="1"/>
    <xf numFmtId="0" fontId="9" fillId="0" borderId="0" xfId="0" applyFont="1"/>
    <xf numFmtId="2" fontId="9" fillId="0" borderId="3" xfId="0" applyNumberFormat="1" applyFont="1" applyBorder="1"/>
    <xf numFmtId="2" fontId="9" fillId="0" borderId="0" xfId="0" applyNumberFormat="1" applyFont="1" applyBorder="1"/>
    <xf numFmtId="14" fontId="9" fillId="0" borderId="0" xfId="0" applyNumberFormat="1" applyFont="1" applyBorder="1"/>
    <xf numFmtId="0" fontId="3" fillId="2" borderId="14" xfId="0" applyFont="1" applyFill="1" applyBorder="1"/>
    <xf numFmtId="0" fontId="5" fillId="0" borderId="14" xfId="0" applyFont="1" applyFill="1" applyBorder="1"/>
    <xf numFmtId="0" fontId="12" fillId="0" borderId="14" xfId="0" applyFont="1" applyBorder="1"/>
    <xf numFmtId="2" fontId="11" fillId="0" borderId="20" xfId="0" applyNumberFormat="1" applyFont="1" applyBorder="1"/>
    <xf numFmtId="4" fontId="11" fillId="0" borderId="0" xfId="0" applyNumberFormat="1" applyFont="1"/>
    <xf numFmtId="2" fontId="4" fillId="0" borderId="20" xfId="0" applyNumberFormat="1" applyFont="1" applyBorder="1"/>
    <xf numFmtId="2" fontId="0" fillId="0" borderId="0" xfId="0" applyNumberFormat="1" applyBorder="1"/>
    <xf numFmtId="2" fontId="4" fillId="0" borderId="0" xfId="0" applyNumberFormat="1" applyFont="1" applyBorder="1"/>
    <xf numFmtId="0" fontId="2" fillId="0" borderId="28" xfId="0" applyFont="1" applyBorder="1"/>
    <xf numFmtId="0" fontId="6" fillId="0" borderId="5" xfId="0" applyFont="1" applyBorder="1"/>
    <xf numFmtId="0" fontId="2" fillId="0" borderId="27" xfId="0" applyFont="1" applyBorder="1"/>
    <xf numFmtId="0" fontId="6" fillId="0" borderId="25" xfId="0" applyFont="1" applyBorder="1"/>
    <xf numFmtId="0" fontId="7" fillId="0" borderId="27" xfId="0" applyFont="1" applyBorder="1"/>
    <xf numFmtId="0" fontId="4" fillId="0" borderId="27" xfId="0" applyFont="1" applyBorder="1"/>
    <xf numFmtId="0" fontId="2" fillId="2" borderId="24" xfId="0" applyFont="1" applyFill="1" applyBorder="1" applyAlignment="1">
      <alignment horizontal="center"/>
    </xf>
    <xf numFmtId="0" fontId="0" fillId="0" borderId="25" xfId="0" applyBorder="1"/>
    <xf numFmtId="0" fontId="8" fillId="2" borderId="24" xfId="0" applyFont="1" applyFill="1" applyBorder="1" applyAlignment="1">
      <alignment horizontal="center"/>
    </xf>
    <xf numFmtId="14" fontId="5" fillId="0" borderId="11" xfId="0" applyNumberFormat="1" applyFont="1" applyBorder="1"/>
    <xf numFmtId="0" fontId="4" fillId="0" borderId="25" xfId="0" applyFont="1" applyBorder="1"/>
    <xf numFmtId="14" fontId="3" fillId="0" borderId="11" xfId="0" applyNumberFormat="1" applyFont="1" applyBorder="1"/>
    <xf numFmtId="0" fontId="3" fillId="0" borderId="0" xfId="0" applyFont="1" applyBorder="1"/>
    <xf numFmtId="0" fontId="2" fillId="0" borderId="14" xfId="0" applyFont="1" applyBorder="1"/>
    <xf numFmtId="0" fontId="6" fillId="0" borderId="14" xfId="0" applyFont="1" applyBorder="1"/>
    <xf numFmtId="0" fontId="7" fillId="0" borderId="14" xfId="0" applyFont="1" applyBorder="1"/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14" fontId="9" fillId="0" borderId="24" xfId="0" applyNumberFormat="1" applyFont="1" applyBorder="1"/>
    <xf numFmtId="0" fontId="9" fillId="0" borderId="24" xfId="0" applyFont="1" applyBorder="1"/>
    <xf numFmtId="0" fontId="0" fillId="0" borderId="11" xfId="0" applyBorder="1"/>
    <xf numFmtId="0" fontId="4" fillId="0" borderId="12" xfId="0" applyFont="1" applyBorder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10" xfId="0" applyFont="1" applyBorder="1"/>
    <xf numFmtId="0" fontId="2" fillId="0" borderId="29" xfId="0" applyFont="1" applyBorder="1"/>
    <xf numFmtId="0" fontId="2" fillId="0" borderId="30" xfId="0" applyFont="1" applyBorder="1"/>
    <xf numFmtId="0" fontId="0" fillId="0" borderId="30" xfId="0" applyBorder="1"/>
    <xf numFmtId="0" fontId="13" fillId="0" borderId="30" xfId="0" applyFont="1" applyBorder="1"/>
    <xf numFmtId="0" fontId="0" fillId="0" borderId="31" xfId="0" applyBorder="1"/>
    <xf numFmtId="0" fontId="13" fillId="0" borderId="0" xfId="0" applyFont="1" applyBorder="1"/>
    <xf numFmtId="0" fontId="0" fillId="0" borderId="1" xfId="0" applyBorder="1"/>
    <xf numFmtId="0" fontId="15" fillId="0" borderId="0" xfId="0" applyFont="1" applyBorder="1" applyAlignment="1">
      <alignment horizontal="center"/>
    </xf>
    <xf numFmtId="0" fontId="0" fillId="0" borderId="21" xfId="0" applyBorder="1"/>
    <xf numFmtId="0" fontId="0" fillId="0" borderId="24" xfId="0" applyBorder="1"/>
    <xf numFmtId="0" fontId="0" fillId="0" borderId="33" xfId="0" applyBorder="1"/>
    <xf numFmtId="0" fontId="0" fillId="0" borderId="12" xfId="0" applyBorder="1"/>
    <xf numFmtId="0" fontId="0" fillId="0" borderId="3" xfId="0" applyBorder="1"/>
    <xf numFmtId="0" fontId="0" fillId="0" borderId="10" xfId="0" applyBorder="1"/>
    <xf numFmtId="0" fontId="0" fillId="0" borderId="34" xfId="0" applyBorder="1"/>
    <xf numFmtId="14" fontId="0" fillId="0" borderId="16" xfId="0" applyNumberFormat="1" applyBorder="1"/>
    <xf numFmtId="2" fontId="0" fillId="0" borderId="14" xfId="0" applyNumberFormat="1" applyBorder="1"/>
    <xf numFmtId="2" fontId="0" fillId="0" borderId="14" xfId="0" applyNumberFormat="1" applyFill="1" applyBorder="1"/>
    <xf numFmtId="2" fontId="0" fillId="0" borderId="15" xfId="0" applyNumberFormat="1" applyBorder="1"/>
    <xf numFmtId="14" fontId="0" fillId="0" borderId="16" xfId="0" applyNumberFormat="1" applyFont="1" applyBorder="1"/>
    <xf numFmtId="0" fontId="0" fillId="0" borderId="14" xfId="0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14" fontId="0" fillId="0" borderId="17" xfId="0" applyNumberFormat="1" applyFont="1" applyBorder="1"/>
    <xf numFmtId="0" fontId="0" fillId="0" borderId="18" xfId="0" applyFont="1" applyBorder="1"/>
    <xf numFmtId="2" fontId="0" fillId="0" borderId="18" xfId="0" applyNumberFormat="1" applyFont="1" applyBorder="1"/>
    <xf numFmtId="2" fontId="0" fillId="0" borderId="19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0" fontId="4" fillId="0" borderId="5" xfId="0" applyFont="1" applyBorder="1"/>
    <xf numFmtId="0" fontId="2" fillId="0" borderId="0" xfId="0" applyFont="1"/>
    <xf numFmtId="0" fontId="5" fillId="0" borderId="0" xfId="0" applyFont="1"/>
    <xf numFmtId="0" fontId="7" fillId="0" borderId="0" xfId="0" applyFont="1"/>
    <xf numFmtId="43" fontId="4" fillId="0" borderId="0" xfId="0" applyNumberFormat="1" applyFont="1"/>
    <xf numFmtId="0" fontId="4" fillId="0" borderId="28" xfId="0" applyFont="1" applyBorder="1"/>
    <xf numFmtId="0" fontId="4" fillId="0" borderId="24" xfId="0" applyFont="1" applyBorder="1"/>
    <xf numFmtId="0" fontId="4" fillId="0" borderId="11" xfId="0" applyFont="1" applyBorder="1"/>
    <xf numFmtId="0" fontId="4" fillId="0" borderId="10" xfId="0" applyFont="1" applyBorder="1"/>
    <xf numFmtId="14" fontId="11" fillId="0" borderId="27" xfId="0" applyNumberFormat="1" applyFont="1" applyBorder="1"/>
    <xf numFmtId="14" fontId="4" fillId="0" borderId="0" xfId="0" applyNumberFormat="1" applyFont="1"/>
    <xf numFmtId="43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0" fillId="0" borderId="20" xfId="0" applyNumberForma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4"/>
  <sheetViews>
    <sheetView topLeftCell="A7" workbookViewId="0">
      <selection activeCell="I22" sqref="I22"/>
    </sheetView>
  </sheetViews>
  <sheetFormatPr baseColWidth="10" defaultRowHeight="14.5" x14ac:dyDescent="0.35"/>
  <cols>
    <col min="2" max="2" width="36.1796875" customWidth="1"/>
    <col min="12" max="12" width="10.1796875" customWidth="1"/>
    <col min="13" max="13" width="9.08984375" customWidth="1"/>
    <col min="14" max="14" width="9.17968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  <c r="L1" s="1"/>
      <c r="M1" s="1"/>
      <c r="N1" s="1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528</v>
      </c>
      <c r="I2" s="4"/>
      <c r="J2" s="4"/>
      <c r="K2" s="111"/>
      <c r="L2" s="1"/>
      <c r="M2" s="1"/>
      <c r="N2" s="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  <c r="L3" s="1"/>
      <c r="M3" s="1"/>
      <c r="N3" s="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  <c r="L4" s="1"/>
      <c r="M4" s="1"/>
      <c r="N4" s="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  <c r="L5" s="1"/>
      <c r="M5" s="1"/>
      <c r="N5" s="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  <c r="L6" s="1"/>
      <c r="M6" s="1"/>
      <c r="N6" s="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  <c r="L7" s="1"/>
      <c r="M7" s="1"/>
      <c r="N7" s="1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43832</v>
      </c>
      <c r="B9" s="24" t="s">
        <v>22</v>
      </c>
      <c r="C9" s="4">
        <v>16480.68</v>
      </c>
      <c r="D9" s="26"/>
      <c r="E9" s="25">
        <v>16480.68</v>
      </c>
      <c r="F9" s="26">
        <f>+J9/E9</f>
        <v>24.4093089605526</v>
      </c>
      <c r="G9" s="26"/>
      <c r="H9" s="28"/>
      <c r="I9" s="29"/>
      <c r="J9" s="29">
        <v>402282.01</v>
      </c>
      <c r="K9" s="118"/>
      <c r="L9" s="1"/>
      <c r="M9" s="1"/>
      <c r="N9" s="1"/>
    </row>
    <row r="10" spans="1:14" s="37" customFormat="1" x14ac:dyDescent="0.35">
      <c r="A10" s="119">
        <v>43843</v>
      </c>
      <c r="B10" s="100" t="s">
        <v>271</v>
      </c>
      <c r="C10" s="33"/>
      <c r="D10" s="33">
        <f>14*5+4*4.43+4*3.65+4*2.85+4.5</f>
        <v>118.22</v>
      </c>
      <c r="E10" s="70">
        <f>+E9-D10</f>
        <v>16362.460000000001</v>
      </c>
      <c r="F10" s="71"/>
      <c r="G10" s="33">
        <f>+J9/E9</f>
        <v>24.4093089605526</v>
      </c>
      <c r="H10" s="71"/>
      <c r="I10" s="33">
        <f>+D10*G10</f>
        <v>2885.6685053165284</v>
      </c>
      <c r="J10" s="33">
        <f>+J9-I10</f>
        <v>399396.34149468347</v>
      </c>
      <c r="K10" s="32"/>
      <c r="L10" s="35">
        <f>SUM(I10)</f>
        <v>2885.6685053165284</v>
      </c>
      <c r="M10" s="35"/>
      <c r="N10" s="36">
        <v>43845</v>
      </c>
    </row>
    <row r="11" spans="1:14" s="37" customFormat="1" x14ac:dyDescent="0.35">
      <c r="A11" s="119">
        <v>43854</v>
      </c>
      <c r="B11" s="100" t="s">
        <v>90</v>
      </c>
      <c r="C11" s="33"/>
      <c r="D11" s="33">
        <v>5.75</v>
      </c>
      <c r="E11" s="70">
        <f t="shared" ref="E11:E12" si="0">+E10-D11</f>
        <v>16356.710000000001</v>
      </c>
      <c r="F11" s="71"/>
      <c r="G11" s="33">
        <f t="shared" ref="G11:G12" si="1">+J10/E10</f>
        <v>24.409308960552597</v>
      </c>
      <c r="H11" s="71"/>
      <c r="I11" s="33">
        <f t="shared" ref="I11:I12" si="2">+D11*G11</f>
        <v>140.35352652317744</v>
      </c>
      <c r="J11" s="33">
        <f t="shared" ref="J11:J12" si="3">+J10-I11</f>
        <v>399255.98796816031</v>
      </c>
      <c r="K11" s="32"/>
      <c r="L11" s="35">
        <f>SUM(I11)</f>
        <v>140.35352652317744</v>
      </c>
      <c r="M11" s="35">
        <f>SUM(L10:L11)</f>
        <v>3026.022031839706</v>
      </c>
      <c r="N11" s="36">
        <v>43861</v>
      </c>
    </row>
    <row r="12" spans="1:14" s="64" customFormat="1" x14ac:dyDescent="0.35">
      <c r="A12" s="117">
        <v>43864</v>
      </c>
      <c r="B12" s="60" t="s">
        <v>111</v>
      </c>
      <c r="C12" s="26"/>
      <c r="D12" s="26">
        <f>7*3</f>
        <v>21</v>
      </c>
      <c r="E12" s="41">
        <f t="shared" si="0"/>
        <v>16335.710000000001</v>
      </c>
      <c r="F12" s="42"/>
      <c r="G12" s="26">
        <f t="shared" si="1"/>
        <v>24.409308960552597</v>
      </c>
      <c r="H12" s="42"/>
      <c r="I12" s="26">
        <f t="shared" si="2"/>
        <v>512.59548817160453</v>
      </c>
      <c r="J12" s="26">
        <f t="shared" si="3"/>
        <v>398743.39247998869</v>
      </c>
      <c r="K12" s="61"/>
      <c r="L12" s="79"/>
      <c r="M12" s="79"/>
      <c r="N12" s="80"/>
    </row>
    <row r="13" spans="1:14" s="37" customFormat="1" x14ac:dyDescent="0.35">
      <c r="A13" s="119">
        <v>43874</v>
      </c>
      <c r="B13" s="100" t="s">
        <v>274</v>
      </c>
      <c r="C13" s="33"/>
      <c r="D13" s="33">
        <v>3</v>
      </c>
      <c r="E13" s="70">
        <f t="shared" ref="E13:E20" si="4">+E12-D13</f>
        <v>16332.710000000001</v>
      </c>
      <c r="F13" s="71"/>
      <c r="G13" s="33">
        <f t="shared" ref="G13:G20" si="5">+J12/E12</f>
        <v>24.409308960552597</v>
      </c>
      <c r="H13" s="71"/>
      <c r="I13" s="33">
        <f t="shared" ref="I13:I20" si="6">+D13*G13</f>
        <v>73.227926881657794</v>
      </c>
      <c r="J13" s="33">
        <f t="shared" ref="J13:J20" si="7">+J12-I13</f>
        <v>398670.16455310705</v>
      </c>
      <c r="K13" s="32"/>
      <c r="L13" s="35">
        <f>SUM(I12:I13)</f>
        <v>585.82341505326235</v>
      </c>
      <c r="M13" s="35">
        <f>SUM(L13)</f>
        <v>585.82341505326235</v>
      </c>
      <c r="N13" s="36">
        <v>43876</v>
      </c>
    </row>
    <row r="14" spans="1:14" s="64" customFormat="1" x14ac:dyDescent="0.35">
      <c r="A14" s="117">
        <v>43536</v>
      </c>
      <c r="B14" s="60" t="s">
        <v>189</v>
      </c>
      <c r="C14" s="26"/>
      <c r="D14" s="26">
        <f>6.1+6.05+6+5.9+5.8+5.75+5.65+5.6+5.5+5.4</f>
        <v>57.749999999999993</v>
      </c>
      <c r="E14" s="41">
        <f t="shared" si="4"/>
        <v>16274.960000000001</v>
      </c>
      <c r="F14" s="42"/>
      <c r="G14" s="26">
        <f t="shared" si="5"/>
        <v>24.409308960552597</v>
      </c>
      <c r="H14" s="42"/>
      <c r="I14" s="26">
        <f t="shared" si="6"/>
        <v>1409.6375924719123</v>
      </c>
      <c r="J14" s="26">
        <f t="shared" si="7"/>
        <v>397260.52696063515</v>
      </c>
      <c r="K14" s="61"/>
      <c r="L14" s="79"/>
      <c r="M14" s="79"/>
      <c r="N14" s="80"/>
    </row>
    <row r="15" spans="1:14" s="37" customFormat="1" x14ac:dyDescent="0.35">
      <c r="A15" s="73">
        <v>43902</v>
      </c>
      <c r="B15" s="100" t="s">
        <v>190</v>
      </c>
      <c r="C15" s="39"/>
      <c r="D15" s="40">
        <f>5.35+5.25+5.2+5.1+5.05</f>
        <v>25.95</v>
      </c>
      <c r="E15" s="70">
        <f t="shared" si="4"/>
        <v>16249.01</v>
      </c>
      <c r="F15" s="71"/>
      <c r="G15" s="33">
        <f t="shared" si="5"/>
        <v>24.4093089605526</v>
      </c>
      <c r="H15" s="71"/>
      <c r="I15" s="33">
        <f t="shared" si="6"/>
        <v>633.42156752633991</v>
      </c>
      <c r="J15" s="33">
        <f t="shared" si="7"/>
        <v>396627.1053931088</v>
      </c>
      <c r="K15" s="32"/>
      <c r="L15" s="35">
        <f>SUM(I14:I15)</f>
        <v>2043.0591599982522</v>
      </c>
      <c r="M15" s="35">
        <f>SUM(L15)</f>
        <v>2043.0591599982522</v>
      </c>
      <c r="N15" s="36">
        <v>43905</v>
      </c>
    </row>
    <row r="16" spans="1:14" s="37" customFormat="1" x14ac:dyDescent="0.35">
      <c r="A16" s="73">
        <v>44008</v>
      </c>
      <c r="B16" s="100" t="s">
        <v>257</v>
      </c>
      <c r="C16" s="39"/>
      <c r="D16" s="40">
        <f>6*2.2</f>
        <v>13.200000000000001</v>
      </c>
      <c r="E16" s="70">
        <f t="shared" ref="E16" si="8">+E15-D16</f>
        <v>16235.81</v>
      </c>
      <c r="F16" s="71"/>
      <c r="G16" s="33">
        <f t="shared" ref="G16" si="9">+J15/E15</f>
        <v>24.4093089605526</v>
      </c>
      <c r="H16" s="71"/>
      <c r="I16" s="33">
        <f t="shared" ref="I16" si="10">+D16*G16</f>
        <v>322.20287827929434</v>
      </c>
      <c r="J16" s="33">
        <f t="shared" ref="J16" si="11">+J15-I16</f>
        <v>396304.90251482947</v>
      </c>
      <c r="K16" s="32"/>
      <c r="L16" s="35">
        <f>SUM(I16)</f>
        <v>322.20287827929434</v>
      </c>
      <c r="M16" s="35">
        <f>SUM(L16)</f>
        <v>322.20287827929434</v>
      </c>
      <c r="N16" s="36">
        <v>44012</v>
      </c>
    </row>
    <row r="17" spans="1:14" s="64" customFormat="1" x14ac:dyDescent="0.35">
      <c r="A17" s="69">
        <v>44055</v>
      </c>
      <c r="B17" s="60" t="s">
        <v>292</v>
      </c>
      <c r="C17" s="62"/>
      <c r="D17" s="67">
        <f>11*1.7</f>
        <v>18.7</v>
      </c>
      <c r="E17" s="41">
        <f t="shared" si="4"/>
        <v>16217.109999999999</v>
      </c>
      <c r="F17" s="42"/>
      <c r="G17" s="26">
        <f t="shared" si="5"/>
        <v>24.4093089605526</v>
      </c>
      <c r="H17" s="42"/>
      <c r="I17" s="26">
        <f t="shared" si="6"/>
        <v>456.45407756233362</v>
      </c>
      <c r="J17" s="26">
        <f t="shared" si="7"/>
        <v>395848.44843726716</v>
      </c>
      <c r="K17" s="61"/>
      <c r="L17" s="79"/>
      <c r="M17" s="81"/>
      <c r="N17" s="80"/>
    </row>
    <row r="18" spans="1:14" s="37" customFormat="1" x14ac:dyDescent="0.35">
      <c r="A18" s="73">
        <v>44055</v>
      </c>
      <c r="B18" s="100" t="s">
        <v>293</v>
      </c>
      <c r="C18" s="39"/>
      <c r="D18" s="40">
        <v>6</v>
      </c>
      <c r="E18" s="70">
        <f t="shared" si="4"/>
        <v>16211.109999999999</v>
      </c>
      <c r="F18" s="71"/>
      <c r="G18" s="33">
        <f t="shared" si="5"/>
        <v>24.4093089605526</v>
      </c>
      <c r="H18" s="71"/>
      <c r="I18" s="33">
        <f t="shared" si="6"/>
        <v>146.45585376331559</v>
      </c>
      <c r="J18" s="33">
        <f t="shared" si="7"/>
        <v>395701.99258350383</v>
      </c>
      <c r="K18" s="32"/>
      <c r="L18" s="35">
        <f>SUM(I17:I18)</f>
        <v>602.90993132564927</v>
      </c>
      <c r="M18" s="35"/>
      <c r="N18" s="36">
        <v>44058</v>
      </c>
    </row>
    <row r="19" spans="1:14" s="37" customFormat="1" x14ac:dyDescent="0.35">
      <c r="A19" s="119">
        <v>44074</v>
      </c>
      <c r="B19" s="100" t="s">
        <v>313</v>
      </c>
      <c r="C19" s="72"/>
      <c r="D19" s="72">
        <f>11*6.55+12*2.8+5*5.75+6*1.5+2</f>
        <v>145.39999999999998</v>
      </c>
      <c r="E19" s="70">
        <f t="shared" si="4"/>
        <v>16065.71</v>
      </c>
      <c r="F19" s="71"/>
      <c r="G19" s="33">
        <f t="shared" si="5"/>
        <v>24.4093089605526</v>
      </c>
      <c r="H19" s="71"/>
      <c r="I19" s="33">
        <f t="shared" si="6"/>
        <v>3549.1135228643475</v>
      </c>
      <c r="J19" s="33">
        <f t="shared" si="7"/>
        <v>392152.87906063948</v>
      </c>
      <c r="K19" s="32"/>
      <c r="L19" s="35">
        <f>SUM(I19)</f>
        <v>3549.1135228643475</v>
      </c>
      <c r="M19" s="35">
        <f>SUM(L18:L19)</f>
        <v>4152.0234541899972</v>
      </c>
      <c r="N19" s="36">
        <v>44074</v>
      </c>
    </row>
    <row r="20" spans="1:14" s="37" customFormat="1" x14ac:dyDescent="0.35">
      <c r="A20" s="117">
        <v>44158</v>
      </c>
      <c r="B20" s="60" t="s">
        <v>458</v>
      </c>
      <c r="C20" s="33"/>
      <c r="D20" s="26">
        <v>0</v>
      </c>
      <c r="E20" s="41">
        <f t="shared" si="4"/>
        <v>16065.71</v>
      </c>
      <c r="F20" s="42"/>
      <c r="G20" s="26">
        <f t="shared" si="5"/>
        <v>24.4093089605526</v>
      </c>
      <c r="H20" s="42"/>
      <c r="I20" s="26">
        <f t="shared" si="6"/>
        <v>0</v>
      </c>
      <c r="J20" s="26">
        <f t="shared" si="7"/>
        <v>392152.87906063948</v>
      </c>
      <c r="K20" s="32"/>
      <c r="L20" s="35"/>
      <c r="M20" s="35"/>
      <c r="N20" s="36"/>
    </row>
    <row r="21" spans="1:14" s="37" customFormat="1" x14ac:dyDescent="0.35">
      <c r="A21" s="117">
        <v>44158</v>
      </c>
      <c r="B21" s="60" t="s">
        <v>459</v>
      </c>
      <c r="C21" s="26"/>
      <c r="D21" s="26">
        <f>120.15+8</f>
        <v>128.15</v>
      </c>
      <c r="E21" s="41">
        <f>+E20-D21</f>
        <v>15937.56</v>
      </c>
      <c r="F21" s="42"/>
      <c r="G21" s="26">
        <f>+J20/E20</f>
        <v>24.4093089605526</v>
      </c>
      <c r="H21" s="42"/>
      <c r="I21" s="26">
        <f>+D21*G21</f>
        <v>3128.052943294816</v>
      </c>
      <c r="J21" s="26">
        <f>+J20-I21</f>
        <v>389024.82611734467</v>
      </c>
      <c r="K21" s="61"/>
      <c r="L21" s="35"/>
      <c r="M21" s="35"/>
      <c r="N21" s="36"/>
    </row>
    <row r="22" spans="1:14" s="37" customFormat="1" x14ac:dyDescent="0.35">
      <c r="A22" s="117">
        <v>44159</v>
      </c>
      <c r="B22" s="60" t="s">
        <v>462</v>
      </c>
      <c r="C22" s="26"/>
      <c r="D22" s="26">
        <v>0</v>
      </c>
      <c r="E22" s="41">
        <f>+E21-D22</f>
        <v>15937.56</v>
      </c>
      <c r="F22" s="42"/>
      <c r="G22" s="26">
        <f t="shared" ref="G22:G27" si="12">+J12/E12</f>
        <v>24.409308960552597</v>
      </c>
      <c r="H22" s="42"/>
      <c r="I22" s="26">
        <f t="shared" ref="I22:I27" si="13">+D22*G22</f>
        <v>0</v>
      </c>
      <c r="J22" s="26">
        <f>+J21-I22</f>
        <v>389024.82611734467</v>
      </c>
      <c r="K22" s="32"/>
      <c r="L22" s="35"/>
      <c r="M22" s="35"/>
      <c r="N22" s="36"/>
    </row>
    <row r="23" spans="1:14" s="37" customFormat="1" x14ac:dyDescent="0.35">
      <c r="A23" s="117">
        <v>44159</v>
      </c>
      <c r="B23" s="60" t="s">
        <v>461</v>
      </c>
      <c r="C23" s="26"/>
      <c r="D23" s="26">
        <f>125.55+8</f>
        <v>133.55000000000001</v>
      </c>
      <c r="E23" s="41">
        <f t="shared" ref="E23:E27" si="14">+E22-D23</f>
        <v>15804.01</v>
      </c>
      <c r="F23" s="42"/>
      <c r="G23" s="26">
        <f t="shared" si="12"/>
        <v>24.409308960552597</v>
      </c>
      <c r="H23" s="42"/>
      <c r="I23" s="26">
        <f t="shared" si="13"/>
        <v>3259.8632116817994</v>
      </c>
      <c r="J23" s="26">
        <f t="shared" ref="J23:J27" si="15">+J22-I23</f>
        <v>385764.96290566289</v>
      </c>
      <c r="K23" s="32"/>
      <c r="L23" s="35"/>
      <c r="M23" s="35"/>
      <c r="N23" s="36"/>
    </row>
    <row r="24" spans="1:14" s="37" customFormat="1" x14ac:dyDescent="0.35">
      <c r="A24" s="117">
        <v>44160</v>
      </c>
      <c r="B24" s="60" t="s">
        <v>465</v>
      </c>
      <c r="C24" s="26"/>
      <c r="D24" s="26">
        <f>3.14+3.06+3</f>
        <v>9.1999999999999993</v>
      </c>
      <c r="E24" s="41">
        <f t="shared" si="14"/>
        <v>15794.81</v>
      </c>
      <c r="F24" s="42"/>
      <c r="G24" s="26">
        <f t="shared" si="12"/>
        <v>24.4093089605526</v>
      </c>
      <c r="H24" s="42"/>
      <c r="I24" s="26">
        <f t="shared" si="13"/>
        <v>224.56564243708391</v>
      </c>
      <c r="J24" s="26">
        <f t="shared" si="15"/>
        <v>385540.39726322581</v>
      </c>
      <c r="K24" s="32"/>
      <c r="L24" s="35"/>
      <c r="M24" s="35"/>
      <c r="N24" s="36"/>
    </row>
    <row r="25" spans="1:14" s="37" customFormat="1" x14ac:dyDescent="0.35">
      <c r="A25" s="119">
        <v>44160</v>
      </c>
      <c r="B25" s="100" t="s">
        <v>466</v>
      </c>
      <c r="C25" s="33"/>
      <c r="D25" s="33">
        <v>177.65</v>
      </c>
      <c r="E25" s="70">
        <f t="shared" si="14"/>
        <v>15617.16</v>
      </c>
      <c r="F25" s="71"/>
      <c r="G25" s="33">
        <f t="shared" si="12"/>
        <v>24.4093089605526</v>
      </c>
      <c r="H25" s="71"/>
      <c r="I25" s="33">
        <f t="shared" si="13"/>
        <v>4336.3137368421694</v>
      </c>
      <c r="J25" s="33">
        <f t="shared" si="15"/>
        <v>381204.08352638362</v>
      </c>
      <c r="K25" s="32"/>
      <c r="L25" s="35">
        <f>SUM(I20:I25)</f>
        <v>10948.795534255869</v>
      </c>
      <c r="M25" s="35">
        <f>SUM(L25)</f>
        <v>10948.795534255869</v>
      </c>
      <c r="N25" s="36">
        <v>44165</v>
      </c>
    </row>
    <row r="26" spans="1:14" s="37" customFormat="1" x14ac:dyDescent="0.35">
      <c r="A26" s="119">
        <v>44176</v>
      </c>
      <c r="B26" s="100" t="s">
        <v>504</v>
      </c>
      <c r="C26" s="33"/>
      <c r="D26" s="33">
        <f>20*3.5+4</f>
        <v>74</v>
      </c>
      <c r="E26" s="70">
        <f t="shared" si="14"/>
        <v>15543.16</v>
      </c>
      <c r="F26" s="71"/>
      <c r="G26" s="33">
        <f t="shared" si="12"/>
        <v>24.4093089605526</v>
      </c>
      <c r="H26" s="71"/>
      <c r="I26" s="33">
        <f t="shared" si="13"/>
        <v>1806.2888630808925</v>
      </c>
      <c r="J26" s="33">
        <f t="shared" si="15"/>
        <v>379397.79466330272</v>
      </c>
      <c r="K26" s="32"/>
      <c r="L26" s="35">
        <f>SUM(I26)</f>
        <v>1806.2888630808925</v>
      </c>
      <c r="M26" s="35"/>
      <c r="N26" s="36">
        <v>44180</v>
      </c>
    </row>
    <row r="27" spans="1:14" s="37" customFormat="1" x14ac:dyDescent="0.35">
      <c r="A27" s="119">
        <v>44194</v>
      </c>
      <c r="B27" s="100" t="s">
        <v>522</v>
      </c>
      <c r="C27" s="33"/>
      <c r="D27" s="33">
        <f>6*5.2+6*4.5+4</f>
        <v>62.2</v>
      </c>
      <c r="E27" s="70">
        <f t="shared" si="14"/>
        <v>15480.96</v>
      </c>
      <c r="F27" s="71"/>
      <c r="G27" s="33">
        <f t="shared" si="12"/>
        <v>24.4093089605526</v>
      </c>
      <c r="H27" s="71"/>
      <c r="I27" s="33">
        <f t="shared" si="13"/>
        <v>1518.2590173463718</v>
      </c>
      <c r="J27" s="33">
        <f t="shared" si="15"/>
        <v>377879.53564595635</v>
      </c>
      <c r="K27" s="32"/>
      <c r="L27" s="35">
        <f>SUM(I27)</f>
        <v>1518.2590173463718</v>
      </c>
      <c r="M27" s="35">
        <f>SUM(L26:L27)</f>
        <v>3324.5478804272643</v>
      </c>
      <c r="N27" s="36">
        <v>44196</v>
      </c>
    </row>
    <row r="28" spans="1:14" s="64" customFormat="1" ht="15" thickBot="1" x14ac:dyDescent="0.4">
      <c r="A28" s="102"/>
      <c r="B28" s="62" t="s">
        <v>34</v>
      </c>
      <c r="C28" s="67">
        <f>SUM(C9:C27)</f>
        <v>16480.68</v>
      </c>
      <c r="D28" s="67">
        <f>SUM(D9:D27)</f>
        <v>999.72000000000014</v>
      </c>
      <c r="E28" s="67"/>
      <c r="F28" s="62"/>
      <c r="G28" s="62"/>
      <c r="H28" s="67">
        <f t="shared" ref="H28:I28" si="16">SUM(H9:H27)</f>
        <v>0</v>
      </c>
      <c r="I28" s="67">
        <f t="shared" si="16"/>
        <v>24402.474354043647</v>
      </c>
      <c r="J28" s="62"/>
      <c r="K28" s="62"/>
      <c r="L28" s="79"/>
      <c r="M28" s="103">
        <f>SUM(M10:M27)</f>
        <v>24402.474354043647</v>
      </c>
      <c r="N28" s="79"/>
    </row>
    <row r="29" spans="1:14" s="64" customFormat="1" ht="15" thickTop="1" x14ac:dyDescent="0.35"/>
    <row r="30" spans="1:14" s="64" customFormat="1" x14ac:dyDescent="0.35">
      <c r="A30" s="90" t="s">
        <v>23</v>
      </c>
      <c r="B30" s="5"/>
      <c r="C30" s="95"/>
      <c r="D30" s="95"/>
      <c r="E30" s="95"/>
      <c r="F30" s="95"/>
      <c r="G30" s="81"/>
      <c r="H30" s="81"/>
      <c r="I30" s="81"/>
      <c r="J30" s="81"/>
    </row>
    <row r="31" spans="1:14" s="64" customFormat="1" x14ac:dyDescent="0.35">
      <c r="A31" s="90" t="s">
        <v>36</v>
      </c>
      <c r="B31" s="5"/>
      <c r="C31" s="95"/>
      <c r="D31" s="95"/>
      <c r="E31" s="95"/>
      <c r="F31" s="95"/>
      <c r="G31" s="81"/>
      <c r="H31" s="81"/>
      <c r="I31" s="81"/>
      <c r="J31" s="104">
        <f>+E27*F9</f>
        <v>377879.53564595635</v>
      </c>
    </row>
    <row r="32" spans="1:14" x14ac:dyDescent="0.35">
      <c r="A32" s="50" t="s">
        <v>24</v>
      </c>
      <c r="B32" s="5"/>
      <c r="C32" s="4"/>
      <c r="D32" s="4"/>
      <c r="E32" s="4"/>
      <c r="F32" s="4"/>
      <c r="G32" s="1"/>
      <c r="H32" s="1"/>
      <c r="I32" s="1"/>
      <c r="J32" s="52">
        <f>+J27</f>
        <v>377879.53564595635</v>
      </c>
    </row>
    <row r="33" spans="1:10" ht="15" thickBot="1" x14ac:dyDescent="0.4">
      <c r="A33" s="50"/>
      <c r="B33" s="5" t="s">
        <v>25</v>
      </c>
      <c r="C33" s="4"/>
      <c r="D33" s="4"/>
      <c r="E33" s="4"/>
      <c r="F33" s="4"/>
      <c r="G33" s="1"/>
      <c r="H33" s="1"/>
      <c r="I33" s="1"/>
      <c r="J33" s="53">
        <f>+J31-J32</f>
        <v>0</v>
      </c>
    </row>
    <row r="34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N55"/>
  <sheetViews>
    <sheetView topLeftCell="A28" workbookViewId="0">
      <selection sqref="A1:N54"/>
    </sheetView>
  </sheetViews>
  <sheetFormatPr baseColWidth="10" defaultRowHeight="14.5" x14ac:dyDescent="0.35"/>
  <cols>
    <col min="2" max="2" width="35.90625" customWidth="1"/>
    <col min="12" max="12" width="10.453125" customWidth="1"/>
    <col min="13" max="13" width="10.6328125" customWidth="1"/>
    <col min="14" max="14" width="11.3632812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32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</row>
    <row r="9" spans="1:14" x14ac:dyDescent="0.35">
      <c r="A9" s="117">
        <v>43832</v>
      </c>
      <c r="B9" s="24" t="s">
        <v>22</v>
      </c>
      <c r="C9" s="25">
        <f>+E9</f>
        <v>259802</v>
      </c>
      <c r="D9" s="26"/>
      <c r="E9" s="27">
        <v>259802</v>
      </c>
      <c r="F9" s="26">
        <f>+J9/E9</f>
        <v>0.1745733674105665</v>
      </c>
      <c r="G9" s="26"/>
      <c r="H9" s="28">
        <f>+J9</f>
        <v>45354.51</v>
      </c>
      <c r="I9" s="9"/>
      <c r="J9" s="29">
        <v>45354.51</v>
      </c>
      <c r="K9" s="118"/>
    </row>
    <row r="10" spans="1:14" s="64" customFormat="1" x14ac:dyDescent="0.35">
      <c r="A10" s="117">
        <v>43855</v>
      </c>
      <c r="B10" s="62" t="s">
        <v>94</v>
      </c>
      <c r="C10" s="26"/>
      <c r="D10" s="26">
        <v>200</v>
      </c>
      <c r="E10" s="41">
        <f>+E9-D10</f>
        <v>259602</v>
      </c>
      <c r="F10" s="42"/>
      <c r="G10" s="26">
        <f>+J9/E9</f>
        <v>0.1745733674105665</v>
      </c>
      <c r="H10" s="42"/>
      <c r="I10" s="26">
        <f>+D10*G10</f>
        <v>34.914673482113301</v>
      </c>
      <c r="J10" s="26">
        <f>+J9-I10</f>
        <v>45319.59532651789</v>
      </c>
      <c r="K10" s="61"/>
    </row>
    <row r="11" spans="1:14" s="37" customFormat="1" x14ac:dyDescent="0.35">
      <c r="A11" s="119">
        <v>43861</v>
      </c>
      <c r="B11" s="39" t="s">
        <v>107</v>
      </c>
      <c r="C11" s="33"/>
      <c r="D11" s="33">
        <v>300</v>
      </c>
      <c r="E11" s="70">
        <f t="shared" ref="E11:E39" si="0">+E10-D11</f>
        <v>259302</v>
      </c>
      <c r="F11" s="71"/>
      <c r="G11" s="33">
        <f t="shared" ref="G11:G39" si="1">+J10/E10</f>
        <v>0.17457336741056653</v>
      </c>
      <c r="H11" s="71"/>
      <c r="I11" s="33">
        <f t="shared" ref="I11:I39" si="2">+D11*G11</f>
        <v>52.372010223169958</v>
      </c>
      <c r="J11" s="33">
        <f t="shared" ref="J11:J39" si="3">+J10-I11</f>
        <v>45267.223316294723</v>
      </c>
      <c r="K11" s="32"/>
      <c r="L11" s="35">
        <f>SUM(I10:I11)</f>
        <v>87.286683705283252</v>
      </c>
      <c r="M11" s="35">
        <f>SUM(L11)</f>
        <v>87.286683705283252</v>
      </c>
      <c r="N11" s="36">
        <v>43861</v>
      </c>
    </row>
    <row r="12" spans="1:14" s="64" customFormat="1" x14ac:dyDescent="0.35">
      <c r="A12" s="117">
        <v>43864</v>
      </c>
      <c r="B12" s="62" t="s">
        <v>113</v>
      </c>
      <c r="C12" s="26"/>
      <c r="D12" s="26">
        <v>50</v>
      </c>
      <c r="E12" s="41">
        <f t="shared" si="0"/>
        <v>259252</v>
      </c>
      <c r="F12" s="42"/>
      <c r="G12" s="26">
        <f t="shared" si="1"/>
        <v>0.17457336741056653</v>
      </c>
      <c r="H12" s="42"/>
      <c r="I12" s="26">
        <f t="shared" si="2"/>
        <v>8.728668370528327</v>
      </c>
      <c r="J12" s="26">
        <f t="shared" si="3"/>
        <v>45258.494647924192</v>
      </c>
      <c r="K12" s="61"/>
    </row>
    <row r="13" spans="1:14" s="64" customFormat="1" x14ac:dyDescent="0.35">
      <c r="A13" s="117">
        <v>43868</v>
      </c>
      <c r="B13" s="62" t="s">
        <v>121</v>
      </c>
      <c r="C13" s="26"/>
      <c r="D13" s="26">
        <v>100</v>
      </c>
      <c r="E13" s="41">
        <f t="shared" si="0"/>
        <v>259152</v>
      </c>
      <c r="F13" s="42"/>
      <c r="G13" s="26">
        <f t="shared" si="1"/>
        <v>0.17457336741056653</v>
      </c>
      <c r="H13" s="42"/>
      <c r="I13" s="26">
        <f t="shared" si="2"/>
        <v>17.457336741056654</v>
      </c>
      <c r="J13" s="26">
        <f t="shared" si="3"/>
        <v>45241.037311183136</v>
      </c>
      <c r="K13" s="61"/>
      <c r="L13" s="79"/>
      <c r="M13" s="81"/>
      <c r="N13" s="80"/>
    </row>
    <row r="14" spans="1:14" s="37" customFormat="1" x14ac:dyDescent="0.35">
      <c r="A14" s="73">
        <v>43868</v>
      </c>
      <c r="B14" s="39" t="s">
        <v>122</v>
      </c>
      <c r="C14" s="39"/>
      <c r="D14" s="40">
        <v>150</v>
      </c>
      <c r="E14" s="70">
        <f t="shared" si="0"/>
        <v>259002</v>
      </c>
      <c r="F14" s="71"/>
      <c r="G14" s="33">
        <f t="shared" si="1"/>
        <v>0.17457336741056653</v>
      </c>
      <c r="H14" s="71"/>
      <c r="I14" s="33">
        <f t="shared" si="2"/>
        <v>26.186005111584979</v>
      </c>
      <c r="J14" s="33">
        <f t="shared" si="3"/>
        <v>45214.851306071549</v>
      </c>
      <c r="K14" s="32"/>
      <c r="L14" s="35">
        <f>SUM(I12:I14)</f>
        <v>52.372010223169966</v>
      </c>
      <c r="M14" s="96"/>
      <c r="N14" s="36">
        <v>43876</v>
      </c>
    </row>
    <row r="15" spans="1:14" s="64" customFormat="1" x14ac:dyDescent="0.35">
      <c r="A15" s="69">
        <v>43881</v>
      </c>
      <c r="B15" s="62" t="s">
        <v>140</v>
      </c>
      <c r="C15" s="62"/>
      <c r="D15" s="67">
        <v>150</v>
      </c>
      <c r="E15" s="41">
        <f t="shared" si="0"/>
        <v>258852</v>
      </c>
      <c r="F15" s="42"/>
      <c r="G15" s="26">
        <f t="shared" si="1"/>
        <v>0.1745733674105665</v>
      </c>
      <c r="H15" s="42"/>
      <c r="I15" s="26">
        <f t="shared" si="2"/>
        <v>26.186005111584976</v>
      </c>
      <c r="J15" s="26">
        <f t="shared" si="3"/>
        <v>45188.665300959961</v>
      </c>
      <c r="K15" s="61"/>
      <c r="L15" s="81"/>
      <c r="M15" s="81"/>
      <c r="N15" s="81"/>
    </row>
    <row r="16" spans="1:14" s="37" customFormat="1" x14ac:dyDescent="0.35">
      <c r="A16" s="73">
        <v>43889</v>
      </c>
      <c r="B16" s="39" t="s">
        <v>156</v>
      </c>
      <c r="C16" s="39"/>
      <c r="D16" s="40">
        <v>200</v>
      </c>
      <c r="E16" s="70">
        <f t="shared" si="0"/>
        <v>258652</v>
      </c>
      <c r="F16" s="71"/>
      <c r="G16" s="33">
        <f t="shared" si="1"/>
        <v>0.1745733674105665</v>
      </c>
      <c r="H16" s="71"/>
      <c r="I16" s="33">
        <f t="shared" si="2"/>
        <v>34.914673482113301</v>
      </c>
      <c r="J16" s="33">
        <f t="shared" si="3"/>
        <v>45153.75062747785</v>
      </c>
      <c r="K16" s="32"/>
      <c r="L16" s="35">
        <f>SUM(I15:I16)</f>
        <v>61.100678593698277</v>
      </c>
      <c r="M16" s="35">
        <f>SUM(L14:L16)</f>
        <v>113.47268881686824</v>
      </c>
      <c r="N16" s="36">
        <v>43890</v>
      </c>
    </row>
    <row r="17" spans="1:14" s="37" customFormat="1" x14ac:dyDescent="0.35">
      <c r="A17" s="73">
        <v>43899</v>
      </c>
      <c r="B17" s="39" t="s">
        <v>184</v>
      </c>
      <c r="C17" s="39"/>
      <c r="D17" s="40">
        <v>400</v>
      </c>
      <c r="E17" s="70">
        <f t="shared" si="0"/>
        <v>258252</v>
      </c>
      <c r="F17" s="71"/>
      <c r="G17" s="33">
        <f t="shared" si="1"/>
        <v>0.1745733674105665</v>
      </c>
      <c r="H17" s="71"/>
      <c r="I17" s="33">
        <f t="shared" si="2"/>
        <v>69.829346964226602</v>
      </c>
      <c r="J17" s="33">
        <f t="shared" si="3"/>
        <v>45083.921280513627</v>
      </c>
      <c r="K17" s="32"/>
      <c r="L17" s="35">
        <f>SUM(I17)</f>
        <v>69.829346964226602</v>
      </c>
      <c r="M17" s="96"/>
      <c r="N17" s="36">
        <v>43905</v>
      </c>
    </row>
    <row r="18" spans="1:14" s="64" customFormat="1" x14ac:dyDescent="0.35">
      <c r="A18" s="69">
        <v>43906</v>
      </c>
      <c r="B18" s="62" t="s">
        <v>193</v>
      </c>
      <c r="C18" s="62"/>
      <c r="D18" s="67">
        <v>150</v>
      </c>
      <c r="E18" s="41">
        <f t="shared" si="0"/>
        <v>258102</v>
      </c>
      <c r="F18" s="42"/>
      <c r="G18" s="26">
        <f t="shared" si="1"/>
        <v>0.17457336741056653</v>
      </c>
      <c r="H18" s="42"/>
      <c r="I18" s="26">
        <f t="shared" si="2"/>
        <v>26.186005111584979</v>
      </c>
      <c r="J18" s="26">
        <f t="shared" si="3"/>
        <v>45057.735275402039</v>
      </c>
      <c r="K18" s="61"/>
      <c r="L18" s="79"/>
      <c r="M18" s="81"/>
      <c r="N18" s="80"/>
    </row>
    <row r="19" spans="1:14" s="37" customFormat="1" x14ac:dyDescent="0.35">
      <c r="A19" s="119">
        <v>43906</v>
      </c>
      <c r="B19" s="39" t="s">
        <v>195</v>
      </c>
      <c r="C19" s="72"/>
      <c r="D19" s="72">
        <v>50</v>
      </c>
      <c r="E19" s="70">
        <f t="shared" si="0"/>
        <v>258052</v>
      </c>
      <c r="F19" s="71"/>
      <c r="G19" s="33">
        <f t="shared" si="1"/>
        <v>0.1745733674105665</v>
      </c>
      <c r="H19" s="71"/>
      <c r="I19" s="33">
        <f t="shared" si="2"/>
        <v>8.7286683705283252</v>
      </c>
      <c r="J19" s="33">
        <f t="shared" si="3"/>
        <v>45049.006607031508</v>
      </c>
      <c r="K19" s="32"/>
      <c r="L19" s="35">
        <f>SUM(I18:I19)</f>
        <v>34.914673482113301</v>
      </c>
      <c r="M19" s="35">
        <f>SUM(L17:L19)</f>
        <v>104.7440204463399</v>
      </c>
      <c r="N19" s="36">
        <v>43921</v>
      </c>
    </row>
    <row r="20" spans="1:14" s="64" customFormat="1" x14ac:dyDescent="0.35">
      <c r="A20" s="117">
        <v>43984</v>
      </c>
      <c r="B20" s="62" t="s">
        <v>210</v>
      </c>
      <c r="C20" s="26"/>
      <c r="D20" s="26">
        <v>50</v>
      </c>
      <c r="E20" s="41">
        <f t="shared" si="0"/>
        <v>258002</v>
      </c>
      <c r="F20" s="42"/>
      <c r="G20" s="26">
        <f t="shared" si="1"/>
        <v>0.1745733674105665</v>
      </c>
      <c r="H20" s="42"/>
      <c r="I20" s="26">
        <f t="shared" si="2"/>
        <v>8.7286683705283252</v>
      </c>
      <c r="J20" s="26">
        <f t="shared" si="3"/>
        <v>45040.277938660976</v>
      </c>
      <c r="K20" s="61"/>
      <c r="L20" s="81"/>
      <c r="M20" s="81"/>
      <c r="N20" s="81"/>
    </row>
    <row r="21" spans="1:14" s="64" customFormat="1" x14ac:dyDescent="0.35">
      <c r="A21" s="117">
        <v>43985</v>
      </c>
      <c r="B21" s="62" t="s">
        <v>212</v>
      </c>
      <c r="C21" s="26"/>
      <c r="D21" s="26">
        <v>300</v>
      </c>
      <c r="E21" s="41">
        <f t="shared" si="0"/>
        <v>257702</v>
      </c>
      <c r="F21" s="42"/>
      <c r="G21" s="26">
        <f t="shared" si="1"/>
        <v>0.1745733674105665</v>
      </c>
      <c r="H21" s="42"/>
      <c r="I21" s="26">
        <f t="shared" si="2"/>
        <v>52.372010223169951</v>
      </c>
      <c r="J21" s="26">
        <f t="shared" si="3"/>
        <v>44987.905928437809</v>
      </c>
      <c r="K21" s="61"/>
      <c r="L21" s="81"/>
      <c r="M21" s="81"/>
      <c r="N21" s="81"/>
    </row>
    <row r="22" spans="1:14" s="37" customFormat="1" x14ac:dyDescent="0.35">
      <c r="A22" s="119">
        <v>43997</v>
      </c>
      <c r="B22" s="39" t="s">
        <v>229</v>
      </c>
      <c r="C22" s="33"/>
      <c r="D22" s="33">
        <v>100</v>
      </c>
      <c r="E22" s="70">
        <f t="shared" si="0"/>
        <v>257602</v>
      </c>
      <c r="F22" s="71"/>
      <c r="G22" s="33">
        <f t="shared" si="1"/>
        <v>0.1745733674105665</v>
      </c>
      <c r="H22" s="71"/>
      <c r="I22" s="33">
        <f t="shared" si="2"/>
        <v>17.45733674105665</v>
      </c>
      <c r="J22" s="33">
        <f t="shared" si="3"/>
        <v>44970.448591696753</v>
      </c>
      <c r="K22" s="32"/>
      <c r="L22" s="35">
        <f>SUM(I20:I22)</f>
        <v>78.558015334754927</v>
      </c>
      <c r="M22" s="96"/>
      <c r="N22" s="36">
        <v>43997</v>
      </c>
    </row>
    <row r="23" spans="1:14" s="64" customFormat="1" x14ac:dyDescent="0.35">
      <c r="A23" s="117">
        <v>43998</v>
      </c>
      <c r="B23" s="62" t="s">
        <v>237</v>
      </c>
      <c r="C23" s="26"/>
      <c r="D23" s="26">
        <v>75</v>
      </c>
      <c r="E23" s="41">
        <f t="shared" si="0"/>
        <v>257527</v>
      </c>
      <c r="F23" s="42"/>
      <c r="G23" s="26">
        <f t="shared" si="1"/>
        <v>0.1745733674105665</v>
      </c>
      <c r="H23" s="42"/>
      <c r="I23" s="26">
        <f t="shared" si="2"/>
        <v>13.093002555792488</v>
      </c>
      <c r="J23" s="26">
        <f t="shared" si="3"/>
        <v>44957.355589140963</v>
      </c>
      <c r="K23" s="61"/>
      <c r="L23" s="81"/>
      <c r="M23" s="81"/>
      <c r="N23" s="81"/>
    </row>
    <row r="24" spans="1:14" s="64" customFormat="1" x14ac:dyDescent="0.35">
      <c r="A24" s="117">
        <v>43998</v>
      </c>
      <c r="B24" s="62" t="s">
        <v>239</v>
      </c>
      <c r="C24" s="26"/>
      <c r="D24" s="26">
        <v>50</v>
      </c>
      <c r="E24" s="41">
        <f t="shared" si="0"/>
        <v>257477</v>
      </c>
      <c r="F24" s="42"/>
      <c r="G24" s="26">
        <f t="shared" si="1"/>
        <v>0.1745733674105665</v>
      </c>
      <c r="H24" s="42"/>
      <c r="I24" s="26">
        <f t="shared" si="2"/>
        <v>8.7286683705283252</v>
      </c>
      <c r="J24" s="26">
        <f t="shared" si="3"/>
        <v>44948.626920770432</v>
      </c>
      <c r="K24" s="61"/>
      <c r="L24" s="79"/>
      <c r="M24" s="79"/>
      <c r="N24" s="80"/>
    </row>
    <row r="25" spans="1:14" s="64" customFormat="1" x14ac:dyDescent="0.35">
      <c r="A25" s="117">
        <v>43999</v>
      </c>
      <c r="B25" s="62" t="s">
        <v>243</v>
      </c>
      <c r="C25" s="26"/>
      <c r="D25" s="26">
        <v>250</v>
      </c>
      <c r="E25" s="41">
        <f t="shared" si="0"/>
        <v>257227</v>
      </c>
      <c r="F25" s="42"/>
      <c r="G25" s="26">
        <f t="shared" si="1"/>
        <v>0.1745733674105665</v>
      </c>
      <c r="H25" s="42"/>
      <c r="I25" s="26">
        <f t="shared" si="2"/>
        <v>43.643341852641626</v>
      </c>
      <c r="J25" s="26">
        <f t="shared" si="3"/>
        <v>44904.983578917789</v>
      </c>
      <c r="K25" s="61"/>
      <c r="L25" s="79"/>
      <c r="M25" s="81"/>
      <c r="N25" s="80"/>
    </row>
    <row r="26" spans="1:14" s="37" customFormat="1" x14ac:dyDescent="0.35">
      <c r="A26" s="119">
        <v>44007</v>
      </c>
      <c r="B26" s="39" t="s">
        <v>258</v>
      </c>
      <c r="C26" s="33"/>
      <c r="D26" s="33">
        <v>50</v>
      </c>
      <c r="E26" s="70">
        <f t="shared" si="0"/>
        <v>257177</v>
      </c>
      <c r="F26" s="71"/>
      <c r="G26" s="33">
        <f t="shared" si="1"/>
        <v>0.1745733674105665</v>
      </c>
      <c r="H26" s="71"/>
      <c r="I26" s="33">
        <f t="shared" si="2"/>
        <v>8.7286683705283252</v>
      </c>
      <c r="J26" s="33">
        <f t="shared" si="3"/>
        <v>44896.254910547257</v>
      </c>
      <c r="K26" s="32"/>
      <c r="L26" s="35">
        <f>SUM(I23:I26)</f>
        <v>74.193681149490757</v>
      </c>
      <c r="M26" s="35">
        <f>SUM(L22:L26)</f>
        <v>152.75169648424568</v>
      </c>
      <c r="N26" s="36">
        <v>44012</v>
      </c>
    </row>
    <row r="27" spans="1:14" s="37" customFormat="1" x14ac:dyDescent="0.35">
      <c r="A27" s="119">
        <v>44039</v>
      </c>
      <c r="B27" s="39" t="s">
        <v>284</v>
      </c>
      <c r="C27" s="33"/>
      <c r="D27" s="33">
        <v>250</v>
      </c>
      <c r="E27" s="70">
        <f t="shared" si="0"/>
        <v>256927</v>
      </c>
      <c r="F27" s="71"/>
      <c r="G27" s="33">
        <f t="shared" si="1"/>
        <v>0.17457336741056648</v>
      </c>
      <c r="H27" s="71"/>
      <c r="I27" s="33">
        <f t="shared" si="2"/>
        <v>43.643341852641619</v>
      </c>
      <c r="J27" s="33">
        <f t="shared" si="3"/>
        <v>44852.611568694614</v>
      </c>
      <c r="K27" s="32"/>
      <c r="L27" s="35">
        <f>SUM(I27)</f>
        <v>43.643341852641619</v>
      </c>
      <c r="M27" s="35">
        <f>SUM(L27)</f>
        <v>43.643341852641619</v>
      </c>
      <c r="N27" s="36">
        <v>44043</v>
      </c>
    </row>
    <row r="28" spans="1:14" s="64" customFormat="1" x14ac:dyDescent="0.35">
      <c r="A28" s="117">
        <v>44046</v>
      </c>
      <c r="B28" s="62" t="s">
        <v>286</v>
      </c>
      <c r="C28" s="26"/>
      <c r="D28" s="26">
        <v>50</v>
      </c>
      <c r="E28" s="41">
        <f t="shared" si="0"/>
        <v>256877</v>
      </c>
      <c r="F28" s="42"/>
      <c r="G28" s="26">
        <f t="shared" si="1"/>
        <v>0.17457336741056648</v>
      </c>
      <c r="H28" s="42"/>
      <c r="I28" s="26">
        <f t="shared" si="2"/>
        <v>8.7286683705283235</v>
      </c>
      <c r="J28" s="26">
        <f t="shared" si="3"/>
        <v>44843.882900324083</v>
      </c>
      <c r="K28" s="61"/>
      <c r="L28" s="81"/>
      <c r="M28" s="81"/>
      <c r="N28" s="81"/>
    </row>
    <row r="29" spans="1:14" s="37" customFormat="1" x14ac:dyDescent="0.35">
      <c r="A29" s="119">
        <v>44054</v>
      </c>
      <c r="B29" s="39" t="s">
        <v>290</v>
      </c>
      <c r="C29" s="33"/>
      <c r="D29" s="33">
        <v>50</v>
      </c>
      <c r="E29" s="70">
        <f t="shared" si="0"/>
        <v>256827</v>
      </c>
      <c r="F29" s="71"/>
      <c r="G29" s="33">
        <f t="shared" si="1"/>
        <v>0.17457336741056648</v>
      </c>
      <c r="H29" s="71"/>
      <c r="I29" s="33">
        <f t="shared" si="2"/>
        <v>8.7286683705283235</v>
      </c>
      <c r="J29" s="33">
        <f t="shared" si="3"/>
        <v>44835.154231953551</v>
      </c>
      <c r="K29" s="32"/>
      <c r="L29" s="35">
        <f>SUM(I28:I29)</f>
        <v>17.457336741056647</v>
      </c>
      <c r="M29" s="35"/>
      <c r="N29" s="36">
        <v>44058</v>
      </c>
    </row>
    <row r="30" spans="1:14" s="64" customFormat="1" x14ac:dyDescent="0.35">
      <c r="A30" s="117">
        <v>44062</v>
      </c>
      <c r="B30" s="62" t="s">
        <v>299</v>
      </c>
      <c r="C30" s="26"/>
      <c r="D30" s="26">
        <v>50</v>
      </c>
      <c r="E30" s="41">
        <f t="shared" si="0"/>
        <v>256777</v>
      </c>
      <c r="F30" s="42"/>
      <c r="G30" s="26">
        <f t="shared" si="1"/>
        <v>0.17457336741056645</v>
      </c>
      <c r="H30" s="42"/>
      <c r="I30" s="26">
        <f t="shared" si="2"/>
        <v>8.7286683705283217</v>
      </c>
      <c r="J30" s="26">
        <f t="shared" si="3"/>
        <v>44826.42556358302</v>
      </c>
      <c r="K30" s="61"/>
      <c r="L30" s="79"/>
      <c r="M30" s="81"/>
      <c r="N30" s="80"/>
    </row>
    <row r="31" spans="1:14" s="37" customFormat="1" x14ac:dyDescent="0.35">
      <c r="A31" s="130">
        <v>44064</v>
      </c>
      <c r="B31" s="39" t="s">
        <v>302</v>
      </c>
      <c r="C31" s="78"/>
      <c r="D31" s="78">
        <v>50</v>
      </c>
      <c r="E31" s="70">
        <f t="shared" si="0"/>
        <v>256727</v>
      </c>
      <c r="F31" s="71"/>
      <c r="G31" s="33">
        <f t="shared" si="1"/>
        <v>0.17457336741056645</v>
      </c>
      <c r="H31" s="71"/>
      <c r="I31" s="33">
        <f t="shared" si="2"/>
        <v>8.7286683705283217</v>
      </c>
      <c r="J31" s="33">
        <f t="shared" si="3"/>
        <v>44817.696895212488</v>
      </c>
      <c r="K31" s="131"/>
      <c r="L31" s="35">
        <f>SUM(I30:I31)</f>
        <v>17.457336741056643</v>
      </c>
      <c r="M31" s="35">
        <f>SUM(L29:L31)</f>
        <v>34.914673482113287</v>
      </c>
      <c r="N31" s="36">
        <v>44074</v>
      </c>
    </row>
    <row r="32" spans="1:14" s="37" customFormat="1" x14ac:dyDescent="0.35">
      <c r="A32" s="73">
        <v>44082</v>
      </c>
      <c r="B32" s="39" t="s">
        <v>325</v>
      </c>
      <c r="C32" s="40"/>
      <c r="D32" s="40">
        <v>50</v>
      </c>
      <c r="E32" s="70">
        <f t="shared" ref="E32" si="4">+E31-D32</f>
        <v>256677</v>
      </c>
      <c r="F32" s="71"/>
      <c r="G32" s="33">
        <f t="shared" ref="G32" si="5">+J31/E31</f>
        <v>0.17457336741056642</v>
      </c>
      <c r="H32" s="71"/>
      <c r="I32" s="33">
        <f t="shared" ref="I32" si="6">+D32*G32</f>
        <v>8.7286683705283217</v>
      </c>
      <c r="J32" s="33">
        <f t="shared" ref="J32" si="7">+J31-I32</f>
        <v>44808.968226841956</v>
      </c>
      <c r="K32" s="39"/>
      <c r="L32" s="35">
        <f>SUM(I32)</f>
        <v>8.7286683705283217</v>
      </c>
      <c r="M32" s="96"/>
      <c r="N32" s="36">
        <v>44089</v>
      </c>
    </row>
    <row r="33" spans="1:14" s="37" customFormat="1" x14ac:dyDescent="0.35">
      <c r="A33" s="73">
        <v>44100</v>
      </c>
      <c r="B33" s="39" t="s">
        <v>365</v>
      </c>
      <c r="C33" s="40"/>
      <c r="D33" s="40">
        <v>150</v>
      </c>
      <c r="E33" s="70">
        <f t="shared" si="0"/>
        <v>256527</v>
      </c>
      <c r="F33" s="71"/>
      <c r="G33" s="33">
        <f t="shared" si="1"/>
        <v>0.17457336741056642</v>
      </c>
      <c r="H33" s="71"/>
      <c r="I33" s="33">
        <f t="shared" si="2"/>
        <v>26.186005111584961</v>
      </c>
      <c r="J33" s="33">
        <f t="shared" si="3"/>
        <v>44782.782221730369</v>
      </c>
      <c r="K33" s="39"/>
      <c r="L33" s="35">
        <f>SUM(I33)</f>
        <v>26.186005111584961</v>
      </c>
      <c r="M33" s="35">
        <f>SUM(L32:L33)</f>
        <v>34.914673482113287</v>
      </c>
      <c r="N33" s="36">
        <v>44104</v>
      </c>
    </row>
    <row r="34" spans="1:14" s="37" customFormat="1" x14ac:dyDescent="0.35">
      <c r="A34" s="73">
        <v>44112</v>
      </c>
      <c r="B34" s="39" t="s">
        <v>384</v>
      </c>
      <c r="C34" s="40"/>
      <c r="D34" s="40">
        <v>50</v>
      </c>
      <c r="E34" s="70">
        <f t="shared" si="0"/>
        <v>256477</v>
      </c>
      <c r="F34" s="71"/>
      <c r="G34" s="33">
        <f t="shared" si="1"/>
        <v>0.17457336741056642</v>
      </c>
      <c r="H34" s="71"/>
      <c r="I34" s="33">
        <f t="shared" si="2"/>
        <v>8.7286683705283217</v>
      </c>
      <c r="J34" s="33">
        <f t="shared" si="3"/>
        <v>44774.053553359838</v>
      </c>
      <c r="K34" s="39"/>
      <c r="L34" s="35">
        <f>SUM(I34)</f>
        <v>8.7286683705283217</v>
      </c>
      <c r="M34" s="96"/>
      <c r="N34" s="36">
        <v>44119</v>
      </c>
    </row>
    <row r="35" spans="1:14" s="64" customFormat="1" x14ac:dyDescent="0.35">
      <c r="A35" s="69">
        <v>44126</v>
      </c>
      <c r="B35" s="62" t="s">
        <v>419</v>
      </c>
      <c r="C35" s="67"/>
      <c r="D35" s="67">
        <v>250</v>
      </c>
      <c r="E35" s="41">
        <f t="shared" si="0"/>
        <v>256227</v>
      </c>
      <c r="F35" s="42"/>
      <c r="G35" s="26">
        <f t="shared" si="1"/>
        <v>0.17457336741056639</v>
      </c>
      <c r="H35" s="42"/>
      <c r="I35" s="26">
        <f t="shared" si="2"/>
        <v>43.643341852641598</v>
      </c>
      <c r="J35" s="26">
        <f t="shared" si="3"/>
        <v>44730.410211507195</v>
      </c>
      <c r="K35" s="62"/>
      <c r="L35" s="81"/>
      <c r="M35" s="81"/>
      <c r="N35" s="81"/>
    </row>
    <row r="36" spans="1:14" s="64" customFormat="1" x14ac:dyDescent="0.35">
      <c r="A36" s="69">
        <v>44130</v>
      </c>
      <c r="B36" s="62" t="s">
        <v>424</v>
      </c>
      <c r="C36" s="67"/>
      <c r="D36" s="67">
        <v>0</v>
      </c>
      <c r="E36" s="41">
        <f t="shared" si="0"/>
        <v>256227</v>
      </c>
      <c r="F36" s="42"/>
      <c r="G36" s="26">
        <f t="shared" si="1"/>
        <v>0.17457336741056639</v>
      </c>
      <c r="H36" s="42"/>
      <c r="I36" s="26">
        <f t="shared" si="2"/>
        <v>0</v>
      </c>
      <c r="J36" s="26">
        <f t="shared" si="3"/>
        <v>44730.410211507195</v>
      </c>
      <c r="K36" s="62"/>
      <c r="L36" s="79"/>
      <c r="M36" s="79"/>
      <c r="N36" s="80"/>
    </row>
    <row r="37" spans="1:14" s="64" customFormat="1" x14ac:dyDescent="0.35">
      <c r="A37" s="69">
        <v>44130</v>
      </c>
      <c r="B37" s="62" t="s">
        <v>425</v>
      </c>
      <c r="C37" s="67"/>
      <c r="D37" s="67">
        <v>50</v>
      </c>
      <c r="E37" s="41">
        <f t="shared" si="0"/>
        <v>256177</v>
      </c>
      <c r="F37" s="42"/>
      <c r="G37" s="26">
        <f t="shared" si="1"/>
        <v>0.17457336741056639</v>
      </c>
      <c r="H37" s="42"/>
      <c r="I37" s="26">
        <f t="shared" si="2"/>
        <v>8.7286683705283199</v>
      </c>
      <c r="J37" s="26">
        <f t="shared" si="3"/>
        <v>44721.681543136663</v>
      </c>
      <c r="K37" s="62"/>
      <c r="L37" s="79"/>
      <c r="M37" s="79"/>
      <c r="N37" s="80"/>
    </row>
    <row r="38" spans="1:14" s="37" customFormat="1" x14ac:dyDescent="0.35">
      <c r="A38" s="73">
        <v>44130</v>
      </c>
      <c r="B38" s="39" t="s">
        <v>426</v>
      </c>
      <c r="C38" s="40"/>
      <c r="D38" s="40">
        <v>25</v>
      </c>
      <c r="E38" s="70">
        <f t="shared" si="0"/>
        <v>256152</v>
      </c>
      <c r="F38" s="71"/>
      <c r="G38" s="33">
        <f t="shared" si="1"/>
        <v>0.17457336741056637</v>
      </c>
      <c r="H38" s="71"/>
      <c r="I38" s="33">
        <f t="shared" si="2"/>
        <v>4.3643341852641591</v>
      </c>
      <c r="J38" s="33">
        <f t="shared" si="3"/>
        <v>44717.317208951397</v>
      </c>
      <c r="K38" s="39"/>
      <c r="L38" s="35">
        <f>SUM(I35:I38)</f>
        <v>56.736344408434078</v>
      </c>
      <c r="M38" s="35">
        <f>SUM(L34:L38)</f>
        <v>65.465012778962404</v>
      </c>
      <c r="N38" s="36">
        <v>44135</v>
      </c>
    </row>
    <row r="39" spans="1:14" s="64" customFormat="1" x14ac:dyDescent="0.35">
      <c r="A39" s="69">
        <v>44151</v>
      </c>
      <c r="B39" s="62" t="s">
        <v>453</v>
      </c>
      <c r="C39" s="67"/>
      <c r="D39" s="67">
        <v>50</v>
      </c>
      <c r="E39" s="41">
        <f t="shared" si="0"/>
        <v>256102</v>
      </c>
      <c r="F39" s="42"/>
      <c r="G39" s="26">
        <f t="shared" si="1"/>
        <v>0.17457336741056637</v>
      </c>
      <c r="H39" s="42"/>
      <c r="I39" s="26">
        <f t="shared" si="2"/>
        <v>8.7286683705283181</v>
      </c>
      <c r="J39" s="26">
        <f t="shared" si="3"/>
        <v>44708.588540580866</v>
      </c>
      <c r="K39" s="62"/>
      <c r="L39" s="81"/>
      <c r="M39" s="81"/>
      <c r="N39" s="81"/>
    </row>
    <row r="40" spans="1:14" s="64" customFormat="1" x14ac:dyDescent="0.35">
      <c r="A40" s="69">
        <v>44153</v>
      </c>
      <c r="B40" s="62" t="s">
        <v>454</v>
      </c>
      <c r="C40" s="67"/>
      <c r="D40" s="67">
        <v>100</v>
      </c>
      <c r="E40" s="41">
        <f t="shared" ref="E40:E48" si="8">+E39-D40</f>
        <v>256002</v>
      </c>
      <c r="F40" s="42"/>
      <c r="G40" s="26">
        <f t="shared" ref="G40:G48" si="9">+J39/E39</f>
        <v>0.17457336741056637</v>
      </c>
      <c r="H40" s="42"/>
      <c r="I40" s="26">
        <f t="shared" ref="I40:I48" si="10">+D40*G40</f>
        <v>17.457336741056636</v>
      </c>
      <c r="J40" s="26">
        <f t="shared" ref="J40:J48" si="11">+J39-I40</f>
        <v>44691.13120383981</v>
      </c>
      <c r="K40" s="62"/>
      <c r="L40" s="81"/>
      <c r="M40" s="81"/>
      <c r="N40" s="81"/>
    </row>
    <row r="41" spans="1:14" s="64" customFormat="1" x14ac:dyDescent="0.35">
      <c r="A41" s="69">
        <v>44161</v>
      </c>
      <c r="B41" s="62" t="s">
        <v>468</v>
      </c>
      <c r="C41" s="67"/>
      <c r="D41" s="67">
        <v>25</v>
      </c>
      <c r="E41" s="41">
        <f t="shared" si="8"/>
        <v>255977</v>
      </c>
      <c r="F41" s="42"/>
      <c r="G41" s="26">
        <f t="shared" si="9"/>
        <v>0.17457336741056637</v>
      </c>
      <c r="H41" s="42"/>
      <c r="I41" s="26">
        <f t="shared" si="10"/>
        <v>4.3643341852641591</v>
      </c>
      <c r="J41" s="26">
        <f t="shared" si="11"/>
        <v>44686.766869654544</v>
      </c>
      <c r="K41" s="62"/>
      <c r="L41" s="81"/>
      <c r="M41" s="81"/>
      <c r="N41" s="81"/>
    </row>
    <row r="42" spans="1:14" s="37" customFormat="1" x14ac:dyDescent="0.35">
      <c r="A42" s="73">
        <v>44162</v>
      </c>
      <c r="B42" s="39" t="s">
        <v>472</v>
      </c>
      <c r="C42" s="40"/>
      <c r="D42" s="40">
        <v>50</v>
      </c>
      <c r="E42" s="70">
        <f t="shared" si="8"/>
        <v>255927</v>
      </c>
      <c r="F42" s="71"/>
      <c r="G42" s="33">
        <f t="shared" si="9"/>
        <v>0.17457336741056637</v>
      </c>
      <c r="H42" s="71"/>
      <c r="I42" s="33">
        <f t="shared" si="10"/>
        <v>8.7286683705283181</v>
      </c>
      <c r="J42" s="33">
        <f t="shared" si="11"/>
        <v>44678.038201284013</v>
      </c>
      <c r="K42" s="39"/>
      <c r="L42" s="35">
        <f>SUM(I39:I42)</f>
        <v>39.279007667377428</v>
      </c>
      <c r="M42" s="35">
        <f>SUM(L42)</f>
        <v>39.279007667377428</v>
      </c>
      <c r="N42" s="36">
        <v>44165</v>
      </c>
    </row>
    <row r="43" spans="1:14" s="64" customFormat="1" x14ac:dyDescent="0.35">
      <c r="A43" s="69">
        <v>44172</v>
      </c>
      <c r="B43" s="62" t="s">
        <v>490</v>
      </c>
      <c r="C43" s="67"/>
      <c r="D43" s="67">
        <v>50</v>
      </c>
      <c r="E43" s="41">
        <f t="shared" si="8"/>
        <v>255877</v>
      </c>
      <c r="F43" s="42"/>
      <c r="G43" s="26">
        <f t="shared" si="9"/>
        <v>0.17457336741056634</v>
      </c>
      <c r="H43" s="42"/>
      <c r="I43" s="26">
        <f t="shared" si="10"/>
        <v>8.7286683705283163</v>
      </c>
      <c r="J43" s="26">
        <f t="shared" si="11"/>
        <v>44669.309532913481</v>
      </c>
      <c r="K43" s="62"/>
      <c r="L43" s="81"/>
      <c r="M43" s="81"/>
      <c r="N43" s="81"/>
    </row>
    <row r="44" spans="1:14" s="64" customFormat="1" x14ac:dyDescent="0.35">
      <c r="A44" s="69">
        <v>44175</v>
      </c>
      <c r="B44" s="62" t="s">
        <v>496</v>
      </c>
      <c r="C44" s="67"/>
      <c r="D44" s="67">
        <v>150</v>
      </c>
      <c r="E44" s="41">
        <f t="shared" si="8"/>
        <v>255727</v>
      </c>
      <c r="F44" s="42"/>
      <c r="G44" s="26">
        <f t="shared" si="9"/>
        <v>0.17457336741056634</v>
      </c>
      <c r="H44" s="42"/>
      <c r="I44" s="26">
        <f t="shared" si="10"/>
        <v>26.186005111584951</v>
      </c>
      <c r="J44" s="26">
        <f t="shared" si="11"/>
        <v>44643.123527801894</v>
      </c>
      <c r="K44" s="62"/>
      <c r="L44" s="81"/>
      <c r="M44" s="81"/>
      <c r="N44" s="81"/>
    </row>
    <row r="45" spans="1:14" s="64" customFormat="1" x14ac:dyDescent="0.35">
      <c r="A45" s="69">
        <v>44175</v>
      </c>
      <c r="B45" s="62" t="s">
        <v>498</v>
      </c>
      <c r="C45" s="67"/>
      <c r="D45" s="67">
        <v>50</v>
      </c>
      <c r="E45" s="41">
        <f t="shared" si="8"/>
        <v>255677</v>
      </c>
      <c r="F45" s="42"/>
      <c r="G45" s="26">
        <f t="shared" si="9"/>
        <v>0.17457336741056631</v>
      </c>
      <c r="H45" s="42"/>
      <c r="I45" s="26">
        <f t="shared" si="10"/>
        <v>8.7286683705283163</v>
      </c>
      <c r="J45" s="26">
        <f t="shared" si="11"/>
        <v>44634.394859431362</v>
      </c>
      <c r="K45" s="62"/>
      <c r="L45" s="81"/>
      <c r="M45" s="81"/>
      <c r="N45" s="81"/>
    </row>
    <row r="46" spans="1:14" s="64" customFormat="1" x14ac:dyDescent="0.35">
      <c r="A46" s="69">
        <v>44175</v>
      </c>
      <c r="B46" s="62" t="s">
        <v>500</v>
      </c>
      <c r="C46" s="67"/>
      <c r="D46" s="67">
        <v>50</v>
      </c>
      <c r="E46" s="41">
        <f t="shared" si="8"/>
        <v>255627</v>
      </c>
      <c r="F46" s="42"/>
      <c r="G46" s="26">
        <f t="shared" si="9"/>
        <v>0.17457336741056631</v>
      </c>
      <c r="H46" s="42"/>
      <c r="I46" s="26">
        <f t="shared" si="10"/>
        <v>8.7286683705283163</v>
      </c>
      <c r="J46" s="26">
        <f t="shared" si="11"/>
        <v>44625.666191060831</v>
      </c>
      <c r="K46" s="62"/>
      <c r="L46" s="81"/>
      <c r="M46" s="81"/>
      <c r="N46" s="81"/>
    </row>
    <row r="47" spans="1:14" s="64" customFormat="1" x14ac:dyDescent="0.35">
      <c r="A47" s="69">
        <v>44176</v>
      </c>
      <c r="B47" s="62" t="s">
        <v>503</v>
      </c>
      <c r="C47" s="67"/>
      <c r="D47" s="67">
        <v>150</v>
      </c>
      <c r="E47" s="41">
        <f t="shared" si="8"/>
        <v>255477</v>
      </c>
      <c r="F47" s="42"/>
      <c r="G47" s="26">
        <f t="shared" si="9"/>
        <v>0.17457336741056631</v>
      </c>
      <c r="H47" s="42"/>
      <c r="I47" s="26">
        <f t="shared" si="10"/>
        <v>26.186005111584947</v>
      </c>
      <c r="J47" s="26">
        <f t="shared" si="11"/>
        <v>44599.480185949244</v>
      </c>
      <c r="K47" s="62"/>
      <c r="L47" s="81"/>
      <c r="M47" s="81"/>
      <c r="N47" s="81"/>
    </row>
    <row r="48" spans="1:14" s="37" customFormat="1" x14ac:dyDescent="0.35">
      <c r="A48" s="73">
        <v>44176</v>
      </c>
      <c r="B48" s="39" t="s">
        <v>507</v>
      </c>
      <c r="C48" s="40"/>
      <c r="D48" s="40">
        <v>25</v>
      </c>
      <c r="E48" s="70">
        <f t="shared" si="8"/>
        <v>255452</v>
      </c>
      <c r="F48" s="71"/>
      <c r="G48" s="33">
        <f t="shared" si="9"/>
        <v>0.17457336741056628</v>
      </c>
      <c r="H48" s="71"/>
      <c r="I48" s="33">
        <f t="shared" si="10"/>
        <v>4.3643341852641573</v>
      </c>
      <c r="J48" s="33">
        <f t="shared" si="11"/>
        <v>44595.115851763978</v>
      </c>
      <c r="K48" s="39"/>
      <c r="L48" s="35">
        <f>SUM(I43:I48)</f>
        <v>82.922349520019011</v>
      </c>
      <c r="M48" s="35">
        <f>SUM(L48)</f>
        <v>82.922349520019011</v>
      </c>
      <c r="N48" s="36">
        <v>44180</v>
      </c>
    </row>
    <row r="49" spans="1:14" s="64" customFormat="1" ht="15" thickBot="1" x14ac:dyDescent="0.4">
      <c r="A49" s="62"/>
      <c r="B49" s="62" t="s">
        <v>34</v>
      </c>
      <c r="C49" s="67">
        <f>SUM(C9:C48)</f>
        <v>259802</v>
      </c>
      <c r="D49" s="67">
        <f>SUM(D9:D48)</f>
        <v>4350</v>
      </c>
      <c r="E49" s="41"/>
      <c r="F49" s="42"/>
      <c r="G49" s="26"/>
      <c r="H49" s="67">
        <f>SUM(H9:H48)</f>
        <v>45354.51</v>
      </c>
      <c r="I49" s="67">
        <f>SUM(I10:I48)</f>
        <v>759.39414823596451</v>
      </c>
      <c r="J49" s="26"/>
      <c r="K49" s="62"/>
      <c r="L49" s="81"/>
      <c r="M49" s="103">
        <f>SUM(M11:M48)</f>
        <v>759.39414823596417</v>
      </c>
      <c r="N49" s="81"/>
    </row>
    <row r="50" spans="1:14" ht="15" thickTop="1" x14ac:dyDescent="0.35">
      <c r="I50" s="49"/>
      <c r="M50" s="49"/>
    </row>
    <row r="51" spans="1:14" x14ac:dyDescent="0.35">
      <c r="A51" s="50" t="s">
        <v>23</v>
      </c>
      <c r="B51" s="5"/>
      <c r="C51" s="4"/>
      <c r="D51" s="4"/>
      <c r="E51" s="4"/>
      <c r="F51" s="4"/>
      <c r="G51" s="1"/>
      <c r="H51" s="1"/>
      <c r="I51" s="1"/>
      <c r="J51" s="1"/>
    </row>
    <row r="52" spans="1:14" x14ac:dyDescent="0.35">
      <c r="A52" s="50" t="s">
        <v>36</v>
      </c>
      <c r="B52" s="5"/>
      <c r="C52" s="4"/>
      <c r="D52" s="4"/>
      <c r="E52" s="4"/>
      <c r="F52" s="4"/>
      <c r="G52" s="1"/>
      <c r="H52" s="1"/>
      <c r="I52" s="1"/>
      <c r="J52" s="51">
        <f>+E48*F9</f>
        <v>44595.115851764036</v>
      </c>
    </row>
    <row r="53" spans="1:14" x14ac:dyDescent="0.35">
      <c r="A53" s="50" t="s">
        <v>24</v>
      </c>
      <c r="B53" s="5"/>
      <c r="C53" s="4"/>
      <c r="D53" s="4"/>
      <c r="E53" s="4"/>
      <c r="F53" s="4"/>
      <c r="G53" s="1"/>
      <c r="H53" s="1"/>
      <c r="I53" s="1"/>
      <c r="J53" s="52">
        <f>+J48</f>
        <v>44595.115851763978</v>
      </c>
    </row>
    <row r="54" spans="1:14" ht="15" thickBot="1" x14ac:dyDescent="0.4">
      <c r="A54" s="50"/>
      <c r="B54" s="5" t="s">
        <v>25</v>
      </c>
      <c r="C54" s="4"/>
      <c r="D54" s="4"/>
      <c r="E54" s="4"/>
      <c r="F54" s="4"/>
      <c r="G54" s="1"/>
      <c r="H54" s="1"/>
      <c r="I54" s="1"/>
      <c r="J54" s="53">
        <f>+J52-J53</f>
        <v>5.8207660913467407E-11</v>
      </c>
    </row>
    <row r="55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N54"/>
  <sheetViews>
    <sheetView topLeftCell="A28" workbookViewId="0">
      <selection sqref="A1:N53"/>
    </sheetView>
  </sheetViews>
  <sheetFormatPr baseColWidth="10" defaultRowHeight="14.5" x14ac:dyDescent="0.35"/>
  <cols>
    <col min="2" max="2" width="37.1796875" customWidth="1"/>
    <col min="12" max="12" width="10.6328125" customWidth="1"/>
    <col min="13" max="13" width="10.36328125" customWidth="1"/>
    <col min="14" max="14" width="9.90625" customWidth="1"/>
  </cols>
  <sheetData>
    <row r="1" spans="1:14" x14ac:dyDescent="0.35">
      <c r="A1" s="121" t="s">
        <v>0</v>
      </c>
      <c r="B1" s="121"/>
      <c r="C1" s="32"/>
      <c r="D1" s="76"/>
      <c r="E1" s="76"/>
      <c r="F1" s="76"/>
      <c r="G1" s="76"/>
      <c r="H1" s="61" t="s">
        <v>1</v>
      </c>
      <c r="I1" s="76"/>
      <c r="J1" s="76"/>
      <c r="K1" s="122"/>
      <c r="L1" s="1"/>
      <c r="M1" s="1"/>
      <c r="N1" s="1"/>
    </row>
    <row r="2" spans="1:14" x14ac:dyDescent="0.35">
      <c r="A2" s="121" t="s">
        <v>2</v>
      </c>
      <c r="B2" s="121"/>
      <c r="C2" s="76"/>
      <c r="D2" s="76"/>
      <c r="E2" s="76"/>
      <c r="F2" s="76"/>
      <c r="G2" s="76"/>
      <c r="H2" s="61" t="s">
        <v>33</v>
      </c>
      <c r="I2" s="76"/>
      <c r="J2" s="76"/>
      <c r="K2" s="122"/>
      <c r="L2" s="1"/>
      <c r="M2" s="1"/>
      <c r="N2" s="1"/>
    </row>
    <row r="3" spans="1:14" x14ac:dyDescent="0.35">
      <c r="A3" s="123" t="s">
        <v>4</v>
      </c>
      <c r="B3" s="123"/>
      <c r="C3" s="82"/>
      <c r="D3" s="76"/>
      <c r="E3" s="76"/>
      <c r="F3" s="76"/>
      <c r="G3" s="76"/>
      <c r="H3" s="61" t="s">
        <v>5</v>
      </c>
      <c r="I3" s="76"/>
      <c r="J3" s="76"/>
      <c r="K3" s="122"/>
      <c r="L3" s="1"/>
      <c r="M3" s="1"/>
      <c r="N3" s="1"/>
    </row>
    <row r="4" spans="1:14" x14ac:dyDescent="0.35">
      <c r="A4" s="76"/>
      <c r="B4" s="76"/>
      <c r="C4" s="76"/>
      <c r="D4" s="203" t="s">
        <v>6</v>
      </c>
      <c r="E4" s="203"/>
      <c r="F4" s="203"/>
      <c r="G4" s="203"/>
      <c r="H4" s="203"/>
      <c r="I4" s="76"/>
      <c r="J4" s="76"/>
      <c r="K4" s="122"/>
      <c r="L4" s="1"/>
      <c r="M4" s="1"/>
      <c r="N4" s="1"/>
    </row>
    <row r="5" spans="1:14" x14ac:dyDescent="0.35">
      <c r="A5" s="76"/>
      <c r="B5" s="124"/>
      <c r="C5" s="76"/>
      <c r="D5" s="204" t="s">
        <v>35</v>
      </c>
      <c r="E5" s="204"/>
      <c r="F5" s="204"/>
      <c r="G5" s="204"/>
      <c r="H5" s="76"/>
      <c r="I5" s="76"/>
      <c r="J5" s="76"/>
      <c r="K5" s="122"/>
      <c r="L5" s="1"/>
      <c r="M5" s="1"/>
      <c r="N5" s="1"/>
    </row>
    <row r="6" spans="1:14" x14ac:dyDescent="0.35">
      <c r="A6" s="76"/>
      <c r="B6" s="124"/>
      <c r="C6" s="76"/>
      <c r="D6" s="205" t="s">
        <v>7</v>
      </c>
      <c r="E6" s="205"/>
      <c r="F6" s="205"/>
      <c r="G6" s="205"/>
      <c r="H6" s="76"/>
      <c r="I6" s="76"/>
      <c r="J6" s="76"/>
      <c r="K6" s="122"/>
      <c r="L6" s="1"/>
      <c r="M6" s="1"/>
      <c r="N6" s="1"/>
    </row>
    <row r="7" spans="1:14" x14ac:dyDescent="0.35">
      <c r="A7" s="125" t="s">
        <v>8</v>
      </c>
      <c r="B7" s="125" t="s">
        <v>9</v>
      </c>
      <c r="C7" s="206" t="s">
        <v>10</v>
      </c>
      <c r="D7" s="206"/>
      <c r="E7" s="206"/>
      <c r="F7" s="207" t="s">
        <v>11</v>
      </c>
      <c r="G7" s="207"/>
      <c r="H7" s="208" t="s">
        <v>12</v>
      </c>
      <c r="I7" s="208"/>
      <c r="J7" s="208"/>
      <c r="K7" s="82"/>
      <c r="L7" s="1"/>
      <c r="M7" s="1"/>
      <c r="N7" s="1"/>
    </row>
    <row r="8" spans="1:14" x14ac:dyDescent="0.35">
      <c r="A8" s="125"/>
      <c r="B8" s="125"/>
      <c r="C8" s="125" t="s">
        <v>13</v>
      </c>
      <c r="D8" s="125" t="s">
        <v>14</v>
      </c>
      <c r="E8" s="126" t="s">
        <v>15</v>
      </c>
      <c r="F8" s="127" t="s">
        <v>16</v>
      </c>
      <c r="G8" s="127" t="s">
        <v>17</v>
      </c>
      <c r="H8" s="125" t="s">
        <v>18</v>
      </c>
      <c r="I8" s="128" t="s">
        <v>19</v>
      </c>
      <c r="J8" s="125" t="s">
        <v>20</v>
      </c>
      <c r="K8" s="129" t="s">
        <v>21</v>
      </c>
      <c r="L8" s="1"/>
      <c r="M8" s="1"/>
      <c r="N8" s="1"/>
    </row>
    <row r="9" spans="1:14" x14ac:dyDescent="0.35">
      <c r="A9" s="68">
        <v>43832</v>
      </c>
      <c r="B9" s="61" t="s">
        <v>40</v>
      </c>
      <c r="C9" s="25">
        <f>+E9</f>
        <v>6560.6</v>
      </c>
      <c r="D9" s="26"/>
      <c r="E9" s="27">
        <v>6560.6</v>
      </c>
      <c r="F9" s="26">
        <f>+H9/C9</f>
        <v>20.294181934579154</v>
      </c>
      <c r="G9" s="26"/>
      <c r="H9" s="28">
        <f>+J9</f>
        <v>133142.01</v>
      </c>
      <c r="I9" s="29"/>
      <c r="J9" s="29">
        <v>133142.01</v>
      </c>
      <c r="K9" s="76"/>
      <c r="L9" s="1"/>
      <c r="M9" s="1"/>
      <c r="N9" s="1"/>
    </row>
    <row r="10" spans="1:14" s="64" customFormat="1" x14ac:dyDescent="0.35">
      <c r="A10" s="68">
        <v>43833</v>
      </c>
      <c r="B10" s="61" t="s">
        <v>46</v>
      </c>
      <c r="C10" s="26"/>
      <c r="D10" s="26">
        <f>12*4.3</f>
        <v>51.599999999999994</v>
      </c>
      <c r="E10" s="41">
        <f>+E9-D10</f>
        <v>6509</v>
      </c>
      <c r="F10" s="42"/>
      <c r="G10" s="26">
        <f>+J9/E9</f>
        <v>20.294181934579154</v>
      </c>
      <c r="H10" s="42"/>
      <c r="I10" s="26">
        <f>+D10*G10</f>
        <v>1047.1797878242842</v>
      </c>
      <c r="J10" s="26">
        <f>+J9-I10</f>
        <v>132094.83021217573</v>
      </c>
      <c r="K10" s="61"/>
      <c r="L10" s="81"/>
      <c r="M10" s="81"/>
      <c r="N10" s="81"/>
    </row>
    <row r="11" spans="1:14" s="64" customFormat="1" x14ac:dyDescent="0.35">
      <c r="A11" s="68">
        <v>43836</v>
      </c>
      <c r="B11" s="61" t="s">
        <v>53</v>
      </c>
      <c r="C11" s="26"/>
      <c r="D11" s="26">
        <f>5*2.5</f>
        <v>12.5</v>
      </c>
      <c r="E11" s="41">
        <f t="shared" ref="E11:E36" si="0">+E10-D11</f>
        <v>6496.5</v>
      </c>
      <c r="F11" s="42"/>
      <c r="G11" s="26">
        <f t="shared" ref="G11:G36" si="1">+J10/E10</f>
        <v>20.294181934579157</v>
      </c>
      <c r="H11" s="42"/>
      <c r="I11" s="26">
        <f t="shared" ref="I11:I36" si="2">+D11*G11</f>
        <v>253.67727418223947</v>
      </c>
      <c r="J11" s="26">
        <f t="shared" ref="J11:J36" si="3">+J10-I11</f>
        <v>131841.15293799349</v>
      </c>
      <c r="K11" s="61"/>
      <c r="L11" s="81"/>
      <c r="M11" s="81"/>
      <c r="N11" s="81"/>
    </row>
    <row r="12" spans="1:14" s="64" customFormat="1" x14ac:dyDescent="0.35">
      <c r="A12" s="68">
        <v>43844</v>
      </c>
      <c r="B12" s="61" t="s">
        <v>68</v>
      </c>
      <c r="C12" s="26"/>
      <c r="D12" s="26">
        <v>0</v>
      </c>
      <c r="E12" s="41">
        <f t="shared" si="0"/>
        <v>6496.5</v>
      </c>
      <c r="F12" s="42"/>
      <c r="G12" s="26">
        <f t="shared" si="1"/>
        <v>20.294181934579157</v>
      </c>
      <c r="H12" s="42"/>
      <c r="I12" s="26">
        <f t="shared" si="2"/>
        <v>0</v>
      </c>
      <c r="J12" s="26">
        <f t="shared" si="3"/>
        <v>131841.15293799349</v>
      </c>
      <c r="K12" s="61"/>
      <c r="L12" s="79"/>
      <c r="M12" s="81"/>
      <c r="N12" s="80"/>
    </row>
    <row r="13" spans="1:14" s="37" customFormat="1" x14ac:dyDescent="0.35">
      <c r="A13" s="89">
        <v>43844</v>
      </c>
      <c r="B13" s="32" t="s">
        <v>69</v>
      </c>
      <c r="C13" s="33"/>
      <c r="D13" s="33">
        <f>4*1.5</f>
        <v>6</v>
      </c>
      <c r="E13" s="70">
        <f t="shared" si="0"/>
        <v>6490.5</v>
      </c>
      <c r="F13" s="71"/>
      <c r="G13" s="33">
        <f t="shared" si="1"/>
        <v>20.294181934579157</v>
      </c>
      <c r="H13" s="71"/>
      <c r="I13" s="33">
        <f t="shared" si="2"/>
        <v>121.76509160747494</v>
      </c>
      <c r="J13" s="33">
        <f t="shared" si="3"/>
        <v>131719.38784638603</v>
      </c>
      <c r="K13" s="32"/>
      <c r="L13" s="35">
        <f>SUM(I10:I13)</f>
        <v>1422.6221536139985</v>
      </c>
      <c r="M13" s="96"/>
      <c r="N13" s="36">
        <v>43845</v>
      </c>
    </row>
    <row r="14" spans="1:14" s="64" customFormat="1" x14ac:dyDescent="0.35">
      <c r="A14" s="69">
        <v>43846</v>
      </c>
      <c r="B14" s="61" t="s">
        <v>74</v>
      </c>
      <c r="C14" s="62"/>
      <c r="D14" s="67">
        <f>11*4</f>
        <v>44</v>
      </c>
      <c r="E14" s="41">
        <f t="shared" si="0"/>
        <v>6446.5</v>
      </c>
      <c r="F14" s="42"/>
      <c r="G14" s="26">
        <f t="shared" si="1"/>
        <v>20.294181934579157</v>
      </c>
      <c r="H14" s="42"/>
      <c r="I14" s="26">
        <f t="shared" si="2"/>
        <v>892.94400512148286</v>
      </c>
      <c r="J14" s="26">
        <f t="shared" si="3"/>
        <v>130826.44384126455</v>
      </c>
      <c r="K14" s="61"/>
      <c r="L14" s="81"/>
      <c r="M14" s="81"/>
      <c r="N14" s="81"/>
    </row>
    <row r="15" spans="1:14" s="64" customFormat="1" x14ac:dyDescent="0.35">
      <c r="A15" s="69">
        <v>43847</v>
      </c>
      <c r="B15" s="61" t="s">
        <v>78</v>
      </c>
      <c r="C15" s="62"/>
      <c r="D15" s="67">
        <v>6.15</v>
      </c>
      <c r="E15" s="41">
        <f t="shared" si="0"/>
        <v>6440.35</v>
      </c>
      <c r="F15" s="42"/>
      <c r="G15" s="26">
        <f t="shared" si="1"/>
        <v>20.294181934579161</v>
      </c>
      <c r="H15" s="42"/>
      <c r="I15" s="26">
        <f t="shared" si="2"/>
        <v>124.80921889766185</v>
      </c>
      <c r="J15" s="26">
        <f t="shared" si="3"/>
        <v>130701.6346223669</v>
      </c>
      <c r="K15" s="61"/>
      <c r="L15" s="81"/>
      <c r="M15" s="81"/>
      <c r="N15" s="81"/>
    </row>
    <row r="16" spans="1:14" s="64" customFormat="1" x14ac:dyDescent="0.35">
      <c r="A16" s="69">
        <v>43851</v>
      </c>
      <c r="B16" s="61" t="s">
        <v>82</v>
      </c>
      <c r="C16" s="62"/>
      <c r="D16" s="67">
        <f>4*3.5+4*4.3</f>
        <v>31.2</v>
      </c>
      <c r="E16" s="41">
        <f t="shared" si="0"/>
        <v>6409.1500000000005</v>
      </c>
      <c r="F16" s="42"/>
      <c r="G16" s="26">
        <f t="shared" si="1"/>
        <v>20.294181934579161</v>
      </c>
      <c r="H16" s="42"/>
      <c r="I16" s="26">
        <f t="shared" si="2"/>
        <v>633.17847635886983</v>
      </c>
      <c r="J16" s="26">
        <f t="shared" si="3"/>
        <v>130068.45614600803</v>
      </c>
      <c r="K16" s="61"/>
      <c r="L16" s="81"/>
      <c r="M16" s="81"/>
      <c r="N16" s="81"/>
    </row>
    <row r="17" spans="1:14" s="64" customFormat="1" x14ac:dyDescent="0.35">
      <c r="A17" s="69">
        <v>43859</v>
      </c>
      <c r="B17" s="61" t="s">
        <v>101</v>
      </c>
      <c r="C17" s="62"/>
      <c r="D17" s="67">
        <f>11*10.5</f>
        <v>115.5</v>
      </c>
      <c r="E17" s="41">
        <f t="shared" si="0"/>
        <v>6293.6500000000005</v>
      </c>
      <c r="F17" s="42"/>
      <c r="G17" s="26">
        <f t="shared" si="1"/>
        <v>20.294181934579161</v>
      </c>
      <c r="H17" s="42"/>
      <c r="I17" s="26">
        <f t="shared" si="2"/>
        <v>2343.9780134438929</v>
      </c>
      <c r="J17" s="26">
        <f t="shared" si="3"/>
        <v>127724.47813256414</v>
      </c>
      <c r="K17" s="61"/>
      <c r="L17" s="81"/>
      <c r="M17" s="81"/>
      <c r="N17" s="81"/>
    </row>
    <row r="18" spans="1:14" s="37" customFormat="1" x14ac:dyDescent="0.35">
      <c r="A18" s="73">
        <v>43861</v>
      </c>
      <c r="B18" s="32" t="s">
        <v>106</v>
      </c>
      <c r="C18" s="39"/>
      <c r="D18" s="40">
        <f>18*4.2</f>
        <v>75.600000000000009</v>
      </c>
      <c r="E18" s="70">
        <f t="shared" si="0"/>
        <v>6218.05</v>
      </c>
      <c r="F18" s="71"/>
      <c r="G18" s="33">
        <f t="shared" si="1"/>
        <v>20.294181934579161</v>
      </c>
      <c r="H18" s="71"/>
      <c r="I18" s="33">
        <f t="shared" si="2"/>
        <v>1534.2401542541847</v>
      </c>
      <c r="J18" s="33">
        <f t="shared" si="3"/>
        <v>126190.23797830995</v>
      </c>
      <c r="K18" s="32"/>
      <c r="L18" s="35">
        <f>SUM(I14:I18)</f>
        <v>5529.1498680760924</v>
      </c>
      <c r="M18" s="35">
        <f>SUM(L13:L18)</f>
        <v>6951.7720216900907</v>
      </c>
      <c r="N18" s="36">
        <v>43861</v>
      </c>
    </row>
    <row r="19" spans="1:14" s="64" customFormat="1" x14ac:dyDescent="0.35">
      <c r="A19" s="68">
        <v>43503</v>
      </c>
      <c r="B19" s="61" t="s">
        <v>117</v>
      </c>
      <c r="C19" s="26"/>
      <c r="D19" s="26">
        <v>0</v>
      </c>
      <c r="E19" s="41">
        <f t="shared" si="0"/>
        <v>6218.05</v>
      </c>
      <c r="F19" s="42"/>
      <c r="G19" s="26">
        <f t="shared" si="1"/>
        <v>20.294181934579161</v>
      </c>
      <c r="H19" s="42"/>
      <c r="I19" s="26">
        <f t="shared" si="2"/>
        <v>0</v>
      </c>
      <c r="J19" s="26">
        <f t="shared" si="3"/>
        <v>126190.23797830995</v>
      </c>
      <c r="K19" s="61"/>
      <c r="L19" s="81"/>
      <c r="M19" s="81"/>
      <c r="N19" s="81"/>
    </row>
    <row r="20" spans="1:14" s="64" customFormat="1" x14ac:dyDescent="0.35">
      <c r="A20" s="68">
        <v>43503</v>
      </c>
      <c r="B20" s="61" t="s">
        <v>118</v>
      </c>
      <c r="C20" s="26"/>
      <c r="D20" s="26">
        <f>5*5.75+7*7.6</f>
        <v>81.949999999999989</v>
      </c>
      <c r="E20" s="41">
        <f t="shared" si="0"/>
        <v>6136.1</v>
      </c>
      <c r="F20" s="42"/>
      <c r="G20" s="26">
        <f t="shared" si="1"/>
        <v>20.294181934579161</v>
      </c>
      <c r="H20" s="42"/>
      <c r="I20" s="26">
        <f t="shared" si="2"/>
        <v>1663.1082095387619</v>
      </c>
      <c r="J20" s="26">
        <f t="shared" si="3"/>
        <v>124527.12976877118</v>
      </c>
      <c r="K20" s="61"/>
      <c r="L20" s="81"/>
      <c r="M20" s="81"/>
      <c r="N20" s="81"/>
    </row>
    <row r="21" spans="1:14" s="37" customFormat="1" x14ac:dyDescent="0.35">
      <c r="A21" s="89">
        <v>43873</v>
      </c>
      <c r="B21" s="32" t="s">
        <v>130</v>
      </c>
      <c r="C21" s="33"/>
      <c r="D21" s="33">
        <v>4</v>
      </c>
      <c r="E21" s="70">
        <f t="shared" si="0"/>
        <v>6132.1</v>
      </c>
      <c r="F21" s="71"/>
      <c r="G21" s="33">
        <f t="shared" si="1"/>
        <v>20.294181934579157</v>
      </c>
      <c r="H21" s="71"/>
      <c r="I21" s="33">
        <f t="shared" si="2"/>
        <v>81.176727738316629</v>
      </c>
      <c r="J21" s="33">
        <f t="shared" si="3"/>
        <v>124445.95304103286</v>
      </c>
      <c r="K21" s="32"/>
      <c r="L21" s="35">
        <f>SUM(I19:I21)</f>
        <v>1744.2849372770786</v>
      </c>
      <c r="M21" s="35">
        <f>SUM(L21)</f>
        <v>1744.2849372770786</v>
      </c>
      <c r="N21" s="36">
        <v>43876</v>
      </c>
    </row>
    <row r="22" spans="1:14" s="64" customFormat="1" x14ac:dyDescent="0.35">
      <c r="A22" s="68">
        <v>43898</v>
      </c>
      <c r="B22" s="61" t="s">
        <v>182</v>
      </c>
      <c r="C22" s="26"/>
      <c r="D22" s="26">
        <f>6*4.3</f>
        <v>25.799999999999997</v>
      </c>
      <c r="E22" s="41">
        <f t="shared" si="0"/>
        <v>6106.3</v>
      </c>
      <c r="F22" s="42"/>
      <c r="G22" s="26">
        <f t="shared" si="1"/>
        <v>20.294181934579157</v>
      </c>
      <c r="H22" s="42"/>
      <c r="I22" s="26">
        <f t="shared" si="2"/>
        <v>523.5898939121422</v>
      </c>
      <c r="J22" s="26">
        <f t="shared" si="3"/>
        <v>123922.36314712072</v>
      </c>
      <c r="K22" s="61"/>
      <c r="L22" s="81"/>
      <c r="M22" s="81"/>
      <c r="N22" s="81"/>
    </row>
    <row r="23" spans="1:14" s="37" customFormat="1" x14ac:dyDescent="0.35">
      <c r="A23" s="89">
        <v>43899</v>
      </c>
      <c r="B23" s="32" t="s">
        <v>185</v>
      </c>
      <c r="C23" s="33"/>
      <c r="D23" s="33">
        <f>6*4.5</f>
        <v>27</v>
      </c>
      <c r="E23" s="70">
        <f t="shared" si="0"/>
        <v>6079.3</v>
      </c>
      <c r="F23" s="71"/>
      <c r="G23" s="33">
        <f t="shared" si="1"/>
        <v>20.294181934579157</v>
      </c>
      <c r="H23" s="71"/>
      <c r="I23" s="33">
        <f t="shared" si="2"/>
        <v>547.94291223363723</v>
      </c>
      <c r="J23" s="33">
        <f t="shared" si="3"/>
        <v>123374.42023488707</v>
      </c>
      <c r="K23" s="32"/>
      <c r="L23" s="35">
        <f>SUM(I22:I23)</f>
        <v>1071.5328061457794</v>
      </c>
      <c r="M23" s="35">
        <f>SUM(L23)</f>
        <v>1071.5328061457794</v>
      </c>
      <c r="N23" s="36">
        <v>43905</v>
      </c>
    </row>
    <row r="24" spans="1:14" s="64" customFormat="1" x14ac:dyDescent="0.35">
      <c r="A24" s="68">
        <v>44008</v>
      </c>
      <c r="B24" s="61" t="s">
        <v>262</v>
      </c>
      <c r="C24" s="26"/>
      <c r="D24" s="26">
        <f>4*3.3+4*3</f>
        <v>25.2</v>
      </c>
      <c r="E24" s="41">
        <f t="shared" si="0"/>
        <v>6054.1</v>
      </c>
      <c r="F24" s="42"/>
      <c r="G24" s="26">
        <f t="shared" si="1"/>
        <v>20.294181934579157</v>
      </c>
      <c r="H24" s="42"/>
      <c r="I24" s="26">
        <f t="shared" si="2"/>
        <v>511.41338475139474</v>
      </c>
      <c r="J24" s="26">
        <f t="shared" si="3"/>
        <v>122863.00685013569</v>
      </c>
      <c r="K24" s="61"/>
      <c r="L24" s="79"/>
      <c r="M24" s="81"/>
      <c r="N24" s="80"/>
    </row>
    <row r="25" spans="1:14" s="37" customFormat="1" x14ac:dyDescent="0.35">
      <c r="A25" s="89">
        <v>44008</v>
      </c>
      <c r="B25" s="32" t="s">
        <v>266</v>
      </c>
      <c r="C25" s="33"/>
      <c r="D25" s="33">
        <f>10*9</f>
        <v>90</v>
      </c>
      <c r="E25" s="70">
        <f t="shared" si="0"/>
        <v>5964.1</v>
      </c>
      <c r="F25" s="71"/>
      <c r="G25" s="33">
        <f t="shared" si="1"/>
        <v>20.294181934579157</v>
      </c>
      <c r="H25" s="71"/>
      <c r="I25" s="33">
        <f t="shared" si="2"/>
        <v>1826.4763741121242</v>
      </c>
      <c r="J25" s="33">
        <f t="shared" si="3"/>
        <v>121036.53047602356</v>
      </c>
      <c r="K25" s="32"/>
      <c r="L25" s="35">
        <f>SUM(I24:I25)</f>
        <v>2337.8897588635191</v>
      </c>
      <c r="M25" s="35">
        <f>SUM(L25)</f>
        <v>2337.8897588635191</v>
      </c>
      <c r="N25" s="36">
        <v>44012</v>
      </c>
    </row>
    <row r="26" spans="1:14" s="64" customFormat="1" x14ac:dyDescent="0.35">
      <c r="A26" s="68">
        <v>44008</v>
      </c>
      <c r="B26" s="61" t="s">
        <v>308</v>
      </c>
      <c r="C26" s="26">
        <v>7776.64</v>
      </c>
      <c r="D26" s="26"/>
      <c r="E26" s="41">
        <f>+E25+C26</f>
        <v>13740.740000000002</v>
      </c>
      <c r="F26" s="42">
        <f>+H26/C26</f>
        <v>20.643357542589087</v>
      </c>
      <c r="G26" s="26"/>
      <c r="H26" s="42">
        <v>160535.96</v>
      </c>
      <c r="I26" s="26"/>
      <c r="J26" s="26">
        <f>+J25+H26</f>
        <v>281572.49047602352</v>
      </c>
      <c r="K26" s="61"/>
      <c r="L26" s="79"/>
      <c r="M26" s="79"/>
      <c r="N26" s="80"/>
    </row>
    <row r="27" spans="1:14" s="37" customFormat="1" x14ac:dyDescent="0.35">
      <c r="A27" s="89">
        <v>44032</v>
      </c>
      <c r="B27" s="32" t="s">
        <v>279</v>
      </c>
      <c r="C27" s="33"/>
      <c r="D27" s="33">
        <v>2</v>
      </c>
      <c r="E27" s="70">
        <f>+E26-D27</f>
        <v>13738.740000000002</v>
      </c>
      <c r="F27" s="71"/>
      <c r="G27" s="33">
        <f>+J26/E26</f>
        <v>20.491799602934304</v>
      </c>
      <c r="H27" s="71"/>
      <c r="I27" s="33">
        <f t="shared" si="2"/>
        <v>40.983599205868607</v>
      </c>
      <c r="J27" s="33">
        <f>+J26-I27</f>
        <v>281531.50687681767</v>
      </c>
      <c r="K27" s="32"/>
      <c r="L27" s="35">
        <f>SUM(I27)</f>
        <v>40.983599205868607</v>
      </c>
      <c r="M27" s="35">
        <f>SUM(L27)</f>
        <v>40.983599205868607</v>
      </c>
      <c r="N27" s="36">
        <v>44043</v>
      </c>
    </row>
    <row r="28" spans="1:14" s="64" customFormat="1" x14ac:dyDescent="0.35">
      <c r="A28" s="68">
        <v>44063</v>
      </c>
      <c r="B28" s="61" t="s">
        <v>300</v>
      </c>
      <c r="C28" s="26"/>
      <c r="D28" s="26">
        <v>308.64</v>
      </c>
      <c r="E28" s="41">
        <f t="shared" si="0"/>
        <v>13430.100000000002</v>
      </c>
      <c r="F28" s="42"/>
      <c r="G28" s="26">
        <f t="shared" si="1"/>
        <v>20.491799602934304</v>
      </c>
      <c r="H28" s="42"/>
      <c r="I28" s="26">
        <f t="shared" si="2"/>
        <v>6324.589029449643</v>
      </c>
      <c r="J28" s="26">
        <f t="shared" si="3"/>
        <v>275206.91784736805</v>
      </c>
      <c r="K28" s="61"/>
      <c r="L28" s="79"/>
      <c r="M28" s="79"/>
      <c r="N28" s="80"/>
    </row>
    <row r="29" spans="1:14" s="64" customFormat="1" x14ac:dyDescent="0.35">
      <c r="A29" s="68">
        <v>44064</v>
      </c>
      <c r="B29" s="61" t="s">
        <v>301</v>
      </c>
      <c r="C29" s="26"/>
      <c r="D29" s="26">
        <f>5*5</f>
        <v>25</v>
      </c>
      <c r="E29" s="41">
        <f t="shared" si="0"/>
        <v>13405.100000000002</v>
      </c>
      <c r="F29" s="42"/>
      <c r="G29" s="26">
        <f t="shared" si="1"/>
        <v>20.491799602934304</v>
      </c>
      <c r="H29" s="42"/>
      <c r="I29" s="26">
        <f t="shared" si="2"/>
        <v>512.29499007335755</v>
      </c>
      <c r="J29" s="26">
        <f t="shared" si="3"/>
        <v>274694.62285729469</v>
      </c>
      <c r="K29" s="61"/>
      <c r="L29" s="81"/>
      <c r="M29" s="81"/>
      <c r="N29" s="81"/>
    </row>
    <row r="30" spans="1:14" s="37" customFormat="1" x14ac:dyDescent="0.35">
      <c r="A30" s="89">
        <v>44068</v>
      </c>
      <c r="B30" s="32" t="s">
        <v>310</v>
      </c>
      <c r="C30" s="33"/>
      <c r="D30" s="33">
        <f>4*1.68+3*2.03+4*2.19+3*2.36+4*2.54</f>
        <v>38.81</v>
      </c>
      <c r="E30" s="70">
        <f t="shared" si="0"/>
        <v>13366.290000000003</v>
      </c>
      <c r="F30" s="71"/>
      <c r="G30" s="33">
        <f t="shared" si="1"/>
        <v>20.491799602934304</v>
      </c>
      <c r="H30" s="71"/>
      <c r="I30" s="33">
        <f t="shared" si="2"/>
        <v>795.28674258988042</v>
      </c>
      <c r="J30" s="33">
        <f t="shared" si="3"/>
        <v>273899.33611470478</v>
      </c>
      <c r="K30" s="32"/>
      <c r="L30" s="35">
        <f>SUM(I28:I30)</f>
        <v>7632.1707621128808</v>
      </c>
      <c r="M30" s="35">
        <f>SUM(L30)</f>
        <v>7632.1707621128808</v>
      </c>
      <c r="N30" s="36">
        <v>44074</v>
      </c>
    </row>
    <row r="31" spans="1:14" s="64" customFormat="1" x14ac:dyDescent="0.35">
      <c r="A31" s="68">
        <v>44082</v>
      </c>
      <c r="B31" s="61" t="s">
        <v>324</v>
      </c>
      <c r="C31" s="26"/>
      <c r="D31" s="26">
        <f>2.47+2*1.95</f>
        <v>6.37</v>
      </c>
      <c r="E31" s="41">
        <f t="shared" si="0"/>
        <v>13359.920000000002</v>
      </c>
      <c r="F31" s="42"/>
      <c r="G31" s="26">
        <f t="shared" si="1"/>
        <v>20.4917996029343</v>
      </c>
      <c r="H31" s="42"/>
      <c r="I31" s="26">
        <f t="shared" si="2"/>
        <v>130.53276347069149</v>
      </c>
      <c r="J31" s="26">
        <f t="shared" si="3"/>
        <v>273768.80335123412</v>
      </c>
      <c r="K31" s="61"/>
      <c r="L31" s="79"/>
      <c r="M31" s="81"/>
      <c r="N31" s="80"/>
    </row>
    <row r="32" spans="1:14" s="37" customFormat="1" x14ac:dyDescent="0.35">
      <c r="A32" s="89">
        <v>44084</v>
      </c>
      <c r="B32" s="32" t="s">
        <v>331</v>
      </c>
      <c r="C32" s="33"/>
      <c r="D32" s="33">
        <f>5*2.65+6*3.15+4*5</f>
        <v>52.15</v>
      </c>
      <c r="E32" s="70">
        <f t="shared" si="0"/>
        <v>13307.770000000002</v>
      </c>
      <c r="F32" s="71"/>
      <c r="G32" s="33">
        <f t="shared" si="1"/>
        <v>20.491799602934304</v>
      </c>
      <c r="H32" s="71"/>
      <c r="I32" s="33">
        <f t="shared" si="2"/>
        <v>1068.6473492930238</v>
      </c>
      <c r="J32" s="33">
        <f t="shared" si="3"/>
        <v>272700.15600194107</v>
      </c>
      <c r="K32" s="32"/>
      <c r="L32" s="35">
        <f>SUM(I31:I32)</f>
        <v>1199.1801127637152</v>
      </c>
      <c r="M32" s="96"/>
      <c r="N32" s="36">
        <v>44089</v>
      </c>
    </row>
    <row r="33" spans="1:14" s="37" customFormat="1" x14ac:dyDescent="0.35">
      <c r="A33" s="89">
        <v>44098</v>
      </c>
      <c r="B33" s="32" t="s">
        <v>356</v>
      </c>
      <c r="C33" s="33"/>
      <c r="D33" s="33">
        <f>12*6.8+6*6</f>
        <v>117.6</v>
      </c>
      <c r="E33" s="70">
        <f t="shared" si="0"/>
        <v>13190.170000000002</v>
      </c>
      <c r="F33" s="71"/>
      <c r="G33" s="33">
        <f t="shared" si="1"/>
        <v>20.491799602934304</v>
      </c>
      <c r="H33" s="71"/>
      <c r="I33" s="33">
        <f t="shared" si="2"/>
        <v>2409.8356333050742</v>
      </c>
      <c r="J33" s="33">
        <f t="shared" si="3"/>
        <v>270290.32036863599</v>
      </c>
      <c r="K33" s="32"/>
      <c r="L33" s="35">
        <f>SUM(I33)</f>
        <v>2409.8356333050742</v>
      </c>
      <c r="M33" s="35">
        <f>SUM(L32:L33)</f>
        <v>3609.0157460687897</v>
      </c>
      <c r="N33" s="36">
        <v>44104</v>
      </c>
    </row>
    <row r="34" spans="1:14" s="64" customFormat="1" x14ac:dyDescent="0.35">
      <c r="A34" s="68">
        <v>44120</v>
      </c>
      <c r="B34" s="61" t="s">
        <v>401</v>
      </c>
      <c r="C34" s="26"/>
      <c r="D34" s="26">
        <f>5*2.2</f>
        <v>11</v>
      </c>
      <c r="E34" s="41">
        <f t="shared" si="0"/>
        <v>13179.170000000002</v>
      </c>
      <c r="F34" s="42"/>
      <c r="G34" s="26">
        <f t="shared" si="1"/>
        <v>20.491799602934304</v>
      </c>
      <c r="H34" s="42"/>
      <c r="I34" s="26">
        <f t="shared" si="2"/>
        <v>225.40979563227734</v>
      </c>
      <c r="J34" s="26">
        <f t="shared" si="3"/>
        <v>270064.9105730037</v>
      </c>
      <c r="K34" s="61"/>
      <c r="L34" s="79"/>
      <c r="M34" s="79"/>
      <c r="N34" s="80"/>
    </row>
    <row r="35" spans="1:14" s="64" customFormat="1" x14ac:dyDescent="0.35">
      <c r="A35" s="68">
        <v>44131</v>
      </c>
      <c r="B35" s="61" t="s">
        <v>428</v>
      </c>
      <c r="C35" s="26"/>
      <c r="D35" s="26">
        <f>2*3.2</f>
        <v>6.4</v>
      </c>
      <c r="E35" s="41">
        <f t="shared" si="0"/>
        <v>13172.770000000002</v>
      </c>
      <c r="F35" s="42"/>
      <c r="G35" s="26">
        <f t="shared" si="1"/>
        <v>20.4917996029343</v>
      </c>
      <c r="H35" s="42"/>
      <c r="I35" s="26">
        <f t="shared" si="2"/>
        <v>131.14751745877953</v>
      </c>
      <c r="J35" s="26">
        <f t="shared" si="3"/>
        <v>269933.76305554493</v>
      </c>
      <c r="K35" s="61"/>
      <c r="L35" s="81"/>
      <c r="M35" s="81"/>
      <c r="N35" s="81"/>
    </row>
    <row r="36" spans="1:14" s="64" customFormat="1" x14ac:dyDescent="0.35">
      <c r="A36" s="68">
        <v>44131</v>
      </c>
      <c r="B36" s="61" t="s">
        <v>429</v>
      </c>
      <c r="C36" s="26"/>
      <c r="D36" s="26">
        <f>7*6</f>
        <v>42</v>
      </c>
      <c r="E36" s="41">
        <f t="shared" si="0"/>
        <v>13130.770000000002</v>
      </c>
      <c r="F36" s="42"/>
      <c r="G36" s="26">
        <f t="shared" si="1"/>
        <v>20.4917996029343</v>
      </c>
      <c r="H36" s="42"/>
      <c r="I36" s="26">
        <f t="shared" si="2"/>
        <v>860.65558332324065</v>
      </c>
      <c r="J36" s="26">
        <f t="shared" si="3"/>
        <v>269073.10747222172</v>
      </c>
      <c r="K36" s="61"/>
      <c r="L36" s="79"/>
      <c r="M36" s="91"/>
      <c r="N36" s="80"/>
    </row>
    <row r="37" spans="1:14" s="64" customFormat="1" x14ac:dyDescent="0.35">
      <c r="A37" s="68">
        <v>44131</v>
      </c>
      <c r="B37" s="61" t="s">
        <v>430</v>
      </c>
      <c r="C37" s="26"/>
      <c r="D37" s="26">
        <f>11*6</f>
        <v>66</v>
      </c>
      <c r="E37" s="41">
        <f t="shared" ref="E37:E46" si="4">+E36-D37</f>
        <v>13064.770000000002</v>
      </c>
      <c r="F37" s="42"/>
      <c r="G37" s="26">
        <f t="shared" ref="G37:G46" si="5">+J36/E36</f>
        <v>20.491799602934304</v>
      </c>
      <c r="H37" s="42"/>
      <c r="I37" s="26">
        <f t="shared" ref="I37:I46" si="6">+D37*G37</f>
        <v>1352.458773793664</v>
      </c>
      <c r="J37" s="26">
        <f t="shared" ref="J37:J46" si="7">+J36-I37</f>
        <v>267720.64869842806</v>
      </c>
      <c r="K37" s="61"/>
      <c r="L37" s="79"/>
      <c r="M37" s="91"/>
      <c r="N37" s="80"/>
    </row>
    <row r="38" spans="1:14" s="37" customFormat="1" x14ac:dyDescent="0.35">
      <c r="A38" s="89">
        <v>44134</v>
      </c>
      <c r="B38" s="32" t="s">
        <v>431</v>
      </c>
      <c r="C38" s="33"/>
      <c r="D38" s="33">
        <f>10*4.45+4*4+4.55+5*2.6+3*1.85</f>
        <v>83.6</v>
      </c>
      <c r="E38" s="70">
        <f t="shared" si="4"/>
        <v>12981.170000000002</v>
      </c>
      <c r="F38" s="71"/>
      <c r="G38" s="33">
        <f t="shared" si="5"/>
        <v>20.491799602934304</v>
      </c>
      <c r="H38" s="71"/>
      <c r="I38" s="33">
        <f t="shared" si="6"/>
        <v>1713.1144468053076</v>
      </c>
      <c r="J38" s="33">
        <f t="shared" si="7"/>
        <v>266007.53425162274</v>
      </c>
      <c r="K38" s="32"/>
      <c r="L38" s="35">
        <f>SUM(I34:I38)</f>
        <v>4282.7861170132692</v>
      </c>
      <c r="M38" s="98">
        <f>SUM(L38)</f>
        <v>4282.7861170132692</v>
      </c>
      <c r="N38" s="36">
        <v>44119</v>
      </c>
    </row>
    <row r="39" spans="1:14" s="64" customFormat="1" x14ac:dyDescent="0.35">
      <c r="A39" s="68">
        <v>44142</v>
      </c>
      <c r="B39" s="61" t="s">
        <v>439</v>
      </c>
      <c r="C39" s="26"/>
      <c r="D39" s="26">
        <f>9*3.7</f>
        <v>33.300000000000004</v>
      </c>
      <c r="E39" s="41">
        <f t="shared" si="4"/>
        <v>12947.870000000003</v>
      </c>
      <c r="F39" s="42"/>
      <c r="G39" s="26">
        <f t="shared" si="5"/>
        <v>20.491799602934304</v>
      </c>
      <c r="H39" s="42"/>
      <c r="I39" s="26">
        <f t="shared" si="6"/>
        <v>682.37692677771236</v>
      </c>
      <c r="J39" s="26">
        <f t="shared" si="7"/>
        <v>265325.15732484503</v>
      </c>
      <c r="K39" s="61"/>
      <c r="L39" s="79"/>
      <c r="M39" s="91"/>
      <c r="N39" s="80"/>
    </row>
    <row r="40" spans="1:14" s="64" customFormat="1" x14ac:dyDescent="0.35">
      <c r="A40" s="68">
        <v>44144</v>
      </c>
      <c r="B40" s="61" t="s">
        <v>440</v>
      </c>
      <c r="C40" s="26"/>
      <c r="D40" s="26">
        <f>3*4.5</f>
        <v>13.5</v>
      </c>
      <c r="E40" s="41">
        <f t="shared" si="4"/>
        <v>12934.370000000003</v>
      </c>
      <c r="F40" s="42"/>
      <c r="G40" s="26">
        <f t="shared" si="5"/>
        <v>20.491799602934304</v>
      </c>
      <c r="H40" s="42"/>
      <c r="I40" s="26">
        <f t="shared" si="6"/>
        <v>276.63929463961313</v>
      </c>
      <c r="J40" s="26">
        <f t="shared" si="7"/>
        <v>265048.51803020539</v>
      </c>
      <c r="K40" s="61"/>
      <c r="L40" s="79"/>
      <c r="M40" s="91"/>
      <c r="N40" s="80"/>
    </row>
    <row r="41" spans="1:14" s="37" customFormat="1" x14ac:dyDescent="0.35">
      <c r="A41" s="89">
        <v>44147</v>
      </c>
      <c r="B41" s="32" t="s">
        <v>445</v>
      </c>
      <c r="C41" s="33"/>
      <c r="D41" s="33">
        <f>9*3.3</f>
        <v>29.7</v>
      </c>
      <c r="E41" s="70">
        <f t="shared" si="4"/>
        <v>12904.670000000002</v>
      </c>
      <c r="F41" s="71"/>
      <c r="G41" s="33">
        <f t="shared" si="5"/>
        <v>20.4917996029343</v>
      </c>
      <c r="H41" s="71"/>
      <c r="I41" s="33">
        <f t="shared" si="6"/>
        <v>608.60644820714867</v>
      </c>
      <c r="J41" s="33">
        <f t="shared" si="7"/>
        <v>264439.91158199823</v>
      </c>
      <c r="K41" s="32"/>
      <c r="L41" s="35">
        <f>SUM(I39:I41)</f>
        <v>1567.6226696244742</v>
      </c>
      <c r="M41" s="98"/>
      <c r="N41" s="36">
        <v>44150</v>
      </c>
    </row>
    <row r="42" spans="1:14" s="64" customFormat="1" x14ac:dyDescent="0.35">
      <c r="A42" s="68">
        <v>44161</v>
      </c>
      <c r="B42" s="61" t="s">
        <v>469</v>
      </c>
      <c r="C42" s="26"/>
      <c r="D42" s="26">
        <v>70.400000000000006</v>
      </c>
      <c r="E42" s="41">
        <f t="shared" si="4"/>
        <v>12834.270000000002</v>
      </c>
      <c r="F42" s="42"/>
      <c r="G42" s="26">
        <f t="shared" si="5"/>
        <v>20.4917996029343</v>
      </c>
      <c r="H42" s="42"/>
      <c r="I42" s="26">
        <f t="shared" si="6"/>
        <v>1442.6226920465749</v>
      </c>
      <c r="J42" s="26">
        <f t="shared" si="7"/>
        <v>262997.28888995165</v>
      </c>
      <c r="K42" s="61"/>
      <c r="L42" s="79"/>
      <c r="M42" s="91"/>
      <c r="N42" s="80"/>
    </row>
    <row r="43" spans="1:14" s="37" customFormat="1" x14ac:dyDescent="0.35">
      <c r="A43" s="89">
        <v>44165</v>
      </c>
      <c r="B43" s="32" t="s">
        <v>475</v>
      </c>
      <c r="C43" s="33"/>
      <c r="D43" s="33">
        <f>2*4.15+3*3.45</f>
        <v>18.650000000000002</v>
      </c>
      <c r="E43" s="70">
        <f t="shared" si="4"/>
        <v>12815.620000000003</v>
      </c>
      <c r="F43" s="71"/>
      <c r="G43" s="33">
        <f t="shared" si="5"/>
        <v>20.4917996029343</v>
      </c>
      <c r="H43" s="71"/>
      <c r="I43" s="33">
        <f t="shared" si="6"/>
        <v>382.17206259472476</v>
      </c>
      <c r="J43" s="33">
        <f t="shared" si="7"/>
        <v>262615.11682735692</v>
      </c>
      <c r="K43" s="32"/>
      <c r="L43" s="35">
        <f>SUM(I42:I43)</f>
        <v>1824.7947546412997</v>
      </c>
      <c r="M43" s="98">
        <f>SUM(L41:L43)</f>
        <v>3392.4174242657737</v>
      </c>
      <c r="N43" s="36">
        <v>44165</v>
      </c>
    </row>
    <row r="44" spans="1:14" s="64" customFormat="1" x14ac:dyDescent="0.35">
      <c r="A44" s="68">
        <v>44167</v>
      </c>
      <c r="B44" s="61" t="s">
        <v>481</v>
      </c>
      <c r="C44" s="26"/>
      <c r="D44" s="26">
        <f>11*4.9</f>
        <v>53.900000000000006</v>
      </c>
      <c r="E44" s="41">
        <f t="shared" si="4"/>
        <v>12761.720000000003</v>
      </c>
      <c r="F44" s="42"/>
      <c r="G44" s="26">
        <f t="shared" si="5"/>
        <v>20.4917996029343</v>
      </c>
      <c r="H44" s="42"/>
      <c r="I44" s="26">
        <f t="shared" si="6"/>
        <v>1104.5079985981588</v>
      </c>
      <c r="J44" s="26">
        <f t="shared" si="7"/>
        <v>261510.60882875876</v>
      </c>
      <c r="K44" s="61"/>
      <c r="L44" s="79"/>
      <c r="M44" s="91"/>
      <c r="N44" s="80"/>
    </row>
    <row r="45" spans="1:14" s="64" customFormat="1" x14ac:dyDescent="0.35">
      <c r="A45" s="68">
        <v>44175</v>
      </c>
      <c r="B45" s="61" t="s">
        <v>494</v>
      </c>
      <c r="C45" s="26"/>
      <c r="D45" s="26">
        <f>3*3+2.5</f>
        <v>11.5</v>
      </c>
      <c r="E45" s="41">
        <f t="shared" si="4"/>
        <v>12750.220000000003</v>
      </c>
      <c r="F45" s="42"/>
      <c r="G45" s="26">
        <f t="shared" si="5"/>
        <v>20.4917996029343</v>
      </c>
      <c r="H45" s="42"/>
      <c r="I45" s="26">
        <f t="shared" si="6"/>
        <v>235.65569543374446</v>
      </c>
      <c r="J45" s="26">
        <f t="shared" si="7"/>
        <v>261274.95313332501</v>
      </c>
      <c r="K45" s="61"/>
      <c r="L45" s="79"/>
      <c r="M45" s="91"/>
      <c r="N45" s="80"/>
    </row>
    <row r="46" spans="1:14" s="37" customFormat="1" x14ac:dyDescent="0.35">
      <c r="A46" s="89">
        <v>44175</v>
      </c>
      <c r="B46" s="32" t="s">
        <v>499</v>
      </c>
      <c r="C46" s="33"/>
      <c r="D46" s="33">
        <f>3*4.6</f>
        <v>13.799999999999999</v>
      </c>
      <c r="E46" s="70">
        <f t="shared" si="4"/>
        <v>12736.420000000004</v>
      </c>
      <c r="F46" s="71"/>
      <c r="G46" s="33">
        <f t="shared" si="5"/>
        <v>20.491799602934297</v>
      </c>
      <c r="H46" s="71"/>
      <c r="I46" s="33">
        <f t="shared" si="6"/>
        <v>282.78683452049324</v>
      </c>
      <c r="J46" s="33">
        <f t="shared" si="7"/>
        <v>260992.16629880451</v>
      </c>
      <c r="K46" s="32"/>
      <c r="L46" s="35">
        <f>SUM(I44:I46)</f>
        <v>1622.9505285523965</v>
      </c>
      <c r="M46" s="98">
        <f>SUM(L46)</f>
        <v>1622.9505285523965</v>
      </c>
      <c r="N46" s="36">
        <v>44180</v>
      </c>
    </row>
    <row r="47" spans="1:14" s="64" customFormat="1" ht="15" thickBot="1" x14ac:dyDescent="0.4">
      <c r="A47" s="68"/>
      <c r="B47" s="61" t="s">
        <v>34</v>
      </c>
      <c r="C47" s="26">
        <f>SUM(C9:C46)</f>
        <v>14337.240000000002</v>
      </c>
      <c r="D47" s="26">
        <f>SUM(D9:D46)</f>
        <v>1600.8200000000002</v>
      </c>
      <c r="E47" s="41"/>
      <c r="F47" s="42"/>
      <c r="G47" s="26"/>
      <c r="H47" s="26">
        <f t="shared" ref="H47:I47" si="8">SUM(H9:H46)</f>
        <v>293677.96999999997</v>
      </c>
      <c r="I47" s="26">
        <f t="shared" si="8"/>
        <v>32685.80370119544</v>
      </c>
      <c r="J47" s="26"/>
      <c r="K47" s="61"/>
      <c r="L47" s="81"/>
      <c r="M47" s="103">
        <f>SUM(M13:M46)</f>
        <v>32685.803701195448</v>
      </c>
      <c r="N47" s="81"/>
    </row>
    <row r="48" spans="1:14" ht="15" thickTop="1" x14ac:dyDescent="0.35">
      <c r="L48" s="1"/>
      <c r="M48" s="48"/>
      <c r="N48" s="1"/>
    </row>
    <row r="49" spans="1:10" x14ac:dyDescent="0.35">
      <c r="I49" s="49"/>
      <c r="J49" s="49"/>
    </row>
    <row r="50" spans="1:10" x14ac:dyDescent="0.35">
      <c r="A50" s="50" t="s">
        <v>23</v>
      </c>
      <c r="B50" s="5"/>
      <c r="C50" s="4"/>
      <c r="D50" s="4"/>
      <c r="E50" s="4"/>
      <c r="F50" s="4"/>
      <c r="G50" s="1"/>
      <c r="H50" s="1"/>
      <c r="I50" s="1"/>
      <c r="J50" s="1"/>
    </row>
    <row r="51" spans="1:10" x14ac:dyDescent="0.35">
      <c r="A51" s="50" t="s">
        <v>36</v>
      </c>
      <c r="B51" s="5"/>
      <c r="C51" s="4"/>
      <c r="D51" s="4"/>
      <c r="E51" s="4"/>
      <c r="F51" s="4"/>
      <c r="G51" s="1"/>
      <c r="H51" s="1"/>
      <c r="I51" s="1"/>
      <c r="J51" s="51">
        <f>+E46*F26</f>
        <v>262922.47187258257</v>
      </c>
    </row>
    <row r="52" spans="1:10" x14ac:dyDescent="0.35">
      <c r="A52" s="50" t="s">
        <v>24</v>
      </c>
      <c r="B52" s="5"/>
      <c r="C52" s="4"/>
      <c r="D52" s="4"/>
      <c r="E52" s="4"/>
      <c r="F52" s="4"/>
      <c r="G52" s="1"/>
      <c r="H52" s="1"/>
      <c r="I52" s="1"/>
      <c r="J52" s="52">
        <f>+J46</f>
        <v>260992.16629880451</v>
      </c>
    </row>
    <row r="53" spans="1:10" ht="15" thickBot="1" x14ac:dyDescent="0.4">
      <c r="A53" s="50"/>
      <c r="B53" s="5" t="s">
        <v>25</v>
      </c>
      <c r="C53" s="4"/>
      <c r="D53" s="4"/>
      <c r="E53" s="4"/>
      <c r="F53" s="4"/>
      <c r="G53" s="1"/>
      <c r="H53" s="1"/>
      <c r="I53" s="1"/>
      <c r="J53" s="53">
        <f>+J51-J52</f>
        <v>1930.3055737780523</v>
      </c>
    </row>
    <row r="54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>
      <selection activeCell="B29" sqref="B29"/>
    </sheetView>
  </sheetViews>
  <sheetFormatPr baseColWidth="10" defaultRowHeight="14.5" x14ac:dyDescent="0.35"/>
  <cols>
    <col min="2" max="2" width="37.1796875" customWidth="1"/>
    <col min="12" max="12" width="10.6328125" customWidth="1"/>
    <col min="13" max="13" width="10.36328125" customWidth="1"/>
    <col min="14" max="14" width="9.9062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  <c r="L1" s="1"/>
      <c r="M1" s="1"/>
      <c r="N1" s="1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307</v>
      </c>
      <c r="I2" s="4"/>
      <c r="J2" s="4"/>
      <c r="K2" s="111"/>
      <c r="L2" s="1"/>
      <c r="M2" s="1"/>
      <c r="N2" s="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  <c r="L3" s="1"/>
      <c r="M3" s="1"/>
      <c r="N3" s="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  <c r="L4" s="1"/>
      <c r="M4" s="1"/>
      <c r="N4" s="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  <c r="L5" s="1"/>
      <c r="M5" s="1"/>
      <c r="N5" s="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  <c r="L6" s="1"/>
      <c r="M6" s="1"/>
      <c r="N6" s="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  <c r="L7" s="1"/>
      <c r="M7" s="1"/>
      <c r="N7" s="1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44032</v>
      </c>
      <c r="B9" s="61" t="s">
        <v>306</v>
      </c>
      <c r="C9" s="25">
        <v>1195.96</v>
      </c>
      <c r="D9" s="26"/>
      <c r="E9" s="27">
        <f>+C9</f>
        <v>1195.96</v>
      </c>
      <c r="F9" s="26">
        <f>+H9/C9</f>
        <v>21.241287334024548</v>
      </c>
      <c r="G9" s="26"/>
      <c r="H9" s="28">
        <v>25403.73</v>
      </c>
      <c r="I9" s="29"/>
      <c r="J9" s="29">
        <f>+H9</f>
        <v>25403.73</v>
      </c>
      <c r="K9" s="118"/>
      <c r="L9" s="1"/>
      <c r="M9" s="1"/>
      <c r="N9" s="1"/>
    </row>
    <row r="10" spans="1:14" s="64" customFormat="1" x14ac:dyDescent="0.35">
      <c r="A10" s="117">
        <v>44098</v>
      </c>
      <c r="B10" s="61" t="s">
        <v>357</v>
      </c>
      <c r="C10" s="26"/>
      <c r="D10" s="26">
        <v>10</v>
      </c>
      <c r="E10" s="41">
        <f>+E9-D10</f>
        <v>1185.96</v>
      </c>
      <c r="F10" s="42"/>
      <c r="G10" s="26">
        <f>+J9/E9</f>
        <v>21.241287334024548</v>
      </c>
      <c r="H10" s="42"/>
      <c r="I10" s="26">
        <f>+D10*G10</f>
        <v>212.41287334024548</v>
      </c>
      <c r="J10" s="26">
        <f>+J9-I10</f>
        <v>25191.317126659753</v>
      </c>
      <c r="K10" s="61"/>
      <c r="L10" s="81"/>
      <c r="M10" s="81"/>
      <c r="N10" s="81"/>
    </row>
    <row r="11" spans="1:14" s="37" customFormat="1" x14ac:dyDescent="0.35">
      <c r="A11" s="119">
        <v>44103</v>
      </c>
      <c r="B11" s="32" t="s">
        <v>367</v>
      </c>
      <c r="C11" s="33"/>
      <c r="D11" s="33">
        <v>4.5</v>
      </c>
      <c r="E11" s="70">
        <f t="shared" ref="E11:E15" si="0">+E10-D11</f>
        <v>1181.46</v>
      </c>
      <c r="F11" s="71"/>
      <c r="G11" s="33">
        <f t="shared" ref="G11" si="1">+J10/E10</f>
        <v>21.241287334024548</v>
      </c>
      <c r="H11" s="71"/>
      <c r="I11" s="33">
        <f t="shared" ref="I11" si="2">+D11*G11</f>
        <v>95.585793003110467</v>
      </c>
      <c r="J11" s="33">
        <f t="shared" ref="J11" si="3">+J10-I11</f>
        <v>25095.731333656644</v>
      </c>
      <c r="K11" s="32"/>
      <c r="L11" s="35">
        <f>SUM(I10:I11)</f>
        <v>307.99866634335592</v>
      </c>
      <c r="M11" s="35">
        <f>SUM(L11)</f>
        <v>307.99866634335592</v>
      </c>
      <c r="N11" s="36">
        <v>44104</v>
      </c>
    </row>
    <row r="12" spans="1:14" s="37" customFormat="1" x14ac:dyDescent="0.35">
      <c r="A12" s="119">
        <v>44117</v>
      </c>
      <c r="B12" s="32" t="s">
        <v>392</v>
      </c>
      <c r="C12" s="33"/>
      <c r="D12" s="33">
        <v>60</v>
      </c>
      <c r="E12" s="70">
        <f t="shared" si="0"/>
        <v>1121.46</v>
      </c>
      <c r="F12" s="71"/>
      <c r="G12" s="33">
        <f t="shared" ref="G12:G15" si="4">+J11/E11</f>
        <v>21.241287334024548</v>
      </c>
      <c r="H12" s="71"/>
      <c r="I12" s="33">
        <f t="shared" ref="I12:I15" si="5">+D12*G12</f>
        <v>1274.4772400414729</v>
      </c>
      <c r="J12" s="33">
        <f t="shared" ref="J12:J15" si="6">+J11-I12</f>
        <v>23821.254093615171</v>
      </c>
      <c r="K12" s="32"/>
      <c r="L12" s="35">
        <f>SUM(I12:I12)</f>
        <v>1274.4772400414729</v>
      </c>
      <c r="M12" s="96"/>
      <c r="N12" s="36">
        <v>44119</v>
      </c>
    </row>
    <row r="13" spans="1:14" s="64" customFormat="1" x14ac:dyDescent="0.35">
      <c r="A13" s="117">
        <v>44126</v>
      </c>
      <c r="B13" s="61" t="s">
        <v>417</v>
      </c>
      <c r="C13" s="26"/>
      <c r="D13" s="26">
        <v>11</v>
      </c>
      <c r="E13" s="41">
        <f t="shared" si="0"/>
        <v>1110.46</v>
      </c>
      <c r="F13" s="42"/>
      <c r="G13" s="26">
        <f t="shared" si="4"/>
        <v>21.241287334024548</v>
      </c>
      <c r="H13" s="42"/>
      <c r="I13" s="26">
        <f t="shared" si="5"/>
        <v>233.65416067427003</v>
      </c>
      <c r="J13" s="26">
        <f t="shared" si="6"/>
        <v>23587.599932940902</v>
      </c>
      <c r="K13" s="61"/>
      <c r="L13" s="79"/>
      <c r="M13" s="81"/>
      <c r="N13" s="80"/>
    </row>
    <row r="14" spans="1:14" s="37" customFormat="1" x14ac:dyDescent="0.35">
      <c r="A14" s="73">
        <v>44131</v>
      </c>
      <c r="B14" s="32" t="s">
        <v>427</v>
      </c>
      <c r="C14" s="39"/>
      <c r="D14" s="40">
        <v>2</v>
      </c>
      <c r="E14" s="70">
        <f t="shared" si="0"/>
        <v>1108.46</v>
      </c>
      <c r="F14" s="71"/>
      <c r="G14" s="33">
        <f t="shared" si="4"/>
        <v>21.241287334024548</v>
      </c>
      <c r="H14" s="71"/>
      <c r="I14" s="33">
        <f t="shared" si="5"/>
        <v>42.482574668049097</v>
      </c>
      <c r="J14" s="33">
        <f t="shared" si="6"/>
        <v>23545.117358272852</v>
      </c>
      <c r="K14" s="32"/>
      <c r="L14" s="35">
        <f>SUM(I13:I14)</f>
        <v>276.13673534231913</v>
      </c>
      <c r="M14" s="35">
        <f>SUM(L12:L14)</f>
        <v>1550.613975383792</v>
      </c>
      <c r="N14" s="36">
        <v>44135</v>
      </c>
    </row>
    <row r="15" spans="1:14" s="37" customFormat="1" x14ac:dyDescent="0.35">
      <c r="A15" s="73">
        <v>44147</v>
      </c>
      <c r="B15" s="32" t="s">
        <v>442</v>
      </c>
      <c r="C15" s="39"/>
      <c r="D15" s="40">
        <v>2</v>
      </c>
      <c r="E15" s="70">
        <f t="shared" si="0"/>
        <v>1106.46</v>
      </c>
      <c r="F15" s="71"/>
      <c r="G15" s="33">
        <f t="shared" si="4"/>
        <v>21.241287334024548</v>
      </c>
      <c r="H15" s="71"/>
      <c r="I15" s="33">
        <f t="shared" si="5"/>
        <v>42.482574668049097</v>
      </c>
      <c r="J15" s="33">
        <f t="shared" si="6"/>
        <v>23502.634783604801</v>
      </c>
      <c r="K15" s="32"/>
      <c r="L15" s="35">
        <f>SUM(I15)</f>
        <v>42.482574668049097</v>
      </c>
      <c r="M15" s="35">
        <f>SUM(L15)</f>
        <v>42.482574668049097</v>
      </c>
      <c r="N15" s="36">
        <v>44150</v>
      </c>
    </row>
    <row r="16" spans="1:14" s="64" customFormat="1" x14ac:dyDescent="0.35">
      <c r="A16" s="117"/>
      <c r="B16" s="61" t="s">
        <v>34</v>
      </c>
      <c r="C16" s="26">
        <f>SUM(C9:C15)</f>
        <v>1195.96</v>
      </c>
      <c r="D16" s="26">
        <f>SUM(D9:D15)</f>
        <v>89.5</v>
      </c>
      <c r="E16" s="41"/>
      <c r="F16" s="42"/>
      <c r="G16" s="26"/>
      <c r="H16" s="26">
        <f>SUM(H9:H15)</f>
        <v>25403.73</v>
      </c>
      <c r="I16" s="26">
        <f>SUM(I9:I15)</f>
        <v>1901.095216395197</v>
      </c>
      <c r="J16" s="26"/>
      <c r="K16" s="61"/>
      <c r="L16" s="81"/>
      <c r="M16" s="79">
        <f>SUM(M11:M15)</f>
        <v>1901.095216395197</v>
      </c>
      <c r="N16" s="81"/>
    </row>
    <row r="17" spans="1:14" x14ac:dyDescent="0.35">
      <c r="L17" s="1"/>
      <c r="M17" s="48"/>
      <c r="N17" s="1"/>
    </row>
    <row r="18" spans="1:14" x14ac:dyDescent="0.35">
      <c r="I18" s="49"/>
      <c r="J18" s="49"/>
    </row>
    <row r="19" spans="1:14" x14ac:dyDescent="0.35">
      <c r="A19" s="50" t="s">
        <v>23</v>
      </c>
      <c r="B19" s="5"/>
      <c r="C19" s="4"/>
      <c r="D19" s="4"/>
      <c r="E19" s="4"/>
      <c r="F19" s="4"/>
      <c r="G19" s="1"/>
      <c r="H19" s="1"/>
      <c r="I19" s="1"/>
      <c r="J19" s="1"/>
    </row>
    <row r="20" spans="1:14" x14ac:dyDescent="0.35">
      <c r="A20" s="50" t="s">
        <v>36</v>
      </c>
      <c r="B20" s="5"/>
      <c r="C20" s="4"/>
      <c r="D20" s="4"/>
      <c r="E20" s="4"/>
      <c r="F20" s="4"/>
      <c r="G20" s="1"/>
      <c r="H20" s="1"/>
      <c r="I20" s="1"/>
      <c r="J20" s="51">
        <f>+E15*F9</f>
        <v>23502.634783604801</v>
      </c>
    </row>
    <row r="21" spans="1:14" x14ac:dyDescent="0.35">
      <c r="A21" s="50" t="s">
        <v>24</v>
      </c>
      <c r="B21" s="5"/>
      <c r="C21" s="4"/>
      <c r="D21" s="4"/>
      <c r="E21" s="4"/>
      <c r="F21" s="4"/>
      <c r="G21" s="1"/>
      <c r="H21" s="1"/>
      <c r="I21" s="1"/>
      <c r="J21" s="52">
        <f>+J15</f>
        <v>23502.634783604801</v>
      </c>
    </row>
    <row r="22" spans="1:14" ht="15" thickBot="1" x14ac:dyDescent="0.4">
      <c r="A22" s="50"/>
      <c r="B22" s="5" t="s">
        <v>25</v>
      </c>
      <c r="C22" s="4"/>
      <c r="D22" s="4"/>
      <c r="E22" s="4"/>
      <c r="F22" s="4"/>
      <c r="G22" s="1"/>
      <c r="H22" s="1"/>
      <c r="I22" s="1"/>
      <c r="J22" s="53">
        <f>+J20-J21</f>
        <v>0</v>
      </c>
    </row>
    <row r="23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6"/>
  <sheetViews>
    <sheetView workbookViewId="0">
      <selection activeCell="G17" sqref="G17"/>
    </sheetView>
  </sheetViews>
  <sheetFormatPr baseColWidth="10" defaultRowHeight="14.5" x14ac:dyDescent="0.35"/>
  <cols>
    <col min="2" max="2" width="37.1796875" customWidth="1"/>
    <col min="12" max="12" width="10.6328125" customWidth="1"/>
    <col min="13" max="13" width="10.36328125" customWidth="1"/>
    <col min="14" max="14" width="9.9062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  <c r="L1" s="1"/>
      <c r="M1" s="1"/>
      <c r="N1" s="1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336</v>
      </c>
      <c r="I2" s="4"/>
      <c r="J2" s="4"/>
      <c r="K2" s="111"/>
      <c r="L2" s="1"/>
      <c r="M2" s="1"/>
      <c r="N2" s="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  <c r="L3" s="1"/>
      <c r="M3" s="1"/>
      <c r="N3" s="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  <c r="L4" s="1"/>
      <c r="M4" s="1"/>
      <c r="N4" s="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  <c r="L5" s="1"/>
      <c r="M5" s="1"/>
      <c r="N5" s="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  <c r="L6" s="1"/>
      <c r="M6" s="1"/>
      <c r="N6" s="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  <c r="L7" s="1"/>
      <c r="M7" s="1"/>
      <c r="N7" s="1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44076</v>
      </c>
      <c r="B9" s="61" t="s">
        <v>337</v>
      </c>
      <c r="C9" s="25">
        <v>50</v>
      </c>
      <c r="D9" s="26"/>
      <c r="E9" s="27">
        <f>+C9</f>
        <v>50</v>
      </c>
      <c r="F9" s="26">
        <f>+H9/C9</f>
        <v>0.24864600000000001</v>
      </c>
      <c r="G9" s="26"/>
      <c r="H9" s="28">
        <f>14.29*0.87</f>
        <v>12.4323</v>
      </c>
      <c r="I9" s="29"/>
      <c r="J9" s="29">
        <f>+H9</f>
        <v>12.4323</v>
      </c>
      <c r="K9" s="118"/>
      <c r="L9" s="1"/>
      <c r="M9" s="1"/>
      <c r="N9" s="1"/>
    </row>
    <row r="10" spans="1:14" s="37" customFormat="1" x14ac:dyDescent="0.35">
      <c r="A10" s="119">
        <v>44082</v>
      </c>
      <c r="B10" s="32" t="s">
        <v>344</v>
      </c>
      <c r="C10" s="33"/>
      <c r="D10" s="33">
        <v>50</v>
      </c>
      <c r="E10" s="70">
        <f>+E9-D10</f>
        <v>0</v>
      </c>
      <c r="F10" s="71"/>
      <c r="G10" s="33">
        <f>+J9/E9</f>
        <v>0.24864600000000001</v>
      </c>
      <c r="H10" s="71"/>
      <c r="I10" s="33">
        <f>+D10*G10</f>
        <v>12.4323</v>
      </c>
      <c r="J10" s="33">
        <f>+J9-I10</f>
        <v>0</v>
      </c>
      <c r="K10" s="32"/>
      <c r="L10" s="35">
        <f>SUM(I10)</f>
        <v>12.4323</v>
      </c>
      <c r="M10" s="35">
        <f>SUM(L10)</f>
        <v>12.4323</v>
      </c>
      <c r="N10" s="36">
        <v>44089</v>
      </c>
    </row>
    <row r="11" spans="1:14" ht="15" thickBot="1" x14ac:dyDescent="0.4">
      <c r="A11" s="76"/>
      <c r="B11" s="76" t="s">
        <v>345</v>
      </c>
      <c r="C11" s="28">
        <f>SUM(C9:C10)</f>
        <v>50</v>
      </c>
      <c r="D11" s="28">
        <f>SUM(D9:D10)</f>
        <v>50</v>
      </c>
      <c r="E11" s="76"/>
      <c r="F11" s="76"/>
      <c r="G11" s="76"/>
      <c r="H11" s="28">
        <f t="shared" ref="H11:I11" si="0">SUM(H9:H10)</f>
        <v>12.4323</v>
      </c>
      <c r="I11" s="28">
        <f t="shared" si="0"/>
        <v>12.4323</v>
      </c>
      <c r="J11" s="28"/>
      <c r="K11" s="76"/>
      <c r="L11" s="1"/>
      <c r="M11" s="105">
        <f>SUM(M10)</f>
        <v>12.4323</v>
      </c>
      <c r="N11" s="1"/>
    </row>
    <row r="12" spans="1:14" ht="15" thickTop="1" x14ac:dyDescent="0.35">
      <c r="A12" s="50" t="s">
        <v>23</v>
      </c>
      <c r="B12" s="5"/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50" t="s">
        <v>36</v>
      </c>
      <c r="B13" s="5"/>
      <c r="C13" s="4"/>
      <c r="D13" s="4"/>
      <c r="E13" s="4"/>
      <c r="F13" s="4"/>
      <c r="G13" s="1"/>
      <c r="H13" s="1"/>
      <c r="I13" s="1"/>
      <c r="J13" s="51">
        <f>+E10*F9</f>
        <v>0</v>
      </c>
    </row>
    <row r="14" spans="1:14" x14ac:dyDescent="0.35">
      <c r="A14" s="50" t="s">
        <v>24</v>
      </c>
      <c r="B14" s="5"/>
      <c r="C14" s="4"/>
      <c r="D14" s="4"/>
      <c r="E14" s="4"/>
      <c r="F14" s="4"/>
      <c r="G14" s="1"/>
      <c r="H14" s="1"/>
      <c r="I14" s="1"/>
      <c r="J14" s="52">
        <f>+J10</f>
        <v>0</v>
      </c>
    </row>
    <row r="15" spans="1:14" ht="15" thickBot="1" x14ac:dyDescent="0.4">
      <c r="A15" s="50"/>
      <c r="B15" s="5" t="s">
        <v>25</v>
      </c>
      <c r="C15" s="4"/>
      <c r="D15" s="4"/>
      <c r="E15" s="4"/>
      <c r="F15" s="4"/>
      <c r="G15" s="1"/>
      <c r="H15" s="1"/>
      <c r="I15" s="1"/>
      <c r="J15" s="53">
        <f>+J13-J14</f>
        <v>0</v>
      </c>
    </row>
    <row r="16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8"/>
  <sheetViews>
    <sheetView workbookViewId="0">
      <selection activeCell="E16" sqref="E16"/>
    </sheetView>
  </sheetViews>
  <sheetFormatPr baseColWidth="10" defaultRowHeight="14.5" x14ac:dyDescent="0.35"/>
  <cols>
    <col min="2" max="2" width="37.1796875" customWidth="1"/>
    <col min="12" max="12" width="10.6328125" customWidth="1"/>
    <col min="13" max="13" width="10.36328125" customWidth="1"/>
    <col min="14" max="14" width="9.9062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  <c r="L1" s="1"/>
      <c r="M1" s="1"/>
      <c r="N1" s="1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338</v>
      </c>
      <c r="I2" s="4"/>
      <c r="J2" s="4"/>
      <c r="K2" s="111"/>
      <c r="L2" s="1"/>
      <c r="M2" s="1"/>
      <c r="N2" s="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  <c r="L3" s="1"/>
      <c r="M3" s="1"/>
      <c r="N3" s="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  <c r="L4" s="1"/>
      <c r="M4" s="1"/>
      <c r="N4" s="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  <c r="L5" s="1"/>
      <c r="M5" s="1"/>
      <c r="N5" s="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  <c r="L6" s="1"/>
      <c r="M6" s="1"/>
      <c r="N6" s="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  <c r="L7" s="1"/>
      <c r="M7" s="1"/>
      <c r="N7" s="1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44076</v>
      </c>
      <c r="B9" s="61" t="s">
        <v>339</v>
      </c>
      <c r="C9" s="25">
        <v>650</v>
      </c>
      <c r="D9" s="26"/>
      <c r="E9" s="27">
        <f>+C9</f>
        <v>650</v>
      </c>
      <c r="F9" s="26">
        <f>+H9/C9</f>
        <v>0.25612800000000002</v>
      </c>
      <c r="G9" s="26"/>
      <c r="H9" s="28">
        <f>191.36*0.87</f>
        <v>166.48320000000001</v>
      </c>
      <c r="I9" s="29"/>
      <c r="J9" s="29">
        <f>+H9</f>
        <v>166.48320000000001</v>
      </c>
      <c r="K9" s="118"/>
      <c r="L9" s="1"/>
      <c r="M9" s="1"/>
      <c r="N9" s="1"/>
    </row>
    <row r="10" spans="1:14" s="37" customFormat="1" x14ac:dyDescent="0.35">
      <c r="A10" s="119">
        <v>44086</v>
      </c>
      <c r="B10" s="32" t="s">
        <v>341</v>
      </c>
      <c r="C10" s="33"/>
      <c r="D10" s="33">
        <v>650</v>
      </c>
      <c r="E10" s="70">
        <f>+E9-D10</f>
        <v>0</v>
      </c>
      <c r="F10" s="71"/>
      <c r="G10" s="33">
        <f>+J9/E9</f>
        <v>0.25612800000000002</v>
      </c>
      <c r="H10" s="71"/>
      <c r="I10" s="33">
        <f>+D10*G10</f>
        <v>166.48320000000001</v>
      </c>
      <c r="J10" s="33">
        <f>+J9-I10</f>
        <v>0</v>
      </c>
      <c r="K10" s="32"/>
      <c r="L10" s="35">
        <f>SUM(I10)</f>
        <v>166.48320000000001</v>
      </c>
      <c r="M10" s="35">
        <f>SUM(M11)</f>
        <v>166.48320000000001</v>
      </c>
      <c r="N10" s="36">
        <v>44089</v>
      </c>
    </row>
    <row r="11" spans="1:14" s="64" customFormat="1" ht="15" thickBot="1" x14ac:dyDescent="0.4">
      <c r="A11" s="117"/>
      <c r="B11" s="61" t="s">
        <v>34</v>
      </c>
      <c r="C11" s="26">
        <f>SUM(C9:C10)</f>
        <v>650</v>
      </c>
      <c r="D11" s="26">
        <f>SUM(D9:D10)</f>
        <v>650</v>
      </c>
      <c r="E11" s="41"/>
      <c r="F11" s="42"/>
      <c r="G11" s="26"/>
      <c r="H11" s="26">
        <f>SUM(H9:H10)</f>
        <v>166.48320000000001</v>
      </c>
      <c r="I11" s="26">
        <f>SUM(I9:I10)</f>
        <v>166.48320000000001</v>
      </c>
      <c r="J11" s="26"/>
      <c r="K11" s="61"/>
      <c r="L11" s="81"/>
      <c r="M11" s="103">
        <f>SUM(I10)</f>
        <v>166.48320000000001</v>
      </c>
      <c r="N11" s="81"/>
    </row>
    <row r="12" spans="1:14" ht="15" thickTop="1" x14ac:dyDescent="0.35">
      <c r="L12" s="1"/>
      <c r="M12" s="48"/>
      <c r="N12" s="1"/>
    </row>
    <row r="13" spans="1:14" x14ac:dyDescent="0.35">
      <c r="I13" s="49"/>
      <c r="J13" s="49"/>
    </row>
    <row r="14" spans="1:14" x14ac:dyDescent="0.35">
      <c r="A14" s="50" t="s">
        <v>23</v>
      </c>
      <c r="B14" s="5"/>
      <c r="C14" s="4"/>
      <c r="D14" s="4"/>
      <c r="E14" s="4"/>
      <c r="F14" s="4"/>
      <c r="G14" s="1"/>
      <c r="H14" s="1"/>
      <c r="I14" s="1"/>
      <c r="J14" s="1"/>
    </row>
    <row r="15" spans="1:14" x14ac:dyDescent="0.35">
      <c r="A15" s="50" t="s">
        <v>36</v>
      </c>
      <c r="B15" s="5"/>
      <c r="C15" s="4"/>
      <c r="D15" s="4"/>
      <c r="E15" s="4"/>
      <c r="F15" s="4"/>
      <c r="G15" s="1"/>
      <c r="H15" s="1"/>
      <c r="I15" s="1"/>
      <c r="J15" s="51">
        <f>+E10*F9</f>
        <v>0</v>
      </c>
    </row>
    <row r="16" spans="1:14" x14ac:dyDescent="0.35">
      <c r="A16" s="50" t="s">
        <v>24</v>
      </c>
      <c r="B16" s="5"/>
      <c r="C16" s="4"/>
      <c r="D16" s="4"/>
      <c r="E16" s="4"/>
      <c r="F16" s="4"/>
      <c r="G16" s="1"/>
      <c r="H16" s="1"/>
      <c r="I16" s="1"/>
      <c r="J16" s="52">
        <f>+J10</f>
        <v>0</v>
      </c>
    </row>
    <row r="17" spans="1:10" ht="15" thickBot="1" x14ac:dyDescent="0.4">
      <c r="A17" s="50"/>
      <c r="B17" s="5" t="s">
        <v>25</v>
      </c>
      <c r="C17" s="4"/>
      <c r="D17" s="4"/>
      <c r="E17" s="4"/>
      <c r="F17" s="4"/>
      <c r="G17" s="1"/>
      <c r="H17" s="1"/>
      <c r="I17" s="1"/>
      <c r="J17" s="53">
        <f>+J15-J16</f>
        <v>0</v>
      </c>
    </row>
    <row r="18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F21" sqref="F21"/>
    </sheetView>
  </sheetViews>
  <sheetFormatPr baseColWidth="10" defaultRowHeight="14.5" x14ac:dyDescent="0.35"/>
  <cols>
    <col min="2" max="2" width="37.1796875" customWidth="1"/>
    <col min="12" max="12" width="10.6328125" customWidth="1"/>
    <col min="13" max="13" width="10.36328125" customWidth="1"/>
    <col min="14" max="14" width="9.9062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  <c r="L1" s="1"/>
      <c r="M1" s="1"/>
      <c r="N1" s="1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340</v>
      </c>
      <c r="I2" s="4"/>
      <c r="J2" s="4"/>
      <c r="K2" s="111"/>
      <c r="L2" s="1"/>
      <c r="M2" s="1"/>
      <c r="N2" s="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  <c r="L3" s="1"/>
      <c r="M3" s="1"/>
      <c r="N3" s="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  <c r="L4" s="1"/>
      <c r="M4" s="1"/>
      <c r="N4" s="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  <c r="L5" s="1"/>
      <c r="M5" s="1"/>
      <c r="N5" s="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  <c r="L6" s="1"/>
      <c r="M6" s="1"/>
      <c r="N6" s="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  <c r="L7" s="1"/>
      <c r="M7" s="1"/>
      <c r="N7" s="1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44076</v>
      </c>
      <c r="B9" s="61" t="s">
        <v>342</v>
      </c>
      <c r="C9" s="25">
        <v>200</v>
      </c>
      <c r="D9" s="26"/>
      <c r="E9" s="27">
        <f>+C9</f>
        <v>200</v>
      </c>
      <c r="F9" s="26">
        <f>+H9/C9</f>
        <v>0.34417200000000003</v>
      </c>
      <c r="G9" s="26"/>
      <c r="H9" s="28">
        <f>79.12*0.87</f>
        <v>68.834400000000002</v>
      </c>
      <c r="I9" s="29"/>
      <c r="J9" s="29">
        <f>+H9</f>
        <v>68.834400000000002</v>
      </c>
      <c r="K9" s="118"/>
      <c r="L9" s="1"/>
      <c r="M9" s="1"/>
      <c r="N9" s="1"/>
    </row>
    <row r="10" spans="1:14" s="37" customFormat="1" x14ac:dyDescent="0.35">
      <c r="A10" s="119">
        <v>44086</v>
      </c>
      <c r="B10" s="32" t="s">
        <v>343</v>
      </c>
      <c r="C10" s="33"/>
      <c r="D10" s="33">
        <v>200</v>
      </c>
      <c r="E10" s="70">
        <f>+E9-D10</f>
        <v>0</v>
      </c>
      <c r="F10" s="71"/>
      <c r="G10" s="33">
        <f>+J9/E9</f>
        <v>0.34417200000000003</v>
      </c>
      <c r="H10" s="71"/>
      <c r="I10" s="33">
        <f>+D10*G10</f>
        <v>68.834400000000002</v>
      </c>
      <c r="J10" s="33">
        <f>+J9-I10</f>
        <v>0</v>
      </c>
      <c r="K10" s="32"/>
      <c r="L10" s="35">
        <f>SUM(I10)</f>
        <v>68.834400000000002</v>
      </c>
      <c r="M10" s="97">
        <f>SUM(L10)</f>
        <v>68.834400000000002</v>
      </c>
      <c r="N10" s="36">
        <v>44089</v>
      </c>
    </row>
    <row r="11" spans="1:14" s="64" customFormat="1" ht="15" thickBot="1" x14ac:dyDescent="0.4">
      <c r="A11" s="117"/>
      <c r="B11" s="61" t="s">
        <v>34</v>
      </c>
      <c r="C11" s="26">
        <f>SUM(C9:C10)</f>
        <v>200</v>
      </c>
      <c r="D11" s="26">
        <f>SUM(D9:D10)</f>
        <v>200</v>
      </c>
      <c r="E11" s="41"/>
      <c r="F11" s="42"/>
      <c r="G11" s="26"/>
      <c r="H11" s="26">
        <f>SUM(H9:H10)</f>
        <v>68.834400000000002</v>
      </c>
      <c r="I11" s="26">
        <f>SUM(I9:I10)</f>
        <v>68.834400000000002</v>
      </c>
      <c r="J11" s="26"/>
      <c r="K11" s="61"/>
      <c r="L11" s="81"/>
      <c r="M11" s="103">
        <f>SUM(M10)</f>
        <v>68.834400000000002</v>
      </c>
      <c r="N11" s="81"/>
    </row>
    <row r="12" spans="1:14" ht="15" thickTop="1" x14ac:dyDescent="0.35">
      <c r="L12" s="1"/>
      <c r="M12" s="48"/>
      <c r="N12" s="1"/>
    </row>
    <row r="13" spans="1:14" x14ac:dyDescent="0.35">
      <c r="I13" s="49"/>
      <c r="J13" s="49"/>
    </row>
    <row r="14" spans="1:14" x14ac:dyDescent="0.35">
      <c r="A14" s="50" t="s">
        <v>23</v>
      </c>
      <c r="B14" s="5"/>
      <c r="C14" s="4"/>
      <c r="D14" s="4"/>
      <c r="E14" s="4"/>
      <c r="F14" s="4"/>
      <c r="G14" s="1"/>
      <c r="H14" s="1"/>
      <c r="I14" s="1"/>
      <c r="J14" s="1"/>
    </row>
    <row r="15" spans="1:14" x14ac:dyDescent="0.35">
      <c r="A15" s="50" t="s">
        <v>36</v>
      </c>
      <c r="B15" s="5"/>
      <c r="C15" s="4"/>
      <c r="D15" s="4"/>
      <c r="E15" s="4"/>
      <c r="F15" s="4"/>
      <c r="G15" s="1"/>
      <c r="H15" s="1"/>
      <c r="I15" s="1"/>
      <c r="J15" s="51">
        <f>+E10*F9</f>
        <v>0</v>
      </c>
    </row>
    <row r="16" spans="1:14" x14ac:dyDescent="0.35">
      <c r="A16" s="50" t="s">
        <v>24</v>
      </c>
      <c r="B16" s="5"/>
      <c r="C16" s="4"/>
      <c r="D16" s="4"/>
      <c r="E16" s="4"/>
      <c r="F16" s="4"/>
      <c r="G16" s="1"/>
      <c r="H16" s="1"/>
      <c r="I16" s="1"/>
      <c r="J16" s="52">
        <f>+J10</f>
        <v>0</v>
      </c>
    </row>
    <row r="17" spans="1:10" ht="15" thickBot="1" x14ac:dyDescent="0.4">
      <c r="A17" s="50"/>
      <c r="B17" s="5" t="s">
        <v>25</v>
      </c>
      <c r="C17" s="4"/>
      <c r="D17" s="4"/>
      <c r="E17" s="4"/>
      <c r="F17" s="4"/>
      <c r="G17" s="1"/>
      <c r="H17" s="1"/>
      <c r="I17" s="1"/>
      <c r="J17" s="53">
        <f>+J15-J16</f>
        <v>0</v>
      </c>
    </row>
    <row r="18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9"/>
  <sheetViews>
    <sheetView workbookViewId="0">
      <selection activeCell="A19" sqref="A19"/>
    </sheetView>
  </sheetViews>
  <sheetFormatPr baseColWidth="10" defaultColWidth="11.453125" defaultRowHeight="14.5" x14ac:dyDescent="0.35"/>
  <cols>
    <col min="2" max="2" width="49.453125" customWidth="1"/>
  </cols>
  <sheetData>
    <row r="1" spans="1:10" x14ac:dyDescent="0.35">
      <c r="A1" s="137" t="s">
        <v>0</v>
      </c>
      <c r="B1" s="138"/>
      <c r="C1" s="139"/>
      <c r="D1" s="139"/>
      <c r="E1" s="139"/>
      <c r="F1" s="139"/>
      <c r="G1" s="139"/>
      <c r="H1" s="140" t="s">
        <v>1</v>
      </c>
      <c r="I1" s="139"/>
      <c r="J1" s="141"/>
    </row>
    <row r="2" spans="1:10" x14ac:dyDescent="0.35">
      <c r="A2" s="2" t="s">
        <v>2</v>
      </c>
      <c r="B2" s="3"/>
      <c r="C2" s="9"/>
      <c r="D2" s="9"/>
      <c r="E2" s="9"/>
      <c r="F2" s="9"/>
      <c r="G2" s="9"/>
      <c r="H2" s="142" t="s">
        <v>529</v>
      </c>
      <c r="I2" s="9"/>
      <c r="J2" s="14"/>
    </row>
    <row r="3" spans="1:10" x14ac:dyDescent="0.35">
      <c r="A3" s="7" t="s">
        <v>4</v>
      </c>
      <c r="B3" s="8"/>
      <c r="C3" s="9"/>
      <c r="D3" s="9"/>
      <c r="E3" s="9"/>
      <c r="F3" s="9"/>
      <c r="G3" s="9"/>
      <c r="H3" s="142" t="s">
        <v>530</v>
      </c>
      <c r="I3" s="9"/>
      <c r="J3" s="14"/>
    </row>
    <row r="4" spans="1:10" ht="18" x14ac:dyDescent="0.4">
      <c r="A4" s="143"/>
      <c r="B4" s="9"/>
      <c r="C4" s="9"/>
      <c r="D4" s="209" t="s">
        <v>6</v>
      </c>
      <c r="E4" s="209"/>
      <c r="F4" s="209"/>
      <c r="G4" s="209"/>
      <c r="H4" s="209"/>
      <c r="I4" s="9"/>
      <c r="J4" s="14"/>
    </row>
    <row r="5" spans="1:10" x14ac:dyDescent="0.35">
      <c r="A5" s="143"/>
      <c r="B5" s="144"/>
      <c r="C5" s="9"/>
      <c r="D5" s="142" t="s">
        <v>533</v>
      </c>
      <c r="E5" s="144"/>
      <c r="F5" s="144"/>
      <c r="G5" s="9"/>
      <c r="H5" s="9"/>
      <c r="I5" s="9"/>
      <c r="J5" s="14"/>
    </row>
    <row r="6" spans="1:10" x14ac:dyDescent="0.35">
      <c r="A6" s="143"/>
      <c r="B6" s="144"/>
      <c r="C6" s="9"/>
      <c r="D6" s="9" t="s">
        <v>7</v>
      </c>
      <c r="E6" s="144"/>
      <c r="F6" s="144"/>
      <c r="G6" s="9"/>
      <c r="H6" s="9"/>
      <c r="I6" s="9"/>
      <c r="J6" s="14"/>
    </row>
    <row r="7" spans="1:10" x14ac:dyDescent="0.35">
      <c r="A7" s="143"/>
      <c r="B7" s="9"/>
      <c r="C7" s="9"/>
      <c r="D7" s="9"/>
      <c r="E7" s="9"/>
      <c r="F7" s="9"/>
      <c r="G7" s="9"/>
      <c r="H7" s="9"/>
      <c r="I7" s="9"/>
      <c r="J7" s="14"/>
    </row>
    <row r="8" spans="1:10" x14ac:dyDescent="0.35">
      <c r="A8" s="143"/>
      <c r="B8" s="9"/>
      <c r="C8" s="9"/>
      <c r="D8" s="9"/>
      <c r="E8" s="9"/>
      <c r="F8" s="9"/>
      <c r="G8" s="9"/>
      <c r="H8" s="9"/>
      <c r="I8" s="9"/>
      <c r="J8" s="14"/>
    </row>
    <row r="9" spans="1:10" x14ac:dyDescent="0.35">
      <c r="A9" s="145" t="s">
        <v>8</v>
      </c>
      <c r="B9" s="146" t="s">
        <v>9</v>
      </c>
      <c r="C9" s="210" t="s">
        <v>10</v>
      </c>
      <c r="D9" s="211"/>
      <c r="E9" s="212"/>
      <c r="F9" s="213" t="s">
        <v>11</v>
      </c>
      <c r="G9" s="214"/>
      <c r="H9" s="210" t="s">
        <v>12</v>
      </c>
      <c r="I9" s="211"/>
      <c r="J9" s="215"/>
    </row>
    <row r="10" spans="1:10" x14ac:dyDescent="0.35">
      <c r="A10" s="147"/>
      <c r="B10" s="132"/>
      <c r="C10" s="148" t="s">
        <v>531</v>
      </c>
      <c r="D10" s="149" t="s">
        <v>14</v>
      </c>
      <c r="E10" s="150" t="s">
        <v>20</v>
      </c>
      <c r="F10" s="149" t="s">
        <v>16</v>
      </c>
      <c r="G10" s="149" t="s">
        <v>17</v>
      </c>
      <c r="H10" s="148" t="s">
        <v>18</v>
      </c>
      <c r="I10" s="149" t="s">
        <v>19</v>
      </c>
      <c r="J10" s="151" t="s">
        <v>20</v>
      </c>
    </row>
    <row r="11" spans="1:10" x14ac:dyDescent="0.35">
      <c r="A11" s="152">
        <v>43832</v>
      </c>
      <c r="B11" s="82" t="s">
        <v>532</v>
      </c>
      <c r="C11" s="153">
        <v>416528</v>
      </c>
      <c r="D11" s="153"/>
      <c r="E11" s="153">
        <f>+C11</f>
        <v>416528</v>
      </c>
      <c r="F11" s="153">
        <f>+H11/C11</f>
        <v>5.0348235892905158E-2</v>
      </c>
      <c r="G11" s="106"/>
      <c r="H11" s="154">
        <v>20971.45</v>
      </c>
      <c r="I11" s="153"/>
      <c r="J11" s="155">
        <f>+H11</f>
        <v>20971.45</v>
      </c>
    </row>
    <row r="12" spans="1:10" x14ac:dyDescent="0.35">
      <c r="A12" s="156"/>
      <c r="B12" s="157"/>
      <c r="C12" s="158"/>
      <c r="D12" s="158"/>
      <c r="E12" s="158"/>
      <c r="F12" s="158"/>
      <c r="G12" s="158"/>
      <c r="H12" s="158"/>
      <c r="I12" s="158"/>
      <c r="J12" s="159"/>
    </row>
    <row r="13" spans="1:10" ht="15" thickBot="1" x14ac:dyDescent="0.4">
      <c r="A13" s="160"/>
      <c r="B13" s="161"/>
      <c r="C13" s="162"/>
      <c r="D13" s="162"/>
      <c r="E13" s="162"/>
      <c r="F13" s="162"/>
      <c r="G13" s="162"/>
      <c r="H13" s="162"/>
      <c r="I13" s="162"/>
      <c r="J13" s="163"/>
    </row>
    <row r="14" spans="1:10" s="9" customFormat="1" x14ac:dyDescent="0.35">
      <c r="A14" s="164"/>
      <c r="B14" s="165"/>
      <c r="C14" s="166"/>
      <c r="D14" s="166"/>
      <c r="E14" s="166"/>
      <c r="F14" s="166"/>
      <c r="G14" s="166"/>
      <c r="H14" s="166"/>
      <c r="I14" s="166"/>
      <c r="J14" s="166"/>
    </row>
    <row r="15" spans="1:10" s="9" customFormat="1" x14ac:dyDescent="0.35">
      <c r="A15" s="164"/>
      <c r="B15" s="165"/>
      <c r="C15" s="166"/>
      <c r="D15" s="166"/>
      <c r="E15" s="166"/>
      <c r="F15" s="166"/>
      <c r="G15" s="166"/>
      <c r="H15" s="166"/>
      <c r="I15" s="166"/>
      <c r="J15" s="166"/>
    </row>
    <row r="16" spans="1:10" s="9" customFormat="1" x14ac:dyDescent="0.35">
      <c r="A16" s="50" t="s">
        <v>23</v>
      </c>
      <c r="B16" s="5"/>
      <c r="C16" s="4"/>
      <c r="D16" s="4"/>
      <c r="E16" s="4"/>
      <c r="F16" s="4"/>
      <c r="G16" s="1"/>
      <c r="H16" s="1"/>
      <c r="I16" s="1"/>
      <c r="J16" s="1"/>
    </row>
    <row r="17" spans="1:10" s="9" customFormat="1" x14ac:dyDescent="0.35">
      <c r="A17" s="50" t="s">
        <v>36</v>
      </c>
      <c r="B17" s="5"/>
      <c r="C17" s="4"/>
      <c r="D17" s="4"/>
      <c r="E17" s="4"/>
      <c r="F17" s="4"/>
      <c r="G17" s="1"/>
      <c r="H17" s="1"/>
      <c r="I17" s="1"/>
      <c r="J17" s="51">
        <f>+J11</f>
        <v>20971.45</v>
      </c>
    </row>
    <row r="18" spans="1:10" s="9" customFormat="1" x14ac:dyDescent="0.35">
      <c r="A18" s="50" t="s">
        <v>24</v>
      </c>
      <c r="B18" s="5"/>
      <c r="C18" s="4"/>
      <c r="D18" s="4"/>
      <c r="E18" s="4"/>
      <c r="F18" s="4"/>
      <c r="G18" s="1"/>
      <c r="H18" s="1"/>
      <c r="I18" s="1"/>
      <c r="J18" s="52">
        <f>+J11</f>
        <v>20971.45</v>
      </c>
    </row>
    <row r="19" spans="1:10" s="9" customFormat="1" ht="15" thickBot="1" x14ac:dyDescent="0.4">
      <c r="A19" s="50"/>
      <c r="B19" s="5" t="s">
        <v>25</v>
      </c>
      <c r="C19" s="4"/>
      <c r="D19" s="4"/>
      <c r="E19" s="4"/>
      <c r="F19" s="4"/>
      <c r="G19" s="1"/>
      <c r="H19" s="1"/>
      <c r="I19" s="1"/>
      <c r="J19" s="53">
        <f>+J17-J18</f>
        <v>0</v>
      </c>
    </row>
    <row r="20" spans="1:10" s="9" customFormat="1" ht="15" thickTop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s="9" customFormat="1" x14ac:dyDescent="0.35">
      <c r="A21" s="164"/>
      <c r="B21" s="165"/>
      <c r="C21" s="166"/>
      <c r="D21" s="166"/>
      <c r="E21" s="166"/>
      <c r="F21" s="166"/>
      <c r="G21" s="166"/>
      <c r="H21" s="166"/>
      <c r="I21" s="166"/>
      <c r="J21" s="166"/>
    </row>
    <row r="22" spans="1:10" s="9" customFormat="1" x14ac:dyDescent="0.35">
      <c r="A22" s="164"/>
      <c r="B22" s="165"/>
      <c r="C22" s="166"/>
      <c r="D22" s="166"/>
      <c r="E22" s="166"/>
      <c r="F22" s="166"/>
      <c r="G22" s="166"/>
      <c r="H22" s="166"/>
      <c r="I22" s="166"/>
      <c r="J22" s="166"/>
    </row>
    <row r="23" spans="1:10" s="9" customFormat="1" x14ac:dyDescent="0.35">
      <c r="A23" s="164"/>
      <c r="C23" s="166"/>
      <c r="D23" s="166"/>
      <c r="E23" s="166"/>
      <c r="F23" s="166"/>
      <c r="G23" s="166"/>
      <c r="H23" s="166"/>
      <c r="I23" s="166"/>
      <c r="J23" s="166"/>
    </row>
    <row r="24" spans="1:10" s="9" customFormat="1" x14ac:dyDescent="0.35">
      <c r="A24" s="164"/>
      <c r="C24" s="166"/>
      <c r="D24" s="166"/>
      <c r="E24" s="166"/>
      <c r="F24" s="166"/>
      <c r="G24" s="166"/>
      <c r="H24" s="166"/>
      <c r="I24" s="166"/>
      <c r="J24" s="166"/>
    </row>
    <row r="25" spans="1:10" s="9" customFormat="1" x14ac:dyDescent="0.35">
      <c r="A25" s="164"/>
      <c r="B25" s="165"/>
      <c r="C25" s="166"/>
      <c r="D25" s="166"/>
      <c r="E25" s="166"/>
      <c r="F25" s="166"/>
      <c r="G25" s="166"/>
      <c r="H25" s="166"/>
      <c r="I25" s="166"/>
      <c r="J25" s="166"/>
    </row>
    <row r="26" spans="1:10" s="9" customFormat="1" x14ac:dyDescent="0.35">
      <c r="A26" s="164"/>
      <c r="B26" s="165"/>
      <c r="C26" s="166"/>
      <c r="D26" s="166"/>
      <c r="E26" s="166"/>
      <c r="F26" s="166"/>
      <c r="G26" s="166"/>
      <c r="H26" s="166"/>
      <c r="I26" s="166"/>
      <c r="J26" s="166"/>
    </row>
    <row r="27" spans="1:10" s="9" customFormat="1" x14ac:dyDescent="0.35">
      <c r="A27" s="164"/>
      <c r="B27" s="165"/>
      <c r="C27" s="166"/>
      <c r="D27" s="166"/>
      <c r="E27" s="166"/>
      <c r="F27" s="166"/>
      <c r="G27" s="166"/>
      <c r="H27" s="166"/>
      <c r="I27" s="166"/>
      <c r="J27" s="166"/>
    </row>
    <row r="28" spans="1:10" s="9" customFormat="1" x14ac:dyDescent="0.35">
      <c r="A28" s="164"/>
      <c r="B28" s="165"/>
      <c r="C28" s="166"/>
      <c r="D28" s="166"/>
      <c r="E28" s="166"/>
      <c r="F28" s="166"/>
      <c r="G28" s="166"/>
      <c r="H28" s="166"/>
      <c r="I28" s="166"/>
      <c r="J28" s="166"/>
    </row>
    <row r="29" spans="1:10" s="9" customFormat="1" x14ac:dyDescent="0.35">
      <c r="A29" s="164"/>
      <c r="B29" s="165"/>
      <c r="C29" s="166"/>
      <c r="D29" s="166"/>
      <c r="E29" s="166"/>
      <c r="F29" s="166"/>
      <c r="G29" s="166"/>
      <c r="H29" s="166"/>
      <c r="I29" s="166"/>
      <c r="J29" s="166"/>
    </row>
    <row r="30" spans="1:10" s="9" customFormat="1" x14ac:dyDescent="0.35">
      <c r="A30" s="164"/>
      <c r="B30" s="165"/>
      <c r="C30" s="166"/>
      <c r="D30" s="166"/>
      <c r="E30" s="166"/>
      <c r="F30" s="166"/>
      <c r="G30" s="166"/>
      <c r="H30" s="166"/>
      <c r="I30" s="166"/>
      <c r="J30" s="166"/>
    </row>
    <row r="31" spans="1:10" s="9" customFormat="1" x14ac:dyDescent="0.35">
      <c r="A31" s="164"/>
      <c r="B31" s="165"/>
      <c r="C31" s="166"/>
      <c r="D31" s="166"/>
      <c r="E31" s="166"/>
      <c r="F31" s="166"/>
      <c r="G31" s="166"/>
      <c r="H31" s="166"/>
      <c r="I31" s="166"/>
      <c r="J31" s="166"/>
    </row>
    <row r="32" spans="1:10" s="9" customFormat="1" x14ac:dyDescent="0.35">
      <c r="A32" s="164"/>
      <c r="B32" s="165"/>
      <c r="C32" s="166"/>
      <c r="D32" s="166"/>
      <c r="E32" s="166"/>
      <c r="F32" s="166"/>
      <c r="G32" s="166"/>
      <c r="H32" s="166"/>
      <c r="I32" s="166"/>
      <c r="J32" s="166"/>
    </row>
    <row r="33" spans="1:10" s="9" customFormat="1" x14ac:dyDescent="0.35">
      <c r="A33" s="164"/>
      <c r="B33" s="165"/>
      <c r="C33" s="166"/>
      <c r="D33" s="166"/>
      <c r="E33" s="166"/>
      <c r="F33" s="166"/>
      <c r="G33" s="166"/>
      <c r="H33" s="166"/>
      <c r="I33" s="166"/>
      <c r="J33" s="166"/>
    </row>
    <row r="34" spans="1:10" s="9" customFormat="1" x14ac:dyDescent="0.35">
      <c r="A34" s="164"/>
      <c r="B34" s="165"/>
      <c r="C34" s="166"/>
      <c r="D34" s="166"/>
      <c r="E34" s="166"/>
      <c r="F34" s="166"/>
      <c r="G34" s="166"/>
      <c r="H34" s="166"/>
      <c r="I34" s="166"/>
      <c r="J34" s="166"/>
    </row>
    <row r="35" spans="1:10" s="9" customFormat="1" x14ac:dyDescent="0.35">
      <c r="A35" s="164"/>
      <c r="B35" s="165"/>
      <c r="C35" s="166"/>
      <c r="D35" s="166"/>
      <c r="E35" s="166"/>
      <c r="F35" s="166"/>
      <c r="G35" s="166"/>
      <c r="H35" s="166"/>
      <c r="I35" s="166"/>
      <c r="J35" s="166"/>
    </row>
    <row r="36" spans="1:10" s="9" customFormat="1" x14ac:dyDescent="0.35">
      <c r="A36" s="164"/>
      <c r="B36" s="165"/>
      <c r="C36" s="166"/>
      <c r="D36" s="166"/>
      <c r="E36" s="166"/>
      <c r="F36" s="166"/>
      <c r="G36" s="166"/>
      <c r="H36" s="166"/>
      <c r="I36" s="166"/>
      <c r="J36" s="166"/>
    </row>
    <row r="37" spans="1:10" s="9" customFormat="1" x14ac:dyDescent="0.35">
      <c r="A37" s="164"/>
      <c r="B37" s="165"/>
      <c r="C37" s="166"/>
      <c r="D37" s="166"/>
      <c r="E37" s="166"/>
      <c r="F37" s="166"/>
      <c r="G37" s="166"/>
      <c r="H37" s="166"/>
      <c r="I37" s="166"/>
      <c r="J37" s="166"/>
    </row>
    <row r="38" spans="1:10" s="9" customFormat="1" x14ac:dyDescent="0.35">
      <c r="A38" s="164"/>
      <c r="B38" s="165"/>
      <c r="C38" s="166"/>
      <c r="D38" s="166"/>
      <c r="E38" s="166"/>
      <c r="F38" s="166"/>
      <c r="G38" s="166"/>
      <c r="H38" s="166"/>
      <c r="I38" s="166"/>
      <c r="J38" s="166"/>
    </row>
    <row r="39" spans="1:10" s="9" customFormat="1" x14ac:dyDescent="0.35">
      <c r="A39" s="164"/>
      <c r="B39" s="165"/>
      <c r="C39" s="166"/>
      <c r="D39" s="166"/>
      <c r="E39" s="166"/>
      <c r="F39" s="166"/>
      <c r="G39" s="166"/>
      <c r="H39" s="166"/>
      <c r="I39" s="166"/>
      <c r="J39" s="166"/>
    </row>
    <row r="40" spans="1:10" s="9" customFormat="1" x14ac:dyDescent="0.35">
      <c r="A40" s="164"/>
      <c r="B40" s="165"/>
      <c r="C40" s="166"/>
      <c r="D40" s="166"/>
      <c r="E40" s="166"/>
      <c r="F40" s="166"/>
      <c r="G40" s="166"/>
      <c r="H40" s="166"/>
      <c r="I40" s="166"/>
      <c r="J40" s="166"/>
    </row>
    <row r="41" spans="1:10" s="9" customFormat="1" x14ac:dyDescent="0.35">
      <c r="A41" s="164"/>
      <c r="B41" s="165"/>
      <c r="C41" s="166"/>
      <c r="D41" s="166"/>
      <c r="E41" s="166"/>
      <c r="F41" s="166"/>
      <c r="G41" s="166"/>
      <c r="H41" s="166"/>
      <c r="I41" s="166"/>
      <c r="J41" s="166"/>
    </row>
    <row r="42" spans="1:10" s="9" customFormat="1" x14ac:dyDescent="0.35">
      <c r="A42" s="164"/>
      <c r="B42" s="165"/>
      <c r="C42" s="166"/>
      <c r="D42" s="166"/>
      <c r="E42" s="166"/>
      <c r="F42" s="166"/>
      <c r="G42" s="166"/>
      <c r="H42" s="166"/>
      <c r="I42" s="166"/>
      <c r="J42" s="166"/>
    </row>
    <row r="43" spans="1:10" s="9" customFormat="1" x14ac:dyDescent="0.35">
      <c r="A43" s="164"/>
      <c r="B43" s="165"/>
      <c r="C43" s="166"/>
      <c r="D43" s="166"/>
      <c r="E43" s="166"/>
      <c r="F43" s="166"/>
      <c r="G43" s="166"/>
      <c r="H43" s="166"/>
      <c r="I43" s="166"/>
      <c r="J43" s="166"/>
    </row>
    <row r="44" spans="1:10" s="9" customFormat="1" x14ac:dyDescent="0.35">
      <c r="A44" s="164"/>
      <c r="B44" s="165"/>
      <c r="C44" s="166"/>
      <c r="D44" s="166"/>
      <c r="E44" s="166"/>
      <c r="F44" s="166"/>
      <c r="G44" s="166"/>
      <c r="H44" s="166"/>
      <c r="I44" s="166"/>
      <c r="J44" s="166"/>
    </row>
    <row r="45" spans="1:10" s="9" customFormat="1" x14ac:dyDescent="0.35"/>
    <row r="46" spans="1:10" s="9" customFormat="1" x14ac:dyDescent="0.35"/>
    <row r="47" spans="1:10" s="9" customFormat="1" x14ac:dyDescent="0.35"/>
    <row r="48" spans="1:10" s="9" customFormat="1" x14ac:dyDescent="0.35"/>
    <row r="49" s="9" customFormat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N61"/>
  <sheetViews>
    <sheetView topLeftCell="A40" workbookViewId="0">
      <selection activeCell="E55" sqref="E55"/>
    </sheetView>
  </sheetViews>
  <sheetFormatPr baseColWidth="10" defaultRowHeight="14.5" x14ac:dyDescent="0.35"/>
  <cols>
    <col min="2" max="2" width="32.17968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26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84"/>
      <c r="B8" s="83"/>
      <c r="C8" s="83" t="s">
        <v>13</v>
      </c>
      <c r="D8" s="84" t="s">
        <v>14</v>
      </c>
      <c r="E8" s="85" t="s">
        <v>15</v>
      </c>
      <c r="F8" s="86" t="s">
        <v>16</v>
      </c>
      <c r="G8" s="86" t="s">
        <v>17</v>
      </c>
      <c r="H8" s="84" t="s">
        <v>18</v>
      </c>
      <c r="I8" s="87" t="s">
        <v>19</v>
      </c>
      <c r="J8" s="88" t="s">
        <v>20</v>
      </c>
      <c r="K8" s="116" t="s">
        <v>21</v>
      </c>
    </row>
    <row r="9" spans="1:14" x14ac:dyDescent="0.35">
      <c r="A9" s="68">
        <v>43832</v>
      </c>
      <c r="B9" s="61" t="s">
        <v>22</v>
      </c>
      <c r="C9" s="25">
        <v>1319.98</v>
      </c>
      <c r="D9" s="26"/>
      <c r="E9" s="27">
        <v>1319.98</v>
      </c>
      <c r="F9" s="26">
        <f>+H9/C9</f>
        <v>24.409309231958058</v>
      </c>
      <c r="G9" s="26"/>
      <c r="H9" s="28">
        <v>32219.8</v>
      </c>
      <c r="I9" s="29"/>
      <c r="J9" s="29">
        <v>32219.8</v>
      </c>
      <c r="K9" s="76"/>
      <c r="L9" s="1"/>
      <c r="M9" s="1"/>
      <c r="N9" s="1"/>
    </row>
    <row r="10" spans="1:14" s="64" customFormat="1" x14ac:dyDescent="0.35">
      <c r="A10" s="68">
        <v>43832</v>
      </c>
      <c r="B10" s="61" t="s">
        <v>42</v>
      </c>
      <c r="C10" s="26"/>
      <c r="D10" s="26">
        <f>16*4.6</f>
        <v>73.599999999999994</v>
      </c>
      <c r="E10" s="41">
        <f>+E9-D10</f>
        <v>1246.3800000000001</v>
      </c>
      <c r="F10" s="42"/>
      <c r="G10" s="26">
        <f>+J9/E9</f>
        <v>24.409309231958058</v>
      </c>
      <c r="H10" s="42"/>
      <c r="I10" s="26">
        <f>+D10*G10</f>
        <v>1796.525159472113</v>
      </c>
      <c r="J10" s="26">
        <f>+J9-I10</f>
        <v>30423.274840527887</v>
      </c>
      <c r="K10" s="61"/>
      <c r="L10" s="81"/>
      <c r="M10" s="81"/>
      <c r="N10" s="81"/>
    </row>
    <row r="11" spans="1:14" s="64" customFormat="1" x14ac:dyDescent="0.35">
      <c r="A11" s="68">
        <v>43837</v>
      </c>
      <c r="B11" s="61" t="s">
        <v>55</v>
      </c>
      <c r="C11" s="26"/>
      <c r="D11" s="26">
        <f>16*2.25</f>
        <v>36</v>
      </c>
      <c r="E11" s="41">
        <f t="shared" ref="E11:E26" si="0">+E10-D11</f>
        <v>1210.3800000000001</v>
      </c>
      <c r="F11" s="42"/>
      <c r="G11" s="26">
        <f t="shared" ref="G11:G26" si="1">+J10/E10</f>
        <v>24.409309231958058</v>
      </c>
      <c r="H11" s="42"/>
      <c r="I11" s="26">
        <f t="shared" ref="I11:I26" si="2">+D11*G11</f>
        <v>878.73513235049006</v>
      </c>
      <c r="J11" s="26">
        <f t="shared" ref="J11:J26" si="3">+J10-I11</f>
        <v>29544.539708177395</v>
      </c>
      <c r="K11" s="61"/>
      <c r="L11" s="81"/>
      <c r="M11" s="81"/>
      <c r="N11" s="81"/>
    </row>
    <row r="12" spans="1:14" s="64" customFormat="1" x14ac:dyDescent="0.35">
      <c r="A12" s="68">
        <v>43838</v>
      </c>
      <c r="B12" s="61" t="s">
        <v>60</v>
      </c>
      <c r="C12" s="26"/>
      <c r="D12" s="26">
        <f>18*3.5</f>
        <v>63</v>
      </c>
      <c r="E12" s="41">
        <f t="shared" si="0"/>
        <v>1147.3800000000001</v>
      </c>
      <c r="F12" s="42"/>
      <c r="G12" s="26">
        <f t="shared" si="1"/>
        <v>24.409309231958058</v>
      </c>
      <c r="H12" s="42"/>
      <c r="I12" s="26">
        <f t="shared" si="2"/>
        <v>1537.7864816133576</v>
      </c>
      <c r="J12" s="26">
        <f t="shared" si="3"/>
        <v>28006.753226564037</v>
      </c>
      <c r="K12" s="61"/>
      <c r="L12" s="81"/>
      <c r="M12" s="81"/>
      <c r="N12" s="81"/>
    </row>
    <row r="13" spans="1:14" s="64" customFormat="1" x14ac:dyDescent="0.35">
      <c r="A13" s="68">
        <v>43840</v>
      </c>
      <c r="B13" s="61" t="s">
        <v>65</v>
      </c>
      <c r="C13" s="26"/>
      <c r="D13" s="26">
        <f>2*1.85+2.9+2.65</f>
        <v>9.25</v>
      </c>
      <c r="E13" s="41">
        <f t="shared" si="0"/>
        <v>1138.1300000000001</v>
      </c>
      <c r="F13" s="42"/>
      <c r="G13" s="26">
        <f t="shared" si="1"/>
        <v>24.409309231958055</v>
      </c>
      <c r="H13" s="42"/>
      <c r="I13" s="26">
        <f t="shared" si="2"/>
        <v>225.78611039561201</v>
      </c>
      <c r="J13" s="26">
        <f t="shared" si="3"/>
        <v>27780.967116168424</v>
      </c>
      <c r="K13" s="61"/>
      <c r="L13" s="79"/>
      <c r="M13" s="81"/>
      <c r="N13" s="80"/>
    </row>
    <row r="14" spans="1:14" s="37" customFormat="1" x14ac:dyDescent="0.35">
      <c r="A14" s="73">
        <v>43844</v>
      </c>
      <c r="B14" s="32" t="s">
        <v>70</v>
      </c>
      <c r="C14" s="39"/>
      <c r="D14" s="40">
        <f>6*3</f>
        <v>18</v>
      </c>
      <c r="E14" s="70">
        <f t="shared" si="0"/>
        <v>1120.1300000000001</v>
      </c>
      <c r="F14" s="71"/>
      <c r="G14" s="33">
        <f t="shared" si="1"/>
        <v>24.409309231958055</v>
      </c>
      <c r="H14" s="71"/>
      <c r="I14" s="33">
        <f t="shared" si="2"/>
        <v>439.36756617524497</v>
      </c>
      <c r="J14" s="33">
        <f t="shared" si="3"/>
        <v>27341.599549993178</v>
      </c>
      <c r="K14" s="32"/>
      <c r="L14" s="35">
        <f>SUM(I10:I14)</f>
        <v>4878.2004500068178</v>
      </c>
      <c r="M14" s="96"/>
      <c r="N14" s="36">
        <v>43845</v>
      </c>
    </row>
    <row r="15" spans="1:14" s="64" customFormat="1" x14ac:dyDescent="0.35">
      <c r="A15" s="69">
        <v>43847</v>
      </c>
      <c r="B15" s="61" t="s">
        <v>77</v>
      </c>
      <c r="C15" s="62"/>
      <c r="D15" s="67">
        <f>7*2.3</f>
        <v>16.099999999999998</v>
      </c>
      <c r="E15" s="41">
        <f t="shared" si="0"/>
        <v>1104.0300000000002</v>
      </c>
      <c r="F15" s="42"/>
      <c r="G15" s="26">
        <f t="shared" si="1"/>
        <v>24.409309231958055</v>
      </c>
      <c r="H15" s="42"/>
      <c r="I15" s="26">
        <f t="shared" si="2"/>
        <v>392.98987863452464</v>
      </c>
      <c r="J15" s="26">
        <f t="shared" si="3"/>
        <v>26948.609671358652</v>
      </c>
      <c r="K15" s="61"/>
      <c r="L15" s="81"/>
      <c r="M15" s="81"/>
      <c r="N15" s="81"/>
    </row>
    <row r="16" spans="1:14" s="64" customFormat="1" x14ac:dyDescent="0.35">
      <c r="A16" s="69">
        <v>43850</v>
      </c>
      <c r="B16" s="61" t="s">
        <v>80</v>
      </c>
      <c r="C16" s="62"/>
      <c r="D16" s="67">
        <f>6*2.8</f>
        <v>16.799999999999997</v>
      </c>
      <c r="E16" s="41">
        <f t="shared" si="0"/>
        <v>1087.2300000000002</v>
      </c>
      <c r="F16" s="42"/>
      <c r="G16" s="26">
        <f t="shared" si="1"/>
        <v>24.409309231958051</v>
      </c>
      <c r="H16" s="42"/>
      <c r="I16" s="26">
        <f t="shared" si="2"/>
        <v>410.07639509689517</v>
      </c>
      <c r="J16" s="26">
        <f t="shared" si="3"/>
        <v>26538.533276261758</v>
      </c>
      <c r="K16" s="61"/>
      <c r="L16" s="81"/>
      <c r="M16" s="81"/>
      <c r="N16" s="81"/>
    </row>
    <row r="17" spans="1:14" s="64" customFormat="1" x14ac:dyDescent="0.35">
      <c r="A17" s="69">
        <v>43853</v>
      </c>
      <c r="B17" s="61" t="s">
        <v>86</v>
      </c>
      <c r="C17" s="62"/>
      <c r="D17" s="67">
        <f>7*1.1</f>
        <v>7.7000000000000011</v>
      </c>
      <c r="E17" s="41">
        <f t="shared" si="0"/>
        <v>1079.5300000000002</v>
      </c>
      <c r="F17" s="42"/>
      <c r="G17" s="26">
        <f t="shared" si="1"/>
        <v>24.409309231958051</v>
      </c>
      <c r="H17" s="42"/>
      <c r="I17" s="26">
        <f t="shared" si="2"/>
        <v>187.95168108607703</v>
      </c>
      <c r="J17" s="26">
        <f t="shared" si="3"/>
        <v>26350.581595175681</v>
      </c>
      <c r="K17" s="61"/>
      <c r="L17" s="81"/>
      <c r="M17" s="81"/>
      <c r="N17" s="81"/>
    </row>
    <row r="18" spans="1:14" s="64" customFormat="1" x14ac:dyDescent="0.35">
      <c r="A18" s="69">
        <v>43855</v>
      </c>
      <c r="B18" s="61" t="s">
        <v>93</v>
      </c>
      <c r="C18" s="62"/>
      <c r="D18" s="67">
        <f>15*4.25</f>
        <v>63.75</v>
      </c>
      <c r="E18" s="41">
        <f t="shared" si="0"/>
        <v>1015.7800000000002</v>
      </c>
      <c r="F18" s="42"/>
      <c r="G18" s="26">
        <f t="shared" si="1"/>
        <v>24.409309231958051</v>
      </c>
      <c r="H18" s="42"/>
      <c r="I18" s="26">
        <f t="shared" si="2"/>
        <v>1556.0934635373258</v>
      </c>
      <c r="J18" s="26">
        <f t="shared" si="3"/>
        <v>24794.488131638354</v>
      </c>
      <c r="K18" s="61"/>
      <c r="L18" s="79"/>
      <c r="M18" s="79"/>
      <c r="N18" s="80"/>
    </row>
    <row r="19" spans="1:14" s="64" customFormat="1" x14ac:dyDescent="0.35">
      <c r="A19" s="68">
        <v>43859</v>
      </c>
      <c r="B19" s="61" t="s">
        <v>102</v>
      </c>
      <c r="C19" s="26"/>
      <c r="D19" s="26">
        <f>2*3.5</f>
        <v>7</v>
      </c>
      <c r="E19" s="41">
        <f t="shared" si="0"/>
        <v>1008.7800000000002</v>
      </c>
      <c r="F19" s="42"/>
      <c r="G19" s="26">
        <f t="shared" si="1"/>
        <v>24.409309231958051</v>
      </c>
      <c r="H19" s="42"/>
      <c r="I19" s="26">
        <f t="shared" si="2"/>
        <v>170.86516462370636</v>
      </c>
      <c r="J19" s="26">
        <f t="shared" si="3"/>
        <v>24623.622967014649</v>
      </c>
      <c r="K19" s="61"/>
      <c r="L19" s="79"/>
      <c r="M19" s="79"/>
      <c r="N19" s="80"/>
    </row>
    <row r="20" spans="1:14" s="37" customFormat="1" x14ac:dyDescent="0.35">
      <c r="A20" s="89">
        <v>43860</v>
      </c>
      <c r="B20" s="32" t="s">
        <v>103</v>
      </c>
      <c r="C20" s="33"/>
      <c r="D20" s="33">
        <f>21*4.7+21*4.4+9</f>
        <v>200.10000000000002</v>
      </c>
      <c r="E20" s="70">
        <f t="shared" si="0"/>
        <v>808.68000000000018</v>
      </c>
      <c r="F20" s="71"/>
      <c r="G20" s="33">
        <f t="shared" si="1"/>
        <v>24.409309231958051</v>
      </c>
      <c r="H20" s="71"/>
      <c r="I20" s="33">
        <f t="shared" si="2"/>
        <v>4884.3027773148069</v>
      </c>
      <c r="J20" s="33">
        <f t="shared" si="3"/>
        <v>19739.320189699843</v>
      </c>
      <c r="K20" s="32"/>
      <c r="L20" s="35">
        <f>SUM(I15:I20)</f>
        <v>7602.2793602933361</v>
      </c>
      <c r="M20" s="35">
        <f>SUM(L14:L20)</f>
        <v>12480.479810300154</v>
      </c>
      <c r="N20" s="36">
        <v>43861</v>
      </c>
    </row>
    <row r="21" spans="1:14" s="64" customFormat="1" x14ac:dyDescent="0.35">
      <c r="A21" s="68">
        <v>43864</v>
      </c>
      <c r="B21" s="61" t="s">
        <v>112</v>
      </c>
      <c r="C21" s="26"/>
      <c r="D21" s="26">
        <f>6*1.2</f>
        <v>7.1999999999999993</v>
      </c>
      <c r="E21" s="41">
        <f t="shared" si="0"/>
        <v>801.48000000000013</v>
      </c>
      <c r="F21" s="42"/>
      <c r="G21" s="26">
        <f t="shared" si="1"/>
        <v>24.409309231958055</v>
      </c>
      <c r="H21" s="42"/>
      <c r="I21" s="26">
        <f t="shared" si="2"/>
        <v>175.74702647009798</v>
      </c>
      <c r="J21" s="26">
        <f t="shared" si="3"/>
        <v>19563.573163229747</v>
      </c>
      <c r="K21" s="61"/>
      <c r="L21" s="81"/>
      <c r="M21" s="81"/>
      <c r="N21" s="81"/>
    </row>
    <row r="22" spans="1:14" s="37" customFormat="1" x14ac:dyDescent="0.35">
      <c r="A22" s="89">
        <v>43871</v>
      </c>
      <c r="B22" s="32" t="s">
        <v>128</v>
      </c>
      <c r="C22" s="33"/>
      <c r="D22" s="33">
        <f>101.75+6</f>
        <v>107.75</v>
      </c>
      <c r="E22" s="70">
        <f t="shared" si="0"/>
        <v>693.73000000000013</v>
      </c>
      <c r="F22" s="71"/>
      <c r="G22" s="33">
        <f t="shared" si="1"/>
        <v>24.409309231958058</v>
      </c>
      <c r="H22" s="71"/>
      <c r="I22" s="33">
        <f t="shared" si="2"/>
        <v>2630.1030697434808</v>
      </c>
      <c r="J22" s="33">
        <f t="shared" si="3"/>
        <v>16933.470093486267</v>
      </c>
      <c r="K22" s="32"/>
      <c r="L22" s="35">
        <f>SUM(I21:I22)</f>
        <v>2805.8500962135786</v>
      </c>
      <c r="M22" s="96"/>
      <c r="N22" s="36">
        <v>43876</v>
      </c>
    </row>
    <row r="23" spans="1:14" s="64" customFormat="1" x14ac:dyDescent="0.35">
      <c r="A23" s="68">
        <v>43881</v>
      </c>
      <c r="B23" s="61" t="s">
        <v>141</v>
      </c>
      <c r="C23" s="26"/>
      <c r="D23" s="26">
        <f>8*4.25</f>
        <v>34</v>
      </c>
      <c r="E23" s="41">
        <f t="shared" si="0"/>
        <v>659.73000000000013</v>
      </c>
      <c r="F23" s="42"/>
      <c r="G23" s="26">
        <f t="shared" si="1"/>
        <v>24.409309231958058</v>
      </c>
      <c r="H23" s="42"/>
      <c r="I23" s="26">
        <f t="shared" si="2"/>
        <v>829.91651388657397</v>
      </c>
      <c r="J23" s="26">
        <f t="shared" si="3"/>
        <v>16103.553579599693</v>
      </c>
      <c r="K23" s="61"/>
      <c r="L23" s="81"/>
      <c r="M23" s="81"/>
      <c r="N23" s="81"/>
    </row>
    <row r="24" spans="1:14" s="64" customFormat="1" x14ac:dyDescent="0.35">
      <c r="A24" s="68">
        <v>43883</v>
      </c>
      <c r="B24" s="61" t="s">
        <v>149</v>
      </c>
      <c r="C24" s="26"/>
      <c r="D24" s="26">
        <f>5*4.7</f>
        <v>23.5</v>
      </c>
      <c r="E24" s="41">
        <f t="shared" si="0"/>
        <v>636.23000000000013</v>
      </c>
      <c r="F24" s="42"/>
      <c r="G24" s="26">
        <f t="shared" si="1"/>
        <v>24.409309231958058</v>
      </c>
      <c r="H24" s="42"/>
      <c r="I24" s="26">
        <f t="shared" si="2"/>
        <v>573.61876695101432</v>
      </c>
      <c r="J24" s="26">
        <f t="shared" si="3"/>
        <v>15529.934812648678</v>
      </c>
      <c r="K24" s="61"/>
      <c r="L24" s="81"/>
      <c r="M24" s="81"/>
      <c r="N24" s="81"/>
    </row>
    <row r="25" spans="1:14" s="64" customFormat="1" x14ac:dyDescent="0.35">
      <c r="A25" s="68">
        <v>43889</v>
      </c>
      <c r="B25" s="61" t="s">
        <v>155</v>
      </c>
      <c r="C25" s="26"/>
      <c r="D25" s="26">
        <f>18*4.5</f>
        <v>81</v>
      </c>
      <c r="E25" s="41">
        <f t="shared" si="0"/>
        <v>555.23000000000013</v>
      </c>
      <c r="F25" s="42"/>
      <c r="G25" s="26">
        <f t="shared" si="1"/>
        <v>24.409309231958058</v>
      </c>
      <c r="H25" s="42"/>
      <c r="I25" s="26">
        <f t="shared" si="2"/>
        <v>1977.1540477886028</v>
      </c>
      <c r="J25" s="26">
        <f t="shared" si="3"/>
        <v>13552.780764860076</v>
      </c>
      <c r="K25" s="61"/>
      <c r="L25" s="81"/>
      <c r="M25" s="81"/>
      <c r="N25" s="81"/>
    </row>
    <row r="26" spans="1:14" s="37" customFormat="1" x14ac:dyDescent="0.35">
      <c r="A26" s="89">
        <v>43890</v>
      </c>
      <c r="B26" s="32" t="s">
        <v>157</v>
      </c>
      <c r="C26" s="33"/>
      <c r="D26" s="33">
        <f>12*4.6</f>
        <v>55.199999999999996</v>
      </c>
      <c r="E26" s="70">
        <f t="shared" si="0"/>
        <v>500.03000000000014</v>
      </c>
      <c r="F26" s="71"/>
      <c r="G26" s="33">
        <f t="shared" si="1"/>
        <v>24.409309231958058</v>
      </c>
      <c r="H26" s="71"/>
      <c r="I26" s="33">
        <f t="shared" si="2"/>
        <v>1347.3938696040848</v>
      </c>
      <c r="J26" s="33">
        <f t="shared" si="3"/>
        <v>12205.386895255991</v>
      </c>
      <c r="K26" s="32"/>
      <c r="L26" s="35">
        <f>SUM(I23:I26)</f>
        <v>4728.0831982302761</v>
      </c>
      <c r="M26" s="35">
        <f>SUM(L22:L26)</f>
        <v>7533.9332944438547</v>
      </c>
      <c r="N26" s="36">
        <v>43890</v>
      </c>
    </row>
    <row r="27" spans="1:14" s="64" customFormat="1" x14ac:dyDescent="0.35">
      <c r="A27" s="68">
        <v>43897</v>
      </c>
      <c r="B27" s="61" t="s">
        <v>275</v>
      </c>
      <c r="C27" s="26"/>
      <c r="D27" s="26">
        <f>10*4.9+6*3.7+13*5.65+6*4.6+8*4.1+6</f>
        <v>211.05</v>
      </c>
      <c r="E27" s="41">
        <f t="shared" ref="E27:E38" si="4">+E26-D27</f>
        <v>288.98000000000013</v>
      </c>
      <c r="F27" s="42"/>
      <c r="G27" s="26">
        <f t="shared" ref="G27:G38" si="5">+J26/E26</f>
        <v>24.409309231958058</v>
      </c>
      <c r="H27" s="42"/>
      <c r="I27" s="26">
        <f t="shared" ref="I27:I38" si="6">+D27*G27</f>
        <v>5151.5847134047481</v>
      </c>
      <c r="J27" s="26">
        <f t="shared" ref="J27:J38" si="7">+J26-I27</f>
        <v>7053.8021818512434</v>
      </c>
      <c r="K27" s="61"/>
      <c r="L27" s="79"/>
      <c r="M27" s="79"/>
      <c r="N27" s="80"/>
    </row>
    <row r="28" spans="1:14" s="37" customFormat="1" x14ac:dyDescent="0.35">
      <c r="A28" s="89">
        <v>43900</v>
      </c>
      <c r="B28" s="32" t="s">
        <v>186</v>
      </c>
      <c r="C28" s="33"/>
      <c r="D28" s="33">
        <f>15*6.7+15*5.5</f>
        <v>183</v>
      </c>
      <c r="E28" s="70">
        <f t="shared" si="4"/>
        <v>105.98000000000013</v>
      </c>
      <c r="F28" s="71"/>
      <c r="G28" s="33">
        <f t="shared" si="5"/>
        <v>24.409309231958058</v>
      </c>
      <c r="H28" s="71"/>
      <c r="I28" s="33">
        <f t="shared" si="6"/>
        <v>4466.903589448325</v>
      </c>
      <c r="J28" s="33">
        <f t="shared" si="7"/>
        <v>2586.8985924029184</v>
      </c>
      <c r="K28" s="32"/>
      <c r="L28" s="35">
        <f>SUM(I27:I28)</f>
        <v>9618.488302853073</v>
      </c>
      <c r="M28" s="96"/>
      <c r="N28" s="36">
        <v>43905</v>
      </c>
    </row>
    <row r="29" spans="1:14" s="64" customFormat="1" x14ac:dyDescent="0.35">
      <c r="A29" s="68">
        <v>43906</v>
      </c>
      <c r="B29" s="61" t="s">
        <v>194</v>
      </c>
      <c r="C29" s="26"/>
      <c r="D29" s="26">
        <f>5*5</f>
        <v>25</v>
      </c>
      <c r="E29" s="41">
        <f t="shared" si="4"/>
        <v>80.980000000000132</v>
      </c>
      <c r="F29" s="42"/>
      <c r="G29" s="26">
        <f t="shared" si="5"/>
        <v>24.409309231958058</v>
      </c>
      <c r="H29" s="42"/>
      <c r="I29" s="26">
        <f t="shared" si="6"/>
        <v>610.23273079895148</v>
      </c>
      <c r="J29" s="26">
        <f t="shared" si="7"/>
        <v>1976.665861603967</v>
      </c>
      <c r="K29" s="61"/>
      <c r="L29" s="81"/>
      <c r="M29" s="81"/>
      <c r="N29" s="81"/>
    </row>
    <row r="30" spans="1:14" s="37" customFormat="1" x14ac:dyDescent="0.35">
      <c r="A30" s="89">
        <v>43908</v>
      </c>
      <c r="B30" s="32" t="s">
        <v>200</v>
      </c>
      <c r="C30" s="33"/>
      <c r="D30" s="33">
        <f>2*4.2</f>
        <v>8.4</v>
      </c>
      <c r="E30" s="70">
        <f t="shared" si="4"/>
        <v>72.580000000000126</v>
      </c>
      <c r="F30" s="71"/>
      <c r="G30" s="33">
        <f t="shared" si="5"/>
        <v>24.409309231958062</v>
      </c>
      <c r="H30" s="71"/>
      <c r="I30" s="33">
        <f t="shared" si="6"/>
        <v>205.03819754844773</v>
      </c>
      <c r="J30" s="33">
        <f t="shared" si="7"/>
        <v>1771.6276640555193</v>
      </c>
      <c r="K30" s="32"/>
      <c r="L30" s="35">
        <f>SUM(I29:I30)</f>
        <v>815.27092834739915</v>
      </c>
      <c r="M30" s="35">
        <f>SUM(L28:L30)</f>
        <v>10433.759231200473</v>
      </c>
      <c r="N30" s="36">
        <v>43921</v>
      </c>
    </row>
    <row r="31" spans="1:14" s="37" customFormat="1" x14ac:dyDescent="0.35">
      <c r="A31" s="73">
        <v>43992</v>
      </c>
      <c r="B31" s="32" t="s">
        <v>234</v>
      </c>
      <c r="C31" s="40"/>
      <c r="D31" s="40">
        <v>0</v>
      </c>
      <c r="E31" s="70">
        <f t="shared" si="4"/>
        <v>72.580000000000126</v>
      </c>
      <c r="F31" s="71"/>
      <c r="G31" s="33">
        <f t="shared" si="5"/>
        <v>24.409309231958062</v>
      </c>
      <c r="H31" s="71"/>
      <c r="I31" s="33">
        <f t="shared" si="6"/>
        <v>0</v>
      </c>
      <c r="J31" s="33">
        <f t="shared" si="7"/>
        <v>1771.6276640555193</v>
      </c>
      <c r="K31" s="32"/>
      <c r="L31" s="35">
        <f>SUM(I31)</f>
        <v>0</v>
      </c>
      <c r="M31" s="96"/>
      <c r="N31" s="36">
        <v>43997</v>
      </c>
    </row>
    <row r="32" spans="1:14" s="64" customFormat="1" x14ac:dyDescent="0.35">
      <c r="A32" s="68">
        <v>43998</v>
      </c>
      <c r="B32" s="61" t="s">
        <v>236</v>
      </c>
      <c r="C32" s="26"/>
      <c r="D32" s="26">
        <f>3*4.2</f>
        <v>12.600000000000001</v>
      </c>
      <c r="E32" s="41">
        <f t="shared" si="4"/>
        <v>59.980000000000125</v>
      </c>
      <c r="F32" s="42"/>
      <c r="G32" s="26">
        <f t="shared" si="5"/>
        <v>24.409309231958062</v>
      </c>
      <c r="H32" s="42"/>
      <c r="I32" s="26">
        <f t="shared" si="6"/>
        <v>307.55729632267162</v>
      </c>
      <c r="J32" s="26">
        <f t="shared" si="7"/>
        <v>1464.0703677328477</v>
      </c>
      <c r="K32" s="61"/>
      <c r="L32" s="81"/>
      <c r="M32" s="81"/>
      <c r="N32" s="81"/>
    </row>
    <row r="33" spans="1:14" s="64" customFormat="1" x14ac:dyDescent="0.35">
      <c r="A33" s="68">
        <v>43999</v>
      </c>
      <c r="B33" s="61" t="s">
        <v>241</v>
      </c>
      <c r="C33" s="26"/>
      <c r="D33" s="26">
        <f>12*0.65</f>
        <v>7.8000000000000007</v>
      </c>
      <c r="E33" s="41">
        <f t="shared" si="4"/>
        <v>52.180000000000121</v>
      </c>
      <c r="F33" s="42"/>
      <c r="G33" s="26">
        <f t="shared" si="5"/>
        <v>24.409309231958062</v>
      </c>
      <c r="H33" s="42"/>
      <c r="I33" s="26">
        <f t="shared" si="6"/>
        <v>190.39261200927291</v>
      </c>
      <c r="J33" s="26">
        <f t="shared" si="7"/>
        <v>1273.6777557235748</v>
      </c>
      <c r="K33" s="61"/>
      <c r="L33" s="81"/>
      <c r="M33" s="81"/>
      <c r="N33" s="81"/>
    </row>
    <row r="34" spans="1:14" s="64" customFormat="1" x14ac:dyDescent="0.35">
      <c r="A34" s="68">
        <v>44008</v>
      </c>
      <c r="B34" s="101" t="s">
        <v>308</v>
      </c>
      <c r="C34" s="26">
        <v>7718.64</v>
      </c>
      <c r="D34" s="26"/>
      <c r="E34" s="41">
        <f>+E33+C34</f>
        <v>7770.8200000000006</v>
      </c>
      <c r="F34" s="42">
        <f>+H34/C34</f>
        <v>20.643358156359149</v>
      </c>
      <c r="G34" s="26"/>
      <c r="H34" s="42">
        <v>159338.65</v>
      </c>
      <c r="I34" s="26"/>
      <c r="J34" s="26">
        <f>+J33+H34</f>
        <v>160612.32775572356</v>
      </c>
      <c r="K34" s="61"/>
      <c r="L34" s="81"/>
      <c r="M34" s="81"/>
      <c r="N34" s="81"/>
    </row>
    <row r="35" spans="1:14" s="64" customFormat="1" x14ac:dyDescent="0.35">
      <c r="A35" s="68">
        <v>44000</v>
      </c>
      <c r="B35" s="61" t="s">
        <v>244</v>
      </c>
      <c r="C35" s="26"/>
      <c r="D35" s="26">
        <f>11*4.3+11*5.6+3.5</f>
        <v>112.39999999999999</v>
      </c>
      <c r="E35" s="41">
        <f>+E34-D35</f>
        <v>7658.420000000001</v>
      </c>
      <c r="F35" s="42"/>
      <c r="G35" s="26">
        <f>+J34/E34</f>
        <v>20.668646005920039</v>
      </c>
      <c r="H35" s="42"/>
      <c r="I35" s="26">
        <f t="shared" si="6"/>
        <v>2323.1558110654123</v>
      </c>
      <c r="J35" s="26">
        <f>+J34-I35</f>
        <v>158289.17194465816</v>
      </c>
      <c r="K35" s="61"/>
      <c r="L35" s="81"/>
      <c r="M35" s="81"/>
      <c r="N35" s="81"/>
    </row>
    <row r="36" spans="1:14" s="64" customFormat="1" x14ac:dyDescent="0.35">
      <c r="A36" s="68">
        <v>44000</v>
      </c>
      <c r="B36" s="61" t="s">
        <v>245</v>
      </c>
      <c r="C36" s="26"/>
      <c r="D36" s="26">
        <v>32</v>
      </c>
      <c r="E36" s="41">
        <f t="shared" si="4"/>
        <v>7626.420000000001</v>
      </c>
      <c r="F36" s="42"/>
      <c r="G36" s="26">
        <f t="shared" si="5"/>
        <v>20.668646005920039</v>
      </c>
      <c r="H36" s="42"/>
      <c r="I36" s="26">
        <f t="shared" si="6"/>
        <v>661.39667218944123</v>
      </c>
      <c r="J36" s="26">
        <f t="shared" si="7"/>
        <v>157627.77527246872</v>
      </c>
      <c r="K36" s="61"/>
      <c r="L36" s="81"/>
      <c r="M36" s="81"/>
      <c r="N36" s="81"/>
    </row>
    <row r="37" spans="1:14" s="64" customFormat="1" x14ac:dyDescent="0.35">
      <c r="A37" s="68">
        <v>44006</v>
      </c>
      <c r="B37" s="61" t="s">
        <v>252</v>
      </c>
      <c r="C37" s="26"/>
      <c r="D37" s="26">
        <f>2*2.65</f>
        <v>5.3</v>
      </c>
      <c r="E37" s="41">
        <f t="shared" si="4"/>
        <v>7621.1200000000008</v>
      </c>
      <c r="F37" s="42"/>
      <c r="G37" s="26">
        <f t="shared" si="5"/>
        <v>20.668646005920039</v>
      </c>
      <c r="H37" s="42"/>
      <c r="I37" s="26">
        <f t="shared" si="6"/>
        <v>109.5438238313762</v>
      </c>
      <c r="J37" s="26">
        <f t="shared" si="7"/>
        <v>157518.23144863735</v>
      </c>
      <c r="K37" s="61"/>
      <c r="L37" s="81"/>
      <c r="M37" s="81"/>
      <c r="N37" s="81"/>
    </row>
    <row r="38" spans="1:14" s="64" customFormat="1" x14ac:dyDescent="0.35">
      <c r="A38" s="68">
        <v>44007</v>
      </c>
      <c r="B38" s="61" t="s">
        <v>255</v>
      </c>
      <c r="C38" s="26"/>
      <c r="D38" s="26">
        <v>103.3</v>
      </c>
      <c r="E38" s="41">
        <f t="shared" si="4"/>
        <v>7517.8200000000006</v>
      </c>
      <c r="F38" s="42"/>
      <c r="G38" s="26">
        <f t="shared" si="5"/>
        <v>20.668646005920039</v>
      </c>
      <c r="H38" s="42"/>
      <c r="I38" s="26">
        <f t="shared" si="6"/>
        <v>2135.07113241154</v>
      </c>
      <c r="J38" s="26">
        <f t="shared" si="7"/>
        <v>155383.16031622581</v>
      </c>
      <c r="K38" s="61"/>
      <c r="L38" s="81"/>
      <c r="M38" s="81"/>
      <c r="N38" s="81"/>
    </row>
    <row r="39" spans="1:14" s="37" customFormat="1" x14ac:dyDescent="0.35">
      <c r="A39" s="89">
        <v>44007</v>
      </c>
      <c r="B39" s="32" t="s">
        <v>256</v>
      </c>
      <c r="C39" s="33"/>
      <c r="D39" s="33">
        <v>0.67</v>
      </c>
      <c r="E39" s="70">
        <f t="shared" ref="E39:E51" si="8">+E38-D39</f>
        <v>7517.1500000000005</v>
      </c>
      <c r="F39" s="71"/>
      <c r="G39" s="33">
        <f t="shared" ref="G39:G51" si="9">+J38/E38</f>
        <v>20.668646005920042</v>
      </c>
      <c r="H39" s="71"/>
      <c r="I39" s="33">
        <f t="shared" ref="I39:I51" si="10">+D39*G39</f>
        <v>13.847992823966429</v>
      </c>
      <c r="J39" s="33">
        <f t="shared" ref="J39:J51" si="11">+J38-I39</f>
        <v>155369.31232340186</v>
      </c>
      <c r="K39" s="32"/>
      <c r="L39" s="35">
        <f>SUM(I32:I39)</f>
        <v>5740.9653406536818</v>
      </c>
      <c r="M39" s="35">
        <f>SUM(L31:L39)</f>
        <v>5740.9653406536818</v>
      </c>
      <c r="N39" s="36">
        <v>44012</v>
      </c>
    </row>
    <row r="40" spans="1:14" s="64" customFormat="1" x14ac:dyDescent="0.35">
      <c r="A40" s="68">
        <v>44060</v>
      </c>
      <c r="B40" s="61" t="s">
        <v>360</v>
      </c>
      <c r="C40" s="26"/>
      <c r="D40" s="26">
        <f>6*1.8+6*2.2</f>
        <v>24</v>
      </c>
      <c r="E40" s="41">
        <f t="shared" si="8"/>
        <v>7493.1500000000005</v>
      </c>
      <c r="F40" s="42"/>
      <c r="G40" s="26">
        <f t="shared" si="9"/>
        <v>20.668646005920042</v>
      </c>
      <c r="H40" s="42"/>
      <c r="I40" s="26">
        <f t="shared" si="10"/>
        <v>496.04750414208104</v>
      </c>
      <c r="J40" s="26">
        <f t="shared" si="11"/>
        <v>154873.26481925978</v>
      </c>
      <c r="K40" s="61"/>
      <c r="L40" s="81"/>
      <c r="M40" s="81"/>
      <c r="N40" s="81"/>
    </row>
    <row r="41" spans="1:14" s="64" customFormat="1" x14ac:dyDescent="0.35">
      <c r="A41" s="68">
        <v>44064</v>
      </c>
      <c r="B41" s="61" t="s">
        <v>303</v>
      </c>
      <c r="C41" s="26"/>
      <c r="D41" s="26">
        <f>18*3.4+3*1</f>
        <v>64.199999999999989</v>
      </c>
      <c r="E41" s="41">
        <f t="shared" si="8"/>
        <v>7428.9500000000007</v>
      </c>
      <c r="F41" s="42"/>
      <c r="G41" s="26">
        <f t="shared" si="9"/>
        <v>20.668646005920042</v>
      </c>
      <c r="H41" s="42"/>
      <c r="I41" s="26">
        <f t="shared" si="10"/>
        <v>1326.9270735800665</v>
      </c>
      <c r="J41" s="26">
        <f t="shared" si="11"/>
        <v>153546.33774567972</v>
      </c>
      <c r="K41" s="61"/>
      <c r="L41" s="79"/>
      <c r="M41" s="81"/>
      <c r="N41" s="80"/>
    </row>
    <row r="42" spans="1:14" s="37" customFormat="1" x14ac:dyDescent="0.35">
      <c r="A42" s="89">
        <v>44069</v>
      </c>
      <c r="B42" s="32" t="s">
        <v>311</v>
      </c>
      <c r="C42" s="33"/>
      <c r="D42" s="33">
        <f>3*1.8</f>
        <v>5.4</v>
      </c>
      <c r="E42" s="70">
        <f t="shared" si="8"/>
        <v>7423.5500000000011</v>
      </c>
      <c r="F42" s="71"/>
      <c r="G42" s="33">
        <f t="shared" si="9"/>
        <v>20.668646005920042</v>
      </c>
      <c r="H42" s="71"/>
      <c r="I42" s="33">
        <f t="shared" si="10"/>
        <v>111.61068843196823</v>
      </c>
      <c r="J42" s="33">
        <f t="shared" si="11"/>
        <v>153434.72705724774</v>
      </c>
      <c r="K42" s="32"/>
      <c r="L42" s="35">
        <f>SUM(I40:I42)</f>
        <v>1934.5852661541155</v>
      </c>
      <c r="M42" s="35">
        <f>SUM(L42)</f>
        <v>1934.5852661541155</v>
      </c>
      <c r="N42" s="36">
        <v>44074</v>
      </c>
    </row>
    <row r="43" spans="1:14" s="37" customFormat="1" x14ac:dyDescent="0.35">
      <c r="A43" s="89">
        <v>44086</v>
      </c>
      <c r="B43" s="32" t="s">
        <v>346</v>
      </c>
      <c r="C43" s="33"/>
      <c r="D43" s="33">
        <v>4.8</v>
      </c>
      <c r="E43" s="70">
        <f t="shared" si="8"/>
        <v>7418.7500000000009</v>
      </c>
      <c r="F43" s="71"/>
      <c r="G43" s="33">
        <f t="shared" si="9"/>
        <v>20.668646005920042</v>
      </c>
      <c r="H43" s="71"/>
      <c r="I43" s="33">
        <f t="shared" si="10"/>
        <v>99.209500828416196</v>
      </c>
      <c r="J43" s="33">
        <f t="shared" si="11"/>
        <v>153335.51755641933</v>
      </c>
      <c r="K43" s="32"/>
      <c r="L43" s="35">
        <f>SUM(I43)</f>
        <v>99.209500828416196</v>
      </c>
      <c r="M43" s="35"/>
      <c r="N43" s="36">
        <v>44089</v>
      </c>
    </row>
    <row r="44" spans="1:14" s="64" customFormat="1" x14ac:dyDescent="0.35">
      <c r="A44" s="68">
        <v>44092</v>
      </c>
      <c r="B44" s="61" t="s">
        <v>349</v>
      </c>
      <c r="C44" s="26"/>
      <c r="D44" s="26">
        <f>3*12+14+7+5</f>
        <v>62</v>
      </c>
      <c r="E44" s="41">
        <f t="shared" si="8"/>
        <v>7356.7500000000009</v>
      </c>
      <c r="F44" s="42"/>
      <c r="G44" s="26">
        <f t="shared" si="9"/>
        <v>20.668646005920042</v>
      </c>
      <c r="H44" s="42"/>
      <c r="I44" s="26">
        <f t="shared" si="10"/>
        <v>1281.4560523670425</v>
      </c>
      <c r="J44" s="26">
        <f t="shared" si="11"/>
        <v>152054.06150405228</v>
      </c>
      <c r="K44" s="61"/>
      <c r="L44" s="79"/>
      <c r="M44" s="81"/>
      <c r="N44" s="80"/>
    </row>
    <row r="45" spans="1:14" s="37" customFormat="1" x14ac:dyDescent="0.35">
      <c r="A45" s="89">
        <v>44100</v>
      </c>
      <c r="B45" s="32" t="s">
        <v>364</v>
      </c>
      <c r="C45" s="33"/>
      <c r="D45" s="33">
        <f>5*5.5+5*4.8</f>
        <v>51.5</v>
      </c>
      <c r="E45" s="70">
        <f t="shared" si="8"/>
        <v>7305.2500000000009</v>
      </c>
      <c r="F45" s="71"/>
      <c r="G45" s="33">
        <f t="shared" si="9"/>
        <v>20.668646005920042</v>
      </c>
      <c r="H45" s="71"/>
      <c r="I45" s="33">
        <f t="shared" si="10"/>
        <v>1064.4352693048822</v>
      </c>
      <c r="J45" s="33">
        <f t="shared" si="11"/>
        <v>150989.62623474741</v>
      </c>
      <c r="K45" s="32"/>
      <c r="L45" s="35">
        <f>SUM(I44:I45)</f>
        <v>2345.8913216719247</v>
      </c>
      <c r="M45" s="35">
        <f>SUM(L43:L45)</f>
        <v>2445.1008225003411</v>
      </c>
      <c r="N45" s="36">
        <v>44104</v>
      </c>
    </row>
    <row r="46" spans="1:14" s="64" customFormat="1" x14ac:dyDescent="0.35">
      <c r="A46" s="68">
        <v>44111</v>
      </c>
      <c r="B46" s="61" t="s">
        <v>379</v>
      </c>
      <c r="C46" s="26"/>
      <c r="D46" s="26">
        <f>11*5.4</f>
        <v>59.400000000000006</v>
      </c>
      <c r="E46" s="41">
        <f t="shared" si="8"/>
        <v>7245.8500000000013</v>
      </c>
      <c r="F46" s="42"/>
      <c r="G46" s="26">
        <f t="shared" si="9"/>
        <v>20.668646005920042</v>
      </c>
      <c r="H46" s="42"/>
      <c r="I46" s="26">
        <f t="shared" si="10"/>
        <v>1227.7175727516506</v>
      </c>
      <c r="J46" s="26">
        <f t="shared" si="11"/>
        <v>149761.90866199575</v>
      </c>
      <c r="K46" s="61"/>
      <c r="L46" s="81"/>
      <c r="M46" s="81"/>
      <c r="N46" s="81"/>
    </row>
    <row r="47" spans="1:14" s="37" customFormat="1" x14ac:dyDescent="0.35">
      <c r="A47" s="89">
        <v>44116</v>
      </c>
      <c r="B47" s="32" t="s">
        <v>391</v>
      </c>
      <c r="C47" s="33"/>
      <c r="D47" s="33">
        <f>2*3.25</f>
        <v>6.5</v>
      </c>
      <c r="E47" s="70">
        <f t="shared" si="8"/>
        <v>7239.3500000000013</v>
      </c>
      <c r="F47" s="71"/>
      <c r="G47" s="33">
        <f t="shared" si="9"/>
        <v>20.668646005920042</v>
      </c>
      <c r="H47" s="71"/>
      <c r="I47" s="33">
        <f t="shared" si="10"/>
        <v>134.34619903848028</v>
      </c>
      <c r="J47" s="33">
        <f t="shared" si="11"/>
        <v>149627.56246295728</v>
      </c>
      <c r="K47" s="32"/>
      <c r="L47" s="35">
        <f>SUM(I46:I47)</f>
        <v>1362.0637717901309</v>
      </c>
      <c r="M47" s="96"/>
      <c r="N47" s="36">
        <v>44119</v>
      </c>
    </row>
    <row r="48" spans="1:14" s="37" customFormat="1" x14ac:dyDescent="0.35">
      <c r="A48" s="89">
        <v>44121</v>
      </c>
      <c r="B48" s="32" t="s">
        <v>525</v>
      </c>
      <c r="C48" s="33"/>
      <c r="D48" s="33">
        <v>3.25</v>
      </c>
      <c r="E48" s="70">
        <f t="shared" si="8"/>
        <v>7236.1000000000013</v>
      </c>
      <c r="F48" s="71"/>
      <c r="G48" s="33">
        <f t="shared" si="9"/>
        <v>20.668646005920042</v>
      </c>
      <c r="H48" s="71"/>
      <c r="I48" s="33">
        <f t="shared" si="10"/>
        <v>67.173099519240139</v>
      </c>
      <c r="J48" s="33">
        <f t="shared" si="11"/>
        <v>149560.38936343804</v>
      </c>
      <c r="K48" s="32"/>
      <c r="L48" s="35">
        <f>SUM(I48)</f>
        <v>67.173099519240139</v>
      </c>
      <c r="M48" s="35">
        <f>SUM(L47:L48)</f>
        <v>1429.2368713093711</v>
      </c>
      <c r="N48" s="36">
        <v>44135</v>
      </c>
    </row>
    <row r="49" spans="1:14" s="37" customFormat="1" x14ac:dyDescent="0.35">
      <c r="A49" s="89">
        <v>44140</v>
      </c>
      <c r="B49" s="32" t="s">
        <v>433</v>
      </c>
      <c r="C49" s="33"/>
      <c r="D49" s="33">
        <v>155.19999999999999</v>
      </c>
      <c r="E49" s="70">
        <f t="shared" si="8"/>
        <v>7080.9000000000015</v>
      </c>
      <c r="F49" s="71"/>
      <c r="G49" s="33">
        <f t="shared" si="9"/>
        <v>20.668646005920042</v>
      </c>
      <c r="H49" s="71"/>
      <c r="I49" s="33">
        <f t="shared" si="10"/>
        <v>3207.7738601187903</v>
      </c>
      <c r="J49" s="33">
        <f t="shared" si="11"/>
        <v>146352.61550331925</v>
      </c>
      <c r="K49" s="32"/>
      <c r="L49" s="35">
        <f>SUM(I49)</f>
        <v>3207.7738601187903</v>
      </c>
      <c r="M49" s="35"/>
      <c r="N49" s="36">
        <v>44150</v>
      </c>
    </row>
    <row r="50" spans="1:14" s="64" customFormat="1" x14ac:dyDescent="0.35">
      <c r="A50" s="68">
        <v>44151</v>
      </c>
      <c r="B50" s="61" t="s">
        <v>452</v>
      </c>
      <c r="C50" s="26"/>
      <c r="D50" s="26">
        <f>3*4.75</f>
        <v>14.25</v>
      </c>
      <c r="E50" s="41">
        <f t="shared" si="8"/>
        <v>7066.6500000000015</v>
      </c>
      <c r="F50" s="42"/>
      <c r="G50" s="26">
        <f t="shared" si="9"/>
        <v>20.668646005920042</v>
      </c>
      <c r="H50" s="42"/>
      <c r="I50" s="26">
        <f t="shared" si="10"/>
        <v>294.52820558436059</v>
      </c>
      <c r="J50" s="26">
        <f t="shared" si="11"/>
        <v>146058.08729773489</v>
      </c>
      <c r="K50" s="61"/>
      <c r="L50" s="81"/>
      <c r="M50" s="81"/>
      <c r="N50" s="81"/>
    </row>
    <row r="51" spans="1:14" s="37" customFormat="1" x14ac:dyDescent="0.35">
      <c r="A51" s="89">
        <v>44159</v>
      </c>
      <c r="B51" s="32" t="s">
        <v>460</v>
      </c>
      <c r="C51" s="33"/>
      <c r="D51" s="33">
        <v>0</v>
      </c>
      <c r="E51" s="70">
        <f t="shared" si="8"/>
        <v>7066.6500000000015</v>
      </c>
      <c r="F51" s="71"/>
      <c r="G51" s="33">
        <f t="shared" si="9"/>
        <v>20.668646005920042</v>
      </c>
      <c r="H51" s="71"/>
      <c r="I51" s="33">
        <f t="shared" si="10"/>
        <v>0</v>
      </c>
      <c r="J51" s="33">
        <f t="shared" si="11"/>
        <v>146058.08729773489</v>
      </c>
      <c r="K51" s="32"/>
      <c r="L51" s="35">
        <f>SUM(I50:I51)</f>
        <v>294.52820558436059</v>
      </c>
      <c r="M51" s="35">
        <f>SUM(L49:L51)</f>
        <v>3502.3020657031507</v>
      </c>
      <c r="N51" s="36">
        <v>44165</v>
      </c>
    </row>
    <row r="52" spans="1:14" s="64" customFormat="1" x14ac:dyDescent="0.35">
      <c r="A52" s="68">
        <v>44168</v>
      </c>
      <c r="B52" s="61" t="s">
        <v>482</v>
      </c>
      <c r="C52" s="26"/>
      <c r="D52" s="26">
        <f>4*6.25</f>
        <v>25</v>
      </c>
      <c r="E52" s="41">
        <f t="shared" ref="E52:E54" si="12">+E51-D52</f>
        <v>7041.6500000000015</v>
      </c>
      <c r="F52" s="42"/>
      <c r="G52" s="26">
        <f t="shared" ref="G52:G54" si="13">+J51/E51</f>
        <v>20.668646005920042</v>
      </c>
      <c r="H52" s="42"/>
      <c r="I52" s="26">
        <f t="shared" ref="I52:I54" si="14">+D52*G52</f>
        <v>516.71615014800102</v>
      </c>
      <c r="J52" s="26">
        <f t="shared" ref="J52:J54" si="15">+J51-I52</f>
        <v>145541.37114758688</v>
      </c>
      <c r="K52" s="61"/>
      <c r="L52" s="81"/>
      <c r="M52" s="81"/>
      <c r="N52" s="81"/>
    </row>
    <row r="53" spans="1:14" s="64" customFormat="1" x14ac:dyDescent="0.35">
      <c r="A53" s="68">
        <v>44169</v>
      </c>
      <c r="B53" s="61" t="s">
        <v>484</v>
      </c>
      <c r="C53" s="26"/>
      <c r="D53" s="26">
        <f>13*0.5+2*3.3</f>
        <v>13.1</v>
      </c>
      <c r="E53" s="41">
        <f t="shared" si="12"/>
        <v>7028.5500000000011</v>
      </c>
      <c r="F53" s="42"/>
      <c r="G53" s="26">
        <f t="shared" si="13"/>
        <v>20.668646005920039</v>
      </c>
      <c r="H53" s="42"/>
      <c r="I53" s="26">
        <f t="shared" si="14"/>
        <v>270.7592626775525</v>
      </c>
      <c r="J53" s="26">
        <f t="shared" si="15"/>
        <v>145270.61188490933</v>
      </c>
      <c r="K53" s="61"/>
      <c r="L53" s="81"/>
      <c r="M53" s="81"/>
      <c r="N53" s="81"/>
    </row>
    <row r="54" spans="1:14" s="37" customFormat="1" x14ac:dyDescent="0.35">
      <c r="A54" s="89">
        <v>44169</v>
      </c>
      <c r="B54" s="32" t="s">
        <v>485</v>
      </c>
      <c r="C54" s="33"/>
      <c r="D54" s="33">
        <f>13*4.05</f>
        <v>52.65</v>
      </c>
      <c r="E54" s="70">
        <f t="shared" si="12"/>
        <v>6975.9000000000015</v>
      </c>
      <c r="F54" s="71"/>
      <c r="G54" s="33">
        <f t="shared" si="13"/>
        <v>20.668646005920042</v>
      </c>
      <c r="H54" s="71"/>
      <c r="I54" s="33">
        <f t="shared" si="14"/>
        <v>1088.2042122116902</v>
      </c>
      <c r="J54" s="33">
        <f t="shared" si="15"/>
        <v>144182.40767269765</v>
      </c>
      <c r="K54" s="32"/>
      <c r="L54" s="35">
        <f>SUM(I52:I54)</f>
        <v>1875.6796250372438</v>
      </c>
      <c r="M54" s="97">
        <f>SUM(L54)</f>
        <v>1875.6796250372438</v>
      </c>
      <c r="N54" s="36">
        <v>44180</v>
      </c>
    </row>
    <row r="55" spans="1:14" ht="15" thickBot="1" x14ac:dyDescent="0.4">
      <c r="A55" s="77"/>
      <c r="B55" s="61"/>
      <c r="C55" s="26">
        <f>SUM(C9:C54)</f>
        <v>9038.6200000000008</v>
      </c>
      <c r="D55" s="26">
        <f>SUM(D9:D54)</f>
        <v>2062.7200000000003</v>
      </c>
      <c r="E55" s="41"/>
      <c r="F55" s="42"/>
      <c r="G55" s="26"/>
      <c r="H55" s="26">
        <f t="shared" ref="H55:I55" si="16">SUM(H9:H54)</f>
        <v>191558.44999999998</v>
      </c>
      <c r="I55" s="26">
        <f t="shared" si="16"/>
        <v>47376.042327302384</v>
      </c>
      <c r="J55" s="26"/>
      <c r="K55" s="61"/>
      <c r="L55" s="1"/>
      <c r="M55" s="105">
        <f>SUM(M14:M54)</f>
        <v>47376.042327302384</v>
      </c>
      <c r="N55" s="1"/>
    </row>
    <row r="56" spans="1:14" ht="15" thickTop="1" x14ac:dyDescent="0.35">
      <c r="A56" s="50"/>
      <c r="B56" s="5"/>
      <c r="C56" s="94"/>
      <c r="D56" s="94"/>
      <c r="E56" s="92"/>
      <c r="F56" s="93"/>
      <c r="G56" s="94"/>
      <c r="H56" s="94"/>
      <c r="I56" s="94"/>
      <c r="J56" s="94"/>
      <c r="K56" s="5"/>
      <c r="L56" s="1"/>
      <c r="M56" s="107"/>
      <c r="N56" s="1"/>
    </row>
    <row r="57" spans="1:14" x14ac:dyDescent="0.35">
      <c r="A57" s="50" t="s">
        <v>23</v>
      </c>
      <c r="B57" s="5"/>
      <c r="C57" s="4"/>
      <c r="D57" s="4"/>
      <c r="E57" s="4"/>
      <c r="F57" s="4"/>
      <c r="G57" s="1"/>
      <c r="H57" s="1"/>
      <c r="I57" s="48"/>
      <c r="J57" s="1"/>
      <c r="M57" s="106"/>
    </row>
    <row r="58" spans="1:14" x14ac:dyDescent="0.35">
      <c r="A58" s="50" t="s">
        <v>36</v>
      </c>
      <c r="B58" s="5"/>
      <c r="C58" s="4"/>
      <c r="D58" s="4"/>
      <c r="E58" s="4"/>
      <c r="F58" s="4"/>
      <c r="G58" s="1"/>
      <c r="H58" s="1"/>
      <c r="I58" s="1"/>
      <c r="J58" s="51">
        <f>+E54*F34</f>
        <v>144006.00216294581</v>
      </c>
      <c r="M58" s="9"/>
    </row>
    <row r="59" spans="1:14" x14ac:dyDescent="0.35">
      <c r="A59" s="50" t="s">
        <v>24</v>
      </c>
      <c r="B59" s="5"/>
      <c r="C59" s="4"/>
      <c r="D59" s="4"/>
      <c r="E59" s="4"/>
      <c r="F59" s="4"/>
      <c r="G59" s="1"/>
      <c r="H59" s="1"/>
      <c r="I59" s="1"/>
      <c r="J59" s="52">
        <f>+J54</f>
        <v>144182.40767269765</v>
      </c>
    </row>
    <row r="60" spans="1:14" ht="15" thickBot="1" x14ac:dyDescent="0.4">
      <c r="A60" s="50"/>
      <c r="B60" s="5" t="s">
        <v>25</v>
      </c>
      <c r="C60" s="4"/>
      <c r="D60" s="4"/>
      <c r="E60" s="4"/>
      <c r="F60" s="4"/>
      <c r="G60" s="1"/>
      <c r="H60" s="1"/>
      <c r="I60" s="1"/>
      <c r="J60" s="53">
        <f>+J58-J59</f>
        <v>-176.40550975184306</v>
      </c>
    </row>
    <row r="61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N59"/>
  <sheetViews>
    <sheetView topLeftCell="A31" workbookViewId="0">
      <selection activeCell="H60" sqref="H60"/>
    </sheetView>
  </sheetViews>
  <sheetFormatPr baseColWidth="10" defaultRowHeight="14.5" x14ac:dyDescent="0.35"/>
  <cols>
    <col min="2" max="2" width="37.1796875" customWidth="1"/>
    <col min="12" max="13" width="9.08984375" customWidth="1"/>
    <col min="14" max="14" width="11.089843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27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</row>
    <row r="9" spans="1:14" x14ac:dyDescent="0.35">
      <c r="A9" s="117">
        <v>43832</v>
      </c>
      <c r="B9" s="61" t="s">
        <v>37</v>
      </c>
      <c r="C9" s="25">
        <v>10953.95</v>
      </c>
      <c r="D9" s="26"/>
      <c r="E9" s="27">
        <v>10953.95</v>
      </c>
      <c r="F9" s="26">
        <f>+H9/C9</f>
        <v>20.294182463860068</v>
      </c>
      <c r="G9" s="26"/>
      <c r="H9" s="28">
        <v>222301.46</v>
      </c>
      <c r="I9" s="29"/>
      <c r="J9" s="29">
        <v>222301.46</v>
      </c>
      <c r="K9" s="118"/>
      <c r="L9" s="1"/>
      <c r="M9" s="1"/>
      <c r="N9" s="1"/>
    </row>
    <row r="10" spans="1:14" s="37" customFormat="1" x14ac:dyDescent="0.35">
      <c r="A10" s="119">
        <v>43838</v>
      </c>
      <c r="B10" s="32" t="s">
        <v>58</v>
      </c>
      <c r="C10" s="33"/>
      <c r="D10" s="33">
        <f>6*4.3+6*2.7</f>
        <v>42</v>
      </c>
      <c r="E10" s="70">
        <f>+E9-D10</f>
        <v>10911.95</v>
      </c>
      <c r="F10" s="71"/>
      <c r="G10" s="33">
        <f>+J9/E9</f>
        <v>20.294182463860068</v>
      </c>
      <c r="H10" s="71"/>
      <c r="I10" s="33">
        <f>+D10*G10</f>
        <v>852.35566348212285</v>
      </c>
      <c r="J10" s="33">
        <f>+J9-I10</f>
        <v>221449.10433651786</v>
      </c>
      <c r="K10" s="32"/>
      <c r="L10" s="35">
        <f>SUM(I10)</f>
        <v>852.35566348212285</v>
      </c>
      <c r="M10" s="96"/>
      <c r="N10" s="36">
        <v>43845</v>
      </c>
    </row>
    <row r="11" spans="1:14" s="64" customFormat="1" x14ac:dyDescent="0.35">
      <c r="A11" s="117">
        <v>43851</v>
      </c>
      <c r="B11" s="61" t="s">
        <v>83</v>
      </c>
      <c r="C11" s="26"/>
      <c r="D11" s="26">
        <f>4*4.2+1.3</f>
        <v>18.100000000000001</v>
      </c>
      <c r="E11" s="41">
        <f t="shared" ref="E11:E52" si="0">+E10-D11</f>
        <v>10893.85</v>
      </c>
      <c r="F11" s="42"/>
      <c r="G11" s="26">
        <f t="shared" ref="G11:G52" si="1">+J10/E10</f>
        <v>20.294182463860068</v>
      </c>
      <c r="H11" s="42"/>
      <c r="I11" s="26">
        <f t="shared" ref="I11:I52" si="2">+D11*G11</f>
        <v>367.32470259586728</v>
      </c>
      <c r="J11" s="26">
        <f t="shared" ref="J11:J52" si="3">+J10-I11</f>
        <v>221081.77963392201</v>
      </c>
      <c r="K11" s="61"/>
      <c r="L11" s="81"/>
      <c r="M11" s="81"/>
      <c r="N11" s="81"/>
    </row>
    <row r="12" spans="1:14" s="64" customFormat="1" x14ac:dyDescent="0.35">
      <c r="A12" s="117">
        <v>43853</v>
      </c>
      <c r="B12" s="61" t="s">
        <v>87</v>
      </c>
      <c r="C12" s="26"/>
      <c r="D12" s="26">
        <f>25*1.84</f>
        <v>46</v>
      </c>
      <c r="E12" s="41">
        <f t="shared" si="0"/>
        <v>10847.85</v>
      </c>
      <c r="F12" s="42"/>
      <c r="G12" s="26">
        <f t="shared" si="1"/>
        <v>20.294182463860068</v>
      </c>
      <c r="H12" s="42"/>
      <c r="I12" s="26">
        <f t="shared" si="2"/>
        <v>933.53239333756312</v>
      </c>
      <c r="J12" s="26">
        <f t="shared" si="3"/>
        <v>220148.24724058443</v>
      </c>
      <c r="K12" s="61"/>
      <c r="L12" s="79"/>
      <c r="M12" s="81"/>
      <c r="N12" s="80"/>
    </row>
    <row r="13" spans="1:14" s="64" customFormat="1" x14ac:dyDescent="0.35">
      <c r="A13" s="117">
        <v>43855</v>
      </c>
      <c r="B13" s="61" t="s">
        <v>95</v>
      </c>
      <c r="C13" s="26"/>
      <c r="D13" s="26">
        <f>4+4.5</f>
        <v>8.5</v>
      </c>
      <c r="E13" s="41">
        <f t="shared" si="0"/>
        <v>10839.35</v>
      </c>
      <c r="F13" s="42"/>
      <c r="G13" s="26">
        <f t="shared" si="1"/>
        <v>20.294182463860068</v>
      </c>
      <c r="H13" s="42"/>
      <c r="I13" s="26">
        <f t="shared" si="2"/>
        <v>172.50055094281058</v>
      </c>
      <c r="J13" s="26">
        <f t="shared" si="3"/>
        <v>219975.74668964162</v>
      </c>
      <c r="K13" s="61"/>
      <c r="L13" s="81"/>
      <c r="M13" s="81"/>
      <c r="N13" s="81"/>
    </row>
    <row r="14" spans="1:14" s="37" customFormat="1" x14ac:dyDescent="0.35">
      <c r="A14" s="73">
        <v>43857</v>
      </c>
      <c r="B14" s="32" t="s">
        <v>97</v>
      </c>
      <c r="C14" s="39"/>
      <c r="D14" s="40">
        <v>3.4</v>
      </c>
      <c r="E14" s="70">
        <f t="shared" si="0"/>
        <v>10835.95</v>
      </c>
      <c r="F14" s="71"/>
      <c r="G14" s="33">
        <f t="shared" si="1"/>
        <v>20.294182463860068</v>
      </c>
      <c r="H14" s="71"/>
      <c r="I14" s="33">
        <f t="shared" si="2"/>
        <v>69.000220377124222</v>
      </c>
      <c r="J14" s="33">
        <f t="shared" si="3"/>
        <v>219906.7464692645</v>
      </c>
      <c r="K14" s="32"/>
      <c r="L14" s="35">
        <f>SUM(I11:I14)</f>
        <v>1542.3578672533652</v>
      </c>
      <c r="M14" s="35">
        <f>SUM(L10:L14)</f>
        <v>2394.7135307354879</v>
      </c>
      <c r="N14" s="36">
        <v>43861</v>
      </c>
    </row>
    <row r="15" spans="1:14" s="64" customFormat="1" x14ac:dyDescent="0.35">
      <c r="A15" s="69">
        <v>43868</v>
      </c>
      <c r="B15" s="61" t="s">
        <v>123</v>
      </c>
      <c r="C15" s="62"/>
      <c r="D15" s="67">
        <f>17*5.18</f>
        <v>88.06</v>
      </c>
      <c r="E15" s="41">
        <f t="shared" si="0"/>
        <v>10747.890000000001</v>
      </c>
      <c r="F15" s="42"/>
      <c r="G15" s="26">
        <f t="shared" si="1"/>
        <v>20.294182463860068</v>
      </c>
      <c r="H15" s="42"/>
      <c r="I15" s="26">
        <f t="shared" si="2"/>
        <v>1787.1057077675175</v>
      </c>
      <c r="J15" s="26">
        <f t="shared" si="3"/>
        <v>218119.64076149699</v>
      </c>
      <c r="K15" s="61"/>
      <c r="L15" s="81"/>
      <c r="M15" s="81"/>
      <c r="N15" s="81"/>
    </row>
    <row r="16" spans="1:14" s="64" customFormat="1" x14ac:dyDescent="0.35">
      <c r="A16" s="69">
        <v>43871</v>
      </c>
      <c r="B16" s="61" t="s">
        <v>127</v>
      </c>
      <c r="C16" s="62"/>
      <c r="D16" s="67">
        <f>22*3.65</f>
        <v>80.3</v>
      </c>
      <c r="E16" s="41">
        <f t="shared" si="0"/>
        <v>10667.590000000002</v>
      </c>
      <c r="F16" s="42"/>
      <c r="G16" s="26">
        <f t="shared" si="1"/>
        <v>20.294182463860068</v>
      </c>
      <c r="H16" s="42"/>
      <c r="I16" s="26">
        <f t="shared" si="2"/>
        <v>1629.6228518479634</v>
      </c>
      <c r="J16" s="26">
        <f t="shared" si="3"/>
        <v>216490.01790964903</v>
      </c>
      <c r="K16" s="61"/>
      <c r="L16" s="81"/>
      <c r="M16" s="81"/>
      <c r="N16" s="81"/>
    </row>
    <row r="17" spans="1:14" s="64" customFormat="1" x14ac:dyDescent="0.35">
      <c r="A17" s="69">
        <v>43872</v>
      </c>
      <c r="B17" s="61" t="s">
        <v>129</v>
      </c>
      <c r="C17" s="62"/>
      <c r="D17" s="67">
        <f>12*5.5</f>
        <v>66</v>
      </c>
      <c r="E17" s="41">
        <f t="shared" si="0"/>
        <v>10601.590000000002</v>
      </c>
      <c r="F17" s="42"/>
      <c r="G17" s="26">
        <f t="shared" si="1"/>
        <v>20.294182463860064</v>
      </c>
      <c r="H17" s="42"/>
      <c r="I17" s="26">
        <f t="shared" si="2"/>
        <v>1339.4160426147641</v>
      </c>
      <c r="J17" s="26">
        <f t="shared" si="3"/>
        <v>215150.60186703427</v>
      </c>
      <c r="K17" s="61"/>
      <c r="L17" s="81"/>
      <c r="M17" s="81"/>
      <c r="N17" s="81"/>
    </row>
    <row r="18" spans="1:14" s="37" customFormat="1" x14ac:dyDescent="0.35">
      <c r="A18" s="73">
        <v>43875</v>
      </c>
      <c r="B18" s="32" t="s">
        <v>133</v>
      </c>
      <c r="C18" s="39"/>
      <c r="D18" s="40">
        <f>19*8</f>
        <v>152</v>
      </c>
      <c r="E18" s="70">
        <f t="shared" si="0"/>
        <v>10449.590000000002</v>
      </c>
      <c r="F18" s="71"/>
      <c r="G18" s="33">
        <f t="shared" si="1"/>
        <v>20.294182463860064</v>
      </c>
      <c r="H18" s="71"/>
      <c r="I18" s="33">
        <f t="shared" si="2"/>
        <v>3084.7157345067299</v>
      </c>
      <c r="J18" s="33">
        <f t="shared" si="3"/>
        <v>212065.88613252755</v>
      </c>
      <c r="K18" s="32"/>
      <c r="L18" s="35">
        <f>SUM(I15:I18)</f>
        <v>7840.8603367369742</v>
      </c>
      <c r="M18" s="96"/>
      <c r="N18" s="36">
        <v>43876</v>
      </c>
    </row>
    <row r="19" spans="1:14" s="64" customFormat="1" x14ac:dyDescent="0.35">
      <c r="A19" s="117">
        <v>43878</v>
      </c>
      <c r="B19" s="61" t="s">
        <v>135</v>
      </c>
      <c r="C19" s="66"/>
      <c r="D19" s="66">
        <f>11*5.75</f>
        <v>63.25</v>
      </c>
      <c r="E19" s="41">
        <f t="shared" si="0"/>
        <v>10386.340000000002</v>
      </c>
      <c r="F19" s="42"/>
      <c r="G19" s="26">
        <f t="shared" si="1"/>
        <v>20.294182463860068</v>
      </c>
      <c r="H19" s="42"/>
      <c r="I19" s="26">
        <f t="shared" si="2"/>
        <v>1283.6070408391492</v>
      </c>
      <c r="J19" s="26">
        <f t="shared" si="3"/>
        <v>210782.2790916884</v>
      </c>
      <c r="K19" s="61"/>
      <c r="L19" s="81"/>
      <c r="M19" s="81"/>
      <c r="N19" s="81"/>
    </row>
    <row r="20" spans="1:14" s="64" customFormat="1" x14ac:dyDescent="0.35">
      <c r="A20" s="117">
        <v>43847</v>
      </c>
      <c r="B20" s="61" t="s">
        <v>136</v>
      </c>
      <c r="C20" s="26"/>
      <c r="D20" s="26">
        <v>0</v>
      </c>
      <c r="E20" s="41">
        <f t="shared" si="0"/>
        <v>10386.340000000002</v>
      </c>
      <c r="F20" s="42"/>
      <c r="G20" s="26">
        <f t="shared" si="1"/>
        <v>20.294182463860064</v>
      </c>
      <c r="H20" s="42"/>
      <c r="I20" s="26">
        <f t="shared" si="2"/>
        <v>0</v>
      </c>
      <c r="J20" s="26">
        <f t="shared" si="3"/>
        <v>210782.2790916884</v>
      </c>
      <c r="K20" s="61"/>
      <c r="L20" s="81"/>
      <c r="M20" s="81"/>
      <c r="N20" s="81"/>
    </row>
    <row r="21" spans="1:14" s="64" customFormat="1" x14ac:dyDescent="0.35">
      <c r="A21" s="117">
        <v>43878</v>
      </c>
      <c r="B21" s="61" t="s">
        <v>137</v>
      </c>
      <c r="C21" s="26"/>
      <c r="D21" s="26">
        <v>11</v>
      </c>
      <c r="E21" s="41">
        <f t="shared" si="0"/>
        <v>10375.340000000002</v>
      </c>
      <c r="F21" s="42"/>
      <c r="G21" s="26">
        <f t="shared" si="1"/>
        <v>20.294182463860064</v>
      </c>
      <c r="H21" s="42"/>
      <c r="I21" s="26">
        <f t="shared" si="2"/>
        <v>223.23600710246072</v>
      </c>
      <c r="J21" s="26">
        <f t="shared" si="3"/>
        <v>210559.04308458592</v>
      </c>
      <c r="K21" s="61"/>
      <c r="L21" s="81"/>
      <c r="M21" s="81"/>
      <c r="N21" s="81"/>
    </row>
    <row r="22" spans="1:14" s="64" customFormat="1" x14ac:dyDescent="0.35">
      <c r="A22" s="117">
        <v>43881</v>
      </c>
      <c r="B22" s="61" t="s">
        <v>139</v>
      </c>
      <c r="C22" s="26"/>
      <c r="D22" s="26">
        <f>7*4.6</f>
        <v>32.199999999999996</v>
      </c>
      <c r="E22" s="41">
        <f t="shared" si="0"/>
        <v>10343.140000000001</v>
      </c>
      <c r="F22" s="42"/>
      <c r="G22" s="26">
        <f t="shared" si="1"/>
        <v>20.294182463860064</v>
      </c>
      <c r="H22" s="42"/>
      <c r="I22" s="26">
        <f t="shared" si="2"/>
        <v>653.47267533629395</v>
      </c>
      <c r="J22" s="26">
        <f t="shared" si="3"/>
        <v>209905.57040924963</v>
      </c>
      <c r="K22" s="61"/>
      <c r="L22" s="81"/>
      <c r="M22" s="81"/>
      <c r="N22" s="81"/>
    </row>
    <row r="23" spans="1:14" s="64" customFormat="1" x14ac:dyDescent="0.35">
      <c r="A23" s="117">
        <v>43883</v>
      </c>
      <c r="B23" s="61" t="s">
        <v>147</v>
      </c>
      <c r="C23" s="26"/>
      <c r="D23" s="26">
        <f>42*5</f>
        <v>210</v>
      </c>
      <c r="E23" s="41">
        <f t="shared" si="0"/>
        <v>10133.140000000001</v>
      </c>
      <c r="F23" s="42"/>
      <c r="G23" s="26">
        <f t="shared" si="1"/>
        <v>20.294182463860068</v>
      </c>
      <c r="H23" s="42"/>
      <c r="I23" s="26">
        <f t="shared" si="2"/>
        <v>4261.7783174106144</v>
      </c>
      <c r="J23" s="26">
        <f t="shared" si="3"/>
        <v>205643.79209183902</v>
      </c>
      <c r="K23" s="61"/>
      <c r="L23" s="79"/>
      <c r="M23" s="79"/>
      <c r="N23" s="80"/>
    </row>
    <row r="24" spans="1:14" s="37" customFormat="1" x14ac:dyDescent="0.35">
      <c r="A24" s="119">
        <v>43888</v>
      </c>
      <c r="B24" s="32" t="s">
        <v>152</v>
      </c>
      <c r="C24" s="33"/>
      <c r="D24" s="33">
        <f>6*5.4+6*5.7+7*6+5*6.1+13*6.3</f>
        <v>221</v>
      </c>
      <c r="E24" s="70">
        <f t="shared" si="0"/>
        <v>9912.1400000000012</v>
      </c>
      <c r="F24" s="71"/>
      <c r="G24" s="33">
        <f t="shared" si="1"/>
        <v>20.294182463860068</v>
      </c>
      <c r="H24" s="71"/>
      <c r="I24" s="33">
        <f t="shared" si="2"/>
        <v>4485.0143245130748</v>
      </c>
      <c r="J24" s="33">
        <f t="shared" si="3"/>
        <v>201158.77776732593</v>
      </c>
      <c r="K24" s="32"/>
      <c r="L24" s="35">
        <f>SUM(I19:I24)</f>
        <v>10907.108365201593</v>
      </c>
      <c r="M24" s="35">
        <f>SUM(L18:L24)</f>
        <v>18747.968701938567</v>
      </c>
      <c r="N24" s="36">
        <v>43890</v>
      </c>
    </row>
    <row r="25" spans="1:14" s="64" customFormat="1" x14ac:dyDescent="0.35">
      <c r="A25" s="117">
        <v>43895</v>
      </c>
      <c r="B25" s="61" t="s">
        <v>174</v>
      </c>
      <c r="C25" s="26"/>
      <c r="D25" s="26">
        <f>8*3.5+2*1.85+9*2.4+9*2.66+9*2.5+9*2.46+8</f>
        <v>129.88</v>
      </c>
      <c r="E25" s="41">
        <f t="shared" si="0"/>
        <v>9782.260000000002</v>
      </c>
      <c r="F25" s="42"/>
      <c r="G25" s="26">
        <f t="shared" si="1"/>
        <v>20.294182463860064</v>
      </c>
      <c r="H25" s="42"/>
      <c r="I25" s="26">
        <f t="shared" si="2"/>
        <v>2635.8084184061449</v>
      </c>
      <c r="J25" s="26">
        <f t="shared" si="3"/>
        <v>198522.96934891978</v>
      </c>
      <c r="K25" s="61"/>
      <c r="L25" s="81"/>
      <c r="M25" s="81"/>
      <c r="N25" s="81"/>
    </row>
    <row r="26" spans="1:14" s="37" customFormat="1" x14ac:dyDescent="0.35">
      <c r="A26" s="119">
        <v>43901</v>
      </c>
      <c r="B26" s="32" t="s">
        <v>188</v>
      </c>
      <c r="C26" s="33"/>
      <c r="D26" s="33">
        <f>10*4.65</f>
        <v>46.5</v>
      </c>
      <c r="E26" s="70">
        <f t="shared" si="0"/>
        <v>9735.760000000002</v>
      </c>
      <c r="F26" s="71"/>
      <c r="G26" s="33">
        <f t="shared" si="1"/>
        <v>20.294182463860064</v>
      </c>
      <c r="H26" s="71"/>
      <c r="I26" s="33">
        <f t="shared" si="2"/>
        <v>943.67948456949296</v>
      </c>
      <c r="J26" s="33">
        <f t="shared" si="3"/>
        <v>197579.28986435028</v>
      </c>
      <c r="K26" s="32"/>
      <c r="L26" s="35">
        <f>SUM(I25:I26)</f>
        <v>3579.487902975638</v>
      </c>
      <c r="M26" s="96"/>
      <c r="N26" s="36">
        <v>43905</v>
      </c>
    </row>
    <row r="27" spans="1:14" s="64" customFormat="1" x14ac:dyDescent="0.35">
      <c r="A27" s="117">
        <v>43907</v>
      </c>
      <c r="B27" s="61" t="s">
        <v>196</v>
      </c>
      <c r="C27" s="26"/>
      <c r="D27" s="26">
        <f>4.12+2*3.8+2*3+2*2+2*4.48</f>
        <v>30.68</v>
      </c>
      <c r="E27" s="41">
        <f t="shared" si="0"/>
        <v>9705.0800000000017</v>
      </c>
      <c r="F27" s="42"/>
      <c r="G27" s="26">
        <f t="shared" si="1"/>
        <v>20.294182463860064</v>
      </c>
      <c r="H27" s="42"/>
      <c r="I27" s="26">
        <f t="shared" si="2"/>
        <v>622.62551799122673</v>
      </c>
      <c r="J27" s="26">
        <f t="shared" si="3"/>
        <v>196956.66434635906</v>
      </c>
      <c r="K27" s="61"/>
      <c r="L27" s="81"/>
      <c r="M27" s="81"/>
      <c r="N27" s="81"/>
    </row>
    <row r="28" spans="1:14" s="64" customFormat="1" x14ac:dyDescent="0.35">
      <c r="A28" s="117">
        <v>43907</v>
      </c>
      <c r="B28" s="61" t="s">
        <v>197</v>
      </c>
      <c r="C28" s="26"/>
      <c r="D28" s="26">
        <f>48*6</f>
        <v>288</v>
      </c>
      <c r="E28" s="41">
        <f t="shared" si="0"/>
        <v>9417.0800000000017</v>
      </c>
      <c r="F28" s="42"/>
      <c r="G28" s="26">
        <f t="shared" si="1"/>
        <v>20.294182463860064</v>
      </c>
      <c r="H28" s="42"/>
      <c r="I28" s="26">
        <f t="shared" si="2"/>
        <v>5844.7245495916986</v>
      </c>
      <c r="J28" s="26">
        <f t="shared" si="3"/>
        <v>191111.93979676737</v>
      </c>
      <c r="K28" s="61"/>
      <c r="L28" s="81"/>
      <c r="M28" s="81"/>
      <c r="N28" s="81"/>
    </row>
    <row r="29" spans="1:14" s="64" customFormat="1" x14ac:dyDescent="0.35">
      <c r="A29" s="117">
        <v>43908</v>
      </c>
      <c r="B29" s="61" t="s">
        <v>198</v>
      </c>
      <c r="C29" s="26"/>
      <c r="D29" s="26">
        <v>5</v>
      </c>
      <c r="E29" s="41">
        <f t="shared" si="0"/>
        <v>9412.0800000000017</v>
      </c>
      <c r="F29" s="42"/>
      <c r="G29" s="26">
        <f t="shared" si="1"/>
        <v>20.294182463860064</v>
      </c>
      <c r="H29" s="42"/>
      <c r="I29" s="26">
        <f t="shared" si="2"/>
        <v>101.47091231930033</v>
      </c>
      <c r="J29" s="26">
        <f t="shared" si="3"/>
        <v>191010.46888444808</v>
      </c>
      <c r="K29" s="61"/>
      <c r="L29" s="81"/>
      <c r="M29" s="81"/>
      <c r="N29" s="81"/>
    </row>
    <row r="30" spans="1:14" s="64" customFormat="1" x14ac:dyDescent="0.35">
      <c r="A30" s="117">
        <v>43909</v>
      </c>
      <c r="B30" s="61" t="s">
        <v>203</v>
      </c>
      <c r="C30" s="26"/>
      <c r="D30" s="26">
        <f>5*6.8+12*4+12*5.1+7*5.1</f>
        <v>178.89999999999998</v>
      </c>
      <c r="E30" s="41">
        <f t="shared" si="0"/>
        <v>9233.1800000000021</v>
      </c>
      <c r="F30" s="42"/>
      <c r="G30" s="26">
        <f t="shared" si="1"/>
        <v>20.294182463860064</v>
      </c>
      <c r="H30" s="42"/>
      <c r="I30" s="26">
        <f t="shared" si="2"/>
        <v>3630.6292427845651</v>
      </c>
      <c r="J30" s="26">
        <f t="shared" si="3"/>
        <v>187379.83964166351</v>
      </c>
      <c r="K30" s="61"/>
      <c r="L30" s="79"/>
      <c r="M30" s="81"/>
      <c r="N30" s="80"/>
    </row>
    <row r="31" spans="1:14" s="37" customFormat="1" x14ac:dyDescent="0.35">
      <c r="A31" s="119">
        <v>43909</v>
      </c>
      <c r="B31" s="32" t="s">
        <v>204</v>
      </c>
      <c r="C31" s="33"/>
      <c r="D31" s="33">
        <f>48*4.8+15*3.5+10</f>
        <v>292.89999999999998</v>
      </c>
      <c r="E31" s="70">
        <f t="shared" si="0"/>
        <v>8940.2800000000025</v>
      </c>
      <c r="F31" s="71"/>
      <c r="G31" s="33">
        <f t="shared" si="1"/>
        <v>20.294182463860064</v>
      </c>
      <c r="H31" s="71"/>
      <c r="I31" s="33">
        <f t="shared" si="2"/>
        <v>5944.1660436646125</v>
      </c>
      <c r="J31" s="33">
        <f t="shared" si="3"/>
        <v>181435.67359799889</v>
      </c>
      <c r="K31" s="32"/>
      <c r="L31" s="35">
        <f>SUM(I27:I31)</f>
        <v>16143.616266351404</v>
      </c>
      <c r="M31" s="35">
        <f>SUM(L26:L31)</f>
        <v>19723.104169327042</v>
      </c>
      <c r="N31" s="36">
        <v>43921</v>
      </c>
    </row>
    <row r="32" spans="1:14" s="64" customFormat="1" x14ac:dyDescent="0.35">
      <c r="A32" s="117">
        <v>43985</v>
      </c>
      <c r="B32" s="61" t="s">
        <v>214</v>
      </c>
      <c r="C32" s="26"/>
      <c r="D32" s="26">
        <f>5*3</f>
        <v>15</v>
      </c>
      <c r="E32" s="41">
        <f t="shared" si="0"/>
        <v>8925.2800000000025</v>
      </c>
      <c r="F32" s="42"/>
      <c r="G32" s="26">
        <f t="shared" si="1"/>
        <v>20.294182463860061</v>
      </c>
      <c r="H32" s="42"/>
      <c r="I32" s="26">
        <f t="shared" si="2"/>
        <v>304.4127369579009</v>
      </c>
      <c r="J32" s="26">
        <f t="shared" si="3"/>
        <v>181131.260861041</v>
      </c>
      <c r="K32" s="61"/>
      <c r="L32" s="81"/>
      <c r="M32" s="81"/>
      <c r="N32" s="81"/>
    </row>
    <row r="33" spans="1:14" s="64" customFormat="1" x14ac:dyDescent="0.35">
      <c r="A33" s="117">
        <v>43994</v>
      </c>
      <c r="B33" s="61" t="s">
        <v>227</v>
      </c>
      <c r="C33" s="26"/>
      <c r="D33" s="26">
        <v>75.900000000000006</v>
      </c>
      <c r="E33" s="41">
        <f t="shared" si="0"/>
        <v>8849.3800000000028</v>
      </c>
      <c r="F33" s="42"/>
      <c r="G33" s="26">
        <f t="shared" si="1"/>
        <v>20.294182463860064</v>
      </c>
      <c r="H33" s="42"/>
      <c r="I33" s="26">
        <f t="shared" si="2"/>
        <v>1540.3284490069791</v>
      </c>
      <c r="J33" s="26">
        <f t="shared" si="3"/>
        <v>179590.93241203402</v>
      </c>
      <c r="K33" s="61"/>
      <c r="L33" s="79"/>
      <c r="M33" s="79"/>
      <c r="N33" s="80"/>
    </row>
    <row r="34" spans="1:14" s="64" customFormat="1" x14ac:dyDescent="0.35">
      <c r="A34" s="117">
        <v>43994</v>
      </c>
      <c r="B34" s="61" t="s">
        <v>228</v>
      </c>
      <c r="C34" s="26"/>
      <c r="D34" s="26">
        <f>6*5.1+6*4.3</f>
        <v>56.399999999999991</v>
      </c>
      <c r="E34" s="41">
        <f t="shared" si="0"/>
        <v>8792.9800000000032</v>
      </c>
      <c r="F34" s="42"/>
      <c r="G34" s="26">
        <f t="shared" si="1"/>
        <v>20.294182463860061</v>
      </c>
      <c r="H34" s="42"/>
      <c r="I34" s="26">
        <f t="shared" si="2"/>
        <v>1144.5918909617073</v>
      </c>
      <c r="J34" s="26">
        <f t="shared" si="3"/>
        <v>178446.3405210723</v>
      </c>
      <c r="K34" s="61"/>
      <c r="L34" s="81"/>
      <c r="M34" s="81"/>
      <c r="N34" s="81"/>
    </row>
    <row r="35" spans="1:14" s="64" customFormat="1" x14ac:dyDescent="0.35">
      <c r="A35" s="117">
        <v>43997</v>
      </c>
      <c r="B35" s="61" t="s">
        <v>230</v>
      </c>
      <c r="C35" s="26"/>
      <c r="D35" s="26">
        <f>3.1+2.45+1.8+1.2</f>
        <v>8.5500000000000007</v>
      </c>
      <c r="E35" s="41">
        <f t="shared" si="0"/>
        <v>8784.4300000000039</v>
      </c>
      <c r="F35" s="42"/>
      <c r="G35" s="26">
        <f t="shared" si="1"/>
        <v>20.294182463860061</v>
      </c>
      <c r="H35" s="42"/>
      <c r="I35" s="26">
        <f t="shared" si="2"/>
        <v>173.51526006600352</v>
      </c>
      <c r="J35" s="26">
        <f t="shared" si="3"/>
        <v>178272.82526100631</v>
      </c>
      <c r="K35" s="61"/>
      <c r="L35" s="81"/>
      <c r="M35" s="81"/>
      <c r="N35" s="81"/>
    </row>
    <row r="36" spans="1:14" s="64" customFormat="1" x14ac:dyDescent="0.35">
      <c r="A36" s="117">
        <v>43997</v>
      </c>
      <c r="B36" s="61" t="s">
        <v>231</v>
      </c>
      <c r="C36" s="26"/>
      <c r="D36" s="26">
        <v>8.5500000000000007</v>
      </c>
      <c r="E36" s="41">
        <f t="shared" si="0"/>
        <v>8775.8800000000047</v>
      </c>
      <c r="F36" s="42"/>
      <c r="G36" s="26">
        <f t="shared" si="1"/>
        <v>20.294182463860061</v>
      </c>
      <c r="H36" s="42"/>
      <c r="I36" s="26">
        <f t="shared" si="2"/>
        <v>173.51526006600352</v>
      </c>
      <c r="J36" s="26">
        <f t="shared" si="3"/>
        <v>178099.31000094031</v>
      </c>
      <c r="K36" s="61"/>
      <c r="L36" s="81"/>
      <c r="M36" s="81"/>
      <c r="N36" s="81"/>
    </row>
    <row r="37" spans="1:14" s="64" customFormat="1" x14ac:dyDescent="0.35">
      <c r="A37" s="117">
        <v>43997</v>
      </c>
      <c r="B37" s="61" t="s">
        <v>235</v>
      </c>
      <c r="C37" s="26"/>
      <c r="D37" s="26">
        <v>0</v>
      </c>
      <c r="E37" s="41">
        <f t="shared" si="0"/>
        <v>8775.8800000000047</v>
      </c>
      <c r="F37" s="42"/>
      <c r="G37" s="26">
        <f t="shared" si="1"/>
        <v>20.294182463860061</v>
      </c>
      <c r="H37" s="42"/>
      <c r="I37" s="26">
        <f t="shared" si="2"/>
        <v>0</v>
      </c>
      <c r="J37" s="26">
        <f t="shared" si="3"/>
        <v>178099.31000094031</v>
      </c>
      <c r="K37" s="61"/>
      <c r="L37" s="81"/>
      <c r="M37" s="81"/>
      <c r="N37" s="81"/>
    </row>
    <row r="38" spans="1:14" s="64" customFormat="1" x14ac:dyDescent="0.35">
      <c r="A38" s="117">
        <v>43997</v>
      </c>
      <c r="B38" s="61" t="s">
        <v>232</v>
      </c>
      <c r="C38" s="26"/>
      <c r="D38" s="26">
        <v>2.1</v>
      </c>
      <c r="E38" s="41">
        <f t="shared" si="0"/>
        <v>8773.7800000000043</v>
      </c>
      <c r="F38" s="42"/>
      <c r="G38" s="26">
        <f t="shared" si="1"/>
        <v>20.294182463860061</v>
      </c>
      <c r="H38" s="42"/>
      <c r="I38" s="26">
        <f t="shared" si="2"/>
        <v>42.61778317410613</v>
      </c>
      <c r="J38" s="26">
        <f t="shared" si="3"/>
        <v>178056.69221776622</v>
      </c>
      <c r="K38" s="61"/>
      <c r="L38" s="81"/>
      <c r="M38" s="81"/>
      <c r="N38" s="81"/>
    </row>
    <row r="39" spans="1:14" s="37" customFormat="1" x14ac:dyDescent="0.35">
      <c r="A39" s="119">
        <v>43997</v>
      </c>
      <c r="B39" s="32" t="s">
        <v>233</v>
      </c>
      <c r="C39" s="33"/>
      <c r="D39" s="33">
        <f>5*4.85</f>
        <v>24.25</v>
      </c>
      <c r="E39" s="70">
        <f t="shared" si="0"/>
        <v>8749.5300000000043</v>
      </c>
      <c r="F39" s="71"/>
      <c r="G39" s="33">
        <f t="shared" si="1"/>
        <v>20.294182463860061</v>
      </c>
      <c r="H39" s="71"/>
      <c r="I39" s="33">
        <f t="shared" si="2"/>
        <v>492.13392474860649</v>
      </c>
      <c r="J39" s="33">
        <f t="shared" si="3"/>
        <v>177564.55829301762</v>
      </c>
      <c r="K39" s="32"/>
      <c r="L39" s="35">
        <f>SUM(I32:I39)</f>
        <v>3871.1153049813074</v>
      </c>
      <c r="M39" s="96"/>
      <c r="N39" s="36">
        <v>43997</v>
      </c>
    </row>
    <row r="40" spans="1:14" s="64" customFormat="1" x14ac:dyDescent="0.35">
      <c r="A40" s="117">
        <v>43999</v>
      </c>
      <c r="B40" s="61" t="s">
        <v>240</v>
      </c>
      <c r="C40" s="26"/>
      <c r="D40" s="26">
        <f>6*3.05</f>
        <v>18.299999999999997</v>
      </c>
      <c r="E40" s="41">
        <f t="shared" si="0"/>
        <v>8731.230000000005</v>
      </c>
      <c r="F40" s="42"/>
      <c r="G40" s="26">
        <f t="shared" si="1"/>
        <v>20.294182463860061</v>
      </c>
      <c r="H40" s="42"/>
      <c r="I40" s="26">
        <f t="shared" si="2"/>
        <v>371.38353908863905</v>
      </c>
      <c r="J40" s="26">
        <f t="shared" si="3"/>
        <v>177193.17475392896</v>
      </c>
      <c r="K40" s="61"/>
      <c r="L40" s="79"/>
      <c r="M40" s="79"/>
      <c r="N40" s="80"/>
    </row>
    <row r="41" spans="1:14" s="37" customFormat="1" x14ac:dyDescent="0.35">
      <c r="A41" s="117">
        <v>44001</v>
      </c>
      <c r="B41" s="61" t="s">
        <v>248</v>
      </c>
      <c r="C41" s="33"/>
      <c r="D41" s="26">
        <f>10*3.6</f>
        <v>36</v>
      </c>
      <c r="E41" s="41">
        <f t="shared" si="0"/>
        <v>8695.230000000005</v>
      </c>
      <c r="F41" s="42"/>
      <c r="G41" s="26">
        <f t="shared" si="1"/>
        <v>20.294182463860057</v>
      </c>
      <c r="H41" s="42"/>
      <c r="I41" s="26">
        <f t="shared" si="2"/>
        <v>730.5905686989621</v>
      </c>
      <c r="J41" s="26">
        <f t="shared" si="3"/>
        <v>176462.58418522999</v>
      </c>
      <c r="K41" s="32"/>
      <c r="L41" s="35"/>
      <c r="M41" s="96"/>
      <c r="N41" s="36"/>
    </row>
    <row r="42" spans="1:14" s="64" customFormat="1" x14ac:dyDescent="0.35">
      <c r="A42" s="117">
        <v>44004</v>
      </c>
      <c r="B42" s="61" t="s">
        <v>250</v>
      </c>
      <c r="C42" s="26"/>
      <c r="D42" s="26">
        <f>7*4</f>
        <v>28</v>
      </c>
      <c r="E42" s="41">
        <f t="shared" si="0"/>
        <v>8667.230000000005</v>
      </c>
      <c r="F42" s="42"/>
      <c r="G42" s="26">
        <f t="shared" si="1"/>
        <v>20.294182463860057</v>
      </c>
      <c r="H42" s="42"/>
      <c r="I42" s="26">
        <f t="shared" si="2"/>
        <v>568.23710898808156</v>
      </c>
      <c r="J42" s="26">
        <f t="shared" si="3"/>
        <v>175894.34707624192</v>
      </c>
      <c r="K42" s="61"/>
      <c r="L42" s="81"/>
      <c r="M42" s="81"/>
      <c r="N42" s="81"/>
    </row>
    <row r="43" spans="1:14" s="64" customFormat="1" x14ac:dyDescent="0.35">
      <c r="A43" s="117">
        <v>44005</v>
      </c>
      <c r="B43" s="61" t="s">
        <v>251</v>
      </c>
      <c r="C43" s="26"/>
      <c r="D43" s="26">
        <f>16*2.6+3</f>
        <v>44.6</v>
      </c>
      <c r="E43" s="41">
        <f t="shared" si="0"/>
        <v>8622.6300000000047</v>
      </c>
      <c r="F43" s="42"/>
      <c r="G43" s="26">
        <f t="shared" si="1"/>
        <v>20.294182463860057</v>
      </c>
      <c r="H43" s="42"/>
      <c r="I43" s="26">
        <f t="shared" si="2"/>
        <v>905.12053788815854</v>
      </c>
      <c r="J43" s="26">
        <f t="shared" si="3"/>
        <v>174989.22653835375</v>
      </c>
      <c r="K43" s="61"/>
      <c r="L43" s="79"/>
      <c r="M43" s="79"/>
      <c r="N43" s="80"/>
    </row>
    <row r="44" spans="1:14" s="37" customFormat="1" x14ac:dyDescent="0.35">
      <c r="A44" s="119">
        <v>44008</v>
      </c>
      <c r="B44" s="32" t="s">
        <v>260</v>
      </c>
      <c r="C44" s="33"/>
      <c r="D44" s="33">
        <v>1000</v>
      </c>
      <c r="E44" s="70">
        <f t="shared" si="0"/>
        <v>7622.6300000000047</v>
      </c>
      <c r="F44" s="71"/>
      <c r="G44" s="33">
        <f t="shared" si="1"/>
        <v>20.294182463860057</v>
      </c>
      <c r="H44" s="71"/>
      <c r="I44" s="33">
        <f t="shared" si="2"/>
        <v>20294.182463860056</v>
      </c>
      <c r="J44" s="33">
        <f t="shared" si="3"/>
        <v>154695.04407449369</v>
      </c>
      <c r="K44" s="32"/>
      <c r="L44" s="35">
        <f>SUM(I40:I44)</f>
        <v>22869.514218523898</v>
      </c>
      <c r="M44" s="35">
        <f>SUM(L39:L44)</f>
        <v>26740.629523505206</v>
      </c>
      <c r="N44" s="36">
        <v>44012</v>
      </c>
    </row>
    <row r="45" spans="1:14" s="37" customFormat="1" x14ac:dyDescent="0.35">
      <c r="A45" s="119">
        <v>44039</v>
      </c>
      <c r="B45" s="32" t="s">
        <v>283</v>
      </c>
      <c r="C45" s="33"/>
      <c r="D45" s="33">
        <f>14*5.2</f>
        <v>72.8</v>
      </c>
      <c r="E45" s="70">
        <f t="shared" si="0"/>
        <v>7549.8300000000045</v>
      </c>
      <c r="F45" s="71"/>
      <c r="G45" s="33">
        <f t="shared" si="1"/>
        <v>20.294182463860057</v>
      </c>
      <c r="H45" s="71"/>
      <c r="I45" s="33">
        <f t="shared" si="2"/>
        <v>1477.4164833690122</v>
      </c>
      <c r="J45" s="33">
        <f t="shared" si="3"/>
        <v>153217.62759112468</v>
      </c>
      <c r="K45" s="32"/>
      <c r="L45" s="35">
        <f>SUM(I45)</f>
        <v>1477.4164833690122</v>
      </c>
      <c r="M45" s="35">
        <f>SUM(L45)</f>
        <v>1477.4164833690122</v>
      </c>
      <c r="N45" s="36">
        <v>44043</v>
      </c>
    </row>
    <row r="46" spans="1:14" s="37" customFormat="1" x14ac:dyDescent="0.35">
      <c r="A46" s="119">
        <v>44062</v>
      </c>
      <c r="B46" s="32" t="s">
        <v>298</v>
      </c>
      <c r="C46" s="33"/>
      <c r="D46" s="33">
        <f>7*5</f>
        <v>35</v>
      </c>
      <c r="E46" s="70">
        <f t="shared" si="0"/>
        <v>7514.8300000000045</v>
      </c>
      <c r="F46" s="71"/>
      <c r="G46" s="33">
        <f t="shared" si="1"/>
        <v>20.294182463860057</v>
      </c>
      <c r="H46" s="71"/>
      <c r="I46" s="33">
        <f t="shared" si="2"/>
        <v>710.29638623510198</v>
      </c>
      <c r="J46" s="33">
        <f t="shared" si="3"/>
        <v>152507.33120488958</v>
      </c>
      <c r="K46" s="32"/>
      <c r="L46" s="35">
        <f>SUM(I46)</f>
        <v>710.29638623510198</v>
      </c>
      <c r="M46" s="35">
        <f>SUM(L46)</f>
        <v>710.29638623510198</v>
      </c>
      <c r="N46" s="36">
        <v>44074</v>
      </c>
    </row>
    <row r="47" spans="1:14" s="37" customFormat="1" x14ac:dyDescent="0.35">
      <c r="A47" s="119">
        <v>44121</v>
      </c>
      <c r="B47" s="32" t="s">
        <v>408</v>
      </c>
      <c r="C47" s="33"/>
      <c r="D47" s="33">
        <v>10</v>
      </c>
      <c r="E47" s="70">
        <f t="shared" si="0"/>
        <v>7504.8300000000045</v>
      </c>
      <c r="F47" s="71"/>
      <c r="G47" s="33">
        <f t="shared" si="1"/>
        <v>20.294182463860057</v>
      </c>
      <c r="H47" s="71"/>
      <c r="I47" s="33">
        <f t="shared" si="2"/>
        <v>202.94182463860056</v>
      </c>
      <c r="J47" s="33">
        <f t="shared" si="3"/>
        <v>152304.38938025097</v>
      </c>
      <c r="K47" s="32"/>
      <c r="L47" s="35">
        <f>SUM(I47)</f>
        <v>202.94182463860056</v>
      </c>
      <c r="M47" s="35">
        <f>SUM(L47)</f>
        <v>202.94182463860056</v>
      </c>
      <c r="N47" s="36">
        <v>44135</v>
      </c>
    </row>
    <row r="48" spans="1:14" s="64" customFormat="1" x14ac:dyDescent="0.35">
      <c r="A48" s="117">
        <v>44174</v>
      </c>
      <c r="B48" s="61" t="s">
        <v>493</v>
      </c>
      <c r="C48" s="26"/>
      <c r="D48" s="26">
        <f>13*4.2+2*4</f>
        <v>62.6</v>
      </c>
      <c r="E48" s="41">
        <f t="shared" si="0"/>
        <v>7442.2300000000041</v>
      </c>
      <c r="F48" s="42"/>
      <c r="G48" s="26">
        <f t="shared" si="1"/>
        <v>20.294182463860057</v>
      </c>
      <c r="H48" s="42"/>
      <c r="I48" s="26">
        <f t="shared" si="2"/>
        <v>1270.4158222376395</v>
      </c>
      <c r="J48" s="26">
        <f t="shared" si="3"/>
        <v>151033.97355801333</v>
      </c>
      <c r="K48" s="61"/>
      <c r="L48" s="81"/>
      <c r="M48" s="81"/>
      <c r="N48" s="81"/>
    </row>
    <row r="49" spans="1:14" s="64" customFormat="1" x14ac:dyDescent="0.35">
      <c r="A49" s="117">
        <v>44175</v>
      </c>
      <c r="B49" s="61" t="s">
        <v>495</v>
      </c>
      <c r="C49" s="26"/>
      <c r="D49" s="26">
        <f>5*4.55+5*6.2+4.2</f>
        <v>57.95</v>
      </c>
      <c r="E49" s="41">
        <f t="shared" si="0"/>
        <v>7384.2800000000043</v>
      </c>
      <c r="F49" s="42"/>
      <c r="G49" s="26">
        <f t="shared" si="1"/>
        <v>20.294182463860057</v>
      </c>
      <c r="H49" s="42"/>
      <c r="I49" s="26">
        <f t="shared" si="2"/>
        <v>1176.0478737806905</v>
      </c>
      <c r="J49" s="26">
        <f t="shared" si="3"/>
        <v>149857.92568423264</v>
      </c>
      <c r="K49" s="61"/>
      <c r="L49" s="81"/>
      <c r="M49" s="81"/>
      <c r="N49" s="81"/>
    </row>
    <row r="50" spans="1:14" s="64" customFormat="1" x14ac:dyDescent="0.35">
      <c r="A50" s="117">
        <v>44175</v>
      </c>
      <c r="B50" s="61" t="s">
        <v>497</v>
      </c>
      <c r="C50" s="26"/>
      <c r="D50" s="26">
        <f>5*3.3</f>
        <v>16.5</v>
      </c>
      <c r="E50" s="41">
        <f t="shared" si="0"/>
        <v>7367.7800000000043</v>
      </c>
      <c r="F50" s="42"/>
      <c r="G50" s="26">
        <f t="shared" si="1"/>
        <v>20.294182463860057</v>
      </c>
      <c r="H50" s="42"/>
      <c r="I50" s="26">
        <f t="shared" si="2"/>
        <v>334.85401065369092</v>
      </c>
      <c r="J50" s="26">
        <f t="shared" si="3"/>
        <v>149523.07167357896</v>
      </c>
      <c r="K50" s="61"/>
      <c r="L50" s="81"/>
      <c r="M50" s="81"/>
      <c r="N50" s="81"/>
    </row>
    <row r="51" spans="1:14" s="64" customFormat="1" x14ac:dyDescent="0.35">
      <c r="A51" s="117">
        <v>44176</v>
      </c>
      <c r="B51" s="61" t="s">
        <v>508</v>
      </c>
      <c r="C51" s="26"/>
      <c r="D51" s="26">
        <v>9.6999999999999993</v>
      </c>
      <c r="E51" s="41">
        <f t="shared" si="0"/>
        <v>7358.0800000000045</v>
      </c>
      <c r="F51" s="42"/>
      <c r="G51" s="26">
        <f t="shared" si="1"/>
        <v>20.294182463860061</v>
      </c>
      <c r="H51" s="42"/>
      <c r="I51" s="26">
        <f t="shared" si="2"/>
        <v>196.85356989944256</v>
      </c>
      <c r="J51" s="26">
        <f t="shared" si="3"/>
        <v>149326.21810367951</v>
      </c>
      <c r="K51" s="61"/>
      <c r="L51" s="81"/>
      <c r="M51" s="81"/>
      <c r="N51" s="81"/>
    </row>
    <row r="52" spans="1:14" s="37" customFormat="1" x14ac:dyDescent="0.35">
      <c r="A52" s="119">
        <v>44179</v>
      </c>
      <c r="B52" s="32" t="s">
        <v>510</v>
      </c>
      <c r="C52" s="33"/>
      <c r="D52" s="33">
        <f>7*3.7</f>
        <v>25.900000000000002</v>
      </c>
      <c r="E52" s="70">
        <f t="shared" si="0"/>
        <v>7332.1800000000048</v>
      </c>
      <c r="F52" s="71"/>
      <c r="G52" s="33">
        <f t="shared" si="1"/>
        <v>20.294182463860057</v>
      </c>
      <c r="H52" s="71"/>
      <c r="I52" s="33">
        <f t="shared" si="2"/>
        <v>525.61932581397548</v>
      </c>
      <c r="J52" s="33">
        <f t="shared" si="3"/>
        <v>148800.59877786553</v>
      </c>
      <c r="K52" s="32"/>
      <c r="L52" s="35">
        <f>SUM(I48:I52)</f>
        <v>3503.7906023854389</v>
      </c>
      <c r="M52" s="35">
        <f>SUM(L52)</f>
        <v>3503.7906023854389</v>
      </c>
      <c r="N52" s="36">
        <v>44180</v>
      </c>
    </row>
    <row r="53" spans="1:14" ht="15" thickBot="1" x14ac:dyDescent="0.4">
      <c r="A53" s="76"/>
      <c r="B53" s="76"/>
      <c r="C53" s="28">
        <f>SUM(C9:C52)</f>
        <v>10953.95</v>
      </c>
      <c r="D53" s="28">
        <f>SUM(D9:D52)</f>
        <v>3621.7700000000004</v>
      </c>
      <c r="E53" s="76"/>
      <c r="F53" s="76"/>
      <c r="G53" s="76"/>
      <c r="H53" s="28">
        <f t="shared" ref="H53:I53" si="4">SUM(H9:H52)</f>
        <v>222301.46</v>
      </c>
      <c r="I53" s="28">
        <f t="shared" si="4"/>
        <v>73500.861222134452</v>
      </c>
      <c r="J53" s="28"/>
      <c r="K53" s="76"/>
      <c r="L53" s="1"/>
      <c r="M53" s="105">
        <f>SUM(M9:M52)</f>
        <v>73500.861222134467</v>
      </c>
      <c r="N53" s="1"/>
    </row>
    <row r="54" spans="1:14" ht="15" thickTop="1" x14ac:dyDescent="0.35">
      <c r="C54" s="1"/>
      <c r="D54" s="1"/>
      <c r="E54" s="1"/>
      <c r="F54" s="1"/>
      <c r="G54" s="1"/>
      <c r="H54" s="1"/>
      <c r="I54" s="48"/>
      <c r="J54" s="48"/>
      <c r="K54" s="1"/>
      <c r="L54" s="1"/>
      <c r="M54" s="57"/>
      <c r="N54" s="1"/>
    </row>
    <row r="55" spans="1:14" x14ac:dyDescent="0.35">
      <c r="A55" s="50" t="s">
        <v>23</v>
      </c>
      <c r="B55" s="5"/>
      <c r="C55" s="4"/>
      <c r="D55" s="4"/>
      <c r="E55" s="4"/>
      <c r="F55" s="4"/>
      <c r="G55" s="1"/>
      <c r="H55" s="1"/>
      <c r="I55" s="1"/>
      <c r="J55" s="1"/>
      <c r="M55" s="9"/>
    </row>
    <row r="56" spans="1:14" x14ac:dyDescent="0.35">
      <c r="A56" s="50" t="s">
        <v>36</v>
      </c>
      <c r="B56" s="5"/>
      <c r="C56" s="4"/>
      <c r="D56" s="4"/>
      <c r="E56" s="4"/>
      <c r="F56" s="4"/>
      <c r="G56" s="1"/>
      <c r="H56" s="1"/>
      <c r="I56" s="1"/>
      <c r="J56" s="51">
        <f>+E52*F9</f>
        <v>148800.59877786561</v>
      </c>
    </row>
    <row r="57" spans="1:14" x14ac:dyDescent="0.35">
      <c r="A57" s="50" t="s">
        <v>24</v>
      </c>
      <c r="B57" s="5"/>
      <c r="C57" s="4"/>
      <c r="D57" s="4"/>
      <c r="E57" s="4"/>
      <c r="F57" s="4"/>
      <c r="G57" s="1"/>
      <c r="H57" s="1"/>
      <c r="I57" s="1"/>
      <c r="J57" s="52">
        <f>+J52</f>
        <v>148800.59877786553</v>
      </c>
    </row>
    <row r="58" spans="1:14" ht="15" thickBot="1" x14ac:dyDescent="0.4">
      <c r="A58" s="50"/>
      <c r="B58" s="5" t="s">
        <v>25</v>
      </c>
      <c r="C58" s="4"/>
      <c r="D58" s="4"/>
      <c r="E58" s="4"/>
      <c r="F58" s="4"/>
      <c r="G58" s="1"/>
      <c r="H58" s="1"/>
      <c r="I58" s="1"/>
      <c r="J58" s="53">
        <f>+J56-J57</f>
        <v>0</v>
      </c>
    </row>
    <row r="59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B67D-1F1B-45F4-A7D8-854124A746FE}">
  <sheetPr>
    <tabColor rgb="FFC00000"/>
  </sheetPr>
  <dimension ref="A1:M91"/>
  <sheetViews>
    <sheetView tabSelected="1" topLeftCell="A71" zoomScale="131" workbookViewId="0">
      <selection activeCell="H77" sqref="H77"/>
    </sheetView>
  </sheetViews>
  <sheetFormatPr baseColWidth="10" defaultRowHeight="14.5" x14ac:dyDescent="0.35"/>
  <cols>
    <col min="2" max="2" width="32.1796875" customWidth="1"/>
  </cols>
  <sheetData>
    <row r="1" spans="1:13" x14ac:dyDescent="0.35">
      <c r="A1" s="108" t="s">
        <v>534</v>
      </c>
      <c r="B1" s="55"/>
      <c r="C1" s="57"/>
      <c r="D1" s="57"/>
      <c r="E1" s="57"/>
      <c r="F1" s="57"/>
      <c r="G1" s="57"/>
      <c r="H1" s="57"/>
      <c r="I1" s="57"/>
      <c r="J1" s="167"/>
      <c r="K1" s="1"/>
      <c r="L1" s="1"/>
      <c r="M1" s="1"/>
    </row>
    <row r="2" spans="1:13" x14ac:dyDescent="0.35">
      <c r="A2" s="110" t="s">
        <v>535</v>
      </c>
      <c r="B2" s="168"/>
      <c r="C2" s="1"/>
      <c r="D2" s="1"/>
      <c r="E2" s="1"/>
      <c r="F2" s="1"/>
      <c r="G2" s="1"/>
      <c r="H2" s="169" t="s">
        <v>1</v>
      </c>
      <c r="I2" s="1"/>
      <c r="J2" s="118"/>
      <c r="K2" s="1"/>
      <c r="L2" s="1"/>
      <c r="M2" s="1"/>
    </row>
    <row r="3" spans="1:13" x14ac:dyDescent="0.35">
      <c r="A3" s="112" t="s">
        <v>4</v>
      </c>
      <c r="B3" s="170"/>
      <c r="C3" s="1"/>
      <c r="D3" s="1"/>
      <c r="E3" s="1"/>
      <c r="F3" s="1"/>
      <c r="G3" s="1"/>
      <c r="H3" s="169" t="s">
        <v>536</v>
      </c>
      <c r="I3" s="1"/>
      <c r="J3" s="118"/>
      <c r="K3" s="1"/>
      <c r="L3" s="1"/>
      <c r="M3" s="1"/>
    </row>
    <row r="4" spans="1:13" x14ac:dyDescent="0.35">
      <c r="A4" s="113"/>
      <c r="B4" s="1"/>
      <c r="C4" s="1"/>
      <c r="D4" s="170" t="s">
        <v>6</v>
      </c>
      <c r="E4" s="170"/>
      <c r="F4" s="170"/>
      <c r="G4" s="170"/>
      <c r="H4" s="1" t="s">
        <v>537</v>
      </c>
      <c r="I4" s="1"/>
      <c r="J4" s="118"/>
      <c r="K4" s="1"/>
      <c r="L4" s="1"/>
      <c r="M4" s="171"/>
    </row>
    <row r="5" spans="1:13" x14ac:dyDescent="0.35">
      <c r="A5" s="190" t="s">
        <v>538</v>
      </c>
      <c r="B5" s="191"/>
      <c r="C5" s="191"/>
      <c r="D5" s="191"/>
      <c r="E5" s="191"/>
      <c r="F5" s="191"/>
      <c r="G5" s="191"/>
      <c r="H5" s="191"/>
      <c r="I5" s="191"/>
      <c r="J5" s="118"/>
      <c r="K5" s="1"/>
      <c r="L5" s="1"/>
      <c r="M5" s="1"/>
    </row>
    <row r="6" spans="1:13" x14ac:dyDescent="0.35">
      <c r="A6" s="192" t="s">
        <v>7</v>
      </c>
      <c r="B6" s="193"/>
      <c r="C6" s="193"/>
      <c r="D6" s="193"/>
      <c r="E6" s="193"/>
      <c r="F6" s="193"/>
      <c r="G6" s="193"/>
      <c r="H6" s="193"/>
      <c r="I6" s="193"/>
      <c r="J6" s="194"/>
      <c r="K6" s="1"/>
      <c r="L6" s="1"/>
      <c r="M6" s="1"/>
    </row>
    <row r="7" spans="1:13" x14ac:dyDescent="0.35">
      <c r="A7" s="113"/>
      <c r="B7" s="1"/>
      <c r="C7" s="1"/>
      <c r="D7" s="1"/>
      <c r="E7" s="1"/>
      <c r="F7" s="1"/>
      <c r="G7" s="1"/>
      <c r="H7" s="1"/>
      <c r="I7" s="1"/>
      <c r="J7" s="118"/>
      <c r="K7" s="1"/>
      <c r="L7" s="1"/>
      <c r="M7" s="1"/>
    </row>
    <row r="8" spans="1:13" x14ac:dyDescent="0.35">
      <c r="A8" s="113"/>
      <c r="B8" s="1"/>
      <c r="C8" s="1"/>
      <c r="D8" s="1"/>
      <c r="E8" s="1"/>
      <c r="F8" s="1"/>
      <c r="G8" s="1"/>
      <c r="H8" s="1"/>
      <c r="I8" s="1"/>
      <c r="J8" s="118"/>
      <c r="K8" s="1"/>
      <c r="L8" s="1"/>
      <c r="M8" s="1"/>
    </row>
    <row r="9" spans="1:13" x14ac:dyDescent="0.35">
      <c r="A9" s="172" t="s">
        <v>8</v>
      </c>
      <c r="B9" s="173" t="s">
        <v>9</v>
      </c>
      <c r="C9" s="195" t="s">
        <v>10</v>
      </c>
      <c r="D9" s="196"/>
      <c r="E9" s="197"/>
      <c r="F9" s="198" t="s">
        <v>11</v>
      </c>
      <c r="G9" s="199"/>
      <c r="H9" s="195" t="s">
        <v>12</v>
      </c>
      <c r="I9" s="196"/>
      <c r="J9" s="197"/>
      <c r="K9" s="1"/>
      <c r="L9" s="1"/>
      <c r="M9" s="1"/>
    </row>
    <row r="10" spans="1:13" x14ac:dyDescent="0.35">
      <c r="A10" s="133"/>
      <c r="B10" s="174"/>
      <c r="C10" s="133" t="s">
        <v>531</v>
      </c>
      <c r="D10" s="135" t="s">
        <v>14</v>
      </c>
      <c r="E10" s="175" t="s">
        <v>20</v>
      </c>
      <c r="F10" s="135" t="s">
        <v>16</v>
      </c>
      <c r="G10" s="135" t="s">
        <v>17</v>
      </c>
      <c r="H10" s="133" t="s">
        <v>18</v>
      </c>
      <c r="I10" s="135" t="s">
        <v>19</v>
      </c>
      <c r="J10" s="175" t="s">
        <v>20</v>
      </c>
      <c r="K10" s="1"/>
      <c r="L10" s="1"/>
      <c r="M10" s="1"/>
    </row>
    <row r="11" spans="1:13" x14ac:dyDescent="0.35">
      <c r="A11" s="77">
        <v>43832</v>
      </c>
      <c r="B11" s="76" t="s">
        <v>539</v>
      </c>
      <c r="C11" s="67">
        <v>90.9</v>
      </c>
      <c r="D11" s="67"/>
      <c r="E11" s="28">
        <v>90.9</v>
      </c>
      <c r="F11" s="76">
        <v>11.847084708470847</v>
      </c>
      <c r="G11" s="76"/>
      <c r="H11" s="67">
        <v>1076.9000000000001</v>
      </c>
      <c r="I11" s="67"/>
      <c r="J11" s="28">
        <v>1076.9000000000001</v>
      </c>
      <c r="K11" s="35"/>
      <c r="L11" s="1"/>
      <c r="M11" s="1"/>
    </row>
    <row r="12" spans="1:13" x14ac:dyDescent="0.35">
      <c r="A12" s="77">
        <v>43833</v>
      </c>
      <c r="B12" s="76" t="s">
        <v>540</v>
      </c>
      <c r="C12" s="28"/>
      <c r="D12" s="28">
        <v>2</v>
      </c>
      <c r="E12" s="28">
        <v>88.9</v>
      </c>
      <c r="F12" s="28"/>
      <c r="G12" s="28">
        <v>11.847084708470847</v>
      </c>
      <c r="H12" s="28"/>
      <c r="I12" s="28">
        <v>23.694169416941694</v>
      </c>
      <c r="J12" s="28">
        <v>1053.2058305830583</v>
      </c>
      <c r="K12" s="35"/>
      <c r="L12" s="1"/>
      <c r="M12" s="1"/>
    </row>
    <row r="13" spans="1:13" x14ac:dyDescent="0.35">
      <c r="A13" s="77">
        <v>43840</v>
      </c>
      <c r="B13" s="76" t="s">
        <v>541</v>
      </c>
      <c r="C13" s="28"/>
      <c r="D13" s="28">
        <v>1</v>
      </c>
      <c r="E13" s="28">
        <v>87.9</v>
      </c>
      <c r="F13" s="28"/>
      <c r="G13" s="28">
        <v>11.847084708470845</v>
      </c>
      <c r="H13" s="28"/>
      <c r="I13" s="28">
        <v>11.847084708470845</v>
      </c>
      <c r="J13" s="28">
        <v>1041.3587458745874</v>
      </c>
      <c r="K13" s="35"/>
      <c r="L13" s="1"/>
      <c r="M13" s="1"/>
    </row>
    <row r="14" spans="1:13" x14ac:dyDescent="0.35">
      <c r="A14" s="73">
        <v>43844</v>
      </c>
      <c r="B14" s="39" t="s">
        <v>542</v>
      </c>
      <c r="C14" s="40"/>
      <c r="D14" s="40">
        <v>2</v>
      </c>
      <c r="E14" s="40">
        <v>85.9</v>
      </c>
      <c r="F14" s="40"/>
      <c r="G14" s="40">
        <v>11.847084708470845</v>
      </c>
      <c r="H14" s="40"/>
      <c r="I14" s="40">
        <v>23.694169416941691</v>
      </c>
      <c r="J14" s="40">
        <v>1017.6645764576457</v>
      </c>
      <c r="K14" s="35">
        <f>SUM(I12:I14)</f>
        <v>59.235423542354226</v>
      </c>
      <c r="L14" s="96"/>
      <c r="M14" s="36">
        <v>43845</v>
      </c>
    </row>
    <row r="15" spans="1:13" x14ac:dyDescent="0.35">
      <c r="A15" s="176">
        <v>43847</v>
      </c>
      <c r="B15" s="76" t="s">
        <v>543</v>
      </c>
      <c r="C15" s="81"/>
      <c r="D15" s="67">
        <v>5</v>
      </c>
      <c r="E15" s="67">
        <v>80.900000000000006</v>
      </c>
      <c r="F15" s="81"/>
      <c r="G15" s="28">
        <v>11.847084708470845</v>
      </c>
      <c r="H15" s="28"/>
      <c r="I15" s="28">
        <v>59.235423542354226</v>
      </c>
      <c r="J15" s="28">
        <v>958.42915291529152</v>
      </c>
      <c r="K15" s="79"/>
      <c r="L15" s="81"/>
      <c r="M15" s="80"/>
    </row>
    <row r="16" spans="1:13" x14ac:dyDescent="0.35">
      <c r="A16" s="77">
        <v>43848</v>
      </c>
      <c r="B16" s="76" t="s">
        <v>544</v>
      </c>
      <c r="C16" s="28"/>
      <c r="D16" s="28">
        <v>3</v>
      </c>
      <c r="E16" s="28">
        <v>77.900000000000006</v>
      </c>
      <c r="F16" s="28"/>
      <c r="G16" s="28">
        <v>11.847084708470847</v>
      </c>
      <c r="H16" s="28"/>
      <c r="I16" s="28">
        <v>35.541254125412543</v>
      </c>
      <c r="J16" s="28">
        <v>922.88789878987893</v>
      </c>
      <c r="K16" s="35"/>
      <c r="L16" s="1"/>
      <c r="M16" s="1"/>
    </row>
    <row r="17" spans="1:13" x14ac:dyDescent="0.35">
      <c r="A17" s="69">
        <v>43851</v>
      </c>
      <c r="B17" s="76" t="s">
        <v>545</v>
      </c>
      <c r="C17" s="67"/>
      <c r="D17" s="67">
        <v>2</v>
      </c>
      <c r="E17" s="28">
        <v>75.900000000000006</v>
      </c>
      <c r="F17" s="28"/>
      <c r="G17" s="28">
        <v>11.847084708470845</v>
      </c>
      <c r="H17" s="28"/>
      <c r="I17" s="28">
        <v>23.694169416941691</v>
      </c>
      <c r="J17" s="28">
        <v>899.19372937293724</v>
      </c>
      <c r="K17" s="79"/>
      <c r="L17" s="79"/>
      <c r="M17" s="80"/>
    </row>
    <row r="18" spans="1:13" x14ac:dyDescent="0.35">
      <c r="A18" s="69">
        <v>43851</v>
      </c>
      <c r="B18" s="76" t="s">
        <v>546</v>
      </c>
      <c r="C18" s="67"/>
      <c r="D18" s="67">
        <v>9</v>
      </c>
      <c r="E18" s="28">
        <v>66.900000000000006</v>
      </c>
      <c r="F18" s="28"/>
      <c r="G18" s="28">
        <v>11.847084708470845</v>
      </c>
      <c r="H18" s="28"/>
      <c r="I18" s="28">
        <v>106.62376237623761</v>
      </c>
      <c r="J18" s="28">
        <v>792.56996699669958</v>
      </c>
      <c r="K18" s="35"/>
      <c r="L18" s="1"/>
      <c r="M18" s="1"/>
    </row>
    <row r="19" spans="1:13" x14ac:dyDescent="0.35">
      <c r="A19" s="69">
        <v>43854</v>
      </c>
      <c r="B19" s="76" t="s">
        <v>547</v>
      </c>
      <c r="C19" s="67"/>
      <c r="D19" s="67">
        <v>2</v>
      </c>
      <c r="E19" s="28">
        <v>64.900000000000006</v>
      </c>
      <c r="F19" s="28"/>
      <c r="G19" s="28">
        <v>11.847084708470845</v>
      </c>
      <c r="H19" s="28"/>
      <c r="I19" s="28">
        <v>23.694169416941691</v>
      </c>
      <c r="J19" s="28">
        <v>768.87579757975789</v>
      </c>
      <c r="K19" s="79"/>
      <c r="L19" s="79"/>
      <c r="M19" s="80"/>
    </row>
    <row r="20" spans="1:13" x14ac:dyDescent="0.35">
      <c r="A20" s="69">
        <v>43854</v>
      </c>
      <c r="B20" s="76" t="s">
        <v>548</v>
      </c>
      <c r="C20" s="67"/>
      <c r="D20" s="67">
        <v>3</v>
      </c>
      <c r="E20" s="28">
        <v>61.900000000000006</v>
      </c>
      <c r="F20" s="28"/>
      <c r="G20" s="28">
        <v>11.847084708470845</v>
      </c>
      <c r="H20" s="28"/>
      <c r="I20" s="28">
        <v>35.541254125412536</v>
      </c>
      <c r="J20" s="28">
        <v>733.33454345434529</v>
      </c>
      <c r="K20" s="35"/>
      <c r="L20" s="1"/>
      <c r="M20" s="1"/>
    </row>
    <row r="21" spans="1:13" x14ac:dyDescent="0.35">
      <c r="A21" s="69">
        <v>43855</v>
      </c>
      <c r="B21" s="76" t="s">
        <v>549</v>
      </c>
      <c r="C21" s="67"/>
      <c r="D21" s="67">
        <v>1</v>
      </c>
      <c r="E21" s="28">
        <v>60.900000000000006</v>
      </c>
      <c r="F21" s="28"/>
      <c r="G21" s="28">
        <v>11.847084708470843</v>
      </c>
      <c r="H21" s="28"/>
      <c r="I21" s="28">
        <v>11.847084708470843</v>
      </c>
      <c r="J21" s="28">
        <v>721.48745874587451</v>
      </c>
      <c r="K21" s="35"/>
      <c r="L21" s="35"/>
      <c r="M21" s="36"/>
    </row>
    <row r="22" spans="1:13" x14ac:dyDescent="0.35">
      <c r="A22" s="69">
        <v>43859</v>
      </c>
      <c r="B22" s="76" t="s">
        <v>550</v>
      </c>
      <c r="C22" s="67">
        <v>184</v>
      </c>
      <c r="D22" s="67"/>
      <c r="E22" s="28">
        <v>244.9</v>
      </c>
      <c r="F22" s="67">
        <v>11.847130434782608</v>
      </c>
      <c r="G22" s="28"/>
      <c r="H22" s="67">
        <v>2179.8719999999998</v>
      </c>
      <c r="I22" s="28"/>
      <c r="J22" s="28">
        <v>2901.3594587458742</v>
      </c>
      <c r="K22" s="35"/>
      <c r="L22" s="35"/>
      <c r="M22" s="36"/>
    </row>
    <row r="23" spans="1:13" x14ac:dyDescent="0.35">
      <c r="A23" s="73">
        <v>43861</v>
      </c>
      <c r="B23" s="39" t="s">
        <v>551</v>
      </c>
      <c r="C23" s="40"/>
      <c r="D23" s="40">
        <v>1</v>
      </c>
      <c r="E23" s="40">
        <v>243.9</v>
      </c>
      <c r="F23" s="40"/>
      <c r="G23" s="40">
        <v>11.847119063886787</v>
      </c>
      <c r="H23" s="40"/>
      <c r="I23" s="40">
        <v>11.847119063886787</v>
      </c>
      <c r="J23" s="40">
        <v>2889.5123396819877</v>
      </c>
      <c r="K23" s="35">
        <f>SUM(I15:I23)</f>
        <v>308.02423677565793</v>
      </c>
      <c r="L23" s="35">
        <f>SUM(K14:K23)</f>
        <v>367.25966031801215</v>
      </c>
      <c r="M23" s="36">
        <v>43861</v>
      </c>
    </row>
    <row r="24" spans="1:13" x14ac:dyDescent="0.35">
      <c r="A24" s="77">
        <v>43869</v>
      </c>
      <c r="B24" s="76" t="s">
        <v>552</v>
      </c>
      <c r="C24" s="28"/>
      <c r="D24" s="28">
        <v>0</v>
      </c>
      <c r="E24" s="28">
        <v>243.9</v>
      </c>
      <c r="F24" s="28"/>
      <c r="G24" s="28">
        <v>11.847119063886788</v>
      </c>
      <c r="H24" s="28"/>
      <c r="I24" s="28">
        <v>0</v>
      </c>
      <c r="J24" s="28">
        <v>2889.5123396819877</v>
      </c>
      <c r="K24" s="35"/>
      <c r="L24" s="1"/>
      <c r="M24" s="1"/>
    </row>
    <row r="25" spans="1:13" x14ac:dyDescent="0.35">
      <c r="A25" s="77">
        <v>43869</v>
      </c>
      <c r="B25" s="76" t="s">
        <v>553</v>
      </c>
      <c r="C25" s="28"/>
      <c r="D25" s="28">
        <v>3</v>
      </c>
      <c r="E25" s="28">
        <v>240.9</v>
      </c>
      <c r="F25" s="28"/>
      <c r="G25" s="28">
        <v>11.847119063886788</v>
      </c>
      <c r="H25" s="28"/>
      <c r="I25" s="28">
        <v>35.541357191660367</v>
      </c>
      <c r="J25" s="28">
        <v>2853.9709824903275</v>
      </c>
      <c r="K25" s="35"/>
      <c r="L25" s="1"/>
      <c r="M25" s="1"/>
    </row>
    <row r="26" spans="1:13" x14ac:dyDescent="0.35">
      <c r="A26" s="73">
        <v>43876</v>
      </c>
      <c r="B26" s="39" t="s">
        <v>554</v>
      </c>
      <c r="C26" s="40"/>
      <c r="D26" s="40">
        <v>4</v>
      </c>
      <c r="E26" s="40">
        <v>236.9</v>
      </c>
      <c r="F26" s="40"/>
      <c r="G26" s="40">
        <v>11.847119063886788</v>
      </c>
      <c r="H26" s="40"/>
      <c r="I26" s="40">
        <v>47.388476255547154</v>
      </c>
      <c r="J26" s="40">
        <v>2806.5825062347803</v>
      </c>
      <c r="K26" s="35">
        <f>SUM(I24:I26)</f>
        <v>82.929833447207528</v>
      </c>
      <c r="L26" s="96"/>
      <c r="M26" s="36">
        <v>43876</v>
      </c>
    </row>
    <row r="27" spans="1:13" x14ac:dyDescent="0.35">
      <c r="A27" s="69">
        <v>43878</v>
      </c>
      <c r="B27" s="62" t="s">
        <v>555</v>
      </c>
      <c r="C27" s="67"/>
      <c r="D27" s="67">
        <v>0</v>
      </c>
      <c r="E27" s="67">
        <v>236.9</v>
      </c>
      <c r="F27" s="67"/>
      <c r="G27" s="67">
        <v>11.847119063886788</v>
      </c>
      <c r="H27" s="67"/>
      <c r="I27" s="67">
        <v>0</v>
      </c>
      <c r="J27" s="67">
        <v>2806.5825062347803</v>
      </c>
      <c r="K27" s="79"/>
      <c r="L27" s="81"/>
      <c r="M27" s="80"/>
    </row>
    <row r="28" spans="1:13" x14ac:dyDescent="0.35">
      <c r="A28" s="69">
        <v>43878</v>
      </c>
      <c r="B28" s="62" t="s">
        <v>556</v>
      </c>
      <c r="C28" s="67"/>
      <c r="D28" s="67">
        <v>3</v>
      </c>
      <c r="E28" s="67">
        <v>233.9</v>
      </c>
      <c r="F28" s="67"/>
      <c r="G28" s="67">
        <v>11.847119063886788</v>
      </c>
      <c r="H28" s="67"/>
      <c r="I28" s="67">
        <v>35.541357191660367</v>
      </c>
      <c r="J28" s="67">
        <v>2771.0411490431202</v>
      </c>
      <c r="K28" s="79"/>
      <c r="L28" s="79"/>
      <c r="M28" s="80"/>
    </row>
    <row r="29" spans="1:13" x14ac:dyDescent="0.35">
      <c r="A29" s="69">
        <v>43882</v>
      </c>
      <c r="B29" s="76" t="s">
        <v>557</v>
      </c>
      <c r="C29" s="40"/>
      <c r="D29" s="67">
        <v>1</v>
      </c>
      <c r="E29" s="67">
        <v>232.9</v>
      </c>
      <c r="F29" s="67"/>
      <c r="G29" s="67">
        <v>11.84711906388679</v>
      </c>
      <c r="H29" s="67"/>
      <c r="I29" s="67">
        <v>11.84711906388679</v>
      </c>
      <c r="J29" s="67">
        <v>2759.1940299792336</v>
      </c>
      <c r="K29" s="35"/>
      <c r="L29" s="35"/>
      <c r="M29" s="36"/>
    </row>
    <row r="30" spans="1:13" x14ac:dyDescent="0.35">
      <c r="A30" s="73">
        <v>43890</v>
      </c>
      <c r="B30" s="39" t="s">
        <v>558</v>
      </c>
      <c r="C30" s="40"/>
      <c r="D30" s="40">
        <v>1</v>
      </c>
      <c r="E30" s="40">
        <v>231.9</v>
      </c>
      <c r="F30" s="40"/>
      <c r="G30" s="40">
        <v>11.84711906388679</v>
      </c>
      <c r="H30" s="40"/>
      <c r="I30" s="40">
        <v>11.84711906388679</v>
      </c>
      <c r="J30" s="40">
        <v>2747.3469109153471</v>
      </c>
      <c r="K30" s="35">
        <f>SUM(I27:I30)</f>
        <v>59.235595319433955</v>
      </c>
      <c r="L30" s="35">
        <f>SUM(K26:K30)</f>
        <v>142.16542876664147</v>
      </c>
      <c r="M30" s="36">
        <v>43890</v>
      </c>
    </row>
    <row r="31" spans="1:13" x14ac:dyDescent="0.35">
      <c r="A31" s="69">
        <v>43894</v>
      </c>
      <c r="B31" s="76" t="s">
        <v>559</v>
      </c>
      <c r="C31" s="40"/>
      <c r="D31" s="67">
        <v>3</v>
      </c>
      <c r="E31" s="67">
        <v>228.9</v>
      </c>
      <c r="F31" s="67"/>
      <c r="G31" s="67">
        <v>11.847119063886792</v>
      </c>
      <c r="H31" s="67"/>
      <c r="I31" s="67">
        <v>35.541357191660374</v>
      </c>
      <c r="J31" s="67">
        <v>2711.8055537236869</v>
      </c>
      <c r="K31" s="35"/>
      <c r="L31" s="35"/>
      <c r="M31" s="36"/>
    </row>
    <row r="32" spans="1:13" x14ac:dyDescent="0.35">
      <c r="A32" s="69">
        <v>43894</v>
      </c>
      <c r="B32" s="76" t="s">
        <v>560</v>
      </c>
      <c r="C32" s="67"/>
      <c r="D32" s="67">
        <v>1</v>
      </c>
      <c r="E32" s="67">
        <v>227.9</v>
      </c>
      <c r="F32" s="67"/>
      <c r="G32" s="67">
        <v>11.847119063886792</v>
      </c>
      <c r="H32" s="67"/>
      <c r="I32" s="67">
        <v>11.847119063886792</v>
      </c>
      <c r="J32" s="67">
        <v>2699.9584346598003</v>
      </c>
      <c r="K32" s="79"/>
      <c r="L32" s="79"/>
      <c r="M32" s="80"/>
    </row>
    <row r="33" spans="1:13" x14ac:dyDescent="0.35">
      <c r="A33" s="69">
        <v>43894</v>
      </c>
      <c r="B33" s="76" t="s">
        <v>561</v>
      </c>
      <c r="C33" s="40"/>
      <c r="D33" s="67">
        <v>5</v>
      </c>
      <c r="E33" s="67">
        <v>222.9</v>
      </c>
      <c r="F33" s="67"/>
      <c r="G33" s="67">
        <v>11.847119063886794</v>
      </c>
      <c r="H33" s="67"/>
      <c r="I33" s="67">
        <v>59.235595319433969</v>
      </c>
      <c r="J33" s="67">
        <v>2640.7228393403666</v>
      </c>
      <c r="K33" s="35"/>
      <c r="L33" s="35"/>
      <c r="M33" s="36"/>
    </row>
    <row r="34" spans="1:13" x14ac:dyDescent="0.35">
      <c r="A34" s="69">
        <v>43897</v>
      </c>
      <c r="B34" s="62" t="s">
        <v>562</v>
      </c>
      <c r="C34" s="67"/>
      <c r="D34" s="67">
        <v>7</v>
      </c>
      <c r="E34" s="67">
        <v>215.9</v>
      </c>
      <c r="F34" s="67"/>
      <c r="G34" s="67">
        <v>11.847119063886794</v>
      </c>
      <c r="H34" s="67"/>
      <c r="I34" s="67">
        <v>82.929833447207557</v>
      </c>
      <c r="J34" s="67">
        <v>2557.7930058931588</v>
      </c>
      <c r="K34" s="79"/>
      <c r="L34" s="79"/>
      <c r="M34" s="80"/>
    </row>
    <row r="35" spans="1:13" x14ac:dyDescent="0.35">
      <c r="A35" s="69">
        <v>43897</v>
      </c>
      <c r="B35" s="76" t="s">
        <v>563</v>
      </c>
      <c r="C35" s="40"/>
      <c r="D35" s="67">
        <v>1</v>
      </c>
      <c r="E35" s="67">
        <v>214.9</v>
      </c>
      <c r="F35" s="67"/>
      <c r="G35" s="67">
        <v>11.847119063886794</v>
      </c>
      <c r="H35" s="67"/>
      <c r="I35" s="67">
        <v>11.847119063886794</v>
      </c>
      <c r="J35" s="67">
        <v>2545.9458868292722</v>
      </c>
      <c r="K35" s="35"/>
      <c r="L35" s="35"/>
      <c r="M35" s="36"/>
    </row>
    <row r="36" spans="1:13" x14ac:dyDescent="0.35">
      <c r="A36" s="69">
        <v>43899</v>
      </c>
      <c r="B36" s="76" t="s">
        <v>564</v>
      </c>
      <c r="C36" s="96"/>
      <c r="D36" s="67">
        <v>1</v>
      </c>
      <c r="E36" s="67">
        <v>213.9</v>
      </c>
      <c r="F36" s="67"/>
      <c r="G36" s="67">
        <v>11.847119063886794</v>
      </c>
      <c r="H36" s="67"/>
      <c r="I36" s="67">
        <v>11.847119063886794</v>
      </c>
      <c r="J36" s="67">
        <v>2534.0987677653857</v>
      </c>
      <c r="K36" s="35"/>
      <c r="L36" s="35"/>
      <c r="M36" s="36"/>
    </row>
    <row r="37" spans="1:13" x14ac:dyDescent="0.35">
      <c r="A37" s="69">
        <v>43901</v>
      </c>
      <c r="B37" s="62" t="s">
        <v>565</v>
      </c>
      <c r="C37" s="67"/>
      <c r="D37" s="67">
        <v>2</v>
      </c>
      <c r="E37" s="67">
        <v>211.9</v>
      </c>
      <c r="F37" s="67"/>
      <c r="G37" s="67">
        <v>11.847119063886796</v>
      </c>
      <c r="H37" s="67"/>
      <c r="I37" s="67">
        <v>23.694238127773591</v>
      </c>
      <c r="J37" s="67">
        <v>2510.4045296376121</v>
      </c>
      <c r="K37" s="79"/>
      <c r="L37" s="79"/>
      <c r="M37" s="80"/>
    </row>
    <row r="38" spans="1:13" x14ac:dyDescent="0.35">
      <c r="A38" s="73">
        <v>43903</v>
      </c>
      <c r="B38" s="39" t="s">
        <v>566</v>
      </c>
      <c r="C38" s="40"/>
      <c r="D38" s="40">
        <v>2</v>
      </c>
      <c r="E38" s="40">
        <v>209.9</v>
      </c>
      <c r="F38" s="40"/>
      <c r="G38" s="40">
        <v>11.847119063886796</v>
      </c>
      <c r="H38" s="40"/>
      <c r="I38" s="40">
        <v>23.694238127773591</v>
      </c>
      <c r="J38" s="40">
        <v>2486.7102915098385</v>
      </c>
      <c r="K38" s="35">
        <f>SUM(I31:I38)</f>
        <v>260.63661940550946</v>
      </c>
      <c r="L38" s="35">
        <f>SUM(K38)</f>
        <v>260.63661940550946</v>
      </c>
      <c r="M38" s="36">
        <v>43905</v>
      </c>
    </row>
    <row r="39" spans="1:13" x14ac:dyDescent="0.35">
      <c r="A39" s="69">
        <v>44000</v>
      </c>
      <c r="B39" s="76" t="s">
        <v>567</v>
      </c>
      <c r="C39" s="40"/>
      <c r="D39" s="67">
        <v>3</v>
      </c>
      <c r="E39" s="67">
        <v>206.9</v>
      </c>
      <c r="F39" s="67"/>
      <c r="G39" s="67">
        <v>11.847119063886796</v>
      </c>
      <c r="H39" s="67"/>
      <c r="I39" s="67">
        <v>35.541357191660389</v>
      </c>
      <c r="J39" s="67">
        <v>2451.1689343181779</v>
      </c>
      <c r="K39" s="35"/>
      <c r="L39" s="35"/>
      <c r="M39" s="36"/>
    </row>
    <row r="40" spans="1:13" x14ac:dyDescent="0.35">
      <c r="A40" s="69">
        <v>44008</v>
      </c>
      <c r="B40" s="76" t="s">
        <v>568</v>
      </c>
      <c r="C40" s="40"/>
      <c r="D40" s="67">
        <v>1</v>
      </c>
      <c r="E40" s="67">
        <v>205.9</v>
      </c>
      <c r="F40" s="67"/>
      <c r="G40" s="67">
        <v>11.847119063886794</v>
      </c>
      <c r="H40" s="67"/>
      <c r="I40" s="67">
        <v>11.847119063886794</v>
      </c>
      <c r="J40" s="67">
        <v>2439.3218152542913</v>
      </c>
      <c r="K40" s="35"/>
      <c r="L40" s="35"/>
      <c r="M40" s="36"/>
    </row>
    <row r="41" spans="1:13" x14ac:dyDescent="0.35">
      <c r="A41" s="73">
        <v>44008</v>
      </c>
      <c r="B41" s="39" t="s">
        <v>569</v>
      </c>
      <c r="C41" s="40"/>
      <c r="D41" s="40">
        <v>4</v>
      </c>
      <c r="E41" s="40">
        <v>201.9</v>
      </c>
      <c r="F41" s="40"/>
      <c r="G41" s="40">
        <v>11.847119063886796</v>
      </c>
      <c r="H41" s="40"/>
      <c r="I41" s="40">
        <v>47.388476255547182</v>
      </c>
      <c r="J41" s="40">
        <v>2391.9333389987441</v>
      </c>
      <c r="K41" s="35">
        <f>SUM(I39:I41)</f>
        <v>94.776952511094365</v>
      </c>
      <c r="L41" s="35">
        <f>SUM(K41)</f>
        <v>94.776952511094365</v>
      </c>
      <c r="M41" s="36">
        <v>44012</v>
      </c>
    </row>
    <row r="42" spans="1:13" x14ac:dyDescent="0.35">
      <c r="A42" s="73">
        <v>44027</v>
      </c>
      <c r="B42" s="39" t="s">
        <v>570</v>
      </c>
      <c r="C42" s="40"/>
      <c r="D42" s="40">
        <v>1</v>
      </c>
      <c r="E42" s="40">
        <v>200.9</v>
      </c>
      <c r="F42" s="40"/>
      <c r="G42" s="40">
        <v>11.847119063886796</v>
      </c>
      <c r="H42" s="40"/>
      <c r="I42" s="40">
        <v>11.847119063886796</v>
      </c>
      <c r="J42" s="40">
        <v>2380.0862199348571</v>
      </c>
      <c r="K42" s="35">
        <f>SUM(I42)</f>
        <v>11.847119063886796</v>
      </c>
      <c r="L42" s="35"/>
      <c r="M42" s="36">
        <v>44027</v>
      </c>
    </row>
    <row r="43" spans="1:13" x14ac:dyDescent="0.35">
      <c r="A43" s="69">
        <v>44028</v>
      </c>
      <c r="B43" s="76" t="s">
        <v>571</v>
      </c>
      <c r="C43" s="40"/>
      <c r="D43" s="67">
        <v>6</v>
      </c>
      <c r="E43" s="67">
        <v>194.9</v>
      </c>
      <c r="F43" s="67"/>
      <c r="G43" s="67">
        <v>11.847119063886796</v>
      </c>
      <c r="H43" s="67"/>
      <c r="I43" s="67">
        <v>71.082714383320777</v>
      </c>
      <c r="J43" s="67">
        <v>2309.0035055515364</v>
      </c>
      <c r="K43" s="35"/>
      <c r="L43" s="35"/>
      <c r="M43" s="36"/>
    </row>
    <row r="44" spans="1:13" x14ac:dyDescent="0.35">
      <c r="A44" s="69">
        <v>44034</v>
      </c>
      <c r="B44" s="76" t="s">
        <v>572</v>
      </c>
      <c r="C44" s="67"/>
      <c r="D44" s="67">
        <v>4</v>
      </c>
      <c r="E44" s="67">
        <v>190.9</v>
      </c>
      <c r="F44" s="67"/>
      <c r="G44" s="67">
        <v>11.847119063886796</v>
      </c>
      <c r="H44" s="67"/>
      <c r="I44" s="67">
        <v>47.388476255547182</v>
      </c>
      <c r="J44" s="67">
        <v>2261.6150292959892</v>
      </c>
      <c r="K44" s="79"/>
      <c r="L44" s="79"/>
      <c r="M44" s="80"/>
    </row>
    <row r="45" spans="1:13" x14ac:dyDescent="0.35">
      <c r="A45" s="73">
        <v>44041</v>
      </c>
      <c r="B45" s="39" t="s">
        <v>573</v>
      </c>
      <c r="C45" s="40"/>
      <c r="D45" s="40">
        <v>2</v>
      </c>
      <c r="E45" s="40">
        <v>188.9</v>
      </c>
      <c r="F45" s="40"/>
      <c r="G45" s="40">
        <v>11.847119063886796</v>
      </c>
      <c r="H45" s="40"/>
      <c r="I45" s="40">
        <v>23.694238127773591</v>
      </c>
      <c r="J45" s="40">
        <v>2237.9207911682156</v>
      </c>
      <c r="K45" s="35">
        <f>SUM(I43:I45)</f>
        <v>142.16542876664155</v>
      </c>
      <c r="L45" s="35">
        <f>SUM(K42:K45)</f>
        <v>154.01254783052835</v>
      </c>
      <c r="M45" s="36">
        <v>44043</v>
      </c>
    </row>
    <row r="46" spans="1:13" x14ac:dyDescent="0.35">
      <c r="A46" s="69">
        <v>44055</v>
      </c>
      <c r="B46" s="76" t="s">
        <v>574</v>
      </c>
      <c r="C46" s="67"/>
      <c r="D46" s="67">
        <v>2</v>
      </c>
      <c r="E46" s="67">
        <v>186.9</v>
      </c>
      <c r="F46" s="67"/>
      <c r="G46" s="67">
        <v>11.847119063886796</v>
      </c>
      <c r="H46" s="67"/>
      <c r="I46" s="67">
        <v>23.694238127773591</v>
      </c>
      <c r="J46" s="67">
        <v>2214.226553040442</v>
      </c>
      <c r="K46" s="79"/>
      <c r="L46" s="79"/>
      <c r="M46" s="80"/>
    </row>
    <row r="47" spans="1:13" x14ac:dyDescent="0.35">
      <c r="A47" s="73">
        <v>44056</v>
      </c>
      <c r="B47" s="39" t="s">
        <v>575</v>
      </c>
      <c r="C47" s="40"/>
      <c r="D47" s="40">
        <v>10</v>
      </c>
      <c r="E47" s="40">
        <v>176.9</v>
      </c>
      <c r="F47" s="40"/>
      <c r="G47" s="40">
        <v>11.847119063886796</v>
      </c>
      <c r="H47" s="40"/>
      <c r="I47" s="40">
        <v>118.47119063886795</v>
      </c>
      <c r="J47" s="40">
        <v>2095.7553624015741</v>
      </c>
      <c r="K47" s="35">
        <f>SUM(I46:I47)</f>
        <v>142.16542876664155</v>
      </c>
      <c r="L47" s="35"/>
      <c r="M47" s="36">
        <v>44058</v>
      </c>
    </row>
    <row r="48" spans="1:13" x14ac:dyDescent="0.35">
      <c r="A48" s="69">
        <v>44060</v>
      </c>
      <c r="B48" s="76" t="s">
        <v>576</v>
      </c>
      <c r="C48" s="67"/>
      <c r="D48" s="67">
        <v>1</v>
      </c>
      <c r="E48" s="67">
        <v>175.9</v>
      </c>
      <c r="F48" s="67"/>
      <c r="G48" s="67">
        <v>11.847119063886796</v>
      </c>
      <c r="H48" s="67"/>
      <c r="I48" s="67">
        <v>11.847119063886796</v>
      </c>
      <c r="J48" s="67">
        <v>2083.9082433376871</v>
      </c>
      <c r="K48" s="79"/>
      <c r="L48" s="79"/>
      <c r="M48" s="80"/>
    </row>
    <row r="49" spans="1:13" x14ac:dyDescent="0.35">
      <c r="A49" s="69">
        <v>44063</v>
      </c>
      <c r="B49" s="76" t="s">
        <v>577</v>
      </c>
      <c r="C49" s="67">
        <v>184</v>
      </c>
      <c r="D49" s="67"/>
      <c r="E49" s="67">
        <v>359.9</v>
      </c>
      <c r="F49" s="67">
        <v>11.847130434782608</v>
      </c>
      <c r="G49" s="67"/>
      <c r="H49" s="67">
        <v>2179.8719999999998</v>
      </c>
      <c r="I49" s="67"/>
      <c r="J49" s="67">
        <v>4263.7802433376874</v>
      </c>
      <c r="K49" s="79"/>
      <c r="L49" s="79"/>
      <c r="M49" s="80"/>
    </row>
    <row r="50" spans="1:13" x14ac:dyDescent="0.35">
      <c r="A50" s="69">
        <v>44071</v>
      </c>
      <c r="B50" s="76" t="s">
        <v>578</v>
      </c>
      <c r="C50" s="67"/>
      <c r="D50" s="67">
        <v>3</v>
      </c>
      <c r="E50" s="67">
        <v>356.9</v>
      </c>
      <c r="F50" s="67"/>
      <c r="G50" s="67">
        <v>11.847124877292824</v>
      </c>
      <c r="H50" s="67"/>
      <c r="I50" s="67">
        <v>35.541374631878469</v>
      </c>
      <c r="J50" s="67">
        <v>4228.2388687058092</v>
      </c>
      <c r="K50" s="79"/>
      <c r="L50" s="79"/>
      <c r="M50" s="80"/>
    </row>
    <row r="51" spans="1:13" x14ac:dyDescent="0.35">
      <c r="A51" s="73">
        <v>44074</v>
      </c>
      <c r="B51" s="39" t="s">
        <v>579</v>
      </c>
      <c r="C51" s="40"/>
      <c r="D51" s="40">
        <v>2</v>
      </c>
      <c r="E51" s="40">
        <v>354.9</v>
      </c>
      <c r="F51" s="40"/>
      <c r="G51" s="40">
        <v>11.847124877292826</v>
      </c>
      <c r="H51" s="40"/>
      <c r="I51" s="40">
        <v>23.694249754585652</v>
      </c>
      <c r="J51" s="40">
        <v>4204.5446189512231</v>
      </c>
      <c r="K51" s="35">
        <f>SUM(I48:I51)</f>
        <v>71.082743450350918</v>
      </c>
      <c r="L51" s="35">
        <f>SUM(K47:K51)</f>
        <v>213.24817221699249</v>
      </c>
      <c r="M51" s="36">
        <v>44074</v>
      </c>
    </row>
    <row r="52" spans="1:13" x14ac:dyDescent="0.35">
      <c r="A52" s="69">
        <v>44077</v>
      </c>
      <c r="B52" s="76" t="s">
        <v>580</v>
      </c>
      <c r="C52" s="40"/>
      <c r="D52" s="67">
        <v>4</v>
      </c>
      <c r="E52" s="67">
        <v>350.9</v>
      </c>
      <c r="F52" s="67"/>
      <c r="G52" s="67">
        <v>11.847124877292824</v>
      </c>
      <c r="H52" s="67"/>
      <c r="I52" s="67">
        <v>47.388499509171297</v>
      </c>
      <c r="J52" s="67">
        <v>4157.1561194420519</v>
      </c>
      <c r="K52" s="35"/>
      <c r="L52" s="35"/>
      <c r="M52" s="36"/>
    </row>
    <row r="53" spans="1:13" x14ac:dyDescent="0.35">
      <c r="A53" s="69">
        <v>44081</v>
      </c>
      <c r="B53" s="76" t="s">
        <v>581</v>
      </c>
      <c r="C53" s="67"/>
      <c r="D53" s="67">
        <v>2</v>
      </c>
      <c r="E53" s="67">
        <v>348.9</v>
      </c>
      <c r="F53" s="67"/>
      <c r="G53" s="67">
        <v>11.847124877292824</v>
      </c>
      <c r="H53" s="67"/>
      <c r="I53" s="67">
        <v>23.694249754585648</v>
      </c>
      <c r="J53" s="67">
        <v>4133.4618696874659</v>
      </c>
      <c r="K53" s="79"/>
      <c r="L53" s="79"/>
      <c r="M53" s="80"/>
    </row>
    <row r="54" spans="1:13" x14ac:dyDescent="0.35">
      <c r="A54" s="69">
        <v>44083</v>
      </c>
      <c r="B54" s="62" t="s">
        <v>582</v>
      </c>
      <c r="C54" s="67"/>
      <c r="D54" s="67">
        <v>1</v>
      </c>
      <c r="E54" s="67">
        <v>347.9</v>
      </c>
      <c r="F54" s="67"/>
      <c r="G54" s="67">
        <v>11.847124877292824</v>
      </c>
      <c r="H54" s="67"/>
      <c r="I54" s="67">
        <v>11.847124877292824</v>
      </c>
      <c r="J54" s="67">
        <v>4121.6147448101729</v>
      </c>
      <c r="K54" s="79"/>
      <c r="L54" s="79"/>
      <c r="M54" s="80"/>
    </row>
    <row r="55" spans="1:13" x14ac:dyDescent="0.35">
      <c r="A55" s="73">
        <v>44085</v>
      </c>
      <c r="B55" s="39" t="s">
        <v>583</v>
      </c>
      <c r="C55" s="40"/>
      <c r="D55" s="40">
        <v>2</v>
      </c>
      <c r="E55" s="40">
        <v>345.9</v>
      </c>
      <c r="F55" s="40"/>
      <c r="G55" s="40">
        <v>11.847124877292822</v>
      </c>
      <c r="H55" s="40"/>
      <c r="I55" s="40">
        <v>23.694249754585645</v>
      </c>
      <c r="J55" s="40">
        <v>4097.9204950555868</v>
      </c>
      <c r="K55" s="35">
        <f>SUM(I52:I55)</f>
        <v>106.62412389563541</v>
      </c>
      <c r="L55" s="35"/>
      <c r="M55" s="36">
        <v>44089</v>
      </c>
    </row>
    <row r="56" spans="1:13" x14ac:dyDescent="0.35">
      <c r="A56" s="69">
        <v>44091</v>
      </c>
      <c r="B56" s="76" t="s">
        <v>584</v>
      </c>
      <c r="C56" s="40"/>
      <c r="D56" s="67">
        <v>2</v>
      </c>
      <c r="E56" s="67">
        <v>343.9</v>
      </c>
      <c r="F56" s="67"/>
      <c r="G56" s="67">
        <v>11.847124877292822</v>
      </c>
      <c r="H56" s="67"/>
      <c r="I56" s="67">
        <v>23.694249754585645</v>
      </c>
      <c r="J56" s="67">
        <v>4074.2262453010012</v>
      </c>
      <c r="K56" s="35"/>
      <c r="L56" s="35"/>
      <c r="M56" s="36"/>
    </row>
    <row r="57" spans="1:13" x14ac:dyDescent="0.35">
      <c r="A57" s="73">
        <v>44098</v>
      </c>
      <c r="B57" s="39" t="s">
        <v>585</v>
      </c>
      <c r="C57" s="40"/>
      <c r="D57" s="40">
        <v>4</v>
      </c>
      <c r="E57" s="40">
        <v>339.9</v>
      </c>
      <c r="F57" s="40"/>
      <c r="G57" s="40">
        <v>11.847124877292822</v>
      </c>
      <c r="H57" s="40"/>
      <c r="I57" s="40">
        <v>47.38849950917129</v>
      </c>
      <c r="J57" s="40">
        <v>4026.83774579183</v>
      </c>
      <c r="K57" s="35">
        <f>SUM(I56:I57)</f>
        <v>71.082749263756938</v>
      </c>
      <c r="L57" s="35">
        <f>SUM(K55:K57)</f>
        <v>177.70687315939233</v>
      </c>
      <c r="M57" s="36">
        <v>44104</v>
      </c>
    </row>
    <row r="58" spans="1:13" x14ac:dyDescent="0.35">
      <c r="A58" s="69">
        <v>44105</v>
      </c>
      <c r="B58" s="76" t="s">
        <v>586</v>
      </c>
      <c r="C58" s="40"/>
      <c r="D58" s="67">
        <v>1</v>
      </c>
      <c r="E58" s="67">
        <v>338.9</v>
      </c>
      <c r="F58" s="67"/>
      <c r="G58" s="67">
        <v>11.847124877292822</v>
      </c>
      <c r="H58" s="67"/>
      <c r="I58" s="67">
        <v>11.847124877292822</v>
      </c>
      <c r="J58" s="67">
        <v>4014.990620914537</v>
      </c>
      <c r="K58" s="35"/>
      <c r="L58" s="35"/>
      <c r="M58" s="36"/>
    </row>
    <row r="59" spans="1:13" x14ac:dyDescent="0.35">
      <c r="A59" s="69">
        <v>44111</v>
      </c>
      <c r="B59" s="76" t="s">
        <v>587</v>
      </c>
      <c r="C59" s="40"/>
      <c r="D59" s="67">
        <v>1</v>
      </c>
      <c r="E59" s="67">
        <v>337.9</v>
      </c>
      <c r="F59" s="67"/>
      <c r="G59" s="67">
        <v>11.847124877292822</v>
      </c>
      <c r="H59" s="67"/>
      <c r="I59" s="67">
        <v>11.847124877292822</v>
      </c>
      <c r="J59" s="67">
        <v>4003.1434960372439</v>
      </c>
      <c r="K59" s="35"/>
      <c r="L59" s="35"/>
      <c r="M59" s="36"/>
    </row>
    <row r="60" spans="1:13" x14ac:dyDescent="0.35">
      <c r="A60" s="77">
        <v>44111</v>
      </c>
      <c r="B60" s="76" t="s">
        <v>588</v>
      </c>
      <c r="C60" s="28"/>
      <c r="D60" s="67">
        <v>2</v>
      </c>
      <c r="E60" s="67">
        <v>335.9</v>
      </c>
      <c r="F60" s="67"/>
      <c r="G60" s="67">
        <v>11.847124877292821</v>
      </c>
      <c r="H60" s="67"/>
      <c r="I60" s="67">
        <v>23.694249754585641</v>
      </c>
      <c r="J60" s="67">
        <v>3979.4492462826584</v>
      </c>
      <c r="K60" s="1"/>
      <c r="L60" s="1"/>
      <c r="M60" s="1"/>
    </row>
    <row r="61" spans="1:13" x14ac:dyDescent="0.35">
      <c r="A61" s="77">
        <v>44114</v>
      </c>
      <c r="B61" s="76" t="s">
        <v>589</v>
      </c>
      <c r="C61" s="28"/>
      <c r="D61" s="67">
        <v>12</v>
      </c>
      <c r="E61" s="67">
        <v>323.89999999999998</v>
      </c>
      <c r="F61" s="67"/>
      <c r="G61" s="67">
        <v>11.847124877292821</v>
      </c>
      <c r="H61" s="67"/>
      <c r="I61" s="67">
        <v>142.16549852751385</v>
      </c>
      <c r="J61" s="67">
        <v>3837.2837477551443</v>
      </c>
      <c r="K61" s="1"/>
      <c r="L61" s="1"/>
      <c r="M61" s="1"/>
    </row>
    <row r="62" spans="1:13" x14ac:dyDescent="0.35">
      <c r="A62" s="73">
        <v>44117</v>
      </c>
      <c r="B62" s="39" t="s">
        <v>590</v>
      </c>
      <c r="C62" s="40"/>
      <c r="D62" s="40">
        <v>4</v>
      </c>
      <c r="E62" s="40">
        <v>319.89999999999998</v>
      </c>
      <c r="F62" s="40"/>
      <c r="G62" s="40">
        <v>11.847124877292821</v>
      </c>
      <c r="H62" s="40"/>
      <c r="I62" s="40">
        <v>47.388499509171282</v>
      </c>
      <c r="J62" s="40">
        <v>3789.8952482459731</v>
      </c>
      <c r="K62" s="35">
        <f>SUM(I58:I62)</f>
        <v>236.94249754585641</v>
      </c>
      <c r="L62" s="96"/>
      <c r="M62" s="36">
        <v>44119</v>
      </c>
    </row>
    <row r="63" spans="1:13" x14ac:dyDescent="0.35">
      <c r="A63" s="69">
        <v>44124</v>
      </c>
      <c r="B63" s="76" t="s">
        <v>591</v>
      </c>
      <c r="C63" s="67"/>
      <c r="D63" s="67">
        <v>1</v>
      </c>
      <c r="E63" s="67">
        <v>318.89999999999998</v>
      </c>
      <c r="F63" s="67"/>
      <c r="G63" s="67">
        <v>11.847124877292821</v>
      </c>
      <c r="H63" s="67"/>
      <c r="I63" s="67">
        <v>11.847124877292821</v>
      </c>
      <c r="J63" s="67">
        <v>3778.0481233686801</v>
      </c>
      <c r="K63" s="79"/>
      <c r="L63" s="79"/>
      <c r="M63" s="80"/>
    </row>
    <row r="64" spans="1:13" x14ac:dyDescent="0.35">
      <c r="A64" s="69">
        <v>44124</v>
      </c>
      <c r="B64" s="76" t="s">
        <v>592</v>
      </c>
      <c r="C64" s="67"/>
      <c r="D64" s="67">
        <v>3</v>
      </c>
      <c r="E64" s="67">
        <v>315.89999999999998</v>
      </c>
      <c r="F64" s="67"/>
      <c r="G64" s="67">
        <v>11.847124877292821</v>
      </c>
      <c r="H64" s="67"/>
      <c r="I64" s="67">
        <v>35.541374631878462</v>
      </c>
      <c r="J64" s="67">
        <v>3742.5067487368015</v>
      </c>
      <c r="K64" s="79"/>
      <c r="L64" s="81"/>
      <c r="M64" s="80"/>
    </row>
    <row r="65" spans="1:13" x14ac:dyDescent="0.35">
      <c r="A65" s="73">
        <v>44131</v>
      </c>
      <c r="B65" s="39" t="s">
        <v>593</v>
      </c>
      <c r="C65" s="40"/>
      <c r="D65" s="40">
        <v>4</v>
      </c>
      <c r="E65" s="40">
        <v>311.89999999999998</v>
      </c>
      <c r="F65" s="40"/>
      <c r="G65" s="40">
        <v>11.847124877292819</v>
      </c>
      <c r="H65" s="40"/>
      <c r="I65" s="40">
        <v>47.388499509171275</v>
      </c>
      <c r="J65" s="40">
        <v>3695.1182492276303</v>
      </c>
      <c r="K65" s="35">
        <f>SUM(I63:I65)</f>
        <v>94.776999018342565</v>
      </c>
      <c r="L65" s="35">
        <f>SUM(K62:K65)</f>
        <v>331.71949656419895</v>
      </c>
      <c r="M65" s="36">
        <v>44135</v>
      </c>
    </row>
    <row r="66" spans="1:13" x14ac:dyDescent="0.35">
      <c r="A66" s="77">
        <v>44139</v>
      </c>
      <c r="B66" s="76" t="s">
        <v>594</v>
      </c>
      <c r="C66" s="28"/>
      <c r="D66" s="67">
        <v>6</v>
      </c>
      <c r="E66" s="67">
        <v>305.89999999999998</v>
      </c>
      <c r="F66" s="67"/>
      <c r="G66" s="67">
        <v>11.847124877292821</v>
      </c>
      <c r="H66" s="67"/>
      <c r="I66" s="67">
        <v>71.082749263756924</v>
      </c>
      <c r="J66" s="67">
        <v>3624.0354999638735</v>
      </c>
      <c r="K66" s="1"/>
      <c r="L66" s="1"/>
      <c r="M66" s="1"/>
    </row>
    <row r="67" spans="1:13" x14ac:dyDescent="0.35">
      <c r="A67" s="69">
        <v>44140</v>
      </c>
      <c r="B67" s="76" t="s">
        <v>595</v>
      </c>
      <c r="C67" s="28"/>
      <c r="D67" s="67">
        <v>4</v>
      </c>
      <c r="E67" s="67">
        <v>301.89999999999998</v>
      </c>
      <c r="F67" s="67"/>
      <c r="G67" s="67">
        <v>11.847124877292821</v>
      </c>
      <c r="H67" s="67"/>
      <c r="I67" s="67">
        <v>47.388499509171282</v>
      </c>
      <c r="J67" s="67">
        <v>3576.6470004547023</v>
      </c>
      <c r="K67" s="35"/>
      <c r="L67" s="35"/>
      <c r="M67" s="36"/>
    </row>
    <row r="68" spans="1:13" x14ac:dyDescent="0.35">
      <c r="A68" s="69">
        <v>44140</v>
      </c>
      <c r="B68" s="76" t="s">
        <v>596</v>
      </c>
      <c r="C68" s="28"/>
      <c r="D68" s="67">
        <v>2</v>
      </c>
      <c r="E68" s="67">
        <v>299.89999999999998</v>
      </c>
      <c r="F68" s="67"/>
      <c r="G68" s="67">
        <v>11.847124877292821</v>
      </c>
      <c r="H68" s="67"/>
      <c r="I68" s="67">
        <v>23.694249754585641</v>
      </c>
      <c r="J68" s="67">
        <v>3552.9527507001167</v>
      </c>
      <c r="K68" s="79"/>
      <c r="L68" s="79"/>
      <c r="M68" s="80"/>
    </row>
    <row r="69" spans="1:13" x14ac:dyDescent="0.35">
      <c r="A69" s="69">
        <v>44142</v>
      </c>
      <c r="B69" s="62" t="s">
        <v>597</v>
      </c>
      <c r="C69" s="67"/>
      <c r="D69" s="67">
        <v>5</v>
      </c>
      <c r="E69" s="67">
        <v>294.89999999999998</v>
      </c>
      <c r="F69" s="67"/>
      <c r="G69" s="67">
        <v>11.847124877292821</v>
      </c>
      <c r="H69" s="67"/>
      <c r="I69" s="67">
        <v>59.235624386464103</v>
      </c>
      <c r="J69" s="67">
        <v>3493.7171263136524</v>
      </c>
      <c r="K69" s="79"/>
      <c r="L69" s="79"/>
      <c r="M69" s="80"/>
    </row>
    <row r="70" spans="1:13" x14ac:dyDescent="0.35">
      <c r="A70" s="77">
        <v>44144</v>
      </c>
      <c r="B70" s="76" t="s">
        <v>598</v>
      </c>
      <c r="C70" s="28"/>
      <c r="D70" s="67">
        <v>0</v>
      </c>
      <c r="E70" s="67">
        <v>294.89999999999998</v>
      </c>
      <c r="F70" s="67"/>
      <c r="G70" s="67">
        <v>11.847124877292821</v>
      </c>
      <c r="H70" s="67"/>
      <c r="I70" s="67">
        <v>0</v>
      </c>
      <c r="J70" s="67">
        <v>3493.7171263136524</v>
      </c>
      <c r="K70" s="1"/>
      <c r="L70" s="1"/>
      <c r="M70" s="1"/>
    </row>
    <row r="71" spans="1:13" x14ac:dyDescent="0.35">
      <c r="A71" s="69">
        <v>44144</v>
      </c>
      <c r="B71" s="76" t="s">
        <v>599</v>
      </c>
      <c r="C71" s="28"/>
      <c r="D71" s="67">
        <v>0.5</v>
      </c>
      <c r="E71" s="67">
        <v>294.39999999999998</v>
      </c>
      <c r="F71" s="67"/>
      <c r="G71" s="67">
        <v>11.847124877292821</v>
      </c>
      <c r="H71" s="67"/>
      <c r="I71" s="67">
        <v>5.9235624386464103</v>
      </c>
      <c r="J71" s="67">
        <v>3487.7935638750059</v>
      </c>
      <c r="K71" s="35"/>
      <c r="L71" s="96"/>
      <c r="M71" s="36"/>
    </row>
    <row r="72" spans="1:13" x14ac:dyDescent="0.35">
      <c r="A72" s="77">
        <v>44146</v>
      </c>
      <c r="B72" s="76" t="s">
        <v>600</v>
      </c>
      <c r="C72" s="28"/>
      <c r="D72" s="67">
        <v>1</v>
      </c>
      <c r="E72" s="67">
        <v>293.39999999999998</v>
      </c>
      <c r="F72" s="67"/>
      <c r="G72" s="67">
        <v>11.847124877292821</v>
      </c>
      <c r="H72" s="67"/>
      <c r="I72" s="67">
        <v>11.847124877292821</v>
      </c>
      <c r="J72" s="67">
        <v>3475.9464389977129</v>
      </c>
      <c r="K72" s="1"/>
      <c r="L72" s="1"/>
      <c r="M72" s="1"/>
    </row>
    <row r="73" spans="1:13" x14ac:dyDescent="0.35">
      <c r="A73" s="73">
        <v>44148</v>
      </c>
      <c r="B73" s="39" t="s">
        <v>601</v>
      </c>
      <c r="C73" s="40"/>
      <c r="D73" s="40">
        <v>6</v>
      </c>
      <c r="E73" s="40">
        <v>287.39999999999998</v>
      </c>
      <c r="F73" s="40"/>
      <c r="G73" s="40">
        <v>11.847124877292819</v>
      </c>
      <c r="H73" s="40"/>
      <c r="I73" s="40">
        <v>71.082749263756909</v>
      </c>
      <c r="J73" s="40">
        <v>3404.8636897339561</v>
      </c>
      <c r="K73" s="35">
        <f>SUM(I66:I73)</f>
        <v>290.25455949367409</v>
      </c>
      <c r="L73" s="96"/>
      <c r="M73" s="36">
        <v>44150</v>
      </c>
    </row>
    <row r="74" spans="1:13" x14ac:dyDescent="0.35">
      <c r="A74" s="69">
        <v>44156</v>
      </c>
      <c r="B74" s="76" t="s">
        <v>602</v>
      </c>
      <c r="C74" s="28"/>
      <c r="D74" s="67">
        <v>1</v>
      </c>
      <c r="E74" s="67">
        <v>286.39999999999998</v>
      </c>
      <c r="F74" s="67"/>
      <c r="G74" s="67">
        <v>11.847124877292819</v>
      </c>
      <c r="H74" s="67"/>
      <c r="I74" s="67">
        <v>11.847124877292819</v>
      </c>
      <c r="J74" s="67">
        <v>3393.0165648566631</v>
      </c>
      <c r="K74" s="79"/>
      <c r="L74" s="81"/>
      <c r="M74" s="80"/>
    </row>
    <row r="75" spans="1:13" x14ac:dyDescent="0.35">
      <c r="A75" s="69">
        <v>44159</v>
      </c>
      <c r="B75" s="76" t="s">
        <v>603</v>
      </c>
      <c r="C75" s="28"/>
      <c r="D75" s="67">
        <v>6</v>
      </c>
      <c r="E75" s="67">
        <v>280.39999999999998</v>
      </c>
      <c r="F75" s="67"/>
      <c r="G75" s="67">
        <v>11.847124877292819</v>
      </c>
      <c r="H75" s="67"/>
      <c r="I75" s="67">
        <v>71.082749263756909</v>
      </c>
      <c r="J75" s="67">
        <v>3321.9338155929063</v>
      </c>
      <c r="K75" s="35"/>
      <c r="L75" s="96"/>
      <c r="M75" s="36"/>
    </row>
    <row r="76" spans="1:13" x14ac:dyDescent="0.35">
      <c r="A76" s="69">
        <v>44162</v>
      </c>
      <c r="B76" s="76" t="s">
        <v>604</v>
      </c>
      <c r="C76" s="28"/>
      <c r="D76" s="67">
        <v>0.5</v>
      </c>
      <c r="E76" s="67">
        <v>279.89999999999998</v>
      </c>
      <c r="F76" s="67"/>
      <c r="G76" s="67">
        <v>11.847124877292819</v>
      </c>
      <c r="H76" s="67"/>
      <c r="I76" s="67">
        <v>5.9235624386464094</v>
      </c>
      <c r="J76" s="67">
        <v>3316.0102531542598</v>
      </c>
      <c r="K76" s="79"/>
      <c r="L76" s="79"/>
      <c r="M76" s="80"/>
    </row>
    <row r="77" spans="1:13" x14ac:dyDescent="0.35">
      <c r="A77" s="77">
        <v>44162</v>
      </c>
      <c r="B77" s="76" t="s">
        <v>605</v>
      </c>
      <c r="C77" s="28"/>
      <c r="D77" s="67">
        <v>2</v>
      </c>
      <c r="E77" s="67">
        <v>277.89999999999998</v>
      </c>
      <c r="F77" s="67"/>
      <c r="G77" s="67">
        <v>11.847124877292819</v>
      </c>
      <c r="H77" s="67"/>
      <c r="I77" s="67">
        <v>23.694249754585638</v>
      </c>
      <c r="J77" s="67">
        <v>3292.3160033996742</v>
      </c>
      <c r="K77" s="1"/>
      <c r="L77" s="1"/>
      <c r="M77" s="1"/>
    </row>
    <row r="78" spans="1:13" x14ac:dyDescent="0.35">
      <c r="A78" s="77">
        <v>44163</v>
      </c>
      <c r="B78" s="76" t="s">
        <v>606</v>
      </c>
      <c r="C78" s="28"/>
      <c r="D78" s="67">
        <v>2</v>
      </c>
      <c r="E78" s="67">
        <v>275.89999999999998</v>
      </c>
      <c r="F78" s="67"/>
      <c r="G78" s="67">
        <v>11.847124877292819</v>
      </c>
      <c r="H78" s="67"/>
      <c r="I78" s="67">
        <v>23.694249754585638</v>
      </c>
      <c r="J78" s="67">
        <v>3268.6217536450886</v>
      </c>
      <c r="K78" s="1"/>
      <c r="L78" s="1"/>
      <c r="M78" s="1"/>
    </row>
    <row r="79" spans="1:13" x14ac:dyDescent="0.35">
      <c r="A79" s="77">
        <v>44163</v>
      </c>
      <c r="B79" s="76" t="s">
        <v>607</v>
      </c>
      <c r="C79" s="28"/>
      <c r="D79" s="67">
        <v>2</v>
      </c>
      <c r="E79" s="67">
        <v>273.89999999999998</v>
      </c>
      <c r="F79" s="67"/>
      <c r="G79" s="67">
        <v>11.847124877292819</v>
      </c>
      <c r="H79" s="67"/>
      <c r="I79" s="67">
        <v>23.694249754585638</v>
      </c>
      <c r="J79" s="67">
        <v>3244.927503890503</v>
      </c>
      <c r="K79" s="1"/>
      <c r="L79" s="1"/>
      <c r="M79" s="1"/>
    </row>
    <row r="80" spans="1:13" x14ac:dyDescent="0.35">
      <c r="A80" s="77">
        <v>44163</v>
      </c>
      <c r="B80" s="76" t="s">
        <v>608</v>
      </c>
      <c r="C80" s="28"/>
      <c r="D80" s="67">
        <v>8</v>
      </c>
      <c r="E80" s="67">
        <v>265.89999999999998</v>
      </c>
      <c r="F80" s="67"/>
      <c r="G80" s="67">
        <v>11.847124877292819</v>
      </c>
      <c r="H80" s="67"/>
      <c r="I80" s="67">
        <v>94.89</v>
      </c>
      <c r="J80" s="67">
        <v>3150.0375038905031</v>
      </c>
      <c r="K80" s="1"/>
      <c r="L80" s="1"/>
      <c r="M80" s="1"/>
    </row>
    <row r="81" spans="1:13" x14ac:dyDescent="0.35">
      <c r="A81" s="73">
        <v>44183</v>
      </c>
      <c r="B81" s="76" t="s">
        <v>609</v>
      </c>
      <c r="C81" s="28"/>
      <c r="D81" s="67">
        <v>6</v>
      </c>
      <c r="E81" s="67">
        <v>259.89999999999998</v>
      </c>
      <c r="F81" s="67"/>
      <c r="G81" s="67">
        <v>11.846699901807083</v>
      </c>
      <c r="H81" s="67"/>
      <c r="I81" s="67">
        <v>71.08</v>
      </c>
      <c r="J81" s="67">
        <v>3078.9575038905032</v>
      </c>
      <c r="K81" s="35"/>
      <c r="L81" s="35"/>
      <c r="M81" s="36"/>
    </row>
    <row r="82" spans="1:13" x14ac:dyDescent="0.35">
      <c r="A82" s="77">
        <v>44184</v>
      </c>
      <c r="B82" s="76" t="s">
        <v>610</v>
      </c>
      <c r="C82" s="28"/>
      <c r="D82" s="67">
        <v>2</v>
      </c>
      <c r="E82" s="67">
        <v>257.89999999999998</v>
      </c>
      <c r="F82" s="67"/>
      <c r="G82" s="67">
        <v>11.846700669066962</v>
      </c>
      <c r="H82" s="67"/>
      <c r="I82" s="67">
        <v>23.69</v>
      </c>
      <c r="J82" s="67">
        <v>3055.2675038905031</v>
      </c>
      <c r="K82" s="1"/>
      <c r="L82" s="1"/>
      <c r="M82" s="1"/>
    </row>
    <row r="83" spans="1:13" x14ac:dyDescent="0.35">
      <c r="A83" s="73">
        <v>44189</v>
      </c>
      <c r="B83" s="39" t="s">
        <v>611</v>
      </c>
      <c r="C83" s="40"/>
      <c r="D83" s="40">
        <v>3</v>
      </c>
      <c r="E83" s="40">
        <v>254.89999999999998</v>
      </c>
      <c r="F83" s="40"/>
      <c r="G83" s="67">
        <v>11.846713857659958</v>
      </c>
      <c r="H83" s="40"/>
      <c r="I83" s="40">
        <v>35.540141572979877</v>
      </c>
      <c r="J83" s="40">
        <v>3019.7273623175233</v>
      </c>
      <c r="K83" s="35">
        <f>SUM(I81:I83)</f>
        <v>130.31014157297989</v>
      </c>
      <c r="L83" s="35">
        <f>SUM(K83)</f>
        <v>130.31014157297989</v>
      </c>
      <c r="M83" s="36">
        <v>44196</v>
      </c>
    </row>
    <row r="84" spans="1:13" ht="15" thickBot="1" x14ac:dyDescent="0.4">
      <c r="A84" s="82"/>
      <c r="B84" s="82" t="s">
        <v>34</v>
      </c>
      <c r="C84" s="67">
        <v>458.9</v>
      </c>
      <c r="D84" s="67">
        <v>204</v>
      </c>
      <c r="E84" s="76"/>
      <c r="F84" s="76"/>
      <c r="G84" s="76"/>
      <c r="H84" s="67">
        <v>5436.6440000000002</v>
      </c>
      <c r="I84" s="67">
        <v>2416.9166376824755</v>
      </c>
      <c r="J84" s="76"/>
      <c r="K84" s="1"/>
      <c r="L84" s="105">
        <f>SUM(L14:L83)</f>
        <v>1871.8358923453493</v>
      </c>
      <c r="M84" s="1"/>
    </row>
    <row r="85" spans="1:13" ht="15" thickTop="1" x14ac:dyDescent="0.35">
      <c r="C85" s="64"/>
      <c r="D85" s="64"/>
    </row>
    <row r="86" spans="1:13" x14ac:dyDescent="0.35">
      <c r="A86" s="177" t="s">
        <v>612</v>
      </c>
      <c r="B86" s="169"/>
      <c r="C86" s="64"/>
      <c r="D86" s="64"/>
    </row>
    <row r="87" spans="1:13" x14ac:dyDescent="0.35">
      <c r="A87" s="177"/>
      <c r="B87" s="169"/>
      <c r="M87" s="178"/>
    </row>
    <row r="88" spans="1:13" x14ac:dyDescent="0.35">
      <c r="A88" s="177" t="s">
        <v>36</v>
      </c>
      <c r="B88" s="169"/>
      <c r="J88" s="179">
        <f>+E83*G83</f>
        <v>3019.7273623175233</v>
      </c>
      <c r="M88" s="178"/>
    </row>
    <row r="89" spans="1:13" x14ac:dyDescent="0.35">
      <c r="A89" s="177" t="s">
        <v>24</v>
      </c>
      <c r="B89" s="169"/>
      <c r="J89" s="180">
        <f>+J83</f>
        <v>3019.7273623175233</v>
      </c>
    </row>
    <row r="90" spans="1:13" ht="15" thickBot="1" x14ac:dyDescent="0.4">
      <c r="A90" s="177"/>
      <c r="B90" s="169" t="s">
        <v>25</v>
      </c>
      <c r="J90" s="181">
        <f>+J88-J89</f>
        <v>0</v>
      </c>
    </row>
    <row r="91" spans="1:13" ht="15" thickTop="1" x14ac:dyDescent="0.35"/>
  </sheetData>
  <mergeCells count="5">
    <mergeCell ref="A5:I5"/>
    <mergeCell ref="A6:J6"/>
    <mergeCell ref="C9:E9"/>
    <mergeCell ref="F9:G9"/>
    <mergeCell ref="H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N76"/>
  <sheetViews>
    <sheetView topLeftCell="A16" workbookViewId="0">
      <selection activeCell="J73" sqref="J73"/>
    </sheetView>
  </sheetViews>
  <sheetFormatPr baseColWidth="10" defaultRowHeight="14.5" x14ac:dyDescent="0.35"/>
  <cols>
    <col min="2" max="2" width="34.36328125" customWidth="1"/>
    <col min="12" max="12" width="9.54296875" customWidth="1"/>
    <col min="13" max="13" width="9.36328125" customWidth="1"/>
    <col min="14" max="14" width="9.17968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28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</row>
    <row r="9" spans="1:14" x14ac:dyDescent="0.35">
      <c r="A9" s="117">
        <v>43832</v>
      </c>
      <c r="B9" s="24" t="s">
        <v>22</v>
      </c>
      <c r="C9" s="25">
        <f>+E9</f>
        <v>34347.919999999998</v>
      </c>
      <c r="D9" s="26"/>
      <c r="E9" s="27">
        <v>34347.919999999998</v>
      </c>
      <c r="F9" s="26">
        <f>+H9/C9</f>
        <v>22.521166929467636</v>
      </c>
      <c r="G9" s="26"/>
      <c r="H9" s="28">
        <f>+J9</f>
        <v>773555.24</v>
      </c>
      <c r="I9" s="29"/>
      <c r="J9" s="29">
        <v>773555.24</v>
      </c>
      <c r="K9" s="118"/>
      <c r="L9" s="1"/>
      <c r="M9" s="1"/>
      <c r="N9" s="1"/>
    </row>
    <row r="10" spans="1:14" s="64" customFormat="1" x14ac:dyDescent="0.35">
      <c r="A10" s="117">
        <v>43834</v>
      </c>
      <c r="B10" s="61" t="s">
        <v>49</v>
      </c>
      <c r="C10" s="26"/>
      <c r="D10" s="26">
        <f>7*5.25*1.05</f>
        <v>38.587499999999999</v>
      </c>
      <c r="E10" s="41">
        <f>+E9-D10</f>
        <v>34309.332499999997</v>
      </c>
      <c r="F10" s="42"/>
      <c r="G10" s="26">
        <f>+J9/E9</f>
        <v>22.521166929467636</v>
      </c>
      <c r="H10" s="42"/>
      <c r="I10" s="26">
        <f>+D10*G10</f>
        <v>869.03552889083232</v>
      </c>
      <c r="J10" s="26">
        <f>+J9-I10</f>
        <v>772686.2044711092</v>
      </c>
      <c r="K10" s="61"/>
      <c r="L10" s="79"/>
      <c r="M10" s="81"/>
      <c r="N10" s="80"/>
    </row>
    <row r="11" spans="1:14" s="64" customFormat="1" x14ac:dyDescent="0.35">
      <c r="A11" s="117">
        <v>43837</v>
      </c>
      <c r="B11" s="61" t="s">
        <v>57</v>
      </c>
      <c r="C11" s="26"/>
      <c r="D11" s="26">
        <v>160</v>
      </c>
      <c r="E11" s="41">
        <f t="shared" ref="E11:E13" si="0">+E10-D11</f>
        <v>34149.332499999997</v>
      </c>
      <c r="F11" s="42"/>
      <c r="G11" s="26">
        <f t="shared" ref="G11:G13" si="1">+J10/E10</f>
        <v>22.52116692946764</v>
      </c>
      <c r="H11" s="42"/>
      <c r="I11" s="26">
        <f t="shared" ref="I11:I13" si="2">+D11*G11</f>
        <v>3603.3867087148224</v>
      </c>
      <c r="J11" s="26">
        <f t="shared" ref="J11:J13" si="3">+J10-I11</f>
        <v>769082.81776239444</v>
      </c>
      <c r="K11" s="61"/>
      <c r="L11" s="81"/>
      <c r="M11" s="81"/>
      <c r="N11" s="81"/>
    </row>
    <row r="12" spans="1:14" s="64" customFormat="1" x14ac:dyDescent="0.35">
      <c r="A12" s="117">
        <v>43838</v>
      </c>
      <c r="B12" s="61" t="s">
        <v>61</v>
      </c>
      <c r="C12" s="26"/>
      <c r="D12" s="26">
        <v>7</v>
      </c>
      <c r="E12" s="41">
        <f t="shared" si="0"/>
        <v>34142.332499999997</v>
      </c>
      <c r="F12" s="42"/>
      <c r="G12" s="26">
        <f t="shared" si="1"/>
        <v>22.52116692946764</v>
      </c>
      <c r="H12" s="42"/>
      <c r="I12" s="26">
        <f t="shared" si="2"/>
        <v>157.64816850627346</v>
      </c>
      <c r="J12" s="26">
        <f t="shared" si="3"/>
        <v>768925.16959388822</v>
      </c>
      <c r="K12" s="61"/>
      <c r="L12" s="79"/>
      <c r="M12" s="79"/>
      <c r="N12" s="80"/>
    </row>
    <row r="13" spans="1:14" s="64" customFormat="1" x14ac:dyDescent="0.35">
      <c r="A13" s="117">
        <v>43839</v>
      </c>
      <c r="B13" s="61" t="s">
        <v>64</v>
      </c>
      <c r="C13" s="26"/>
      <c r="D13" s="26">
        <f>8*5.67</f>
        <v>45.36</v>
      </c>
      <c r="E13" s="41">
        <f t="shared" si="0"/>
        <v>34096.972499999996</v>
      </c>
      <c r="F13" s="42"/>
      <c r="G13" s="26">
        <f t="shared" si="1"/>
        <v>22.521166929467643</v>
      </c>
      <c r="H13" s="42"/>
      <c r="I13" s="26">
        <f t="shared" si="2"/>
        <v>1021.5601319206523</v>
      </c>
      <c r="J13" s="26">
        <f t="shared" si="3"/>
        <v>767903.6094619676</v>
      </c>
      <c r="K13" s="61"/>
      <c r="L13" s="81"/>
      <c r="M13" s="81"/>
      <c r="N13" s="81"/>
    </row>
    <row r="14" spans="1:14" s="37" customFormat="1" x14ac:dyDescent="0.35">
      <c r="A14" s="119">
        <v>43844</v>
      </c>
      <c r="B14" s="32" t="s">
        <v>272</v>
      </c>
      <c r="C14" s="33"/>
      <c r="D14" s="33">
        <f>8*4.5</f>
        <v>36</v>
      </c>
      <c r="E14" s="70">
        <f t="shared" ref="E14:E24" si="4">+E13-D14</f>
        <v>34060.972499999996</v>
      </c>
      <c r="F14" s="71"/>
      <c r="G14" s="33">
        <f t="shared" ref="G14:G24" si="5">+J13/E13</f>
        <v>22.521166929467643</v>
      </c>
      <c r="H14" s="71"/>
      <c r="I14" s="33">
        <f t="shared" ref="I14:I24" si="6">+D14*G14</f>
        <v>810.7620094608352</v>
      </c>
      <c r="J14" s="33">
        <f t="shared" ref="J14:J24" si="7">+J13-I14</f>
        <v>767092.84745250677</v>
      </c>
      <c r="K14" s="32"/>
      <c r="L14" s="35">
        <f>SUM(I10:I14)</f>
        <v>6462.3925474934167</v>
      </c>
      <c r="M14" s="96"/>
      <c r="N14" s="36">
        <v>43845</v>
      </c>
    </row>
    <row r="15" spans="1:14" s="37" customFormat="1" x14ac:dyDescent="0.35">
      <c r="A15" s="73">
        <v>43857</v>
      </c>
      <c r="B15" s="32" t="s">
        <v>98</v>
      </c>
      <c r="C15" s="39"/>
      <c r="D15" s="40">
        <f>6*2.75*1.05</f>
        <v>17.324999999999999</v>
      </c>
      <c r="E15" s="70">
        <f t="shared" si="4"/>
        <v>34043.647499999999</v>
      </c>
      <c r="F15" s="71"/>
      <c r="G15" s="33">
        <f t="shared" si="5"/>
        <v>22.521166929467643</v>
      </c>
      <c r="H15" s="71"/>
      <c r="I15" s="33">
        <f t="shared" si="6"/>
        <v>390.17921705302689</v>
      </c>
      <c r="J15" s="33">
        <f t="shared" si="7"/>
        <v>766702.66823545378</v>
      </c>
      <c r="K15" s="32"/>
      <c r="L15" s="35">
        <f>SUM(I15)</f>
        <v>390.17921705302689</v>
      </c>
      <c r="M15" s="35">
        <f>SUM(L14:L15)</f>
        <v>6852.5717645464438</v>
      </c>
      <c r="N15" s="36">
        <v>43861</v>
      </c>
    </row>
    <row r="16" spans="1:14" s="37" customFormat="1" x14ac:dyDescent="0.35">
      <c r="A16" s="73">
        <v>43503</v>
      </c>
      <c r="B16" s="32" t="s">
        <v>120</v>
      </c>
      <c r="C16" s="39"/>
      <c r="D16" s="40">
        <f>6*4.7+6*5.3</f>
        <v>60</v>
      </c>
      <c r="E16" s="70">
        <f t="shared" si="4"/>
        <v>33983.647499999999</v>
      </c>
      <c r="F16" s="71"/>
      <c r="G16" s="33">
        <f t="shared" si="5"/>
        <v>22.521166929467643</v>
      </c>
      <c r="H16" s="71"/>
      <c r="I16" s="33">
        <f t="shared" si="6"/>
        <v>1351.2700157680586</v>
      </c>
      <c r="J16" s="33">
        <f t="shared" si="7"/>
        <v>765351.39821968577</v>
      </c>
      <c r="K16" s="32"/>
      <c r="L16" s="35">
        <f>SUM(I16)</f>
        <v>1351.2700157680586</v>
      </c>
      <c r="M16" s="35"/>
      <c r="N16" s="36">
        <v>43876</v>
      </c>
    </row>
    <row r="17" spans="1:14" s="64" customFormat="1" x14ac:dyDescent="0.35">
      <c r="A17" s="69">
        <v>43883</v>
      </c>
      <c r="B17" s="61" t="s">
        <v>146</v>
      </c>
      <c r="C17" s="62"/>
      <c r="D17" s="67">
        <f>17*3.5</f>
        <v>59.5</v>
      </c>
      <c r="E17" s="41">
        <f t="shared" si="4"/>
        <v>33924.147499999999</v>
      </c>
      <c r="F17" s="42"/>
      <c r="G17" s="26">
        <f t="shared" si="5"/>
        <v>22.521166929467643</v>
      </c>
      <c r="H17" s="42"/>
      <c r="I17" s="26">
        <f t="shared" si="6"/>
        <v>1340.0094323033247</v>
      </c>
      <c r="J17" s="26">
        <f t="shared" si="7"/>
        <v>764011.3887873824</v>
      </c>
      <c r="K17" s="61"/>
      <c r="L17" s="81"/>
      <c r="M17" s="81"/>
      <c r="N17" s="81"/>
    </row>
    <row r="18" spans="1:14" s="37" customFormat="1" ht="13.75" customHeight="1" x14ac:dyDescent="0.35">
      <c r="A18" s="119">
        <v>43883</v>
      </c>
      <c r="B18" s="32" t="s">
        <v>148</v>
      </c>
      <c r="C18" s="72"/>
      <c r="D18" s="72">
        <f>4*2.25</f>
        <v>9</v>
      </c>
      <c r="E18" s="70">
        <f t="shared" si="4"/>
        <v>33915.147499999999</v>
      </c>
      <c r="F18" s="71"/>
      <c r="G18" s="33">
        <f t="shared" si="5"/>
        <v>22.521166929467643</v>
      </c>
      <c r="H18" s="71"/>
      <c r="I18" s="33">
        <f t="shared" si="6"/>
        <v>202.6905023652088</v>
      </c>
      <c r="J18" s="33">
        <f t="shared" si="7"/>
        <v>763808.69828501716</v>
      </c>
      <c r="K18" s="32"/>
      <c r="L18" s="35">
        <f>SUM(I17:I18)</f>
        <v>1542.6999346685336</v>
      </c>
      <c r="M18" s="35">
        <f>SUM(L16:L18)</f>
        <v>2893.9699504365922</v>
      </c>
      <c r="N18" s="36">
        <v>43890</v>
      </c>
    </row>
    <row r="19" spans="1:14" s="64" customFormat="1" x14ac:dyDescent="0.35">
      <c r="A19" s="117">
        <v>43892</v>
      </c>
      <c r="B19" s="61" t="s">
        <v>160</v>
      </c>
      <c r="C19" s="26"/>
      <c r="D19" s="26">
        <f>18*3.75*1.05+8</f>
        <v>78.875</v>
      </c>
      <c r="E19" s="41">
        <f t="shared" si="4"/>
        <v>33836.272499999999</v>
      </c>
      <c r="F19" s="42"/>
      <c r="G19" s="26">
        <f t="shared" si="5"/>
        <v>22.521166929467643</v>
      </c>
      <c r="H19" s="42"/>
      <c r="I19" s="26">
        <f t="shared" si="6"/>
        <v>1776.3570415617603</v>
      </c>
      <c r="J19" s="26">
        <f t="shared" si="7"/>
        <v>762032.34124345542</v>
      </c>
      <c r="K19" s="61"/>
      <c r="L19" s="81"/>
      <c r="M19" s="81"/>
      <c r="N19" s="81"/>
    </row>
    <row r="20" spans="1:14" s="64" customFormat="1" x14ac:dyDescent="0.35">
      <c r="A20" s="117">
        <v>43893</v>
      </c>
      <c r="B20" s="61" t="s">
        <v>164</v>
      </c>
      <c r="C20" s="26"/>
      <c r="D20" s="26">
        <f>+(10*6.5+16*5.5)*1.05</f>
        <v>160.65</v>
      </c>
      <c r="E20" s="41">
        <f t="shared" si="4"/>
        <v>33675.622499999998</v>
      </c>
      <c r="F20" s="42"/>
      <c r="G20" s="26">
        <f t="shared" si="5"/>
        <v>22.521166929467643</v>
      </c>
      <c r="H20" s="42"/>
      <c r="I20" s="26">
        <f t="shared" si="6"/>
        <v>3618.0254672189772</v>
      </c>
      <c r="J20" s="26">
        <f t="shared" si="7"/>
        <v>758414.31577623647</v>
      </c>
      <c r="K20" s="61"/>
      <c r="L20" s="81"/>
      <c r="M20" s="81"/>
      <c r="N20" s="81"/>
    </row>
    <row r="21" spans="1:14" s="64" customFormat="1" x14ac:dyDescent="0.35">
      <c r="A21" s="117">
        <v>43895</v>
      </c>
      <c r="B21" s="61" t="s">
        <v>171</v>
      </c>
      <c r="C21" s="26"/>
      <c r="D21" s="26">
        <f>3+3.5</f>
        <v>6.5</v>
      </c>
      <c r="E21" s="41">
        <f t="shared" si="4"/>
        <v>33669.122499999998</v>
      </c>
      <c r="F21" s="42"/>
      <c r="G21" s="26">
        <f t="shared" si="5"/>
        <v>22.521166929467643</v>
      </c>
      <c r="H21" s="42"/>
      <c r="I21" s="26">
        <f t="shared" si="6"/>
        <v>146.38758504153969</v>
      </c>
      <c r="J21" s="26">
        <f t="shared" si="7"/>
        <v>758267.92819119489</v>
      </c>
      <c r="K21" s="61"/>
      <c r="L21" s="81"/>
      <c r="M21" s="81"/>
      <c r="N21" s="81"/>
    </row>
    <row r="22" spans="1:14" s="64" customFormat="1" x14ac:dyDescent="0.35">
      <c r="A22" s="117">
        <v>43895</v>
      </c>
      <c r="B22" s="61" t="s">
        <v>172</v>
      </c>
      <c r="C22" s="26"/>
      <c r="D22" s="26">
        <f>203*1.05+14</f>
        <v>227.15</v>
      </c>
      <c r="E22" s="41">
        <f t="shared" si="4"/>
        <v>33441.972499999996</v>
      </c>
      <c r="F22" s="42"/>
      <c r="G22" s="26">
        <f t="shared" si="5"/>
        <v>22.521166929467643</v>
      </c>
      <c r="H22" s="42"/>
      <c r="I22" s="26">
        <f t="shared" si="6"/>
        <v>5115.6830680285757</v>
      </c>
      <c r="J22" s="26">
        <f t="shared" si="7"/>
        <v>753152.24512316636</v>
      </c>
      <c r="K22" s="61"/>
      <c r="L22" s="79"/>
      <c r="M22" s="79"/>
      <c r="N22" s="80"/>
    </row>
    <row r="23" spans="1:14" s="64" customFormat="1" x14ac:dyDescent="0.35">
      <c r="A23" s="117">
        <v>43897</v>
      </c>
      <c r="B23" s="61" t="s">
        <v>178</v>
      </c>
      <c r="C23" s="26"/>
      <c r="D23" s="26">
        <f>3.75*1.05</f>
        <v>3.9375</v>
      </c>
      <c r="E23" s="41">
        <f t="shared" si="4"/>
        <v>33438.034999999996</v>
      </c>
      <c r="F23" s="42"/>
      <c r="G23" s="26">
        <f t="shared" si="5"/>
        <v>22.521166929467647</v>
      </c>
      <c r="H23" s="42"/>
      <c r="I23" s="26">
        <f t="shared" si="6"/>
        <v>88.677094784778859</v>
      </c>
      <c r="J23" s="26">
        <f t="shared" si="7"/>
        <v>753063.56802838156</v>
      </c>
      <c r="K23" s="61"/>
      <c r="L23" s="81"/>
      <c r="M23" s="81"/>
      <c r="N23" s="81"/>
    </row>
    <row r="24" spans="1:14" s="64" customFormat="1" x14ac:dyDescent="0.35">
      <c r="A24" s="117">
        <v>43898</v>
      </c>
      <c r="B24" s="61" t="s">
        <v>181</v>
      </c>
      <c r="C24" s="26"/>
      <c r="D24" s="26">
        <v>3</v>
      </c>
      <c r="E24" s="41">
        <f t="shared" si="4"/>
        <v>33435.034999999996</v>
      </c>
      <c r="F24" s="42"/>
      <c r="G24" s="26">
        <f t="shared" si="5"/>
        <v>22.521166929467643</v>
      </c>
      <c r="H24" s="42"/>
      <c r="I24" s="26">
        <f t="shared" si="6"/>
        <v>67.563500788402933</v>
      </c>
      <c r="J24" s="26">
        <f t="shared" si="7"/>
        <v>752996.00452759315</v>
      </c>
      <c r="K24" s="61"/>
      <c r="L24" s="79"/>
      <c r="M24" s="79"/>
      <c r="N24" s="80"/>
    </row>
    <row r="25" spans="1:14" s="37" customFormat="1" x14ac:dyDescent="0.35">
      <c r="A25" s="119">
        <v>43903</v>
      </c>
      <c r="B25" s="32" t="s">
        <v>277</v>
      </c>
      <c r="C25" s="33"/>
      <c r="D25" s="33">
        <f>+(3*5.5+5*4.5+8*4.25)*1.05</f>
        <v>76.650000000000006</v>
      </c>
      <c r="E25" s="70">
        <f t="shared" ref="E25:E53" si="8">+E24-D25</f>
        <v>33358.384999999995</v>
      </c>
      <c r="F25" s="71"/>
      <c r="G25" s="33">
        <f t="shared" ref="G25:G53" si="9">+J24/E24</f>
        <v>22.521166929467643</v>
      </c>
      <c r="H25" s="71"/>
      <c r="I25" s="33">
        <f t="shared" ref="I25:I53" si="10">+D25*G25</f>
        <v>1726.2474451436949</v>
      </c>
      <c r="J25" s="33">
        <f t="shared" ref="J25:J53" si="11">+J24-I25</f>
        <v>751269.75708244951</v>
      </c>
      <c r="K25" s="32"/>
      <c r="L25" s="35">
        <f>SUM(I19:I25)</f>
        <v>12538.941202567728</v>
      </c>
      <c r="M25" s="35"/>
      <c r="N25" s="36">
        <v>43905</v>
      </c>
    </row>
    <row r="26" spans="1:14" s="37" customFormat="1" x14ac:dyDescent="0.35">
      <c r="A26" s="119">
        <v>43911</v>
      </c>
      <c r="B26" s="32" t="s">
        <v>206</v>
      </c>
      <c r="C26" s="33"/>
      <c r="D26" s="33">
        <v>2</v>
      </c>
      <c r="E26" s="70">
        <f t="shared" si="8"/>
        <v>33356.384999999995</v>
      </c>
      <c r="F26" s="71"/>
      <c r="G26" s="33">
        <f t="shared" si="9"/>
        <v>22.521166929467647</v>
      </c>
      <c r="H26" s="71"/>
      <c r="I26" s="33">
        <f t="shared" si="10"/>
        <v>45.042333858935294</v>
      </c>
      <c r="J26" s="33">
        <f t="shared" si="11"/>
        <v>751224.7147485906</v>
      </c>
      <c r="K26" s="32"/>
      <c r="L26" s="35">
        <f>SUM(I26)</f>
        <v>45.042333858935294</v>
      </c>
      <c r="M26" s="35">
        <f>SUM(L25:L26)</f>
        <v>12583.983536426664</v>
      </c>
      <c r="N26" s="36">
        <v>43921</v>
      </c>
    </row>
    <row r="27" spans="1:14" s="64" customFormat="1" x14ac:dyDescent="0.35">
      <c r="A27" s="117">
        <v>43985</v>
      </c>
      <c r="B27" s="61" t="s">
        <v>211</v>
      </c>
      <c r="C27" s="26"/>
      <c r="D27" s="26">
        <f>42*4.8+9</f>
        <v>210.6</v>
      </c>
      <c r="E27" s="41">
        <f t="shared" si="8"/>
        <v>33145.784999999996</v>
      </c>
      <c r="F27" s="42"/>
      <c r="G27" s="26">
        <f t="shared" si="9"/>
        <v>22.521166929467647</v>
      </c>
      <c r="H27" s="42"/>
      <c r="I27" s="26">
        <f t="shared" si="10"/>
        <v>4742.9577553458867</v>
      </c>
      <c r="J27" s="26">
        <f t="shared" si="11"/>
        <v>746481.75699324475</v>
      </c>
      <c r="K27" s="61"/>
      <c r="L27" s="81"/>
      <c r="M27" s="81"/>
      <c r="N27" s="81"/>
    </row>
    <row r="28" spans="1:14" s="37" customFormat="1" x14ac:dyDescent="0.35">
      <c r="A28" s="119">
        <v>43985</v>
      </c>
      <c r="B28" s="32" t="s">
        <v>213</v>
      </c>
      <c r="C28" s="33"/>
      <c r="D28" s="33">
        <f>24*3.3+5.2</f>
        <v>84.399999999999991</v>
      </c>
      <c r="E28" s="70">
        <f t="shared" si="8"/>
        <v>33061.384999999995</v>
      </c>
      <c r="F28" s="71"/>
      <c r="G28" s="33">
        <f t="shared" si="9"/>
        <v>22.521166929467647</v>
      </c>
      <c r="H28" s="71"/>
      <c r="I28" s="33">
        <f t="shared" si="10"/>
        <v>1900.7864888470692</v>
      </c>
      <c r="J28" s="33">
        <f t="shared" si="11"/>
        <v>744580.97050439764</v>
      </c>
      <c r="K28" s="32"/>
      <c r="L28" s="35">
        <f>SUM(I27:I28)</f>
        <v>6643.7442441929561</v>
      </c>
      <c r="M28" s="96"/>
      <c r="N28" s="36">
        <v>43997</v>
      </c>
    </row>
    <row r="29" spans="1:14" s="64" customFormat="1" x14ac:dyDescent="0.35">
      <c r="A29" s="117">
        <v>44001</v>
      </c>
      <c r="B29" s="61" t="s">
        <v>247</v>
      </c>
      <c r="C29" s="26"/>
      <c r="D29" s="26">
        <f>2*1.4</f>
        <v>2.8</v>
      </c>
      <c r="E29" s="41">
        <f t="shared" si="8"/>
        <v>33058.584999999992</v>
      </c>
      <c r="F29" s="42"/>
      <c r="G29" s="26">
        <f t="shared" si="9"/>
        <v>22.521166929467647</v>
      </c>
      <c r="H29" s="42"/>
      <c r="I29" s="26">
        <f t="shared" si="10"/>
        <v>63.059267402509406</v>
      </c>
      <c r="J29" s="26">
        <f t="shared" si="11"/>
        <v>744517.91123699513</v>
      </c>
      <c r="K29" s="61"/>
      <c r="L29" s="81"/>
      <c r="M29" s="81"/>
      <c r="N29" s="81"/>
    </row>
    <row r="30" spans="1:14" s="64" customFormat="1" x14ac:dyDescent="0.35">
      <c r="A30" s="69">
        <v>44009</v>
      </c>
      <c r="B30" s="61" t="s">
        <v>268</v>
      </c>
      <c r="C30" s="67"/>
      <c r="D30" s="67">
        <f>6*6+5*5.5+4*5+4.5</f>
        <v>88</v>
      </c>
      <c r="E30" s="41">
        <f t="shared" si="8"/>
        <v>32970.584999999992</v>
      </c>
      <c r="F30" s="42"/>
      <c r="G30" s="26">
        <f t="shared" si="9"/>
        <v>22.52116692946765</v>
      </c>
      <c r="H30" s="42"/>
      <c r="I30" s="26">
        <f t="shared" si="10"/>
        <v>1981.8626897931533</v>
      </c>
      <c r="J30" s="26">
        <f t="shared" si="11"/>
        <v>742536.04854720202</v>
      </c>
      <c r="K30" s="61"/>
      <c r="L30" s="81"/>
      <c r="M30" s="81"/>
      <c r="N30" s="81"/>
    </row>
    <row r="31" spans="1:14" s="75" customFormat="1" x14ac:dyDescent="0.35">
      <c r="A31" s="69">
        <v>44009</v>
      </c>
      <c r="B31" s="61" t="s">
        <v>269</v>
      </c>
      <c r="C31" s="67"/>
      <c r="D31" s="67">
        <f>5*3.5</f>
        <v>17.5</v>
      </c>
      <c r="E31" s="41">
        <f t="shared" si="8"/>
        <v>32953.084999999992</v>
      </c>
      <c r="F31" s="42"/>
      <c r="G31" s="26">
        <f t="shared" si="9"/>
        <v>22.52116692946765</v>
      </c>
      <c r="H31" s="42"/>
      <c r="I31" s="26">
        <f t="shared" si="10"/>
        <v>394.12042126568389</v>
      </c>
      <c r="J31" s="26">
        <f t="shared" si="11"/>
        <v>742141.92812593631</v>
      </c>
      <c r="K31" s="61"/>
      <c r="L31" s="91"/>
      <c r="M31" s="95"/>
      <c r="N31" s="90"/>
    </row>
    <row r="32" spans="1:14" s="74" customFormat="1" x14ac:dyDescent="0.35">
      <c r="A32" s="73">
        <v>44010</v>
      </c>
      <c r="B32" s="32" t="s">
        <v>270</v>
      </c>
      <c r="C32" s="40"/>
      <c r="D32" s="40">
        <f>6*4.5</f>
        <v>27</v>
      </c>
      <c r="E32" s="70">
        <f t="shared" si="8"/>
        <v>32926.084999999992</v>
      </c>
      <c r="F32" s="71"/>
      <c r="G32" s="33">
        <f t="shared" si="9"/>
        <v>22.52116692946765</v>
      </c>
      <c r="H32" s="71"/>
      <c r="I32" s="33">
        <f t="shared" si="10"/>
        <v>608.07150709562654</v>
      </c>
      <c r="J32" s="33">
        <f t="shared" si="11"/>
        <v>741533.85661884071</v>
      </c>
      <c r="K32" s="32"/>
      <c r="L32" s="98">
        <f>SUM(I29:I32)</f>
        <v>3047.1138855569734</v>
      </c>
      <c r="M32" s="98">
        <f>SUM(L28:L32)</f>
        <v>9690.8581297499295</v>
      </c>
      <c r="N32" s="99">
        <v>44012</v>
      </c>
    </row>
    <row r="33" spans="1:14" s="74" customFormat="1" x14ac:dyDescent="0.35">
      <c r="A33" s="73">
        <v>44032</v>
      </c>
      <c r="B33" s="32" t="s">
        <v>280</v>
      </c>
      <c r="C33" s="40"/>
      <c r="D33" s="40">
        <f>146*1.05+5</f>
        <v>158.30000000000001</v>
      </c>
      <c r="E33" s="70">
        <f t="shared" si="8"/>
        <v>32767.784999999993</v>
      </c>
      <c r="F33" s="71"/>
      <c r="G33" s="33">
        <f t="shared" si="9"/>
        <v>22.52116692946765</v>
      </c>
      <c r="H33" s="71"/>
      <c r="I33" s="33">
        <f t="shared" si="10"/>
        <v>3565.1007249347294</v>
      </c>
      <c r="J33" s="33">
        <f t="shared" si="11"/>
        <v>737968.755893906</v>
      </c>
      <c r="K33" s="32"/>
      <c r="L33" s="98">
        <f>SUM(I33)</f>
        <v>3565.1007249347294</v>
      </c>
      <c r="M33" s="98">
        <f>SUM(L33)</f>
        <v>3565.1007249347294</v>
      </c>
      <c r="N33" s="99">
        <v>44043</v>
      </c>
    </row>
    <row r="34" spans="1:14" s="74" customFormat="1" x14ac:dyDescent="0.35">
      <c r="A34" s="73">
        <v>44049</v>
      </c>
      <c r="B34" s="32" t="s">
        <v>289</v>
      </c>
      <c r="C34" s="40"/>
      <c r="D34" s="40">
        <f>113.5*1.05+9</f>
        <v>128.17500000000001</v>
      </c>
      <c r="E34" s="70">
        <f t="shared" si="8"/>
        <v>32639.609999999993</v>
      </c>
      <c r="F34" s="71"/>
      <c r="G34" s="33">
        <f t="shared" si="9"/>
        <v>22.52116692946765</v>
      </c>
      <c r="H34" s="71"/>
      <c r="I34" s="33">
        <f t="shared" si="10"/>
        <v>2886.6505711845161</v>
      </c>
      <c r="J34" s="33">
        <f t="shared" si="11"/>
        <v>735082.10532272153</v>
      </c>
      <c r="K34" s="32"/>
      <c r="L34" s="98">
        <f>SUM(I34)</f>
        <v>2886.6505711845161</v>
      </c>
      <c r="M34" s="98"/>
      <c r="N34" s="99">
        <v>44058</v>
      </c>
    </row>
    <row r="35" spans="1:14" s="75" customFormat="1" x14ac:dyDescent="0.35">
      <c r="A35" s="69">
        <v>44060</v>
      </c>
      <c r="B35" s="61" t="s">
        <v>295</v>
      </c>
      <c r="C35" s="67"/>
      <c r="D35" s="67">
        <v>3</v>
      </c>
      <c r="E35" s="41">
        <f t="shared" si="8"/>
        <v>32636.609999999993</v>
      </c>
      <c r="F35" s="42"/>
      <c r="G35" s="26">
        <f t="shared" si="9"/>
        <v>22.521166929467654</v>
      </c>
      <c r="H35" s="42"/>
      <c r="I35" s="26">
        <f t="shared" si="10"/>
        <v>67.563500788402962</v>
      </c>
      <c r="J35" s="26">
        <f t="shared" si="11"/>
        <v>735014.54182193312</v>
      </c>
      <c r="K35" s="61"/>
      <c r="L35" s="91"/>
      <c r="M35" s="91"/>
      <c r="N35" s="90"/>
    </row>
    <row r="36" spans="1:14" s="75" customFormat="1" x14ac:dyDescent="0.35">
      <c r="A36" s="69">
        <v>44064</v>
      </c>
      <c r="B36" s="61" t="s">
        <v>304</v>
      </c>
      <c r="C36" s="67"/>
      <c r="D36" s="67">
        <f>9*8.55+3*10.1</f>
        <v>107.25</v>
      </c>
      <c r="E36" s="41">
        <f t="shared" si="8"/>
        <v>32529.359999999993</v>
      </c>
      <c r="F36" s="42"/>
      <c r="G36" s="26">
        <f t="shared" si="9"/>
        <v>22.52116692946765</v>
      </c>
      <c r="H36" s="42"/>
      <c r="I36" s="26">
        <f t="shared" si="10"/>
        <v>2415.3951531854054</v>
      </c>
      <c r="J36" s="26">
        <f t="shared" si="11"/>
        <v>732599.14666874777</v>
      </c>
      <c r="K36" s="61"/>
      <c r="L36" s="91"/>
      <c r="M36" s="95"/>
      <c r="N36" s="90"/>
    </row>
    <row r="37" spans="1:14" s="74" customFormat="1" x14ac:dyDescent="0.35">
      <c r="A37" s="73">
        <v>44068</v>
      </c>
      <c r="B37" s="32" t="s">
        <v>309</v>
      </c>
      <c r="C37" s="40"/>
      <c r="D37" s="40">
        <f>5*2</f>
        <v>10</v>
      </c>
      <c r="E37" s="70">
        <f t="shared" si="8"/>
        <v>32519.359999999993</v>
      </c>
      <c r="F37" s="71"/>
      <c r="G37" s="33">
        <f t="shared" si="9"/>
        <v>22.521166929467654</v>
      </c>
      <c r="H37" s="71"/>
      <c r="I37" s="33">
        <f t="shared" si="10"/>
        <v>225.21166929467654</v>
      </c>
      <c r="J37" s="33">
        <f t="shared" si="11"/>
        <v>732373.93499945314</v>
      </c>
      <c r="K37" s="32"/>
      <c r="L37" s="98">
        <f>SUM(I35:I37)</f>
        <v>2708.1703232684849</v>
      </c>
      <c r="M37" s="98">
        <f>SUM(L34:L37)</f>
        <v>5594.8208944530015</v>
      </c>
      <c r="N37" s="99">
        <v>44074</v>
      </c>
    </row>
    <row r="38" spans="1:14" s="75" customFormat="1" x14ac:dyDescent="0.35">
      <c r="A38" s="69">
        <v>44077</v>
      </c>
      <c r="B38" s="61" t="s">
        <v>316</v>
      </c>
      <c r="C38" s="67"/>
      <c r="D38" s="67">
        <f>+(8*2.75+6*2.5+4*1.75)*1.05+10</f>
        <v>56.2</v>
      </c>
      <c r="E38" s="41">
        <f t="shared" si="8"/>
        <v>32463.159999999993</v>
      </c>
      <c r="F38" s="42"/>
      <c r="G38" s="26">
        <f t="shared" si="9"/>
        <v>22.521166929467654</v>
      </c>
      <c r="H38" s="42"/>
      <c r="I38" s="26">
        <f t="shared" si="10"/>
        <v>1265.6895814360821</v>
      </c>
      <c r="J38" s="26">
        <f t="shared" si="11"/>
        <v>731108.24541801703</v>
      </c>
      <c r="K38" s="61"/>
      <c r="L38" s="95"/>
      <c r="M38" s="95"/>
      <c r="N38" s="95"/>
    </row>
    <row r="39" spans="1:14" s="75" customFormat="1" x14ac:dyDescent="0.35">
      <c r="A39" s="69">
        <v>44078</v>
      </c>
      <c r="B39" s="61" t="s">
        <v>317</v>
      </c>
      <c r="C39" s="67"/>
      <c r="D39" s="67">
        <v>2.5</v>
      </c>
      <c r="E39" s="41">
        <f t="shared" si="8"/>
        <v>32460.659999999993</v>
      </c>
      <c r="F39" s="42"/>
      <c r="G39" s="26">
        <f t="shared" si="9"/>
        <v>22.521166929467654</v>
      </c>
      <c r="H39" s="42"/>
      <c r="I39" s="26">
        <f t="shared" si="10"/>
        <v>56.302917323669135</v>
      </c>
      <c r="J39" s="26">
        <f t="shared" si="11"/>
        <v>731051.94250069337</v>
      </c>
      <c r="K39" s="61"/>
      <c r="L39" s="95"/>
      <c r="M39" s="95"/>
      <c r="N39" s="95"/>
    </row>
    <row r="40" spans="1:14" s="75" customFormat="1" x14ac:dyDescent="0.35">
      <c r="A40" s="69">
        <v>44078</v>
      </c>
      <c r="B40" s="61" t="s">
        <v>318</v>
      </c>
      <c r="C40" s="67"/>
      <c r="D40" s="67">
        <f>32*5.75</f>
        <v>184</v>
      </c>
      <c r="E40" s="41">
        <f t="shared" si="8"/>
        <v>32276.659999999993</v>
      </c>
      <c r="F40" s="42"/>
      <c r="G40" s="26">
        <f t="shared" si="9"/>
        <v>22.521166929467654</v>
      </c>
      <c r="H40" s="42"/>
      <c r="I40" s="26">
        <f t="shared" si="10"/>
        <v>4143.8947150220483</v>
      </c>
      <c r="J40" s="26">
        <f t="shared" si="11"/>
        <v>726908.04778567131</v>
      </c>
      <c r="K40" s="61"/>
      <c r="L40" s="91"/>
      <c r="M40" s="91"/>
      <c r="N40" s="90"/>
    </row>
    <row r="41" spans="1:14" s="75" customFormat="1" x14ac:dyDescent="0.35">
      <c r="A41" s="69">
        <v>44081</v>
      </c>
      <c r="B41" s="61" t="s">
        <v>321</v>
      </c>
      <c r="C41" s="67"/>
      <c r="D41" s="67">
        <f>10*4*1.05+2</f>
        <v>44</v>
      </c>
      <c r="E41" s="41">
        <f t="shared" si="8"/>
        <v>32232.659999999993</v>
      </c>
      <c r="F41" s="42"/>
      <c r="G41" s="26">
        <f t="shared" si="9"/>
        <v>22.521166929467654</v>
      </c>
      <c r="H41" s="42"/>
      <c r="I41" s="26">
        <f t="shared" si="10"/>
        <v>990.93134489657677</v>
      </c>
      <c r="J41" s="26">
        <f t="shared" si="11"/>
        <v>725917.11644077476</v>
      </c>
      <c r="K41" s="61"/>
      <c r="L41" s="95"/>
      <c r="M41" s="95"/>
      <c r="N41" s="95"/>
    </row>
    <row r="42" spans="1:14" s="75" customFormat="1" x14ac:dyDescent="0.35">
      <c r="A42" s="69">
        <v>44084</v>
      </c>
      <c r="B42" s="61" t="s">
        <v>329</v>
      </c>
      <c r="C42" s="67"/>
      <c r="D42" s="67">
        <f>8*3.75*1.05</f>
        <v>31.5</v>
      </c>
      <c r="E42" s="41">
        <f t="shared" si="8"/>
        <v>32201.159999999993</v>
      </c>
      <c r="F42" s="42"/>
      <c r="G42" s="26">
        <f t="shared" si="9"/>
        <v>22.521166929467654</v>
      </c>
      <c r="H42" s="42"/>
      <c r="I42" s="26">
        <f t="shared" si="10"/>
        <v>709.4167582782311</v>
      </c>
      <c r="J42" s="26">
        <f t="shared" si="11"/>
        <v>725207.69968249649</v>
      </c>
      <c r="K42" s="61"/>
      <c r="L42" s="91"/>
      <c r="M42" s="91"/>
      <c r="N42" s="90"/>
    </row>
    <row r="43" spans="1:14" s="37" customFormat="1" x14ac:dyDescent="0.35">
      <c r="A43" s="73">
        <v>44085</v>
      </c>
      <c r="B43" s="32" t="s">
        <v>333</v>
      </c>
      <c r="C43" s="40"/>
      <c r="D43" s="40">
        <f>4*2.25*1.05</f>
        <v>9.4500000000000011</v>
      </c>
      <c r="E43" s="70">
        <f t="shared" si="8"/>
        <v>32191.709999999992</v>
      </c>
      <c r="F43" s="71"/>
      <c r="G43" s="33">
        <f t="shared" si="9"/>
        <v>22.521166929467654</v>
      </c>
      <c r="H43" s="71"/>
      <c r="I43" s="33">
        <f t="shared" si="10"/>
        <v>212.82502748346934</v>
      </c>
      <c r="J43" s="33">
        <f t="shared" si="11"/>
        <v>724994.87465501297</v>
      </c>
      <c r="K43" s="32"/>
      <c r="L43" s="35">
        <f>SUM(I38:I43)</f>
        <v>7379.0603444400767</v>
      </c>
      <c r="M43" s="35"/>
      <c r="N43" s="36">
        <v>44089</v>
      </c>
    </row>
    <row r="44" spans="1:14" s="64" customFormat="1" x14ac:dyDescent="0.35">
      <c r="A44" s="69">
        <v>44095</v>
      </c>
      <c r="B44" s="61" t="s">
        <v>350</v>
      </c>
      <c r="C44" s="67"/>
      <c r="D44" s="67">
        <f>(15*4.5+8*3+7*5+3*2)*1.05</f>
        <v>139.125</v>
      </c>
      <c r="E44" s="41">
        <f t="shared" si="8"/>
        <v>32052.584999999992</v>
      </c>
      <c r="F44" s="42"/>
      <c r="G44" s="26">
        <f t="shared" si="9"/>
        <v>22.521166929467654</v>
      </c>
      <c r="H44" s="42"/>
      <c r="I44" s="26">
        <f t="shared" si="10"/>
        <v>3133.2573490621871</v>
      </c>
      <c r="J44" s="26">
        <f t="shared" si="11"/>
        <v>721861.61730595073</v>
      </c>
      <c r="K44" s="61"/>
      <c r="L44" s="79"/>
      <c r="M44" s="79"/>
      <c r="N44" s="80"/>
    </row>
    <row r="45" spans="1:14" s="64" customFormat="1" x14ac:dyDescent="0.35">
      <c r="A45" s="69">
        <v>44097</v>
      </c>
      <c r="B45" s="61" t="s">
        <v>353</v>
      </c>
      <c r="C45" s="67"/>
      <c r="D45" s="67">
        <f>+(11*5.25)*1.05</f>
        <v>60.637500000000003</v>
      </c>
      <c r="E45" s="41">
        <f t="shared" si="8"/>
        <v>31991.947499999991</v>
      </c>
      <c r="F45" s="42"/>
      <c r="G45" s="26">
        <f t="shared" si="9"/>
        <v>22.52116692946765</v>
      </c>
      <c r="H45" s="42"/>
      <c r="I45" s="26">
        <f t="shared" si="10"/>
        <v>1365.6272596855947</v>
      </c>
      <c r="J45" s="26">
        <f t="shared" si="11"/>
        <v>720495.99004626519</v>
      </c>
      <c r="K45" s="61"/>
      <c r="L45" s="81"/>
      <c r="M45" s="81"/>
      <c r="N45" s="81"/>
    </row>
    <row r="46" spans="1:14" s="37" customFormat="1" x14ac:dyDescent="0.35">
      <c r="A46" s="73">
        <v>44098</v>
      </c>
      <c r="B46" s="32" t="s">
        <v>359</v>
      </c>
      <c r="C46" s="40"/>
      <c r="D46" s="40">
        <f>+(4*2.25+3*1.5)*1.05</f>
        <v>14.175000000000001</v>
      </c>
      <c r="E46" s="70">
        <f t="shared" si="8"/>
        <v>31977.772499999992</v>
      </c>
      <c r="F46" s="71"/>
      <c r="G46" s="33">
        <f t="shared" si="9"/>
        <v>22.521166929467654</v>
      </c>
      <c r="H46" s="71"/>
      <c r="I46" s="33">
        <f t="shared" si="10"/>
        <v>319.23754122520398</v>
      </c>
      <c r="J46" s="33">
        <f t="shared" si="11"/>
        <v>720176.75250504003</v>
      </c>
      <c r="K46" s="32"/>
      <c r="L46" s="35">
        <f>SUM(I44:I46)</f>
        <v>4818.1221499729854</v>
      </c>
      <c r="M46" s="35">
        <f>SUM(L43:L46)</f>
        <v>12197.182494413062</v>
      </c>
      <c r="N46" s="36">
        <v>44104</v>
      </c>
    </row>
    <row r="47" spans="1:14" s="64" customFormat="1" x14ac:dyDescent="0.35">
      <c r="A47" s="69">
        <v>44112</v>
      </c>
      <c r="B47" s="61" t="s">
        <v>381</v>
      </c>
      <c r="C47" s="67"/>
      <c r="D47" s="67">
        <f>+(20*5.75)*1.05</f>
        <v>120.75</v>
      </c>
      <c r="E47" s="41">
        <f t="shared" si="8"/>
        <v>31857.022499999992</v>
      </c>
      <c r="F47" s="42"/>
      <c r="G47" s="26">
        <f t="shared" si="9"/>
        <v>22.521166929467654</v>
      </c>
      <c r="H47" s="42"/>
      <c r="I47" s="26">
        <f t="shared" si="10"/>
        <v>2719.4309067332192</v>
      </c>
      <c r="J47" s="26">
        <f t="shared" si="11"/>
        <v>717457.32159830676</v>
      </c>
      <c r="K47" s="61"/>
      <c r="L47" s="81"/>
      <c r="M47" s="81"/>
      <c r="N47" s="81"/>
    </row>
    <row r="48" spans="1:14" s="64" customFormat="1" x14ac:dyDescent="0.35">
      <c r="A48" s="69">
        <v>44113</v>
      </c>
      <c r="B48" s="61" t="s">
        <v>386</v>
      </c>
      <c r="C48" s="67"/>
      <c r="D48" s="67">
        <f>+(3*2)*1.05</f>
        <v>6.3000000000000007</v>
      </c>
      <c r="E48" s="41">
        <f t="shared" si="8"/>
        <v>31850.722499999993</v>
      </c>
      <c r="F48" s="42"/>
      <c r="G48" s="26">
        <f t="shared" si="9"/>
        <v>22.521166929467654</v>
      </c>
      <c r="H48" s="42"/>
      <c r="I48" s="26">
        <f t="shared" si="10"/>
        <v>141.88335165564624</v>
      </c>
      <c r="J48" s="26">
        <f t="shared" si="11"/>
        <v>717315.43824665109</v>
      </c>
      <c r="K48" s="61"/>
      <c r="L48" s="81"/>
      <c r="M48" s="81"/>
      <c r="N48" s="81"/>
    </row>
    <row r="49" spans="1:14" s="64" customFormat="1" x14ac:dyDescent="0.35">
      <c r="A49" s="69">
        <v>44114</v>
      </c>
      <c r="B49" s="61" t="s">
        <v>387</v>
      </c>
      <c r="C49" s="67"/>
      <c r="D49" s="67">
        <f>+(18*4.75)*1.05+4</f>
        <v>93.775000000000006</v>
      </c>
      <c r="E49" s="41">
        <f t="shared" si="8"/>
        <v>31756.947499999991</v>
      </c>
      <c r="F49" s="42"/>
      <c r="G49" s="26">
        <f t="shared" si="9"/>
        <v>22.52116692946765</v>
      </c>
      <c r="H49" s="42"/>
      <c r="I49" s="26">
        <f t="shared" si="10"/>
        <v>2111.9224288108289</v>
      </c>
      <c r="J49" s="26">
        <f t="shared" si="11"/>
        <v>715203.51581784023</v>
      </c>
      <c r="K49" s="61"/>
      <c r="L49" s="81"/>
      <c r="M49" s="81"/>
      <c r="N49" s="81"/>
    </row>
    <row r="50" spans="1:14" s="37" customFormat="1" x14ac:dyDescent="0.35">
      <c r="A50" s="73">
        <v>44119</v>
      </c>
      <c r="B50" s="32" t="s">
        <v>399</v>
      </c>
      <c r="C50" s="40"/>
      <c r="D50" s="40">
        <f>+(5*4.5+5*4)*1.05+2</f>
        <v>46.625</v>
      </c>
      <c r="E50" s="70">
        <f t="shared" si="8"/>
        <v>31710.322499999991</v>
      </c>
      <c r="F50" s="71"/>
      <c r="G50" s="33">
        <f t="shared" si="9"/>
        <v>22.521166929467654</v>
      </c>
      <c r="H50" s="71"/>
      <c r="I50" s="33">
        <f t="shared" si="10"/>
        <v>1050.0494080864294</v>
      </c>
      <c r="J50" s="33">
        <f t="shared" si="11"/>
        <v>714153.46640975378</v>
      </c>
      <c r="K50" s="32"/>
      <c r="L50" s="35">
        <f>SUM(I47:I50)</f>
        <v>6023.2860952861238</v>
      </c>
      <c r="M50" s="35"/>
      <c r="N50" s="36">
        <v>44119</v>
      </c>
    </row>
    <row r="51" spans="1:14" s="64" customFormat="1" x14ac:dyDescent="0.35">
      <c r="A51" s="69">
        <v>44120</v>
      </c>
      <c r="B51" s="61" t="s">
        <v>405</v>
      </c>
      <c r="C51" s="67"/>
      <c r="D51" s="67">
        <v>0</v>
      </c>
      <c r="E51" s="41">
        <f t="shared" si="8"/>
        <v>31710.322499999991</v>
      </c>
      <c r="F51" s="42"/>
      <c r="G51" s="26">
        <f t="shared" si="9"/>
        <v>22.52116692946765</v>
      </c>
      <c r="H51" s="42"/>
      <c r="I51" s="26">
        <f t="shared" si="10"/>
        <v>0</v>
      </c>
      <c r="J51" s="26">
        <f t="shared" si="11"/>
        <v>714153.46640975378</v>
      </c>
      <c r="K51" s="61"/>
      <c r="L51" s="79"/>
      <c r="M51" s="81"/>
      <c r="N51" s="80"/>
    </row>
    <row r="52" spans="1:14" s="64" customFormat="1" x14ac:dyDescent="0.35">
      <c r="A52" s="69">
        <v>44120</v>
      </c>
      <c r="B52" s="61" t="s">
        <v>406</v>
      </c>
      <c r="C52" s="67"/>
      <c r="D52" s="67">
        <f>+(106.25)*1.05+8</f>
        <v>119.5625</v>
      </c>
      <c r="E52" s="41">
        <f t="shared" si="8"/>
        <v>31590.759999999991</v>
      </c>
      <c r="F52" s="42"/>
      <c r="G52" s="26">
        <f t="shared" si="9"/>
        <v>22.52116692946765</v>
      </c>
      <c r="H52" s="42"/>
      <c r="I52" s="26">
        <f t="shared" si="10"/>
        <v>2692.6870210044758</v>
      </c>
      <c r="J52" s="26">
        <f t="shared" si="11"/>
        <v>711460.77938874927</v>
      </c>
      <c r="K52" s="61"/>
      <c r="L52" s="81"/>
      <c r="M52" s="81"/>
      <c r="N52" s="81"/>
    </row>
    <row r="53" spans="1:14" s="64" customFormat="1" x14ac:dyDescent="0.35">
      <c r="A53" s="69">
        <v>44124</v>
      </c>
      <c r="B53" s="61" t="s">
        <v>413</v>
      </c>
      <c r="C53" s="67"/>
      <c r="D53" s="67">
        <f>+(47*5.25+20*2.5)*1.05+5</f>
        <v>316.58750000000003</v>
      </c>
      <c r="E53" s="41">
        <f t="shared" si="8"/>
        <v>31274.17249999999</v>
      </c>
      <c r="F53" s="42"/>
      <c r="G53" s="26">
        <f t="shared" si="9"/>
        <v>22.52116692946765</v>
      </c>
      <c r="H53" s="42"/>
      <c r="I53" s="26">
        <f t="shared" si="10"/>
        <v>7129.9199352828409</v>
      </c>
      <c r="J53" s="26">
        <f t="shared" si="11"/>
        <v>704330.85945346649</v>
      </c>
      <c r="K53" s="61"/>
      <c r="L53" s="79"/>
      <c r="M53" s="91"/>
      <c r="N53" s="80"/>
    </row>
    <row r="54" spans="1:14" s="37" customFormat="1" x14ac:dyDescent="0.35">
      <c r="A54" s="73">
        <v>44126</v>
      </c>
      <c r="B54" s="32" t="s">
        <v>526</v>
      </c>
      <c r="C54" s="40"/>
      <c r="D54" s="40">
        <f>+(2*5.5+2*4.75+2*2.5+2*3.25+5*1.75)*1.05+4</f>
        <v>46.787500000000001</v>
      </c>
      <c r="E54" s="70">
        <f t="shared" ref="E54:E67" si="12">+E53-D54</f>
        <v>31227.384999999991</v>
      </c>
      <c r="F54" s="71"/>
      <c r="G54" s="33">
        <f t="shared" ref="G54:G67" si="13">+J53/E53</f>
        <v>22.521166929467654</v>
      </c>
      <c r="H54" s="71"/>
      <c r="I54" s="33">
        <f t="shared" ref="I54:I67" si="14">+D54*G54</f>
        <v>1053.7090977124678</v>
      </c>
      <c r="J54" s="33">
        <f t="shared" ref="J54:J67" si="15">+J53-I54</f>
        <v>703277.15035575407</v>
      </c>
      <c r="K54" s="32"/>
      <c r="L54" s="35">
        <f>SUM(I51:I54)</f>
        <v>10876.316053999784</v>
      </c>
      <c r="M54" s="98">
        <f>SUM(L50:L54)</f>
        <v>16899.602149285907</v>
      </c>
      <c r="N54" s="36">
        <v>44135</v>
      </c>
    </row>
    <row r="55" spans="1:14" s="64" customFormat="1" x14ac:dyDescent="0.35">
      <c r="A55" s="69">
        <v>44140</v>
      </c>
      <c r="B55" s="61" t="s">
        <v>455</v>
      </c>
      <c r="C55" s="67"/>
      <c r="D55" s="67">
        <v>14</v>
      </c>
      <c r="E55" s="41">
        <f t="shared" si="12"/>
        <v>31213.384999999991</v>
      </c>
      <c r="F55" s="42"/>
      <c r="G55" s="26">
        <f t="shared" si="13"/>
        <v>22.521166929467654</v>
      </c>
      <c r="H55" s="42"/>
      <c r="I55" s="26">
        <f t="shared" si="14"/>
        <v>315.29633701254716</v>
      </c>
      <c r="J55" s="26">
        <f t="shared" si="15"/>
        <v>702961.85401874152</v>
      </c>
      <c r="K55" s="61"/>
      <c r="L55" s="79"/>
      <c r="M55" s="91"/>
      <c r="N55" s="80"/>
    </row>
    <row r="56" spans="1:14" s="64" customFormat="1" x14ac:dyDescent="0.35">
      <c r="A56" s="69">
        <v>44140</v>
      </c>
      <c r="B56" s="61" t="s">
        <v>434</v>
      </c>
      <c r="C56" s="67"/>
      <c r="D56" s="67">
        <f>+(2*6+2*5.5+4.75)*1.05</f>
        <v>29.137500000000003</v>
      </c>
      <c r="E56" s="41">
        <f t="shared" si="12"/>
        <v>31184.24749999999</v>
      </c>
      <c r="F56" s="42"/>
      <c r="G56" s="26">
        <f t="shared" si="13"/>
        <v>22.521166929467654</v>
      </c>
      <c r="H56" s="42"/>
      <c r="I56" s="26">
        <f t="shared" si="14"/>
        <v>656.21050140736384</v>
      </c>
      <c r="J56" s="26">
        <f t="shared" si="15"/>
        <v>702305.64351733413</v>
      </c>
      <c r="K56" s="61"/>
      <c r="L56" s="79"/>
      <c r="M56" s="91"/>
      <c r="N56" s="80"/>
    </row>
    <row r="57" spans="1:14" s="64" customFormat="1" x14ac:dyDescent="0.35">
      <c r="A57" s="69">
        <v>44142</v>
      </c>
      <c r="B57" s="61" t="s">
        <v>436</v>
      </c>
      <c r="C57" s="67"/>
      <c r="D57" s="67">
        <f>+(6*6)*1.05</f>
        <v>37.800000000000004</v>
      </c>
      <c r="E57" s="41">
        <f t="shared" si="12"/>
        <v>31146.447499999991</v>
      </c>
      <c r="F57" s="42"/>
      <c r="G57" s="26">
        <f t="shared" si="13"/>
        <v>22.521166929467654</v>
      </c>
      <c r="H57" s="42"/>
      <c r="I57" s="26">
        <f t="shared" si="14"/>
        <v>851.30010993387737</v>
      </c>
      <c r="J57" s="26">
        <f t="shared" si="15"/>
        <v>701454.3434074003</v>
      </c>
      <c r="K57" s="61"/>
      <c r="L57" s="79"/>
      <c r="M57" s="91"/>
      <c r="N57" s="80"/>
    </row>
    <row r="58" spans="1:14" s="37" customFormat="1" x14ac:dyDescent="0.35">
      <c r="A58" s="69">
        <v>44147</v>
      </c>
      <c r="B58" s="61" t="s">
        <v>443</v>
      </c>
      <c r="C58" s="40"/>
      <c r="D58" s="67">
        <v>0.5</v>
      </c>
      <c r="E58" s="41">
        <f t="shared" si="12"/>
        <v>31145.947499999991</v>
      </c>
      <c r="F58" s="42"/>
      <c r="G58" s="26">
        <f t="shared" si="13"/>
        <v>22.521166929467654</v>
      </c>
      <c r="H58" s="42"/>
      <c r="I58" s="26">
        <f t="shared" si="14"/>
        <v>11.260583464733827</v>
      </c>
      <c r="J58" s="26">
        <f t="shared" si="15"/>
        <v>701443.08282393555</v>
      </c>
      <c r="K58" s="61"/>
      <c r="L58" s="35"/>
      <c r="M58" s="98"/>
      <c r="N58" s="36"/>
    </row>
    <row r="59" spans="1:14" s="64" customFormat="1" x14ac:dyDescent="0.35">
      <c r="A59" s="69">
        <v>44147</v>
      </c>
      <c r="B59" s="61" t="s">
        <v>446</v>
      </c>
      <c r="C59" s="67"/>
      <c r="D59" s="67">
        <v>4</v>
      </c>
      <c r="E59" s="41">
        <f t="shared" si="12"/>
        <v>31141.947499999991</v>
      </c>
      <c r="F59" s="42"/>
      <c r="G59" s="26">
        <f t="shared" si="13"/>
        <v>22.521166929467654</v>
      </c>
      <c r="H59" s="42"/>
      <c r="I59" s="26">
        <f t="shared" si="14"/>
        <v>90.084667717870616</v>
      </c>
      <c r="J59" s="26">
        <f t="shared" si="15"/>
        <v>701352.99815621763</v>
      </c>
      <c r="K59" s="61"/>
      <c r="L59" s="79"/>
      <c r="M59" s="91"/>
      <c r="N59" s="80"/>
    </row>
    <row r="60" spans="1:14" s="37" customFormat="1" x14ac:dyDescent="0.35">
      <c r="A60" s="73">
        <v>44148</v>
      </c>
      <c r="B60" s="32" t="s">
        <v>449</v>
      </c>
      <c r="C60" s="40"/>
      <c r="D60" s="40">
        <f>+(2*3)*1.05</f>
        <v>6.3000000000000007</v>
      </c>
      <c r="E60" s="70">
        <f t="shared" si="12"/>
        <v>31135.647499999992</v>
      </c>
      <c r="F60" s="71"/>
      <c r="G60" s="33">
        <f t="shared" si="13"/>
        <v>22.52116692946765</v>
      </c>
      <c r="H60" s="71"/>
      <c r="I60" s="33">
        <f t="shared" si="14"/>
        <v>141.88335165564621</v>
      </c>
      <c r="J60" s="33">
        <f t="shared" si="15"/>
        <v>701211.11480456195</v>
      </c>
      <c r="K60" s="32"/>
      <c r="L60" s="35">
        <f>SUM(I55:I60)</f>
        <v>2066.0355511920388</v>
      </c>
      <c r="M60" s="98"/>
      <c r="N60" s="36">
        <v>44150</v>
      </c>
    </row>
    <row r="61" spans="1:14" s="37" customFormat="1" x14ac:dyDescent="0.35">
      <c r="A61" s="73">
        <v>44160</v>
      </c>
      <c r="B61" s="32" t="s">
        <v>463</v>
      </c>
      <c r="C61" s="40"/>
      <c r="D61" s="40">
        <f>+(11*4.25)*1.05</f>
        <v>49.087499999999999</v>
      </c>
      <c r="E61" s="70">
        <f t="shared" si="12"/>
        <v>31086.55999999999</v>
      </c>
      <c r="F61" s="71"/>
      <c r="G61" s="33">
        <f t="shared" si="13"/>
        <v>22.52116692946765</v>
      </c>
      <c r="H61" s="71"/>
      <c r="I61" s="33">
        <f t="shared" si="14"/>
        <v>1105.5077816502433</v>
      </c>
      <c r="J61" s="33">
        <f t="shared" si="15"/>
        <v>700105.60702291166</v>
      </c>
      <c r="K61" s="32"/>
      <c r="L61" s="35">
        <f>SUM(I61)</f>
        <v>1105.5077816502433</v>
      </c>
      <c r="M61" s="98">
        <f>SUM(L60:L61)</f>
        <v>3171.5433328422823</v>
      </c>
      <c r="N61" s="36">
        <v>44165</v>
      </c>
    </row>
    <row r="62" spans="1:14" s="64" customFormat="1" ht="13.75" customHeight="1" x14ac:dyDescent="0.35">
      <c r="A62" s="69">
        <v>44166</v>
      </c>
      <c r="B62" s="61" t="s">
        <v>477</v>
      </c>
      <c r="C62" s="67"/>
      <c r="D62" s="67">
        <f>+(7*4.5)*1.05</f>
        <v>33.075000000000003</v>
      </c>
      <c r="E62" s="41">
        <f t="shared" si="12"/>
        <v>31053.48499999999</v>
      </c>
      <c r="F62" s="42"/>
      <c r="G62" s="26">
        <f t="shared" si="13"/>
        <v>22.52116692946765</v>
      </c>
      <c r="H62" s="42"/>
      <c r="I62" s="26">
        <f t="shared" si="14"/>
        <v>744.88759619214261</v>
      </c>
      <c r="J62" s="26">
        <f t="shared" si="15"/>
        <v>699360.71942671947</v>
      </c>
      <c r="K62" s="61"/>
      <c r="L62" s="79"/>
      <c r="M62" s="91"/>
      <c r="N62" s="80"/>
    </row>
    <row r="63" spans="1:14" s="64" customFormat="1" hidden="1" x14ac:dyDescent="0.35">
      <c r="A63" s="69">
        <v>44167</v>
      </c>
      <c r="B63" s="61" t="s">
        <v>41</v>
      </c>
      <c r="C63" s="67"/>
      <c r="D63" s="67"/>
      <c r="E63" s="41">
        <f t="shared" si="12"/>
        <v>31053.48499999999</v>
      </c>
      <c r="F63" s="42"/>
      <c r="G63" s="26">
        <f t="shared" si="13"/>
        <v>22.52116692946765</v>
      </c>
      <c r="H63" s="42"/>
      <c r="I63" s="26">
        <f t="shared" si="14"/>
        <v>0</v>
      </c>
      <c r="J63" s="26">
        <f t="shared" si="15"/>
        <v>699360.71942671947</v>
      </c>
      <c r="K63" s="61"/>
      <c r="L63" s="79"/>
      <c r="M63" s="91"/>
      <c r="N63" s="80"/>
    </row>
    <row r="64" spans="1:14" s="64" customFormat="1" x14ac:dyDescent="0.35">
      <c r="A64" s="69">
        <v>44167</v>
      </c>
      <c r="B64" s="61" t="s">
        <v>480</v>
      </c>
      <c r="C64" s="67"/>
      <c r="D64" s="67">
        <f>11*4.5</f>
        <v>49.5</v>
      </c>
      <c r="E64" s="41">
        <f t="shared" si="12"/>
        <v>31003.98499999999</v>
      </c>
      <c r="F64" s="42"/>
      <c r="G64" s="26">
        <f t="shared" si="13"/>
        <v>22.52116692946765</v>
      </c>
      <c r="H64" s="42"/>
      <c r="I64" s="26">
        <f t="shared" si="14"/>
        <v>1114.7977630086486</v>
      </c>
      <c r="J64" s="26">
        <f t="shared" si="15"/>
        <v>698245.92166371085</v>
      </c>
      <c r="K64" s="61"/>
      <c r="L64" s="79"/>
      <c r="M64" s="91"/>
      <c r="N64" s="80"/>
    </row>
    <row r="65" spans="1:14" s="64" customFormat="1" x14ac:dyDescent="0.35">
      <c r="A65" s="69">
        <v>44169</v>
      </c>
      <c r="B65" s="61" t="s">
        <v>483</v>
      </c>
      <c r="C65" s="67"/>
      <c r="D65" s="67">
        <v>26</v>
      </c>
      <c r="E65" s="41">
        <f t="shared" si="12"/>
        <v>30977.98499999999</v>
      </c>
      <c r="F65" s="42"/>
      <c r="G65" s="26">
        <f t="shared" si="13"/>
        <v>22.52116692946765</v>
      </c>
      <c r="H65" s="42"/>
      <c r="I65" s="26">
        <f t="shared" si="14"/>
        <v>585.55034016615889</v>
      </c>
      <c r="J65" s="26">
        <f t="shared" si="15"/>
        <v>697660.37132354465</v>
      </c>
      <c r="K65" s="61"/>
      <c r="L65" s="79"/>
      <c r="M65" s="91"/>
      <c r="N65" s="80"/>
    </row>
    <row r="66" spans="1:14" s="64" customFormat="1" x14ac:dyDescent="0.35">
      <c r="A66" s="69">
        <v>44170</v>
      </c>
      <c r="B66" s="61" t="s">
        <v>487</v>
      </c>
      <c r="C66" s="67"/>
      <c r="D66" s="67">
        <f>+(5*5.25+2*4)*1.05</f>
        <v>35.962499999999999</v>
      </c>
      <c r="E66" s="41">
        <f t="shared" si="12"/>
        <v>30942.022499999988</v>
      </c>
      <c r="F66" s="42"/>
      <c r="G66" s="26">
        <f t="shared" si="13"/>
        <v>22.52116692946765</v>
      </c>
      <c r="H66" s="42"/>
      <c r="I66" s="26">
        <f t="shared" si="14"/>
        <v>809.9174657009803</v>
      </c>
      <c r="J66" s="26">
        <f t="shared" si="15"/>
        <v>696850.45385784365</v>
      </c>
      <c r="K66" s="61"/>
      <c r="L66" s="79"/>
      <c r="M66" s="91"/>
      <c r="N66" s="80"/>
    </row>
    <row r="67" spans="1:14" s="37" customFormat="1" x14ac:dyDescent="0.35">
      <c r="A67" s="73">
        <v>44172</v>
      </c>
      <c r="B67" s="32" t="s">
        <v>491</v>
      </c>
      <c r="C67" s="40"/>
      <c r="D67" s="40">
        <f>8*4.75</f>
        <v>38</v>
      </c>
      <c r="E67" s="70">
        <f t="shared" si="12"/>
        <v>30904.022499999988</v>
      </c>
      <c r="F67" s="71"/>
      <c r="G67" s="33">
        <f t="shared" si="13"/>
        <v>22.52116692946765</v>
      </c>
      <c r="H67" s="71"/>
      <c r="I67" s="33">
        <f t="shared" si="14"/>
        <v>855.80434331977074</v>
      </c>
      <c r="J67" s="33">
        <f t="shared" si="15"/>
        <v>695994.64951452392</v>
      </c>
      <c r="K67" s="32"/>
      <c r="L67" s="35">
        <f>SUM(I62:I67)</f>
        <v>4110.9575083877007</v>
      </c>
      <c r="M67" s="98">
        <f>SUM(L67)</f>
        <v>4110.9575083877007</v>
      </c>
      <c r="N67" s="36">
        <v>44180</v>
      </c>
    </row>
    <row r="68" spans="1:14" ht="15" thickBot="1" x14ac:dyDescent="0.4">
      <c r="A68" s="69"/>
      <c r="B68" s="61"/>
      <c r="C68" s="67">
        <f>SUM(C9:C67)</f>
        <v>34347.919999999998</v>
      </c>
      <c r="D68" s="67">
        <f>SUM(D9:D67)</f>
        <v>3443.8975000000005</v>
      </c>
      <c r="E68" s="41"/>
      <c r="F68" s="42"/>
      <c r="G68" s="26"/>
      <c r="H68" s="67">
        <f t="shared" ref="H68:I68" si="16">SUM(H9:H67)</f>
        <v>773555.24</v>
      </c>
      <c r="I68" s="67">
        <f t="shared" si="16"/>
        <v>77560.590485476321</v>
      </c>
      <c r="J68" s="26"/>
      <c r="K68" s="62"/>
      <c r="L68" s="1"/>
      <c r="M68" s="105">
        <f>SUM(M14:M67)</f>
        <v>77560.590485476307</v>
      </c>
      <c r="N68" s="1"/>
    </row>
    <row r="69" spans="1:14" ht="15" thickTop="1" x14ac:dyDescent="0.35">
      <c r="A69" s="90"/>
      <c r="B69" s="5"/>
      <c r="C69" s="91"/>
      <c r="D69" s="91"/>
      <c r="E69" s="92"/>
      <c r="F69" s="93"/>
      <c r="G69" s="94"/>
      <c r="H69" s="93"/>
      <c r="I69" s="94"/>
      <c r="J69" s="94"/>
      <c r="K69" s="95"/>
    </row>
    <row r="70" spans="1:14" x14ac:dyDescent="0.35">
      <c r="A70" s="90"/>
      <c r="B70" s="5"/>
      <c r="C70" s="91"/>
      <c r="D70" s="91"/>
      <c r="E70" s="92"/>
      <c r="F70" s="93"/>
      <c r="G70" s="94"/>
      <c r="H70" s="93"/>
      <c r="I70" s="94"/>
      <c r="J70" s="94"/>
      <c r="K70" s="95"/>
    </row>
    <row r="71" spans="1:14" x14ac:dyDescent="0.35">
      <c r="A71" s="90"/>
      <c r="B71" s="5"/>
      <c r="C71" s="91"/>
      <c r="D71" s="91"/>
      <c r="E71" s="92"/>
      <c r="F71" s="93"/>
      <c r="G71" s="94"/>
      <c r="H71" s="93"/>
      <c r="I71" s="94"/>
      <c r="J71" s="94"/>
      <c r="K71" s="95"/>
    </row>
    <row r="72" spans="1:14" x14ac:dyDescent="0.35">
      <c r="A72" s="50" t="s">
        <v>23</v>
      </c>
      <c r="B72" s="5"/>
      <c r="C72" s="4"/>
      <c r="D72" s="4"/>
      <c r="E72" s="4"/>
      <c r="F72" s="4"/>
      <c r="G72" s="1"/>
      <c r="H72" s="1"/>
      <c r="I72" s="1"/>
      <c r="J72" s="1"/>
      <c r="M72" s="49"/>
    </row>
    <row r="73" spans="1:14" x14ac:dyDescent="0.35">
      <c r="A73" s="50" t="s">
        <v>36</v>
      </c>
      <c r="B73" s="5"/>
      <c r="C73" s="4"/>
      <c r="D73" s="4"/>
      <c r="E73" s="4"/>
      <c r="F73" s="4"/>
      <c r="G73" s="1"/>
      <c r="H73" s="1"/>
      <c r="I73" s="1"/>
      <c r="J73" s="51">
        <f>+E67*F9</f>
        <v>695994.64951452345</v>
      </c>
    </row>
    <row r="74" spans="1:14" x14ac:dyDescent="0.35">
      <c r="A74" s="50" t="s">
        <v>24</v>
      </c>
      <c r="B74" s="5"/>
      <c r="C74" s="4"/>
      <c r="D74" s="4"/>
      <c r="E74" s="4"/>
      <c r="F74" s="4"/>
      <c r="G74" s="1"/>
      <c r="H74" s="1"/>
      <c r="I74" s="1"/>
      <c r="J74" s="52">
        <f>+J67</f>
        <v>695994.64951452392</v>
      </c>
    </row>
    <row r="75" spans="1:14" ht="15" thickBot="1" x14ac:dyDescent="0.4">
      <c r="A75" s="50"/>
      <c r="B75" s="5" t="s">
        <v>25</v>
      </c>
      <c r="C75" s="4"/>
      <c r="D75" s="4"/>
      <c r="E75" s="4"/>
      <c r="F75" s="4"/>
      <c r="G75" s="1"/>
      <c r="H75" s="1"/>
      <c r="I75" s="1"/>
      <c r="J75" s="53">
        <f>+J73-J74</f>
        <v>0</v>
      </c>
    </row>
    <row r="76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N181"/>
  <sheetViews>
    <sheetView topLeftCell="A157" workbookViewId="0">
      <selection activeCell="H94" sqref="H94"/>
    </sheetView>
  </sheetViews>
  <sheetFormatPr baseColWidth="10" defaultRowHeight="14.5" x14ac:dyDescent="0.35"/>
  <cols>
    <col min="2" max="2" width="30.54296875" customWidth="1"/>
    <col min="12" max="12" width="10.453125" customWidth="1"/>
    <col min="13" max="13" width="10" customWidth="1"/>
    <col min="14" max="14" width="9.17968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29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  <c r="L8" s="1"/>
      <c r="M8" s="1"/>
      <c r="N8" s="1"/>
    </row>
    <row r="9" spans="1:14" x14ac:dyDescent="0.35">
      <c r="A9" s="117">
        <v>43832</v>
      </c>
      <c r="B9" s="24" t="s">
        <v>22</v>
      </c>
      <c r="C9" s="25">
        <f>+E9</f>
        <v>29833.71</v>
      </c>
      <c r="D9" s="26"/>
      <c r="E9" s="27">
        <v>29833.71</v>
      </c>
      <c r="F9" s="26">
        <f>+H9/C9</f>
        <v>22.816583321350244</v>
      </c>
      <c r="G9" s="26"/>
      <c r="H9" s="28">
        <f>+J9</f>
        <v>680703.33</v>
      </c>
      <c r="I9" s="29"/>
      <c r="J9" s="29">
        <v>680703.33</v>
      </c>
      <c r="K9" s="118"/>
      <c r="L9" s="1"/>
      <c r="M9" s="1"/>
      <c r="N9" s="1"/>
    </row>
    <row r="10" spans="1:14" s="64" customFormat="1" x14ac:dyDescent="0.35">
      <c r="A10" s="117">
        <v>43832</v>
      </c>
      <c r="B10" s="61" t="s">
        <v>45</v>
      </c>
      <c r="C10" s="26"/>
      <c r="D10" s="26">
        <f>16*2.5</f>
        <v>40</v>
      </c>
      <c r="E10" s="41">
        <f>+E9-D10</f>
        <v>29793.71</v>
      </c>
      <c r="F10" s="42"/>
      <c r="G10" s="26">
        <f>+J9/E9</f>
        <v>22.816583321350244</v>
      </c>
      <c r="H10" s="42"/>
      <c r="I10" s="26">
        <f>+D10*G10</f>
        <v>912.6633328540097</v>
      </c>
      <c r="J10" s="26">
        <f>+J9-I10</f>
        <v>679790.66666714591</v>
      </c>
      <c r="K10" s="61"/>
      <c r="L10" s="81"/>
      <c r="M10" s="81"/>
      <c r="N10" s="81"/>
    </row>
    <row r="11" spans="1:14" s="64" customFormat="1" x14ac:dyDescent="0.35">
      <c r="A11" s="117">
        <v>43833</v>
      </c>
      <c r="B11" s="61" t="s">
        <v>47</v>
      </c>
      <c r="C11" s="26"/>
      <c r="D11" s="26">
        <v>12.9</v>
      </c>
      <c r="E11" s="41">
        <f t="shared" ref="E11:E23" si="0">+E10-D11</f>
        <v>29780.809999999998</v>
      </c>
      <c r="F11" s="42"/>
      <c r="G11" s="26">
        <f t="shared" ref="G11:G23" si="1">+J10/E10</f>
        <v>22.816583321350244</v>
      </c>
      <c r="H11" s="42"/>
      <c r="I11" s="26">
        <f t="shared" ref="I11:I23" si="2">+D11*G11</f>
        <v>294.33392484541815</v>
      </c>
      <c r="J11" s="26">
        <f t="shared" ref="J11:J23" si="3">+J10-I11</f>
        <v>679496.33274230047</v>
      </c>
      <c r="K11" s="61"/>
      <c r="L11" s="81"/>
      <c r="M11" s="81"/>
      <c r="N11" s="81"/>
    </row>
    <row r="12" spans="1:14" s="64" customFormat="1" x14ac:dyDescent="0.35">
      <c r="A12" s="117">
        <v>43833</v>
      </c>
      <c r="B12" s="61" t="s">
        <v>48</v>
      </c>
      <c r="C12" s="26"/>
      <c r="D12" s="26">
        <f>4*2.13</f>
        <v>8.52</v>
      </c>
      <c r="E12" s="41">
        <f t="shared" si="0"/>
        <v>29772.289999999997</v>
      </c>
      <c r="F12" s="42"/>
      <c r="G12" s="26">
        <f t="shared" si="1"/>
        <v>22.816583321350244</v>
      </c>
      <c r="H12" s="42"/>
      <c r="I12" s="26">
        <f t="shared" si="2"/>
        <v>194.39728989790407</v>
      </c>
      <c r="J12" s="26">
        <f t="shared" si="3"/>
        <v>679301.93545240257</v>
      </c>
      <c r="K12" s="61"/>
      <c r="L12" s="81"/>
      <c r="M12" s="81"/>
      <c r="N12" s="81"/>
    </row>
    <row r="13" spans="1:14" s="64" customFormat="1" x14ac:dyDescent="0.35">
      <c r="A13" s="117">
        <v>43836</v>
      </c>
      <c r="B13" s="61" t="s">
        <v>51</v>
      </c>
      <c r="C13" s="26"/>
      <c r="D13" s="26">
        <f>4*1.6+12*2</f>
        <v>30.4</v>
      </c>
      <c r="E13" s="41">
        <f t="shared" si="0"/>
        <v>29741.889999999996</v>
      </c>
      <c r="F13" s="42"/>
      <c r="G13" s="26">
        <f t="shared" si="1"/>
        <v>22.816583321350244</v>
      </c>
      <c r="H13" s="42"/>
      <c r="I13" s="26">
        <f t="shared" si="2"/>
        <v>693.62413296904742</v>
      </c>
      <c r="J13" s="26">
        <f t="shared" si="3"/>
        <v>678608.3113194335</v>
      </c>
      <c r="K13" s="61"/>
      <c r="L13" s="81"/>
      <c r="M13" s="81"/>
      <c r="N13" s="81"/>
    </row>
    <row r="14" spans="1:14" s="64" customFormat="1" x14ac:dyDescent="0.35">
      <c r="A14" s="69">
        <v>43836</v>
      </c>
      <c r="B14" s="61" t="s">
        <v>52</v>
      </c>
      <c r="C14" s="62"/>
      <c r="D14" s="26">
        <f>7*5</f>
        <v>35</v>
      </c>
      <c r="E14" s="41">
        <f t="shared" si="0"/>
        <v>29706.889999999996</v>
      </c>
      <c r="F14" s="42"/>
      <c r="G14" s="26">
        <f t="shared" si="1"/>
        <v>22.816583321350244</v>
      </c>
      <c r="H14" s="42"/>
      <c r="I14" s="26">
        <f t="shared" si="2"/>
        <v>798.58041624725854</v>
      </c>
      <c r="J14" s="26">
        <f t="shared" si="3"/>
        <v>677809.73090318625</v>
      </c>
      <c r="K14" s="61"/>
      <c r="L14" s="81"/>
      <c r="M14" s="81"/>
      <c r="N14" s="81"/>
    </row>
    <row r="15" spans="1:14" s="64" customFormat="1" x14ac:dyDescent="0.35">
      <c r="A15" s="69">
        <v>43837</v>
      </c>
      <c r="B15" s="61" t="s">
        <v>54</v>
      </c>
      <c r="C15" s="62"/>
      <c r="D15" s="26">
        <f>6*5+6*5.5</f>
        <v>63</v>
      </c>
      <c r="E15" s="41">
        <f t="shared" si="0"/>
        <v>29643.889999999996</v>
      </c>
      <c r="F15" s="42"/>
      <c r="G15" s="26">
        <f t="shared" si="1"/>
        <v>22.816583321350244</v>
      </c>
      <c r="H15" s="42"/>
      <c r="I15" s="26">
        <f t="shared" si="2"/>
        <v>1437.4447492450654</v>
      </c>
      <c r="J15" s="26">
        <f t="shared" si="3"/>
        <v>676372.28615394118</v>
      </c>
      <c r="K15" s="61"/>
      <c r="L15" s="81"/>
      <c r="M15" s="81"/>
      <c r="N15" s="81"/>
    </row>
    <row r="16" spans="1:14" s="64" customFormat="1" x14ac:dyDescent="0.35">
      <c r="A16" s="69">
        <v>43837</v>
      </c>
      <c r="B16" s="61" t="s">
        <v>56</v>
      </c>
      <c r="C16" s="62"/>
      <c r="D16" s="26">
        <f>9*4.3</f>
        <v>38.699999999999996</v>
      </c>
      <c r="E16" s="41">
        <f t="shared" si="0"/>
        <v>29605.189999999995</v>
      </c>
      <c r="F16" s="42"/>
      <c r="G16" s="26">
        <f t="shared" si="1"/>
        <v>22.816583321350244</v>
      </c>
      <c r="H16" s="42"/>
      <c r="I16" s="26">
        <f t="shared" si="2"/>
        <v>883.00177453625429</v>
      </c>
      <c r="J16" s="26">
        <f t="shared" si="3"/>
        <v>675489.28437940497</v>
      </c>
      <c r="K16" s="61"/>
      <c r="L16" s="81"/>
      <c r="M16" s="81"/>
      <c r="N16" s="81"/>
    </row>
    <row r="17" spans="1:14" s="64" customFormat="1" x14ac:dyDescent="0.35">
      <c r="A17" s="69">
        <v>43838</v>
      </c>
      <c r="B17" s="61" t="s">
        <v>59</v>
      </c>
      <c r="C17" s="62"/>
      <c r="D17" s="26">
        <v>2</v>
      </c>
      <c r="E17" s="41">
        <f t="shared" si="0"/>
        <v>29603.189999999995</v>
      </c>
      <c r="F17" s="42"/>
      <c r="G17" s="26">
        <f t="shared" si="1"/>
        <v>22.816583321350247</v>
      </c>
      <c r="H17" s="42"/>
      <c r="I17" s="26">
        <f t="shared" si="2"/>
        <v>45.633166642700495</v>
      </c>
      <c r="J17" s="26">
        <f t="shared" si="3"/>
        <v>675443.65121276223</v>
      </c>
      <c r="K17" s="61"/>
      <c r="L17" s="81"/>
      <c r="M17" s="81"/>
      <c r="N17" s="81"/>
    </row>
    <row r="18" spans="1:14" s="64" customFormat="1" x14ac:dyDescent="0.35">
      <c r="A18" s="69">
        <v>43838</v>
      </c>
      <c r="B18" s="61" t="s">
        <v>62</v>
      </c>
      <c r="C18" s="62"/>
      <c r="D18" s="26">
        <v>7.5</v>
      </c>
      <c r="E18" s="41">
        <f t="shared" si="0"/>
        <v>29595.689999999995</v>
      </c>
      <c r="F18" s="42"/>
      <c r="G18" s="26">
        <f t="shared" si="1"/>
        <v>22.816583321350244</v>
      </c>
      <c r="H18" s="42"/>
      <c r="I18" s="26">
        <f t="shared" si="2"/>
        <v>171.12437491012682</v>
      </c>
      <c r="J18" s="26">
        <f t="shared" si="3"/>
        <v>675272.52683785209</v>
      </c>
      <c r="K18" s="61"/>
      <c r="L18" s="81"/>
      <c r="M18" s="81"/>
      <c r="N18" s="81"/>
    </row>
    <row r="19" spans="1:14" s="64" customFormat="1" x14ac:dyDescent="0.35">
      <c r="A19" s="117">
        <v>43839</v>
      </c>
      <c r="B19" s="61" t="s">
        <v>63</v>
      </c>
      <c r="C19" s="66"/>
      <c r="D19" s="26">
        <f>7*2.5</f>
        <v>17.5</v>
      </c>
      <c r="E19" s="41">
        <f t="shared" si="0"/>
        <v>29578.189999999995</v>
      </c>
      <c r="F19" s="42"/>
      <c r="G19" s="26">
        <f t="shared" si="1"/>
        <v>22.816583321350244</v>
      </c>
      <c r="H19" s="42"/>
      <c r="I19" s="26">
        <f t="shared" si="2"/>
        <v>399.29020812362927</v>
      </c>
      <c r="J19" s="26">
        <f t="shared" si="3"/>
        <v>674873.23662972846</v>
      </c>
      <c r="K19" s="61"/>
      <c r="L19" s="81"/>
      <c r="M19" s="81"/>
      <c r="N19" s="81"/>
    </row>
    <row r="20" spans="1:14" s="64" customFormat="1" x14ac:dyDescent="0.35">
      <c r="A20" s="117">
        <v>43843</v>
      </c>
      <c r="B20" s="61" t="s">
        <v>66</v>
      </c>
      <c r="C20" s="26"/>
      <c r="D20" s="26">
        <v>16</v>
      </c>
      <c r="E20" s="41">
        <f t="shared" si="0"/>
        <v>29562.189999999995</v>
      </c>
      <c r="F20" s="42"/>
      <c r="G20" s="26">
        <f t="shared" si="1"/>
        <v>22.816583321350244</v>
      </c>
      <c r="H20" s="42"/>
      <c r="I20" s="26">
        <f t="shared" si="2"/>
        <v>365.0653331416039</v>
      </c>
      <c r="J20" s="26">
        <f t="shared" si="3"/>
        <v>674508.17129658686</v>
      </c>
      <c r="K20" s="61"/>
      <c r="L20" s="81"/>
      <c r="M20" s="81"/>
      <c r="N20" s="81"/>
    </row>
    <row r="21" spans="1:14" s="64" customFormat="1" x14ac:dyDescent="0.35">
      <c r="A21" s="117">
        <v>43843</v>
      </c>
      <c r="B21" s="61" t="s">
        <v>67</v>
      </c>
      <c r="C21" s="26"/>
      <c r="D21" s="26">
        <f>10*6</f>
        <v>60</v>
      </c>
      <c r="E21" s="41">
        <f t="shared" si="0"/>
        <v>29502.189999999995</v>
      </c>
      <c r="F21" s="42"/>
      <c r="G21" s="26">
        <f t="shared" si="1"/>
        <v>22.816583321350244</v>
      </c>
      <c r="H21" s="42"/>
      <c r="I21" s="26">
        <f t="shared" si="2"/>
        <v>1368.9949992810145</v>
      </c>
      <c r="J21" s="26">
        <f t="shared" si="3"/>
        <v>673139.17629730585</v>
      </c>
      <c r="K21" s="61"/>
      <c r="L21" s="81"/>
      <c r="M21" s="81"/>
      <c r="N21" s="81"/>
    </row>
    <row r="22" spans="1:14" s="64" customFormat="1" x14ac:dyDescent="0.35">
      <c r="A22" s="117">
        <v>43844</v>
      </c>
      <c r="B22" s="61" t="s">
        <v>71</v>
      </c>
      <c r="C22" s="26"/>
      <c r="D22" s="26">
        <f>2*5.15</f>
        <v>10.3</v>
      </c>
      <c r="E22" s="41">
        <f t="shared" si="0"/>
        <v>29491.889999999996</v>
      </c>
      <c r="F22" s="42"/>
      <c r="G22" s="26">
        <f t="shared" si="1"/>
        <v>22.816583321350244</v>
      </c>
      <c r="H22" s="42"/>
      <c r="I22" s="26">
        <f t="shared" si="2"/>
        <v>235.01080820990754</v>
      </c>
      <c r="J22" s="26">
        <f t="shared" si="3"/>
        <v>672904.16548909596</v>
      </c>
      <c r="K22" s="61"/>
      <c r="L22" s="81"/>
      <c r="M22" s="81"/>
      <c r="N22" s="81"/>
    </row>
    <row r="23" spans="1:14" s="37" customFormat="1" x14ac:dyDescent="0.35">
      <c r="A23" s="119">
        <v>43844</v>
      </c>
      <c r="B23" s="32" t="s">
        <v>72</v>
      </c>
      <c r="C23" s="33"/>
      <c r="D23" s="33">
        <f>3*0.8+8*0.9+1.2</f>
        <v>10.8</v>
      </c>
      <c r="E23" s="70">
        <f t="shared" si="0"/>
        <v>29481.089999999997</v>
      </c>
      <c r="F23" s="71"/>
      <c r="G23" s="33">
        <f t="shared" si="1"/>
        <v>22.816583321350244</v>
      </c>
      <c r="H23" s="71"/>
      <c r="I23" s="33">
        <f t="shared" si="2"/>
        <v>246.41909987058264</v>
      </c>
      <c r="J23" s="33">
        <f t="shared" si="3"/>
        <v>672657.74638922536</v>
      </c>
      <c r="K23" s="32"/>
      <c r="L23" s="35">
        <f>SUM(I10:I23)</f>
        <v>8045.5836107745226</v>
      </c>
      <c r="M23" s="96"/>
      <c r="N23" s="36">
        <v>43845</v>
      </c>
    </row>
    <row r="24" spans="1:14" s="64" customFormat="1" x14ac:dyDescent="0.35">
      <c r="A24" s="117">
        <v>43846</v>
      </c>
      <c r="B24" s="61" t="s">
        <v>75</v>
      </c>
      <c r="C24" s="26"/>
      <c r="D24" s="26">
        <f>7*0.92+3*1.9</f>
        <v>12.14</v>
      </c>
      <c r="E24" s="41">
        <f t="shared" ref="E24:E65" si="4">+E23-D24</f>
        <v>29468.949999999997</v>
      </c>
      <c r="F24" s="42"/>
      <c r="G24" s="26">
        <f t="shared" ref="G24:G65" si="5">+J23/E23</f>
        <v>22.816583321350244</v>
      </c>
      <c r="H24" s="42"/>
      <c r="I24" s="26">
        <f t="shared" ref="I24:I65" si="6">+D24*G24</f>
        <v>276.99332152119194</v>
      </c>
      <c r="J24" s="26">
        <f t="shared" ref="J24:J65" si="7">+J23-I24</f>
        <v>672380.75306770415</v>
      </c>
      <c r="K24" s="61"/>
      <c r="L24" s="81"/>
      <c r="M24" s="81"/>
      <c r="N24" s="81"/>
    </row>
    <row r="25" spans="1:14" s="64" customFormat="1" x14ac:dyDescent="0.35">
      <c r="A25" s="117">
        <v>43847</v>
      </c>
      <c r="B25" s="61" t="s">
        <v>76</v>
      </c>
      <c r="C25" s="26"/>
      <c r="D25" s="26">
        <f>4*1.55</f>
        <v>6.2</v>
      </c>
      <c r="E25" s="41">
        <f t="shared" si="4"/>
        <v>29462.749999999996</v>
      </c>
      <c r="F25" s="42"/>
      <c r="G25" s="26">
        <f t="shared" si="5"/>
        <v>22.816583321350244</v>
      </c>
      <c r="H25" s="42"/>
      <c r="I25" s="26">
        <f t="shared" si="6"/>
        <v>141.46281659237152</v>
      </c>
      <c r="J25" s="26">
        <f t="shared" si="7"/>
        <v>672239.29025111173</v>
      </c>
      <c r="K25" s="61"/>
      <c r="L25" s="81"/>
      <c r="M25" s="81"/>
      <c r="N25" s="81"/>
    </row>
    <row r="26" spans="1:14" s="64" customFormat="1" x14ac:dyDescent="0.35">
      <c r="A26" s="117">
        <v>43848</v>
      </c>
      <c r="B26" s="61" t="s">
        <v>79</v>
      </c>
      <c r="C26" s="26"/>
      <c r="D26" s="26">
        <f>8*2</f>
        <v>16</v>
      </c>
      <c r="E26" s="41">
        <f t="shared" si="4"/>
        <v>29446.749999999996</v>
      </c>
      <c r="F26" s="42"/>
      <c r="G26" s="26">
        <f t="shared" si="5"/>
        <v>22.81658332135024</v>
      </c>
      <c r="H26" s="42"/>
      <c r="I26" s="26">
        <f t="shared" si="6"/>
        <v>365.06533314160384</v>
      </c>
      <c r="J26" s="26">
        <f t="shared" si="7"/>
        <v>671874.22491797013</v>
      </c>
      <c r="K26" s="61"/>
      <c r="L26" s="79"/>
      <c r="M26" s="81"/>
      <c r="N26" s="80"/>
    </row>
    <row r="27" spans="1:14" s="64" customFormat="1" x14ac:dyDescent="0.35">
      <c r="A27" s="68">
        <v>43851</v>
      </c>
      <c r="B27" s="61" t="s">
        <v>81</v>
      </c>
      <c r="C27" s="26"/>
      <c r="D27" s="26">
        <f>5*1.5</f>
        <v>7.5</v>
      </c>
      <c r="E27" s="41">
        <f t="shared" si="4"/>
        <v>29439.249999999996</v>
      </c>
      <c r="F27" s="42"/>
      <c r="G27" s="26">
        <f t="shared" si="5"/>
        <v>22.81658332135024</v>
      </c>
      <c r="H27" s="42"/>
      <c r="I27" s="26">
        <f t="shared" si="6"/>
        <v>171.12437491012679</v>
      </c>
      <c r="J27" s="26">
        <f t="shared" si="7"/>
        <v>671703.10054305999</v>
      </c>
      <c r="K27" s="61"/>
      <c r="L27" s="81"/>
      <c r="M27" s="81"/>
      <c r="N27" s="81"/>
    </row>
    <row r="28" spans="1:14" s="64" customFormat="1" x14ac:dyDescent="0.35">
      <c r="A28" s="68">
        <v>43851</v>
      </c>
      <c r="B28" s="61" t="s">
        <v>84</v>
      </c>
      <c r="C28" s="26"/>
      <c r="D28" s="26">
        <f>60*2.6+6</f>
        <v>162</v>
      </c>
      <c r="E28" s="41">
        <f t="shared" si="4"/>
        <v>29277.249999999996</v>
      </c>
      <c r="F28" s="42"/>
      <c r="G28" s="26">
        <f t="shared" si="5"/>
        <v>22.81658332135024</v>
      </c>
      <c r="H28" s="42"/>
      <c r="I28" s="26">
        <f t="shared" si="6"/>
        <v>3696.2864980587387</v>
      </c>
      <c r="J28" s="26">
        <f t="shared" si="7"/>
        <v>668006.81404500129</v>
      </c>
      <c r="K28" s="61"/>
      <c r="L28" s="81"/>
      <c r="M28" s="81"/>
      <c r="N28" s="81"/>
    </row>
    <row r="29" spans="1:14" s="64" customFormat="1" x14ac:dyDescent="0.35">
      <c r="A29" s="68">
        <v>43851</v>
      </c>
      <c r="B29" s="61" t="s">
        <v>85</v>
      </c>
      <c r="C29" s="26"/>
      <c r="D29" s="26">
        <f>10*5+3*1.5</f>
        <v>54.5</v>
      </c>
      <c r="E29" s="41">
        <f t="shared" si="4"/>
        <v>29222.749999999996</v>
      </c>
      <c r="F29" s="42"/>
      <c r="G29" s="26">
        <f t="shared" si="5"/>
        <v>22.81658332135024</v>
      </c>
      <c r="H29" s="42"/>
      <c r="I29" s="26">
        <f t="shared" si="6"/>
        <v>1243.5037910135882</v>
      </c>
      <c r="J29" s="26">
        <f t="shared" si="7"/>
        <v>666763.31025398767</v>
      </c>
      <c r="K29" s="61"/>
      <c r="L29" s="81"/>
      <c r="M29" s="81"/>
      <c r="N29" s="81"/>
    </row>
    <row r="30" spans="1:14" s="64" customFormat="1" x14ac:dyDescent="0.35">
      <c r="A30" s="69">
        <v>43853</v>
      </c>
      <c r="B30" s="61" t="s">
        <v>88</v>
      </c>
      <c r="C30" s="67"/>
      <c r="D30" s="26">
        <f>4*3.5</f>
        <v>14</v>
      </c>
      <c r="E30" s="41">
        <f t="shared" si="4"/>
        <v>29208.749999999996</v>
      </c>
      <c r="F30" s="42"/>
      <c r="G30" s="26">
        <f t="shared" si="5"/>
        <v>22.81658332135024</v>
      </c>
      <c r="H30" s="42"/>
      <c r="I30" s="26">
        <f t="shared" si="6"/>
        <v>319.43216649890337</v>
      </c>
      <c r="J30" s="26">
        <f t="shared" si="7"/>
        <v>666443.87808748882</v>
      </c>
      <c r="K30" s="61"/>
      <c r="L30" s="81"/>
      <c r="M30" s="81"/>
      <c r="N30" s="81"/>
    </row>
    <row r="31" spans="1:14" s="64" customFormat="1" x14ac:dyDescent="0.35">
      <c r="A31" s="69">
        <v>43854</v>
      </c>
      <c r="B31" s="61" t="s">
        <v>89</v>
      </c>
      <c r="C31" s="67"/>
      <c r="D31" s="26">
        <f>5*4</f>
        <v>20</v>
      </c>
      <c r="E31" s="41">
        <f t="shared" si="4"/>
        <v>29188.749999999996</v>
      </c>
      <c r="F31" s="42"/>
      <c r="G31" s="26">
        <f t="shared" si="5"/>
        <v>22.816583321350244</v>
      </c>
      <c r="H31" s="42"/>
      <c r="I31" s="26">
        <f t="shared" si="6"/>
        <v>456.33166642700485</v>
      </c>
      <c r="J31" s="26">
        <f t="shared" si="7"/>
        <v>665987.54642106185</v>
      </c>
      <c r="K31" s="61"/>
      <c r="L31" s="81"/>
      <c r="M31" s="81"/>
      <c r="N31" s="81"/>
    </row>
    <row r="32" spans="1:14" s="64" customFormat="1" x14ac:dyDescent="0.35">
      <c r="A32" s="69">
        <v>43855</v>
      </c>
      <c r="B32" s="61" t="s">
        <v>273</v>
      </c>
      <c r="C32" s="67"/>
      <c r="D32" s="26">
        <f>12.2+5</f>
        <v>17.2</v>
      </c>
      <c r="E32" s="41">
        <f t="shared" si="4"/>
        <v>29171.549999999996</v>
      </c>
      <c r="F32" s="42"/>
      <c r="G32" s="26">
        <f t="shared" si="5"/>
        <v>22.816583321350244</v>
      </c>
      <c r="H32" s="42"/>
      <c r="I32" s="26">
        <f t="shared" si="6"/>
        <v>392.44523312722418</v>
      </c>
      <c r="J32" s="26">
        <f t="shared" si="7"/>
        <v>665595.10118793463</v>
      </c>
      <c r="K32" s="61"/>
      <c r="L32" s="81"/>
      <c r="M32" s="81"/>
      <c r="N32" s="81"/>
    </row>
    <row r="33" spans="1:14" s="64" customFormat="1" x14ac:dyDescent="0.35">
      <c r="A33" s="69">
        <v>43855</v>
      </c>
      <c r="B33" s="61" t="s">
        <v>96</v>
      </c>
      <c r="C33" s="67"/>
      <c r="D33" s="26">
        <f>7*5</f>
        <v>35</v>
      </c>
      <c r="E33" s="41">
        <f t="shared" si="4"/>
        <v>29136.549999999996</v>
      </c>
      <c r="F33" s="42"/>
      <c r="G33" s="26">
        <f t="shared" si="5"/>
        <v>22.816583321350244</v>
      </c>
      <c r="H33" s="42"/>
      <c r="I33" s="26">
        <f t="shared" si="6"/>
        <v>798.58041624725854</v>
      </c>
      <c r="J33" s="26">
        <f t="shared" si="7"/>
        <v>664796.52077168738</v>
      </c>
      <c r="K33" s="61"/>
      <c r="L33" s="81"/>
      <c r="M33" s="81"/>
      <c r="N33" s="81"/>
    </row>
    <row r="34" spans="1:14" s="64" customFormat="1" x14ac:dyDescent="0.35">
      <c r="A34" s="69">
        <v>43858</v>
      </c>
      <c r="B34" s="61" t="s">
        <v>100</v>
      </c>
      <c r="C34" s="67"/>
      <c r="D34" s="26">
        <v>121.35</v>
      </c>
      <c r="E34" s="41">
        <f t="shared" si="4"/>
        <v>29015.199999999997</v>
      </c>
      <c r="F34" s="42"/>
      <c r="G34" s="26">
        <f t="shared" si="5"/>
        <v>22.816583321350244</v>
      </c>
      <c r="H34" s="42"/>
      <c r="I34" s="26">
        <f t="shared" si="6"/>
        <v>2768.7923860458518</v>
      </c>
      <c r="J34" s="26">
        <f t="shared" si="7"/>
        <v>662027.72838564159</v>
      </c>
      <c r="K34" s="61"/>
      <c r="L34" s="81"/>
      <c r="M34" s="81"/>
      <c r="N34" s="81"/>
    </row>
    <row r="35" spans="1:14" s="64" customFormat="1" x14ac:dyDescent="0.35">
      <c r="A35" s="69">
        <v>43861</v>
      </c>
      <c r="B35" s="61" t="s">
        <v>105</v>
      </c>
      <c r="C35" s="67"/>
      <c r="D35" s="26">
        <f>15*4.6</f>
        <v>69</v>
      </c>
      <c r="E35" s="41">
        <f t="shared" si="4"/>
        <v>28946.199999999997</v>
      </c>
      <c r="F35" s="42"/>
      <c r="G35" s="26">
        <f t="shared" si="5"/>
        <v>22.816583321350247</v>
      </c>
      <c r="H35" s="42"/>
      <c r="I35" s="26">
        <f t="shared" si="6"/>
        <v>1574.3442491731671</v>
      </c>
      <c r="J35" s="26">
        <f t="shared" si="7"/>
        <v>660453.3841364684</v>
      </c>
      <c r="K35" s="61"/>
      <c r="L35" s="81"/>
      <c r="M35" s="81"/>
      <c r="N35" s="81"/>
    </row>
    <row r="36" spans="1:14" s="64" customFormat="1" x14ac:dyDescent="0.35">
      <c r="A36" s="69">
        <v>43861</v>
      </c>
      <c r="B36" s="61" t="s">
        <v>108</v>
      </c>
      <c r="C36" s="67"/>
      <c r="D36" s="26">
        <f>10*5</f>
        <v>50</v>
      </c>
      <c r="E36" s="41">
        <f t="shared" si="4"/>
        <v>28896.199999999997</v>
      </c>
      <c r="F36" s="42"/>
      <c r="G36" s="26">
        <f t="shared" si="5"/>
        <v>22.816583321350244</v>
      </c>
      <c r="H36" s="42"/>
      <c r="I36" s="26">
        <f t="shared" si="6"/>
        <v>1140.8291660675122</v>
      </c>
      <c r="J36" s="26">
        <f t="shared" si="7"/>
        <v>659312.55497040087</v>
      </c>
      <c r="K36" s="61"/>
      <c r="L36" s="81"/>
      <c r="M36" s="81"/>
      <c r="N36" s="81"/>
    </row>
    <row r="37" spans="1:14" s="64" customFormat="1" x14ac:dyDescent="0.35">
      <c r="A37" s="69">
        <v>43861</v>
      </c>
      <c r="B37" s="61" t="s">
        <v>109</v>
      </c>
      <c r="C37" s="67"/>
      <c r="D37" s="26">
        <f>3+3*2.4</f>
        <v>10.199999999999999</v>
      </c>
      <c r="E37" s="41">
        <f t="shared" si="4"/>
        <v>28885.999999999996</v>
      </c>
      <c r="F37" s="42"/>
      <c r="G37" s="26">
        <f t="shared" si="5"/>
        <v>22.816583321350244</v>
      </c>
      <c r="H37" s="42"/>
      <c r="I37" s="26">
        <f t="shared" si="6"/>
        <v>232.72914987777247</v>
      </c>
      <c r="J37" s="26">
        <f t="shared" si="7"/>
        <v>659079.82582052308</v>
      </c>
      <c r="K37" s="61"/>
      <c r="L37" s="81"/>
      <c r="M37" s="81"/>
      <c r="N37" s="81"/>
    </row>
    <row r="38" spans="1:14" s="37" customFormat="1" x14ac:dyDescent="0.35">
      <c r="A38" s="73">
        <v>43861</v>
      </c>
      <c r="B38" s="32" t="s">
        <v>110</v>
      </c>
      <c r="C38" s="40"/>
      <c r="D38" s="33">
        <f>4*2</f>
        <v>8</v>
      </c>
      <c r="E38" s="70">
        <f t="shared" si="4"/>
        <v>28877.999999999996</v>
      </c>
      <c r="F38" s="71"/>
      <c r="G38" s="33">
        <f t="shared" si="5"/>
        <v>22.816583321350244</v>
      </c>
      <c r="H38" s="71"/>
      <c r="I38" s="33">
        <f t="shared" si="6"/>
        <v>182.53266657080195</v>
      </c>
      <c r="J38" s="33">
        <f t="shared" si="7"/>
        <v>658897.29315395223</v>
      </c>
      <c r="K38" s="32"/>
      <c r="L38" s="35">
        <f>SUM(I24:I38)</f>
        <v>13760.453235273117</v>
      </c>
      <c r="M38" s="35">
        <f>SUM(L23:L38)</f>
        <v>21806.036846047638</v>
      </c>
      <c r="N38" s="36">
        <v>43861</v>
      </c>
    </row>
    <row r="39" spans="1:14" s="64" customFormat="1" x14ac:dyDescent="0.35">
      <c r="A39" s="69">
        <v>43866</v>
      </c>
      <c r="B39" s="61" t="s">
        <v>114</v>
      </c>
      <c r="C39" s="67"/>
      <c r="D39" s="26">
        <f>9*4.8</f>
        <v>43.199999999999996</v>
      </c>
      <c r="E39" s="41">
        <f t="shared" si="4"/>
        <v>28834.799999999996</v>
      </c>
      <c r="F39" s="42"/>
      <c r="G39" s="26">
        <f t="shared" si="5"/>
        <v>22.816583321350244</v>
      </c>
      <c r="H39" s="42"/>
      <c r="I39" s="26">
        <f t="shared" si="6"/>
        <v>985.67639948233045</v>
      </c>
      <c r="J39" s="26">
        <f t="shared" si="7"/>
        <v>657911.61675446993</v>
      </c>
      <c r="K39" s="61"/>
      <c r="L39" s="81"/>
      <c r="M39" s="81"/>
      <c r="N39" s="81"/>
    </row>
    <row r="40" spans="1:14" s="64" customFormat="1" x14ac:dyDescent="0.35">
      <c r="A40" s="69">
        <v>43867</v>
      </c>
      <c r="B40" s="61" t="s">
        <v>115</v>
      </c>
      <c r="C40" s="67"/>
      <c r="D40" s="26">
        <f>16*2.7+5*6+7*4.5</f>
        <v>104.7</v>
      </c>
      <c r="E40" s="41">
        <f t="shared" si="4"/>
        <v>28730.099999999995</v>
      </c>
      <c r="F40" s="42"/>
      <c r="G40" s="26">
        <f t="shared" si="5"/>
        <v>22.816583321350244</v>
      </c>
      <c r="H40" s="42"/>
      <c r="I40" s="26">
        <f t="shared" si="6"/>
        <v>2388.8962737453708</v>
      </c>
      <c r="J40" s="26">
        <f t="shared" si="7"/>
        <v>655522.72048072459</v>
      </c>
      <c r="K40" s="61"/>
      <c r="L40" s="81"/>
      <c r="M40" s="81"/>
      <c r="N40" s="81"/>
    </row>
    <row r="41" spans="1:14" s="64" customFormat="1" x14ac:dyDescent="0.35">
      <c r="A41" s="69">
        <v>43868</v>
      </c>
      <c r="B41" s="61" t="s">
        <v>116</v>
      </c>
      <c r="C41" s="67"/>
      <c r="D41" s="26">
        <f>7*3+2*3.5</f>
        <v>28</v>
      </c>
      <c r="E41" s="41">
        <f t="shared" si="4"/>
        <v>28702.099999999995</v>
      </c>
      <c r="F41" s="42"/>
      <c r="G41" s="26">
        <f t="shared" si="5"/>
        <v>22.816583321350247</v>
      </c>
      <c r="H41" s="42"/>
      <c r="I41" s="26">
        <f t="shared" si="6"/>
        <v>638.86433299780697</v>
      </c>
      <c r="J41" s="26">
        <f t="shared" si="7"/>
        <v>654883.85614772676</v>
      </c>
      <c r="K41" s="61"/>
      <c r="L41" s="81"/>
      <c r="M41" s="81"/>
      <c r="N41" s="81"/>
    </row>
    <row r="42" spans="1:14" s="64" customFormat="1" x14ac:dyDescent="0.35">
      <c r="A42" s="69">
        <v>43868</v>
      </c>
      <c r="B42" s="61" t="s">
        <v>124</v>
      </c>
      <c r="C42" s="67"/>
      <c r="D42" s="26">
        <f>2*2.2</f>
        <v>4.4000000000000004</v>
      </c>
      <c r="E42" s="41">
        <f t="shared" si="4"/>
        <v>28697.699999999993</v>
      </c>
      <c r="F42" s="42"/>
      <c r="G42" s="26">
        <f t="shared" si="5"/>
        <v>22.816583321350244</v>
      </c>
      <c r="H42" s="42"/>
      <c r="I42" s="26">
        <f t="shared" si="6"/>
        <v>100.39296661394108</v>
      </c>
      <c r="J42" s="26">
        <f t="shared" si="7"/>
        <v>654783.46318111278</v>
      </c>
      <c r="K42" s="61"/>
      <c r="L42" s="81"/>
      <c r="M42" s="81"/>
      <c r="N42" s="81"/>
    </row>
    <row r="43" spans="1:14" s="64" customFormat="1" x14ac:dyDescent="0.35">
      <c r="A43" s="69">
        <v>43869</v>
      </c>
      <c r="B43" s="61" t="s">
        <v>125</v>
      </c>
      <c r="C43" s="67"/>
      <c r="D43" s="26">
        <f>7*4.7+4*3.15</f>
        <v>45.5</v>
      </c>
      <c r="E43" s="41">
        <f t="shared" si="4"/>
        <v>28652.199999999993</v>
      </c>
      <c r="F43" s="42"/>
      <c r="G43" s="26">
        <f t="shared" si="5"/>
        <v>22.816583321350244</v>
      </c>
      <c r="H43" s="42"/>
      <c r="I43" s="26">
        <f t="shared" si="6"/>
        <v>1038.1545411214361</v>
      </c>
      <c r="J43" s="26">
        <f t="shared" si="7"/>
        <v>653745.30863999133</v>
      </c>
      <c r="K43" s="61"/>
      <c r="L43" s="81"/>
      <c r="M43" s="81"/>
      <c r="N43" s="81"/>
    </row>
    <row r="44" spans="1:14" s="64" customFormat="1" x14ac:dyDescent="0.35">
      <c r="A44" s="69">
        <v>43869</v>
      </c>
      <c r="B44" s="61" t="s">
        <v>126</v>
      </c>
      <c r="C44" s="67"/>
      <c r="D44" s="26">
        <f>2*2.64+3*3.5</f>
        <v>15.780000000000001</v>
      </c>
      <c r="E44" s="41">
        <f t="shared" si="4"/>
        <v>28636.419999999995</v>
      </c>
      <c r="F44" s="42"/>
      <c r="G44" s="26">
        <f t="shared" si="5"/>
        <v>22.816583321350244</v>
      </c>
      <c r="H44" s="42"/>
      <c r="I44" s="26">
        <f t="shared" si="6"/>
        <v>360.04568481090689</v>
      </c>
      <c r="J44" s="26">
        <f t="shared" si="7"/>
        <v>653385.26295518037</v>
      </c>
      <c r="K44" s="61"/>
      <c r="L44" s="81"/>
      <c r="M44" s="81"/>
      <c r="N44" s="81"/>
    </row>
    <row r="45" spans="1:14" s="64" customFormat="1" x14ac:dyDescent="0.35">
      <c r="A45" s="69">
        <v>43873</v>
      </c>
      <c r="B45" s="61" t="s">
        <v>131</v>
      </c>
      <c r="C45" s="67"/>
      <c r="D45" s="26">
        <v>0</v>
      </c>
      <c r="E45" s="41">
        <f t="shared" si="4"/>
        <v>28636.419999999995</v>
      </c>
      <c r="F45" s="42"/>
      <c r="G45" s="26">
        <f t="shared" si="5"/>
        <v>22.81658332135024</v>
      </c>
      <c r="H45" s="42"/>
      <c r="I45" s="26">
        <f t="shared" si="6"/>
        <v>0</v>
      </c>
      <c r="J45" s="26">
        <f t="shared" si="7"/>
        <v>653385.26295518037</v>
      </c>
      <c r="K45" s="61"/>
      <c r="L45" s="81"/>
      <c r="M45" s="81"/>
      <c r="N45" s="81"/>
    </row>
    <row r="46" spans="1:14" s="64" customFormat="1" x14ac:dyDescent="0.35">
      <c r="A46" s="69">
        <v>43873</v>
      </c>
      <c r="B46" s="61" t="s">
        <v>132</v>
      </c>
      <c r="C46" s="67"/>
      <c r="D46" s="26">
        <f>12*4.2</f>
        <v>50.400000000000006</v>
      </c>
      <c r="E46" s="41">
        <f t="shared" si="4"/>
        <v>28586.019999999993</v>
      </c>
      <c r="F46" s="42"/>
      <c r="G46" s="26">
        <f t="shared" si="5"/>
        <v>22.81658332135024</v>
      </c>
      <c r="H46" s="42"/>
      <c r="I46" s="26">
        <f t="shared" si="6"/>
        <v>1149.9557993960523</v>
      </c>
      <c r="J46" s="26">
        <f t="shared" si="7"/>
        <v>652235.30715578434</v>
      </c>
      <c r="K46" s="61"/>
      <c r="L46" s="81"/>
      <c r="M46" s="81"/>
      <c r="N46" s="81"/>
    </row>
    <row r="47" spans="1:14" s="37" customFormat="1" x14ac:dyDescent="0.35">
      <c r="A47" s="73">
        <v>43876</v>
      </c>
      <c r="B47" s="32" t="s">
        <v>134</v>
      </c>
      <c r="C47" s="40"/>
      <c r="D47" s="33">
        <f>8*5.4</f>
        <v>43.2</v>
      </c>
      <c r="E47" s="70">
        <f t="shared" si="4"/>
        <v>28542.819999999992</v>
      </c>
      <c r="F47" s="71"/>
      <c r="G47" s="33">
        <f t="shared" si="5"/>
        <v>22.816583321350244</v>
      </c>
      <c r="H47" s="71"/>
      <c r="I47" s="33">
        <f t="shared" si="6"/>
        <v>985.67639948233057</v>
      </c>
      <c r="J47" s="33">
        <f t="shared" si="7"/>
        <v>651249.63075630204</v>
      </c>
      <c r="K47" s="32"/>
      <c r="L47" s="35">
        <f>SUM(I39:I47)</f>
        <v>7647.662397650176</v>
      </c>
      <c r="M47" s="96"/>
      <c r="N47" s="36">
        <v>43876</v>
      </c>
    </row>
    <row r="48" spans="1:14" s="64" customFormat="1" x14ac:dyDescent="0.35">
      <c r="A48" s="69">
        <v>43881</v>
      </c>
      <c r="B48" s="61" t="s">
        <v>142</v>
      </c>
      <c r="C48" s="67"/>
      <c r="D48" s="26">
        <v>0</v>
      </c>
      <c r="E48" s="41">
        <f t="shared" si="4"/>
        <v>28542.819999999992</v>
      </c>
      <c r="F48" s="42"/>
      <c r="G48" s="26">
        <f t="shared" si="5"/>
        <v>22.816583321350244</v>
      </c>
      <c r="H48" s="42"/>
      <c r="I48" s="26">
        <f t="shared" si="6"/>
        <v>0</v>
      </c>
      <c r="J48" s="26">
        <f t="shared" si="7"/>
        <v>651249.63075630204</v>
      </c>
      <c r="K48" s="61"/>
      <c r="L48" s="81"/>
      <c r="M48" s="81"/>
      <c r="N48" s="81"/>
    </row>
    <row r="49" spans="1:14" s="64" customFormat="1" x14ac:dyDescent="0.35">
      <c r="A49" s="69">
        <v>43881</v>
      </c>
      <c r="B49" s="61" t="s">
        <v>143</v>
      </c>
      <c r="C49" s="67"/>
      <c r="D49" s="26">
        <f>4*2.8</f>
        <v>11.2</v>
      </c>
      <c r="E49" s="41">
        <f t="shared" si="4"/>
        <v>28531.619999999992</v>
      </c>
      <c r="F49" s="42"/>
      <c r="G49" s="26">
        <f t="shared" si="5"/>
        <v>22.816583321350244</v>
      </c>
      <c r="H49" s="42"/>
      <c r="I49" s="26">
        <f t="shared" si="6"/>
        <v>255.54573319912271</v>
      </c>
      <c r="J49" s="26">
        <f t="shared" si="7"/>
        <v>650994.08502310293</v>
      </c>
      <c r="K49" s="61"/>
      <c r="L49" s="81"/>
      <c r="M49" s="81"/>
      <c r="N49" s="81"/>
    </row>
    <row r="50" spans="1:14" s="64" customFormat="1" x14ac:dyDescent="0.35">
      <c r="A50" s="69">
        <v>43882</v>
      </c>
      <c r="B50" s="61" t="s">
        <v>144</v>
      </c>
      <c r="C50" s="67"/>
      <c r="D50" s="26">
        <f>17*4.5+10*3.4</f>
        <v>110.5</v>
      </c>
      <c r="E50" s="41">
        <f t="shared" si="4"/>
        <v>28421.119999999992</v>
      </c>
      <c r="F50" s="42"/>
      <c r="G50" s="26">
        <f t="shared" si="5"/>
        <v>22.816583321350247</v>
      </c>
      <c r="H50" s="42"/>
      <c r="I50" s="26">
        <f t="shared" si="6"/>
        <v>2521.2324570092023</v>
      </c>
      <c r="J50" s="26">
        <f t="shared" si="7"/>
        <v>648472.85256609367</v>
      </c>
      <c r="K50" s="61"/>
      <c r="L50" s="81"/>
      <c r="M50" s="81"/>
      <c r="N50" s="81"/>
    </row>
    <row r="51" spans="1:14" s="64" customFormat="1" x14ac:dyDescent="0.35">
      <c r="A51" s="69">
        <v>43882</v>
      </c>
      <c r="B51" s="61" t="s">
        <v>145</v>
      </c>
      <c r="C51" s="67"/>
      <c r="D51" s="26">
        <f>2*3</f>
        <v>6</v>
      </c>
      <c r="E51" s="41">
        <f t="shared" si="4"/>
        <v>28415.119999999992</v>
      </c>
      <c r="F51" s="42"/>
      <c r="G51" s="26">
        <f t="shared" si="5"/>
        <v>22.816583321350244</v>
      </c>
      <c r="H51" s="42"/>
      <c r="I51" s="26">
        <f t="shared" si="6"/>
        <v>136.89949992810148</v>
      </c>
      <c r="J51" s="26">
        <f t="shared" si="7"/>
        <v>648335.95306616556</v>
      </c>
      <c r="K51" s="61"/>
      <c r="L51" s="81"/>
      <c r="M51" s="81"/>
      <c r="N51" s="81"/>
    </row>
    <row r="52" spans="1:14" s="64" customFormat="1" x14ac:dyDescent="0.35">
      <c r="A52" s="69">
        <v>43883</v>
      </c>
      <c r="B52" s="61" t="s">
        <v>150</v>
      </c>
      <c r="C52" s="67"/>
      <c r="D52" s="26">
        <f>14*6.1</f>
        <v>85.399999999999991</v>
      </c>
      <c r="E52" s="41">
        <f t="shared" si="4"/>
        <v>28329.71999999999</v>
      </c>
      <c r="F52" s="42"/>
      <c r="G52" s="26">
        <f t="shared" si="5"/>
        <v>22.816583321350244</v>
      </c>
      <c r="H52" s="42"/>
      <c r="I52" s="26">
        <f t="shared" si="6"/>
        <v>1948.5362156433107</v>
      </c>
      <c r="J52" s="26">
        <f t="shared" si="7"/>
        <v>646387.41685052228</v>
      </c>
      <c r="K52" s="61"/>
      <c r="L52" s="81"/>
      <c r="M52" s="81"/>
      <c r="N52" s="81"/>
    </row>
    <row r="53" spans="1:14" s="64" customFormat="1" x14ac:dyDescent="0.35">
      <c r="A53" s="69">
        <v>43888</v>
      </c>
      <c r="B53" s="61" t="s">
        <v>153</v>
      </c>
      <c r="C53" s="67"/>
      <c r="D53" s="26">
        <f>9*5.4</f>
        <v>48.6</v>
      </c>
      <c r="E53" s="41">
        <f t="shared" si="4"/>
        <v>28281.119999999992</v>
      </c>
      <c r="F53" s="42"/>
      <c r="G53" s="26">
        <f t="shared" si="5"/>
        <v>22.816583321350247</v>
      </c>
      <c r="H53" s="42"/>
      <c r="I53" s="26">
        <f t="shared" si="6"/>
        <v>1108.885949417622</v>
      </c>
      <c r="J53" s="26">
        <f t="shared" si="7"/>
        <v>645278.53090110468</v>
      </c>
      <c r="K53" s="61"/>
      <c r="L53" s="81"/>
      <c r="M53" s="81"/>
      <c r="N53" s="81"/>
    </row>
    <row r="54" spans="1:14" s="37" customFormat="1" x14ac:dyDescent="0.35">
      <c r="A54" s="73">
        <v>43889</v>
      </c>
      <c r="B54" s="32" t="s">
        <v>154</v>
      </c>
      <c r="C54" s="40"/>
      <c r="D54" s="33">
        <f>4*4.3</f>
        <v>17.2</v>
      </c>
      <c r="E54" s="70">
        <f t="shared" si="4"/>
        <v>28263.919999999991</v>
      </c>
      <c r="F54" s="71"/>
      <c r="G54" s="33">
        <f t="shared" si="5"/>
        <v>22.816583321350247</v>
      </c>
      <c r="H54" s="71"/>
      <c r="I54" s="33">
        <f t="shared" si="6"/>
        <v>392.44523312722424</v>
      </c>
      <c r="J54" s="33">
        <f t="shared" si="7"/>
        <v>644886.08566797746</v>
      </c>
      <c r="K54" s="32"/>
      <c r="L54" s="35">
        <f>SUM(I48:I54)</f>
        <v>6363.545088324584</v>
      </c>
      <c r="M54" s="35">
        <f>SUM(L47:L54)</f>
        <v>14011.207485974759</v>
      </c>
      <c r="N54" s="36">
        <v>43890</v>
      </c>
    </row>
    <row r="55" spans="1:14" s="64" customFormat="1" x14ac:dyDescent="0.35">
      <c r="A55" s="69">
        <v>43892</v>
      </c>
      <c r="B55" s="61" t="s">
        <v>159</v>
      </c>
      <c r="C55" s="67"/>
      <c r="D55" s="26">
        <f>13*4.6</f>
        <v>59.8</v>
      </c>
      <c r="E55" s="41">
        <f t="shared" si="4"/>
        <v>28204.119999999992</v>
      </c>
      <c r="F55" s="42"/>
      <c r="G55" s="26">
        <f t="shared" si="5"/>
        <v>22.816583321350247</v>
      </c>
      <c r="H55" s="42"/>
      <c r="I55" s="26">
        <f t="shared" si="6"/>
        <v>1364.4316826167446</v>
      </c>
      <c r="J55" s="26">
        <f t="shared" si="7"/>
        <v>643521.65398536075</v>
      </c>
      <c r="K55" s="61"/>
      <c r="L55" s="81"/>
      <c r="M55" s="81"/>
      <c r="N55" s="81"/>
    </row>
    <row r="56" spans="1:14" x14ac:dyDescent="0.35">
      <c r="A56" s="69">
        <v>43892</v>
      </c>
      <c r="B56" s="61" t="s">
        <v>162</v>
      </c>
      <c r="C56" s="67"/>
      <c r="D56" s="26">
        <f>6*3</f>
        <v>18</v>
      </c>
      <c r="E56" s="41">
        <f t="shared" si="4"/>
        <v>28186.119999999992</v>
      </c>
      <c r="F56" s="42"/>
      <c r="G56" s="26">
        <f t="shared" si="5"/>
        <v>22.816583321350247</v>
      </c>
      <c r="H56" s="42"/>
      <c r="I56" s="26">
        <f t="shared" si="6"/>
        <v>410.69849978430443</v>
      </c>
      <c r="J56" s="26">
        <f t="shared" si="7"/>
        <v>643110.95548557641</v>
      </c>
      <c r="K56" s="61"/>
      <c r="L56" s="1"/>
      <c r="M56" s="1"/>
      <c r="N56" s="1"/>
    </row>
    <row r="57" spans="1:14" s="64" customFormat="1" x14ac:dyDescent="0.35">
      <c r="A57" s="69">
        <v>43893</v>
      </c>
      <c r="B57" s="61" t="s">
        <v>163</v>
      </c>
      <c r="C57" s="67"/>
      <c r="D57" s="26">
        <f>2*5.6</f>
        <v>11.2</v>
      </c>
      <c r="E57" s="41">
        <f t="shared" si="4"/>
        <v>28174.919999999991</v>
      </c>
      <c r="F57" s="42"/>
      <c r="G57" s="26">
        <f t="shared" si="5"/>
        <v>22.816583321350247</v>
      </c>
      <c r="H57" s="42"/>
      <c r="I57" s="26">
        <f t="shared" si="6"/>
        <v>255.54573319912276</v>
      </c>
      <c r="J57" s="26">
        <f t="shared" si="7"/>
        <v>642855.40975237731</v>
      </c>
      <c r="K57" s="61"/>
      <c r="L57" s="79"/>
      <c r="M57" s="79"/>
      <c r="N57" s="80"/>
    </row>
    <row r="58" spans="1:14" x14ac:dyDescent="0.35">
      <c r="A58" s="69">
        <v>43893</v>
      </c>
      <c r="B58" s="61" t="s">
        <v>166</v>
      </c>
      <c r="C58" s="67"/>
      <c r="D58" s="26">
        <f>5*3.45+4*4+12*2.64</f>
        <v>64.930000000000007</v>
      </c>
      <c r="E58" s="41">
        <f t="shared" si="4"/>
        <v>28109.989999999991</v>
      </c>
      <c r="F58" s="42"/>
      <c r="G58" s="26">
        <f t="shared" si="5"/>
        <v>22.816583321350247</v>
      </c>
      <c r="H58" s="42"/>
      <c r="I58" s="26">
        <f t="shared" si="6"/>
        <v>1481.4807550552716</v>
      </c>
      <c r="J58" s="26">
        <f t="shared" si="7"/>
        <v>641373.92899732199</v>
      </c>
      <c r="K58" s="61"/>
      <c r="L58" s="1"/>
      <c r="M58" s="1"/>
      <c r="N58" s="1"/>
    </row>
    <row r="59" spans="1:14" x14ac:dyDescent="0.35">
      <c r="A59" s="69">
        <v>43893</v>
      </c>
      <c r="B59" s="61" t="s">
        <v>167</v>
      </c>
      <c r="C59" s="67"/>
      <c r="D59" s="26">
        <f>10*4</f>
        <v>40</v>
      </c>
      <c r="E59" s="41">
        <f t="shared" si="4"/>
        <v>28069.989999999991</v>
      </c>
      <c r="F59" s="42"/>
      <c r="G59" s="26">
        <f t="shared" si="5"/>
        <v>22.816583321350247</v>
      </c>
      <c r="H59" s="42"/>
      <c r="I59" s="26">
        <f t="shared" si="6"/>
        <v>912.66333285400992</v>
      </c>
      <c r="J59" s="26">
        <f t="shared" si="7"/>
        <v>640461.26566446794</v>
      </c>
      <c r="K59" s="61"/>
      <c r="L59" s="1"/>
      <c r="M59" s="1"/>
      <c r="N59" s="1"/>
    </row>
    <row r="60" spans="1:14" x14ac:dyDescent="0.35">
      <c r="A60" s="69">
        <v>43894</v>
      </c>
      <c r="B60" s="61" t="s">
        <v>168</v>
      </c>
      <c r="C60" s="67"/>
      <c r="D60" s="26">
        <f>18*5.1</f>
        <v>91.8</v>
      </c>
      <c r="E60" s="41">
        <f t="shared" si="4"/>
        <v>27978.189999999991</v>
      </c>
      <c r="F60" s="42"/>
      <c r="G60" s="26">
        <f t="shared" si="5"/>
        <v>22.816583321350244</v>
      </c>
      <c r="H60" s="42"/>
      <c r="I60" s="26">
        <f t="shared" si="6"/>
        <v>2094.5623488999522</v>
      </c>
      <c r="J60" s="26">
        <f t="shared" si="7"/>
        <v>638366.70331556804</v>
      </c>
      <c r="K60" s="61"/>
      <c r="L60" s="1"/>
      <c r="M60" s="1"/>
      <c r="N60" s="1"/>
    </row>
    <row r="61" spans="1:14" x14ac:dyDescent="0.35">
      <c r="A61" s="69">
        <v>43894</v>
      </c>
      <c r="B61" s="61" t="s">
        <v>169</v>
      </c>
      <c r="C61" s="67"/>
      <c r="D61" s="26">
        <f>6*4.5</f>
        <v>27</v>
      </c>
      <c r="E61" s="41">
        <f t="shared" si="4"/>
        <v>27951.189999999991</v>
      </c>
      <c r="F61" s="42"/>
      <c r="G61" s="26">
        <f t="shared" si="5"/>
        <v>22.816583321350247</v>
      </c>
      <c r="H61" s="42"/>
      <c r="I61" s="26">
        <f t="shared" si="6"/>
        <v>616.04774967645665</v>
      </c>
      <c r="J61" s="26">
        <f t="shared" si="7"/>
        <v>637750.65556589153</v>
      </c>
      <c r="K61" s="61"/>
      <c r="L61" s="1"/>
      <c r="M61" s="1"/>
      <c r="N61" s="1"/>
    </row>
    <row r="62" spans="1:14" x14ac:dyDescent="0.35">
      <c r="A62" s="69">
        <v>43894</v>
      </c>
      <c r="B62" s="61" t="s">
        <v>170</v>
      </c>
      <c r="C62" s="67"/>
      <c r="D62" s="26">
        <f>20*5.8</f>
        <v>116</v>
      </c>
      <c r="E62" s="41">
        <f t="shared" si="4"/>
        <v>27835.189999999991</v>
      </c>
      <c r="F62" s="42"/>
      <c r="G62" s="26">
        <f t="shared" si="5"/>
        <v>22.816583321350244</v>
      </c>
      <c r="H62" s="42"/>
      <c r="I62" s="26">
        <f t="shared" si="6"/>
        <v>2646.7236652766283</v>
      </c>
      <c r="J62" s="26">
        <f t="shared" si="7"/>
        <v>635103.93190061487</v>
      </c>
      <c r="K62" s="61"/>
      <c r="L62" s="1"/>
      <c r="M62" s="1"/>
      <c r="N62" s="1"/>
    </row>
    <row r="63" spans="1:14" x14ac:dyDescent="0.35">
      <c r="A63" s="69">
        <v>43897</v>
      </c>
      <c r="B63" s="61" t="s">
        <v>175</v>
      </c>
      <c r="C63" s="67"/>
      <c r="D63" s="26">
        <f>4*3.6</f>
        <v>14.4</v>
      </c>
      <c r="E63" s="41">
        <f t="shared" si="4"/>
        <v>27820.78999999999</v>
      </c>
      <c r="F63" s="42"/>
      <c r="G63" s="26">
        <f t="shared" si="5"/>
        <v>22.816583321350244</v>
      </c>
      <c r="H63" s="42"/>
      <c r="I63" s="26">
        <f t="shared" si="6"/>
        <v>328.55879982744352</v>
      </c>
      <c r="J63" s="26">
        <f t="shared" si="7"/>
        <v>634775.3731007874</v>
      </c>
      <c r="K63" s="61"/>
      <c r="L63" s="1"/>
      <c r="M63" s="1"/>
      <c r="N63" s="1"/>
    </row>
    <row r="64" spans="1:14" x14ac:dyDescent="0.35">
      <c r="A64" s="69">
        <v>43898</v>
      </c>
      <c r="B64" s="61" t="s">
        <v>179</v>
      </c>
      <c r="C64" s="67"/>
      <c r="D64" s="26">
        <f>4*2.7</f>
        <v>10.8</v>
      </c>
      <c r="E64" s="41">
        <f t="shared" si="4"/>
        <v>27809.989999999991</v>
      </c>
      <c r="F64" s="42"/>
      <c r="G64" s="26">
        <f t="shared" si="5"/>
        <v>22.816583321350244</v>
      </c>
      <c r="H64" s="42"/>
      <c r="I64" s="26">
        <f t="shared" si="6"/>
        <v>246.41909987058264</v>
      </c>
      <c r="J64" s="26">
        <f t="shared" si="7"/>
        <v>634528.9540009168</v>
      </c>
      <c r="K64" s="61"/>
      <c r="L64" s="1"/>
      <c r="M64" s="1"/>
      <c r="N64" s="1"/>
    </row>
    <row r="65" spans="1:14" x14ac:dyDescent="0.35">
      <c r="A65" s="69">
        <v>43899</v>
      </c>
      <c r="B65" s="61" t="s">
        <v>183</v>
      </c>
      <c r="C65" s="67"/>
      <c r="D65" s="26">
        <f>5*5.75+23*5.25</f>
        <v>149.5</v>
      </c>
      <c r="E65" s="41">
        <f t="shared" si="4"/>
        <v>27660.489999999991</v>
      </c>
      <c r="F65" s="42"/>
      <c r="G65" s="26">
        <f t="shared" si="5"/>
        <v>22.81658332135024</v>
      </c>
      <c r="H65" s="42"/>
      <c r="I65" s="26">
        <f t="shared" si="6"/>
        <v>3411.0792065418609</v>
      </c>
      <c r="J65" s="26">
        <f t="shared" si="7"/>
        <v>631117.87479437492</v>
      </c>
      <c r="K65" s="61"/>
      <c r="L65" s="1"/>
      <c r="M65" s="1"/>
      <c r="N65" s="1"/>
    </row>
    <row r="66" spans="1:14" x14ac:dyDescent="0.35">
      <c r="A66" s="69">
        <v>43903</v>
      </c>
      <c r="B66" s="61" t="s">
        <v>276</v>
      </c>
      <c r="C66" s="67"/>
      <c r="D66" s="26">
        <f>7*5.1</f>
        <v>35.699999999999996</v>
      </c>
      <c r="E66" s="41">
        <f t="shared" ref="E66:E85" si="8">+E65-D66</f>
        <v>27624.78999999999</v>
      </c>
      <c r="F66" s="42"/>
      <c r="G66" s="26">
        <f t="shared" ref="G66:G85" si="9">+J65/E65</f>
        <v>22.81658332135024</v>
      </c>
      <c r="H66" s="42"/>
      <c r="I66" s="26">
        <f t="shared" ref="I66:I95" si="10">+D66*G66</f>
        <v>814.55202457220344</v>
      </c>
      <c r="J66" s="26">
        <f t="shared" ref="J66:J85" si="11">+J65-I66</f>
        <v>630303.32276980276</v>
      </c>
      <c r="K66" s="61"/>
      <c r="L66" s="1"/>
      <c r="M66" s="1"/>
      <c r="N66" s="1"/>
    </row>
    <row r="67" spans="1:14" s="37" customFormat="1" x14ac:dyDescent="0.35">
      <c r="A67" s="73">
        <v>43904</v>
      </c>
      <c r="B67" s="32" t="s">
        <v>191</v>
      </c>
      <c r="C67" s="40"/>
      <c r="D67" s="33">
        <f>5*3.5</f>
        <v>17.5</v>
      </c>
      <c r="E67" s="70">
        <f t="shared" si="8"/>
        <v>27607.28999999999</v>
      </c>
      <c r="F67" s="71"/>
      <c r="G67" s="33">
        <f t="shared" si="9"/>
        <v>22.816583321350244</v>
      </c>
      <c r="H67" s="71"/>
      <c r="I67" s="33">
        <f t="shared" si="10"/>
        <v>399.29020812362927</v>
      </c>
      <c r="J67" s="33">
        <f t="shared" si="11"/>
        <v>629904.03256167914</v>
      </c>
      <c r="K67" s="32"/>
      <c r="L67" s="35">
        <f>SUM(I55:I67)</f>
        <v>14982.053106298214</v>
      </c>
      <c r="M67" s="96"/>
      <c r="N67" s="36">
        <v>43905</v>
      </c>
    </row>
    <row r="68" spans="1:14" x14ac:dyDescent="0.35">
      <c r="A68" s="69">
        <v>43906</v>
      </c>
      <c r="B68" s="61" t="s">
        <v>192</v>
      </c>
      <c r="C68" s="67"/>
      <c r="D68" s="26">
        <f>5*4</f>
        <v>20</v>
      </c>
      <c r="E68" s="41">
        <f t="shared" si="8"/>
        <v>27587.28999999999</v>
      </c>
      <c r="F68" s="42"/>
      <c r="G68" s="26">
        <f t="shared" si="9"/>
        <v>22.816583321350244</v>
      </c>
      <c r="H68" s="42"/>
      <c r="I68" s="26">
        <f t="shared" si="10"/>
        <v>456.33166642700485</v>
      </c>
      <c r="J68" s="26">
        <f t="shared" si="11"/>
        <v>629447.70089525217</v>
      </c>
      <c r="K68" s="61"/>
      <c r="L68" s="1"/>
      <c r="M68" s="1"/>
      <c r="N68" s="1"/>
    </row>
    <row r="69" spans="1:14" x14ac:dyDescent="0.35">
      <c r="A69" s="69">
        <v>43908</v>
      </c>
      <c r="B69" s="61" t="s">
        <v>199</v>
      </c>
      <c r="C69" s="67"/>
      <c r="D69" s="26">
        <f>5*4.9</f>
        <v>24.5</v>
      </c>
      <c r="E69" s="41">
        <f t="shared" si="8"/>
        <v>27562.78999999999</v>
      </c>
      <c r="F69" s="42"/>
      <c r="G69" s="26">
        <f t="shared" si="9"/>
        <v>22.816583321350244</v>
      </c>
      <c r="H69" s="42"/>
      <c r="I69" s="26">
        <f t="shared" si="10"/>
        <v>559.00629137308101</v>
      </c>
      <c r="J69" s="26">
        <f t="shared" si="11"/>
        <v>628888.69460387912</v>
      </c>
      <c r="K69" s="61"/>
      <c r="L69" s="1"/>
      <c r="M69" s="1"/>
      <c r="N69" s="1"/>
    </row>
    <row r="70" spans="1:14" x14ac:dyDescent="0.35">
      <c r="A70" s="69">
        <v>43909</v>
      </c>
      <c r="B70" s="61" t="s">
        <v>205</v>
      </c>
      <c r="C70" s="67"/>
      <c r="D70" s="26">
        <f>2*2</f>
        <v>4</v>
      </c>
      <c r="E70" s="41">
        <f t="shared" si="8"/>
        <v>27558.78999999999</v>
      </c>
      <c r="F70" s="42"/>
      <c r="G70" s="26">
        <f t="shared" si="9"/>
        <v>22.816583321350247</v>
      </c>
      <c r="H70" s="42"/>
      <c r="I70" s="26">
        <f t="shared" si="10"/>
        <v>91.266333285400989</v>
      </c>
      <c r="J70" s="26">
        <f t="shared" si="11"/>
        <v>628797.42827059375</v>
      </c>
      <c r="K70" s="61"/>
      <c r="L70" s="1"/>
      <c r="M70" s="1"/>
      <c r="N70" s="1"/>
    </row>
    <row r="71" spans="1:14" s="37" customFormat="1" x14ac:dyDescent="0.35">
      <c r="A71" s="73">
        <v>43911</v>
      </c>
      <c r="B71" s="32" t="s">
        <v>207</v>
      </c>
      <c r="C71" s="40"/>
      <c r="D71" s="33">
        <f>4*4.5</f>
        <v>18</v>
      </c>
      <c r="E71" s="70">
        <f t="shared" si="8"/>
        <v>27540.78999999999</v>
      </c>
      <c r="F71" s="71"/>
      <c r="G71" s="33">
        <f t="shared" si="9"/>
        <v>22.816583321350247</v>
      </c>
      <c r="H71" s="71"/>
      <c r="I71" s="33">
        <f t="shared" si="10"/>
        <v>410.69849978430443</v>
      </c>
      <c r="J71" s="33">
        <f t="shared" si="11"/>
        <v>628386.72977080941</v>
      </c>
      <c r="K71" s="32"/>
      <c r="L71" s="35">
        <f>SUM(I68:I71)</f>
        <v>1517.3027908697914</v>
      </c>
      <c r="M71" s="35">
        <f>SUM(L67:L71)</f>
        <v>16499.355897168003</v>
      </c>
      <c r="N71" s="36">
        <v>43921</v>
      </c>
    </row>
    <row r="72" spans="1:14" x14ac:dyDescent="0.35">
      <c r="A72" s="69">
        <v>43983</v>
      </c>
      <c r="B72" s="61" t="s">
        <v>208</v>
      </c>
      <c r="C72" s="67"/>
      <c r="D72" s="26">
        <v>23.7</v>
      </c>
      <c r="E72" s="41">
        <f t="shared" si="8"/>
        <v>27517.089999999989</v>
      </c>
      <c r="F72" s="42"/>
      <c r="G72" s="26">
        <f t="shared" si="9"/>
        <v>22.816583321350247</v>
      </c>
      <c r="H72" s="42"/>
      <c r="I72" s="26">
        <f t="shared" si="10"/>
        <v>540.75302471600082</v>
      </c>
      <c r="J72" s="26">
        <f t="shared" si="11"/>
        <v>627845.97674609337</v>
      </c>
      <c r="K72" s="61"/>
      <c r="L72" s="1"/>
      <c r="M72" s="1"/>
      <c r="N72" s="1"/>
    </row>
    <row r="73" spans="1:14" x14ac:dyDescent="0.35">
      <c r="A73" s="69">
        <v>43984</v>
      </c>
      <c r="B73" s="61" t="s">
        <v>209</v>
      </c>
      <c r="C73" s="67"/>
      <c r="D73" s="26">
        <f>10*4.15</f>
        <v>41.5</v>
      </c>
      <c r="E73" s="41">
        <f t="shared" si="8"/>
        <v>27475.589999999989</v>
      </c>
      <c r="F73" s="42"/>
      <c r="G73" s="26">
        <f t="shared" si="9"/>
        <v>22.816583321350244</v>
      </c>
      <c r="H73" s="42"/>
      <c r="I73" s="26">
        <f t="shared" si="10"/>
        <v>946.88820783603512</v>
      </c>
      <c r="J73" s="26">
        <f t="shared" si="11"/>
        <v>626899.08853825729</v>
      </c>
      <c r="K73" s="61"/>
      <c r="L73" s="1"/>
      <c r="M73" s="1"/>
      <c r="N73" s="1"/>
    </row>
    <row r="74" spans="1:14" x14ac:dyDescent="0.35">
      <c r="A74" s="69">
        <v>43987</v>
      </c>
      <c r="B74" s="61" t="s">
        <v>215</v>
      </c>
      <c r="C74" s="67"/>
      <c r="D74" s="26">
        <f>8*2</f>
        <v>16</v>
      </c>
      <c r="E74" s="41">
        <f t="shared" si="8"/>
        <v>27459.589999999989</v>
      </c>
      <c r="F74" s="42"/>
      <c r="G74" s="26">
        <f t="shared" si="9"/>
        <v>22.816583321350244</v>
      </c>
      <c r="H74" s="42"/>
      <c r="I74" s="26">
        <f t="shared" si="10"/>
        <v>365.0653331416039</v>
      </c>
      <c r="J74" s="26">
        <f t="shared" si="11"/>
        <v>626534.02320511569</v>
      </c>
      <c r="K74" s="61"/>
      <c r="L74" s="1"/>
      <c r="M74" s="1"/>
      <c r="N74" s="1"/>
    </row>
    <row r="75" spans="1:14" x14ac:dyDescent="0.35">
      <c r="A75" s="69">
        <v>43987</v>
      </c>
      <c r="B75" s="61" t="s">
        <v>216</v>
      </c>
      <c r="C75" s="67"/>
      <c r="D75" s="26">
        <f>6*2.5</f>
        <v>15</v>
      </c>
      <c r="E75" s="41">
        <f t="shared" si="8"/>
        <v>27444.589999999989</v>
      </c>
      <c r="F75" s="42"/>
      <c r="G75" s="26">
        <f t="shared" si="9"/>
        <v>22.816583321350244</v>
      </c>
      <c r="H75" s="42"/>
      <c r="I75" s="26">
        <f t="shared" si="10"/>
        <v>342.24874982025364</v>
      </c>
      <c r="J75" s="26">
        <f t="shared" si="11"/>
        <v>626191.77445529541</v>
      </c>
      <c r="K75" s="61"/>
      <c r="L75" s="1"/>
      <c r="M75" s="1"/>
      <c r="N75" s="1"/>
    </row>
    <row r="76" spans="1:14" x14ac:dyDescent="0.35">
      <c r="A76" s="69">
        <v>43987</v>
      </c>
      <c r="B76" s="61" t="s">
        <v>217</v>
      </c>
      <c r="C76" s="67"/>
      <c r="D76" s="26">
        <f>6*5.15+5*4.7</f>
        <v>54.400000000000006</v>
      </c>
      <c r="E76" s="41">
        <f t="shared" si="8"/>
        <v>27390.189999999988</v>
      </c>
      <c r="F76" s="42"/>
      <c r="G76" s="26">
        <f t="shared" si="9"/>
        <v>22.816583321350244</v>
      </c>
      <c r="H76" s="42"/>
      <c r="I76" s="26">
        <f t="shared" si="10"/>
        <v>1241.2221326814533</v>
      </c>
      <c r="J76" s="26">
        <f t="shared" si="11"/>
        <v>624950.55232261401</v>
      </c>
      <c r="K76" s="61"/>
      <c r="L76" s="1"/>
      <c r="M76" s="1"/>
      <c r="N76" s="1"/>
    </row>
    <row r="77" spans="1:14" s="64" customFormat="1" x14ac:dyDescent="0.35">
      <c r="A77" s="69">
        <v>43987</v>
      </c>
      <c r="B77" s="61" t="s">
        <v>218</v>
      </c>
      <c r="C77" s="67"/>
      <c r="D77" s="26">
        <v>7</v>
      </c>
      <c r="E77" s="41">
        <f t="shared" si="8"/>
        <v>27383.189999999988</v>
      </c>
      <c r="F77" s="42"/>
      <c r="G77" s="26">
        <f t="shared" si="9"/>
        <v>22.816583321350247</v>
      </c>
      <c r="H77" s="42"/>
      <c r="I77" s="26">
        <f t="shared" si="10"/>
        <v>159.71608324945174</v>
      </c>
      <c r="J77" s="26">
        <f t="shared" si="11"/>
        <v>624790.83623936458</v>
      </c>
      <c r="K77" s="61"/>
      <c r="L77" s="79"/>
      <c r="M77" s="81"/>
      <c r="N77" s="80"/>
    </row>
    <row r="78" spans="1:14" x14ac:dyDescent="0.35">
      <c r="A78" s="69">
        <v>43621</v>
      </c>
      <c r="B78" s="61" t="s">
        <v>219</v>
      </c>
      <c r="C78" s="67"/>
      <c r="D78" s="26">
        <f>6*4+3.9+3.8</f>
        <v>31.7</v>
      </c>
      <c r="E78" s="41">
        <f t="shared" si="8"/>
        <v>27351.489999999987</v>
      </c>
      <c r="F78" s="42"/>
      <c r="G78" s="26">
        <f t="shared" si="9"/>
        <v>22.816583321350247</v>
      </c>
      <c r="H78" s="42"/>
      <c r="I78" s="26">
        <f t="shared" si="10"/>
        <v>723.28569128680283</v>
      </c>
      <c r="J78" s="26">
        <f t="shared" si="11"/>
        <v>624067.55054807779</v>
      </c>
      <c r="K78" s="61"/>
      <c r="L78" s="1"/>
      <c r="M78" s="1"/>
      <c r="N78" s="1"/>
    </row>
    <row r="79" spans="1:14" x14ac:dyDescent="0.35">
      <c r="A79" s="69">
        <v>43991</v>
      </c>
      <c r="B79" s="61" t="s">
        <v>220</v>
      </c>
      <c r="C79" s="67"/>
      <c r="D79" s="26">
        <f>8*5.5</f>
        <v>44</v>
      </c>
      <c r="E79" s="41">
        <f t="shared" si="8"/>
        <v>27307.489999999987</v>
      </c>
      <c r="F79" s="42"/>
      <c r="G79" s="26">
        <f t="shared" si="9"/>
        <v>22.816583321350247</v>
      </c>
      <c r="H79" s="42"/>
      <c r="I79" s="26">
        <f t="shared" si="10"/>
        <v>1003.9296661394109</v>
      </c>
      <c r="J79" s="26">
        <f t="shared" si="11"/>
        <v>623063.62088193838</v>
      </c>
      <c r="K79" s="61"/>
      <c r="L79" s="1"/>
      <c r="M79" s="1"/>
      <c r="N79" s="1"/>
    </row>
    <row r="80" spans="1:14" x14ac:dyDescent="0.35">
      <c r="A80" s="69">
        <v>43991</v>
      </c>
      <c r="B80" s="61" t="s">
        <v>221</v>
      </c>
      <c r="C80" s="67"/>
      <c r="D80" s="26">
        <f>5*4.15</f>
        <v>20.75</v>
      </c>
      <c r="E80" s="41">
        <f t="shared" si="8"/>
        <v>27286.739999999987</v>
      </c>
      <c r="F80" s="42"/>
      <c r="G80" s="26">
        <f t="shared" si="9"/>
        <v>22.816583321350247</v>
      </c>
      <c r="H80" s="42"/>
      <c r="I80" s="26">
        <f t="shared" si="10"/>
        <v>473.44410391801762</v>
      </c>
      <c r="J80" s="26">
        <f t="shared" si="11"/>
        <v>622590.17677802034</v>
      </c>
      <c r="K80" s="61"/>
      <c r="L80" s="1"/>
      <c r="M80" s="1"/>
      <c r="N80" s="1"/>
    </row>
    <row r="81" spans="1:14" x14ac:dyDescent="0.35">
      <c r="A81" s="69">
        <v>43991</v>
      </c>
      <c r="B81" s="61" t="s">
        <v>222</v>
      </c>
      <c r="C81" s="67"/>
      <c r="D81" s="26">
        <f>6*2.25</f>
        <v>13.5</v>
      </c>
      <c r="E81" s="41">
        <f t="shared" si="8"/>
        <v>27273.239999999987</v>
      </c>
      <c r="F81" s="42"/>
      <c r="G81" s="26">
        <f t="shared" si="9"/>
        <v>22.816583321350247</v>
      </c>
      <c r="H81" s="42"/>
      <c r="I81" s="26">
        <f t="shared" si="10"/>
        <v>308.02387483822832</v>
      </c>
      <c r="J81" s="26">
        <f t="shared" si="11"/>
        <v>622282.15290318208</v>
      </c>
      <c r="K81" s="61"/>
      <c r="L81" s="1"/>
      <c r="M81" s="1"/>
      <c r="N81" s="1"/>
    </row>
    <row r="82" spans="1:14" x14ac:dyDescent="0.35">
      <c r="A82" s="69">
        <v>43991</v>
      </c>
      <c r="B82" s="61" t="s">
        <v>223</v>
      </c>
      <c r="C82" s="67"/>
      <c r="D82" s="26">
        <f>10*4.2</f>
        <v>42</v>
      </c>
      <c r="E82" s="41">
        <f t="shared" si="8"/>
        <v>27231.239999999987</v>
      </c>
      <c r="F82" s="42"/>
      <c r="G82" s="26">
        <f t="shared" si="9"/>
        <v>22.816583321350247</v>
      </c>
      <c r="H82" s="42"/>
      <c r="I82" s="26">
        <f t="shared" si="10"/>
        <v>958.29649949671034</v>
      </c>
      <c r="J82" s="26">
        <f t="shared" si="11"/>
        <v>621323.85640368541</v>
      </c>
      <c r="K82" s="61"/>
      <c r="L82" s="1"/>
      <c r="M82" s="1"/>
      <c r="N82" s="1"/>
    </row>
    <row r="83" spans="1:14" x14ac:dyDescent="0.35">
      <c r="A83" s="69">
        <v>43991</v>
      </c>
      <c r="B83" s="61" t="s">
        <v>224</v>
      </c>
      <c r="C83" s="67"/>
      <c r="D83" s="26">
        <f>5*5.1</f>
        <v>25.5</v>
      </c>
      <c r="E83" s="41">
        <f t="shared" si="8"/>
        <v>27205.739999999987</v>
      </c>
      <c r="F83" s="42"/>
      <c r="G83" s="26">
        <f t="shared" si="9"/>
        <v>22.816583321350247</v>
      </c>
      <c r="H83" s="42"/>
      <c r="I83" s="26">
        <f t="shared" si="10"/>
        <v>581.82287469443133</v>
      </c>
      <c r="J83" s="26">
        <f t="shared" si="11"/>
        <v>620742.03352899093</v>
      </c>
      <c r="K83" s="61"/>
      <c r="L83" s="1"/>
      <c r="M83" s="1"/>
      <c r="N83" s="1"/>
    </row>
    <row r="84" spans="1:14" s="37" customFormat="1" x14ac:dyDescent="0.35">
      <c r="A84" s="73">
        <v>43992</v>
      </c>
      <c r="B84" s="32" t="s">
        <v>226</v>
      </c>
      <c r="C84" s="40"/>
      <c r="D84" s="33">
        <f>7*7.1</f>
        <v>49.699999999999996</v>
      </c>
      <c r="E84" s="70">
        <f t="shared" si="8"/>
        <v>27156.039999999986</v>
      </c>
      <c r="F84" s="71"/>
      <c r="G84" s="33">
        <f t="shared" si="9"/>
        <v>22.816583321350244</v>
      </c>
      <c r="H84" s="71"/>
      <c r="I84" s="33">
        <f t="shared" si="10"/>
        <v>1133.984191071107</v>
      </c>
      <c r="J84" s="33">
        <f t="shared" si="11"/>
        <v>619608.0493379198</v>
      </c>
      <c r="K84" s="32"/>
      <c r="L84" s="35">
        <f>SUM(I72:I84)</f>
        <v>8778.6804328895068</v>
      </c>
      <c r="M84" s="96"/>
      <c r="N84" s="36">
        <v>43997</v>
      </c>
    </row>
    <row r="85" spans="1:14" x14ac:dyDescent="0.35">
      <c r="A85" s="69">
        <v>43998</v>
      </c>
      <c r="B85" s="61" t="s">
        <v>238</v>
      </c>
      <c r="C85" s="67"/>
      <c r="D85" s="26">
        <f>2*7.3+20*1.6</f>
        <v>46.6</v>
      </c>
      <c r="E85" s="41">
        <f t="shared" si="8"/>
        <v>27109.439999999988</v>
      </c>
      <c r="F85" s="42"/>
      <c r="G85" s="26">
        <f t="shared" si="9"/>
        <v>22.816583321350244</v>
      </c>
      <c r="H85" s="42"/>
      <c r="I85" s="26">
        <f t="shared" si="10"/>
        <v>1063.2527827749213</v>
      </c>
      <c r="J85" s="26">
        <f t="shared" si="11"/>
        <v>618544.79655514483</v>
      </c>
      <c r="K85" s="61"/>
      <c r="L85" s="1"/>
      <c r="M85" s="1"/>
      <c r="N85" s="1"/>
    </row>
    <row r="86" spans="1:14" x14ac:dyDescent="0.35">
      <c r="A86" s="69">
        <v>43999</v>
      </c>
      <c r="B86" s="61" t="s">
        <v>242</v>
      </c>
      <c r="C86" s="67"/>
      <c r="D86" s="26">
        <f>11*5.15+11*5.6+5</f>
        <v>123.25</v>
      </c>
      <c r="E86" s="41">
        <f t="shared" ref="E86:E93" si="12">+E85-D86</f>
        <v>26986.189999999988</v>
      </c>
      <c r="F86" s="42"/>
      <c r="G86" s="26">
        <f t="shared" ref="G86:G93" si="13">+J85/E85</f>
        <v>22.816583321350244</v>
      </c>
      <c r="H86" s="42"/>
      <c r="I86" s="26">
        <f t="shared" ref="I86:I93" si="14">+D86*G86</f>
        <v>2812.1438943564176</v>
      </c>
      <c r="J86" s="26">
        <f t="shared" ref="J86:J93" si="15">+J85-I86</f>
        <v>615732.65266078839</v>
      </c>
      <c r="K86" s="61"/>
      <c r="L86" s="1"/>
      <c r="M86" s="1"/>
      <c r="N86" s="1"/>
    </row>
    <row r="87" spans="1:14" x14ac:dyDescent="0.35">
      <c r="A87" s="69">
        <v>44000</v>
      </c>
      <c r="B87" s="61" t="s">
        <v>246</v>
      </c>
      <c r="C87" s="67"/>
      <c r="D87" s="26">
        <f>10*5.15</f>
        <v>51.5</v>
      </c>
      <c r="E87" s="41">
        <f t="shared" si="12"/>
        <v>26934.689999999988</v>
      </c>
      <c r="F87" s="42"/>
      <c r="G87" s="26">
        <f t="shared" si="13"/>
        <v>22.81658332135024</v>
      </c>
      <c r="H87" s="42"/>
      <c r="I87" s="26">
        <f t="shared" si="14"/>
        <v>1175.0540410495373</v>
      </c>
      <c r="J87" s="26">
        <f t="shared" si="15"/>
        <v>614557.59861973883</v>
      </c>
      <c r="K87" s="61"/>
      <c r="L87" s="1"/>
      <c r="M87" s="1"/>
      <c r="N87" s="1"/>
    </row>
    <row r="88" spans="1:14" x14ac:dyDescent="0.35">
      <c r="A88" s="69">
        <v>44004</v>
      </c>
      <c r="B88" s="61" t="s">
        <v>249</v>
      </c>
      <c r="C88" s="67"/>
      <c r="D88" s="26">
        <f>2*1.5</f>
        <v>3</v>
      </c>
      <c r="E88" s="41">
        <f t="shared" si="12"/>
        <v>26931.689999999988</v>
      </c>
      <c r="F88" s="42"/>
      <c r="G88" s="26">
        <f t="shared" si="13"/>
        <v>22.81658332135024</v>
      </c>
      <c r="H88" s="42"/>
      <c r="I88" s="26">
        <f t="shared" si="14"/>
        <v>68.449749964050724</v>
      </c>
      <c r="J88" s="26">
        <f t="shared" si="15"/>
        <v>614489.14886977477</v>
      </c>
      <c r="K88" s="61"/>
      <c r="L88" s="1"/>
      <c r="M88" s="1"/>
      <c r="N88" s="1"/>
    </row>
    <row r="89" spans="1:14" x14ac:dyDescent="0.35">
      <c r="A89" s="69">
        <v>44008</v>
      </c>
      <c r="B89" s="61" t="s">
        <v>261</v>
      </c>
      <c r="C89" s="67"/>
      <c r="D89" s="26">
        <f>6*5</f>
        <v>30</v>
      </c>
      <c r="E89" s="41">
        <f t="shared" si="12"/>
        <v>26901.689999999988</v>
      </c>
      <c r="F89" s="42"/>
      <c r="G89" s="26">
        <f t="shared" si="13"/>
        <v>22.81658332135024</v>
      </c>
      <c r="H89" s="42"/>
      <c r="I89" s="26">
        <f t="shared" si="14"/>
        <v>684.49749964050716</v>
      </c>
      <c r="J89" s="26">
        <f t="shared" si="15"/>
        <v>613804.6513701342</v>
      </c>
      <c r="K89" s="61"/>
      <c r="L89" s="1"/>
      <c r="M89" s="1"/>
      <c r="N89" s="1"/>
    </row>
    <row r="90" spans="1:14" x14ac:dyDescent="0.35">
      <c r="A90" s="69">
        <v>44008</v>
      </c>
      <c r="B90" s="61" t="s">
        <v>263</v>
      </c>
      <c r="C90" s="67"/>
      <c r="D90" s="26">
        <f>4*4</f>
        <v>16</v>
      </c>
      <c r="E90" s="41">
        <f t="shared" si="12"/>
        <v>26885.689999999988</v>
      </c>
      <c r="F90" s="42"/>
      <c r="G90" s="26">
        <f t="shared" si="13"/>
        <v>22.816583321350237</v>
      </c>
      <c r="H90" s="42"/>
      <c r="I90" s="26">
        <f t="shared" si="14"/>
        <v>365.06533314160379</v>
      </c>
      <c r="J90" s="26">
        <f t="shared" si="15"/>
        <v>613439.58603699261</v>
      </c>
      <c r="K90" s="61"/>
      <c r="L90" s="1"/>
      <c r="M90" s="1"/>
      <c r="N90" s="1"/>
    </row>
    <row r="91" spans="1:14" x14ac:dyDescent="0.35">
      <c r="A91" s="69">
        <v>44008</v>
      </c>
      <c r="B91" s="61" t="s">
        <v>264</v>
      </c>
      <c r="C91" s="67"/>
      <c r="D91" s="26">
        <f>7*5.7+14*5</f>
        <v>109.9</v>
      </c>
      <c r="E91" s="41">
        <f t="shared" si="12"/>
        <v>26775.789999999986</v>
      </c>
      <c r="F91" s="42"/>
      <c r="G91" s="26">
        <f t="shared" si="13"/>
        <v>22.816583321350237</v>
      </c>
      <c r="H91" s="42"/>
      <c r="I91" s="26">
        <f t="shared" si="14"/>
        <v>2507.542507016391</v>
      </c>
      <c r="J91" s="26">
        <f t="shared" si="15"/>
        <v>610932.04352997616</v>
      </c>
      <c r="K91" s="61"/>
      <c r="L91" s="1"/>
      <c r="M91" s="1"/>
      <c r="N91" s="1"/>
    </row>
    <row r="92" spans="1:14" s="37" customFormat="1" x14ac:dyDescent="0.35">
      <c r="A92" s="73">
        <v>44008</v>
      </c>
      <c r="B92" s="32" t="s">
        <v>265</v>
      </c>
      <c r="C92" s="40"/>
      <c r="D92" s="33">
        <f>3*4.5+4*5.1+4+6.2</f>
        <v>44.1</v>
      </c>
      <c r="E92" s="70">
        <f t="shared" si="12"/>
        <v>26731.689999999988</v>
      </c>
      <c r="F92" s="71"/>
      <c r="G92" s="33">
        <f t="shared" si="13"/>
        <v>22.816583321350237</v>
      </c>
      <c r="H92" s="71"/>
      <c r="I92" s="33">
        <f t="shared" si="14"/>
        <v>1006.2113244715455</v>
      </c>
      <c r="J92" s="33">
        <f t="shared" si="15"/>
        <v>609925.83220550464</v>
      </c>
      <c r="K92" s="32"/>
      <c r="L92" s="35">
        <f>SUM(I85:I92)</f>
        <v>9682.2171324149749</v>
      </c>
      <c r="M92" s="35">
        <f>SUM(L84:L92)</f>
        <v>18460.897565304484</v>
      </c>
      <c r="N92" s="36">
        <v>44012</v>
      </c>
    </row>
    <row r="93" spans="1:14" s="37" customFormat="1" x14ac:dyDescent="0.35">
      <c r="A93" s="73">
        <v>44018</v>
      </c>
      <c r="B93" s="32" t="s">
        <v>278</v>
      </c>
      <c r="C93" s="40"/>
      <c r="D93" s="33">
        <v>0</v>
      </c>
      <c r="E93" s="70">
        <f t="shared" si="12"/>
        <v>26731.689999999988</v>
      </c>
      <c r="F93" s="71"/>
      <c r="G93" s="33">
        <f t="shared" si="13"/>
        <v>22.816583321350237</v>
      </c>
      <c r="H93" s="71"/>
      <c r="I93" s="33">
        <f t="shared" si="14"/>
        <v>0</v>
      </c>
      <c r="J93" s="33">
        <f t="shared" si="15"/>
        <v>609925.83220550464</v>
      </c>
      <c r="K93" s="32"/>
      <c r="L93" s="96"/>
      <c r="M93" s="96"/>
      <c r="N93" s="96"/>
    </row>
    <row r="94" spans="1:14" s="37" customFormat="1" x14ac:dyDescent="0.35">
      <c r="A94" s="69">
        <v>44032</v>
      </c>
      <c r="B94" s="61" t="s">
        <v>306</v>
      </c>
      <c r="C94" s="67">
        <v>8440.74</v>
      </c>
      <c r="D94" s="26"/>
      <c r="E94" s="41">
        <f>+E93+C94</f>
        <v>35172.429999999986</v>
      </c>
      <c r="F94" s="42">
        <f>+H94/C94</f>
        <v>22.814711743283173</v>
      </c>
      <c r="G94" s="26"/>
      <c r="H94" s="42">
        <v>192573.05</v>
      </c>
      <c r="I94" s="26"/>
      <c r="J94" s="33">
        <f>+J93+H94</f>
        <v>802498.88220550469</v>
      </c>
      <c r="K94" s="32"/>
      <c r="L94" s="96"/>
      <c r="M94" s="96"/>
      <c r="N94" s="96"/>
    </row>
    <row r="95" spans="1:14" s="64" customFormat="1" x14ac:dyDescent="0.35">
      <c r="A95" s="69">
        <v>44034</v>
      </c>
      <c r="B95" s="61" t="s">
        <v>282</v>
      </c>
      <c r="C95" s="67"/>
      <c r="D95" s="26">
        <f>3*2.4+3</f>
        <v>10.199999999999999</v>
      </c>
      <c r="E95" s="41">
        <f>+E94-D95</f>
        <v>35162.229999999989</v>
      </c>
      <c r="F95" s="42"/>
      <c r="G95" s="26">
        <f>+J94/E94</f>
        <v>22.816134176839785</v>
      </c>
      <c r="H95" s="42"/>
      <c r="I95" s="26">
        <f t="shared" si="10"/>
        <v>232.72456860376579</v>
      </c>
      <c r="J95" s="26">
        <f>+J94-I95</f>
        <v>802266.1576369009</v>
      </c>
      <c r="K95" s="61"/>
      <c r="L95" s="79"/>
      <c r="M95" s="79"/>
      <c r="N95" s="80"/>
    </row>
    <row r="96" spans="1:14" s="37" customFormat="1" x14ac:dyDescent="0.35">
      <c r="A96" s="73">
        <v>44040</v>
      </c>
      <c r="B96" s="32" t="s">
        <v>285</v>
      </c>
      <c r="C96" s="40"/>
      <c r="D96" s="33">
        <f>6*3</f>
        <v>18</v>
      </c>
      <c r="E96" s="70">
        <f t="shared" ref="E96:E152" si="16">+E95-D96</f>
        <v>35144.229999999989</v>
      </c>
      <c r="F96" s="71"/>
      <c r="G96" s="33">
        <f t="shared" ref="G96:G152" si="17">+J95/E95</f>
        <v>22.816134176839785</v>
      </c>
      <c r="H96" s="71"/>
      <c r="I96" s="33">
        <f t="shared" ref="I96:I152" si="18">+D96*G96</f>
        <v>410.69041518311616</v>
      </c>
      <c r="J96" s="33">
        <f t="shared" ref="J96:J152" si="19">+J95-I96</f>
        <v>801855.46722171782</v>
      </c>
      <c r="K96" s="32"/>
      <c r="L96" s="35">
        <f>SUM(I95:I96)</f>
        <v>643.41498378688198</v>
      </c>
      <c r="M96" s="35">
        <f>SUM(L96)</f>
        <v>643.41498378688198</v>
      </c>
      <c r="N96" s="36">
        <v>44043</v>
      </c>
    </row>
    <row r="97" spans="1:14" x14ac:dyDescent="0.35">
      <c r="A97" s="69">
        <v>44055</v>
      </c>
      <c r="B97" s="61" t="s">
        <v>291</v>
      </c>
      <c r="C97" s="67"/>
      <c r="D97" s="26">
        <f>8*3+4*2.5</f>
        <v>34</v>
      </c>
      <c r="E97" s="41">
        <f t="shared" si="16"/>
        <v>35110.229999999989</v>
      </c>
      <c r="F97" s="42"/>
      <c r="G97" s="26">
        <f t="shared" si="17"/>
        <v>22.816134176839785</v>
      </c>
      <c r="H97" s="42"/>
      <c r="I97" s="26">
        <f t="shared" si="18"/>
        <v>775.74856201255272</v>
      </c>
      <c r="J97" s="26">
        <f t="shared" si="19"/>
        <v>801079.71865970525</v>
      </c>
      <c r="K97" s="61"/>
      <c r="L97" s="1"/>
      <c r="M97" s="1"/>
      <c r="N97" s="1"/>
    </row>
    <row r="98" spans="1:14" s="37" customFormat="1" x14ac:dyDescent="0.35">
      <c r="A98" s="73">
        <v>44057</v>
      </c>
      <c r="B98" s="32" t="s">
        <v>294</v>
      </c>
      <c r="C98" s="40"/>
      <c r="D98" s="33">
        <f>4*3.6</f>
        <v>14.4</v>
      </c>
      <c r="E98" s="70">
        <f t="shared" si="16"/>
        <v>35095.829999999987</v>
      </c>
      <c r="F98" s="71"/>
      <c r="G98" s="33">
        <f t="shared" si="17"/>
        <v>22.816134176839785</v>
      </c>
      <c r="H98" s="71"/>
      <c r="I98" s="33">
        <f t="shared" si="18"/>
        <v>328.55233214649292</v>
      </c>
      <c r="J98" s="33">
        <f t="shared" si="19"/>
        <v>800751.16632755881</v>
      </c>
      <c r="K98" s="32"/>
      <c r="L98" s="35">
        <f>SUM(I97:I98)</f>
        <v>1104.3008941590456</v>
      </c>
      <c r="M98" s="96"/>
      <c r="N98" s="36">
        <v>44058</v>
      </c>
    </row>
    <row r="99" spans="1:14" x14ac:dyDescent="0.35">
      <c r="A99" s="69">
        <v>44061</v>
      </c>
      <c r="B99" s="61" t="s">
        <v>296</v>
      </c>
      <c r="C99" s="67"/>
      <c r="D99" s="26">
        <v>0</v>
      </c>
      <c r="E99" s="41">
        <f t="shared" si="16"/>
        <v>35095.829999999987</v>
      </c>
      <c r="F99" s="42"/>
      <c r="G99" s="26">
        <f t="shared" si="17"/>
        <v>22.816134176839785</v>
      </c>
      <c r="H99" s="42"/>
      <c r="I99" s="26">
        <f t="shared" si="18"/>
        <v>0</v>
      </c>
      <c r="J99" s="26">
        <f t="shared" si="19"/>
        <v>800751.16632755881</v>
      </c>
      <c r="K99" s="61"/>
      <c r="L99" s="1"/>
      <c r="M99" s="1"/>
      <c r="N99" s="1"/>
    </row>
    <row r="100" spans="1:14" x14ac:dyDescent="0.35">
      <c r="A100" s="69">
        <v>44061</v>
      </c>
      <c r="B100" s="61" t="s">
        <v>297</v>
      </c>
      <c r="C100" s="67"/>
      <c r="D100" s="26">
        <f>2.9+2*3+4+2*4.4+3.4</f>
        <v>25.1</v>
      </c>
      <c r="E100" s="41">
        <f t="shared" si="16"/>
        <v>35070.729999999989</v>
      </c>
      <c r="F100" s="42"/>
      <c r="G100" s="26">
        <f t="shared" si="17"/>
        <v>22.816134176839785</v>
      </c>
      <c r="H100" s="42"/>
      <c r="I100" s="26">
        <f t="shared" si="18"/>
        <v>572.68496783867863</v>
      </c>
      <c r="J100" s="26">
        <f t="shared" si="19"/>
        <v>800178.48135972011</v>
      </c>
      <c r="K100" s="61"/>
      <c r="L100" s="1"/>
      <c r="M100" s="1"/>
      <c r="N100" s="1"/>
    </row>
    <row r="101" spans="1:14" x14ac:dyDescent="0.35">
      <c r="A101" s="69">
        <v>44064</v>
      </c>
      <c r="B101" s="61" t="s">
        <v>361</v>
      </c>
      <c r="C101" s="67"/>
      <c r="D101" s="26">
        <f>2*2.5</f>
        <v>5</v>
      </c>
      <c r="E101" s="41">
        <f t="shared" si="16"/>
        <v>35065.729999999989</v>
      </c>
      <c r="F101" s="42"/>
      <c r="G101" s="26">
        <f t="shared" si="17"/>
        <v>22.816134176839785</v>
      </c>
      <c r="H101" s="42"/>
      <c r="I101" s="26">
        <f t="shared" si="18"/>
        <v>114.08067088419892</v>
      </c>
      <c r="J101" s="26">
        <f t="shared" si="19"/>
        <v>800064.40068883589</v>
      </c>
      <c r="K101" s="61"/>
      <c r="L101" s="1"/>
      <c r="M101" s="1"/>
      <c r="N101" s="1"/>
    </row>
    <row r="102" spans="1:14" s="37" customFormat="1" x14ac:dyDescent="0.35">
      <c r="A102" s="73">
        <v>44064</v>
      </c>
      <c r="B102" s="32" t="s">
        <v>305</v>
      </c>
      <c r="C102" s="40"/>
      <c r="D102" s="33">
        <f>2*2.2</f>
        <v>4.4000000000000004</v>
      </c>
      <c r="E102" s="70">
        <f t="shared" si="16"/>
        <v>35061.329999999987</v>
      </c>
      <c r="F102" s="71"/>
      <c r="G102" s="33">
        <f t="shared" si="17"/>
        <v>22.816134176839785</v>
      </c>
      <c r="H102" s="71"/>
      <c r="I102" s="33">
        <f t="shared" si="18"/>
        <v>100.39099037809507</v>
      </c>
      <c r="J102" s="33">
        <f t="shared" si="19"/>
        <v>799964.00969845778</v>
      </c>
      <c r="K102" s="32"/>
      <c r="L102" s="35">
        <f>SUM(I99:I102)</f>
        <v>787.15662910097262</v>
      </c>
      <c r="M102" s="35">
        <f>SUM(L98:L102)</f>
        <v>1891.4575232600182</v>
      </c>
      <c r="N102" s="36">
        <v>44074</v>
      </c>
    </row>
    <row r="103" spans="1:14" x14ac:dyDescent="0.35">
      <c r="A103" s="69">
        <v>44075</v>
      </c>
      <c r="B103" s="61" t="s">
        <v>411</v>
      </c>
      <c r="C103" s="67"/>
      <c r="D103" s="26">
        <v>0</v>
      </c>
      <c r="E103" s="41">
        <f t="shared" si="16"/>
        <v>35061.329999999987</v>
      </c>
      <c r="F103" s="42"/>
      <c r="G103" s="26">
        <f t="shared" si="17"/>
        <v>22.816134176839785</v>
      </c>
      <c r="H103" s="42"/>
      <c r="I103" s="26">
        <f t="shared" si="18"/>
        <v>0</v>
      </c>
      <c r="J103" s="26">
        <f t="shared" si="19"/>
        <v>799964.00969845778</v>
      </c>
      <c r="K103" s="61"/>
      <c r="L103" s="1"/>
      <c r="M103" s="1"/>
      <c r="N103" s="1"/>
    </row>
    <row r="104" spans="1:14" x14ac:dyDescent="0.35">
      <c r="A104" s="69">
        <v>44076</v>
      </c>
      <c r="B104" s="61" t="s">
        <v>314</v>
      </c>
      <c r="C104" s="67"/>
      <c r="D104" s="26">
        <f>8*2.5+6*1.6</f>
        <v>29.6</v>
      </c>
      <c r="E104" s="41">
        <f t="shared" si="16"/>
        <v>35031.729999999989</v>
      </c>
      <c r="F104" s="42"/>
      <c r="G104" s="26">
        <f t="shared" si="17"/>
        <v>22.816134176839785</v>
      </c>
      <c r="H104" s="42"/>
      <c r="I104" s="26">
        <f t="shared" si="18"/>
        <v>675.35757163445771</v>
      </c>
      <c r="J104" s="26">
        <f t="shared" si="19"/>
        <v>799288.65212682332</v>
      </c>
      <c r="K104" s="61"/>
      <c r="L104" s="1"/>
      <c r="M104" s="1"/>
      <c r="N104" s="1"/>
    </row>
    <row r="105" spans="1:14" x14ac:dyDescent="0.35">
      <c r="A105" s="69">
        <v>44077</v>
      </c>
      <c r="B105" s="61" t="s">
        <v>315</v>
      </c>
      <c r="C105" s="67"/>
      <c r="D105" s="26">
        <f>17*6</f>
        <v>102</v>
      </c>
      <c r="E105" s="41">
        <f t="shared" si="16"/>
        <v>34929.729999999989</v>
      </c>
      <c r="F105" s="42"/>
      <c r="G105" s="26">
        <f t="shared" si="17"/>
        <v>22.816134176839785</v>
      </c>
      <c r="H105" s="42"/>
      <c r="I105" s="26">
        <f t="shared" si="18"/>
        <v>2327.2456860376583</v>
      </c>
      <c r="J105" s="26">
        <f t="shared" si="19"/>
        <v>796961.40644078562</v>
      </c>
      <c r="K105" s="61"/>
      <c r="L105" s="1"/>
      <c r="M105" s="1"/>
      <c r="N105" s="1"/>
    </row>
    <row r="106" spans="1:14" x14ac:dyDescent="0.35">
      <c r="A106" s="69">
        <v>44078</v>
      </c>
      <c r="B106" s="61" t="s">
        <v>320</v>
      </c>
      <c r="C106" s="67"/>
      <c r="D106" s="26">
        <v>1.5</v>
      </c>
      <c r="E106" s="41">
        <f t="shared" si="16"/>
        <v>34928.229999999989</v>
      </c>
      <c r="F106" s="42"/>
      <c r="G106" s="26">
        <f t="shared" si="17"/>
        <v>22.816134176839782</v>
      </c>
      <c r="H106" s="42"/>
      <c r="I106" s="26">
        <f t="shared" si="18"/>
        <v>34.224201265259673</v>
      </c>
      <c r="J106" s="26">
        <f t="shared" si="19"/>
        <v>796927.18223952036</v>
      </c>
      <c r="K106" s="61"/>
      <c r="L106" s="1"/>
      <c r="M106" s="1"/>
      <c r="N106" s="1"/>
    </row>
    <row r="107" spans="1:14" x14ac:dyDescent="0.35">
      <c r="A107" s="69">
        <v>44085</v>
      </c>
      <c r="B107" s="61" t="s">
        <v>332</v>
      </c>
      <c r="C107" s="67"/>
      <c r="D107" s="26">
        <f>17*3+17*2.5</f>
        <v>93.5</v>
      </c>
      <c r="E107" s="41">
        <f t="shared" si="16"/>
        <v>34834.729999999989</v>
      </c>
      <c r="F107" s="42"/>
      <c r="G107" s="26">
        <f t="shared" si="17"/>
        <v>22.816134176839782</v>
      </c>
      <c r="H107" s="42"/>
      <c r="I107" s="26">
        <f t="shared" si="18"/>
        <v>2133.3085455345195</v>
      </c>
      <c r="J107" s="26">
        <f t="shared" si="19"/>
        <v>794793.87369398586</v>
      </c>
      <c r="K107" s="61"/>
      <c r="L107" s="1"/>
      <c r="M107" s="1"/>
      <c r="N107" s="1"/>
    </row>
    <row r="108" spans="1:14" x14ac:dyDescent="0.35">
      <c r="A108" s="69">
        <v>44086</v>
      </c>
      <c r="B108" s="61" t="s">
        <v>334</v>
      </c>
      <c r="C108" s="67"/>
      <c r="D108" s="26">
        <v>338.15</v>
      </c>
      <c r="E108" s="41">
        <f t="shared" si="16"/>
        <v>34496.579999999987</v>
      </c>
      <c r="F108" s="42"/>
      <c r="G108" s="26">
        <f t="shared" si="17"/>
        <v>22.816134176839785</v>
      </c>
      <c r="H108" s="42"/>
      <c r="I108" s="26">
        <f t="shared" si="18"/>
        <v>7715.275771898373</v>
      </c>
      <c r="J108" s="26">
        <f t="shared" si="19"/>
        <v>787078.59792208753</v>
      </c>
      <c r="K108" s="61"/>
      <c r="L108" s="1"/>
      <c r="M108" s="1"/>
      <c r="N108" s="1"/>
    </row>
    <row r="109" spans="1:14" s="37" customFormat="1" x14ac:dyDescent="0.35">
      <c r="A109" s="73">
        <v>44086</v>
      </c>
      <c r="B109" s="32" t="s">
        <v>335</v>
      </c>
      <c r="C109" s="40"/>
      <c r="D109" s="33">
        <v>13.15</v>
      </c>
      <c r="E109" s="70">
        <f t="shared" si="16"/>
        <v>34483.429999999986</v>
      </c>
      <c r="F109" s="71"/>
      <c r="G109" s="33">
        <f t="shared" si="17"/>
        <v>22.816134176839785</v>
      </c>
      <c r="H109" s="71"/>
      <c r="I109" s="33">
        <f t="shared" si="18"/>
        <v>300.03216442544317</v>
      </c>
      <c r="J109" s="33">
        <f t="shared" si="19"/>
        <v>786778.56575766206</v>
      </c>
      <c r="K109" s="32"/>
      <c r="L109" s="35">
        <f>SUM(I103:I109)</f>
        <v>13185.443940795711</v>
      </c>
      <c r="M109" s="96"/>
      <c r="N109" s="36">
        <v>44089</v>
      </c>
    </row>
    <row r="110" spans="1:14" x14ac:dyDescent="0.35">
      <c r="A110" s="69">
        <v>44090</v>
      </c>
      <c r="B110" s="61" t="s">
        <v>347</v>
      </c>
      <c r="C110" s="67"/>
      <c r="D110" s="26">
        <f>6*2.7</f>
        <v>16.200000000000003</v>
      </c>
      <c r="E110" s="41">
        <f t="shared" si="16"/>
        <v>34467.229999999989</v>
      </c>
      <c r="F110" s="42"/>
      <c r="G110" s="26">
        <f t="shared" si="17"/>
        <v>22.816134176839785</v>
      </c>
      <c r="H110" s="42"/>
      <c r="I110" s="26">
        <f t="shared" si="18"/>
        <v>369.62137366480459</v>
      </c>
      <c r="J110" s="26">
        <f t="shared" si="19"/>
        <v>786408.94438399724</v>
      </c>
      <c r="K110" s="61"/>
      <c r="L110" s="1"/>
      <c r="M110" s="1"/>
      <c r="N110" s="1"/>
    </row>
    <row r="111" spans="1:14" s="64" customFormat="1" x14ac:dyDescent="0.35">
      <c r="A111" s="69">
        <v>44092</v>
      </c>
      <c r="B111" s="61" t="s">
        <v>348</v>
      </c>
      <c r="C111" s="67"/>
      <c r="D111" s="26">
        <f>15*7.9</f>
        <v>118.5</v>
      </c>
      <c r="E111" s="41">
        <f t="shared" si="16"/>
        <v>34348.729999999989</v>
      </c>
      <c r="F111" s="42"/>
      <c r="G111" s="26">
        <f t="shared" si="17"/>
        <v>22.816134176839785</v>
      </c>
      <c r="H111" s="42"/>
      <c r="I111" s="26">
        <f t="shared" si="18"/>
        <v>2703.7118999555146</v>
      </c>
      <c r="J111" s="26">
        <f t="shared" si="19"/>
        <v>783705.23248404171</v>
      </c>
      <c r="K111" s="61"/>
      <c r="L111" s="79"/>
      <c r="M111" s="81"/>
      <c r="N111" s="80"/>
    </row>
    <row r="112" spans="1:14" x14ac:dyDescent="0.35">
      <c r="A112" s="69">
        <v>44095</v>
      </c>
      <c r="B112" s="61" t="s">
        <v>351</v>
      </c>
      <c r="C112" s="67"/>
      <c r="D112" s="26">
        <f>3*4.1</f>
        <v>12.299999999999999</v>
      </c>
      <c r="E112" s="41">
        <f t="shared" si="16"/>
        <v>34336.429999999986</v>
      </c>
      <c r="F112" s="42"/>
      <c r="G112" s="26">
        <f t="shared" si="17"/>
        <v>22.816134176839782</v>
      </c>
      <c r="H112" s="42"/>
      <c r="I112" s="26">
        <f t="shared" si="18"/>
        <v>280.63845037512931</v>
      </c>
      <c r="J112" s="26">
        <f t="shared" si="19"/>
        <v>783424.59403366654</v>
      </c>
      <c r="K112" s="61"/>
      <c r="L112" s="1"/>
      <c r="M112" s="1"/>
      <c r="N112" s="1"/>
    </row>
    <row r="113" spans="1:14" x14ac:dyDescent="0.35">
      <c r="A113" s="69">
        <v>44097</v>
      </c>
      <c r="B113" s="61" t="s">
        <v>355</v>
      </c>
      <c r="C113" s="67"/>
      <c r="D113" s="26">
        <f>12*3</f>
        <v>36</v>
      </c>
      <c r="E113" s="41">
        <f t="shared" si="16"/>
        <v>34300.429999999986</v>
      </c>
      <c r="F113" s="42"/>
      <c r="G113" s="26">
        <f t="shared" si="17"/>
        <v>22.816134176839785</v>
      </c>
      <c r="H113" s="42"/>
      <c r="I113" s="26">
        <f t="shared" si="18"/>
        <v>821.38083036623232</v>
      </c>
      <c r="J113" s="26">
        <f t="shared" si="19"/>
        <v>782603.21320330026</v>
      </c>
      <c r="K113" s="61"/>
      <c r="L113" s="1"/>
      <c r="M113" s="1"/>
      <c r="N113" s="1"/>
    </row>
    <row r="114" spans="1:14" x14ac:dyDescent="0.35">
      <c r="A114" s="69">
        <v>44099</v>
      </c>
      <c r="B114" s="61" t="s">
        <v>363</v>
      </c>
      <c r="C114" s="67"/>
      <c r="D114" s="26">
        <f>9*5.06</f>
        <v>45.54</v>
      </c>
      <c r="E114" s="41">
        <f t="shared" si="16"/>
        <v>34254.889999999985</v>
      </c>
      <c r="F114" s="42"/>
      <c r="G114" s="26">
        <f t="shared" si="17"/>
        <v>22.816134176839782</v>
      </c>
      <c r="H114" s="42"/>
      <c r="I114" s="26">
        <f t="shared" si="18"/>
        <v>1039.0467504132837</v>
      </c>
      <c r="J114" s="26">
        <f t="shared" si="19"/>
        <v>781564.166452887</v>
      </c>
      <c r="K114" s="61"/>
      <c r="L114" s="1"/>
      <c r="M114" s="1"/>
      <c r="N114" s="1"/>
    </row>
    <row r="115" spans="1:14" x14ac:dyDescent="0.35">
      <c r="A115" s="69">
        <v>44100</v>
      </c>
      <c r="B115" s="61" t="s">
        <v>366</v>
      </c>
      <c r="C115" s="67"/>
      <c r="D115" s="26">
        <f>4*4</f>
        <v>16</v>
      </c>
      <c r="E115" s="41">
        <f t="shared" si="16"/>
        <v>34238.889999999985</v>
      </c>
      <c r="F115" s="42"/>
      <c r="G115" s="26">
        <f t="shared" si="17"/>
        <v>22.816134176839785</v>
      </c>
      <c r="H115" s="42"/>
      <c r="I115" s="26">
        <f t="shared" si="18"/>
        <v>365.05814682943657</v>
      </c>
      <c r="J115" s="26">
        <f t="shared" si="19"/>
        <v>781199.10830605752</v>
      </c>
      <c r="K115" s="61"/>
      <c r="L115" s="1"/>
      <c r="M115" s="1"/>
      <c r="N115" s="1"/>
    </row>
    <row r="116" spans="1:14" x14ac:dyDescent="0.35">
      <c r="A116" s="69">
        <v>44103</v>
      </c>
      <c r="B116" s="61" t="s">
        <v>369</v>
      </c>
      <c r="C116" s="67"/>
      <c r="D116" s="26">
        <f>17*3</f>
        <v>51</v>
      </c>
      <c r="E116" s="41">
        <f t="shared" si="16"/>
        <v>34187.889999999985</v>
      </c>
      <c r="F116" s="42"/>
      <c r="G116" s="26">
        <f t="shared" si="17"/>
        <v>22.816134176839782</v>
      </c>
      <c r="H116" s="42"/>
      <c r="I116" s="26">
        <f t="shared" si="18"/>
        <v>1163.6228430188289</v>
      </c>
      <c r="J116" s="26">
        <f t="shared" si="19"/>
        <v>780035.48546303867</v>
      </c>
      <c r="K116" s="61"/>
      <c r="L116" s="1"/>
      <c r="M116" s="1"/>
      <c r="N116" s="1"/>
    </row>
    <row r="117" spans="1:14" x14ac:dyDescent="0.35">
      <c r="A117" s="69">
        <v>44104</v>
      </c>
      <c r="B117" s="61" t="s">
        <v>370</v>
      </c>
      <c r="C117" s="67"/>
      <c r="D117" s="26">
        <f>2*3.5</f>
        <v>7</v>
      </c>
      <c r="E117" s="41">
        <f t="shared" si="16"/>
        <v>34180.889999999985</v>
      </c>
      <c r="F117" s="42"/>
      <c r="G117" s="26">
        <f t="shared" si="17"/>
        <v>22.816134176839782</v>
      </c>
      <c r="H117" s="42"/>
      <c r="I117" s="26">
        <f t="shared" si="18"/>
        <v>159.71293923787846</v>
      </c>
      <c r="J117" s="26">
        <f t="shared" si="19"/>
        <v>779875.77252380084</v>
      </c>
      <c r="K117" s="61"/>
      <c r="L117" s="1"/>
      <c r="M117" s="1"/>
      <c r="N117" s="1"/>
    </row>
    <row r="118" spans="1:14" s="37" customFormat="1" x14ac:dyDescent="0.35">
      <c r="A118" s="73">
        <v>44104</v>
      </c>
      <c r="B118" s="32" t="s">
        <v>371</v>
      </c>
      <c r="C118" s="40"/>
      <c r="D118" s="33">
        <f>3*4.5</f>
        <v>13.5</v>
      </c>
      <c r="E118" s="70">
        <f t="shared" si="16"/>
        <v>34167.389999999985</v>
      </c>
      <c r="F118" s="71"/>
      <c r="G118" s="33">
        <f t="shared" si="17"/>
        <v>22.816134176839782</v>
      </c>
      <c r="H118" s="71"/>
      <c r="I118" s="33">
        <f t="shared" si="18"/>
        <v>308.01781138733708</v>
      </c>
      <c r="J118" s="33">
        <f t="shared" si="19"/>
        <v>779567.75471241353</v>
      </c>
      <c r="K118" s="32"/>
      <c r="L118" s="35">
        <f>SUM(I110:I118)</f>
        <v>7210.8110452484461</v>
      </c>
      <c r="M118" s="35">
        <f>SUM(L109:L118)</f>
        <v>20396.254986044158</v>
      </c>
      <c r="N118" s="36">
        <v>44104</v>
      </c>
    </row>
    <row r="119" spans="1:14" x14ac:dyDescent="0.35">
      <c r="A119" s="69">
        <v>44105</v>
      </c>
      <c r="B119" s="61" t="s">
        <v>372</v>
      </c>
      <c r="C119" s="67"/>
      <c r="D119" s="26">
        <f>6*4.4+2</f>
        <v>28.400000000000002</v>
      </c>
      <c r="E119" s="41">
        <f t="shared" si="16"/>
        <v>34138.989999999983</v>
      </c>
      <c r="F119" s="42"/>
      <c r="G119" s="26">
        <f t="shared" si="17"/>
        <v>22.816134176839785</v>
      </c>
      <c r="H119" s="42"/>
      <c r="I119" s="26">
        <f t="shared" si="18"/>
        <v>647.97821062225</v>
      </c>
      <c r="J119" s="26">
        <f t="shared" si="19"/>
        <v>778919.77650179132</v>
      </c>
      <c r="K119" s="61"/>
      <c r="L119" s="1"/>
      <c r="M119" s="1"/>
      <c r="N119" s="1"/>
    </row>
    <row r="120" spans="1:14" s="64" customFormat="1" x14ac:dyDescent="0.35">
      <c r="A120" s="69">
        <v>44107</v>
      </c>
      <c r="B120" s="61" t="s">
        <v>373</v>
      </c>
      <c r="C120" s="67"/>
      <c r="D120" s="26">
        <f>14*6.6+4*3.6+3.6+4</f>
        <v>114.39999999999999</v>
      </c>
      <c r="E120" s="41">
        <f t="shared" si="16"/>
        <v>34024.589999999982</v>
      </c>
      <c r="F120" s="42"/>
      <c r="G120" s="26">
        <f t="shared" si="17"/>
        <v>22.816134176839785</v>
      </c>
      <c r="H120" s="42"/>
      <c r="I120" s="26">
        <f t="shared" si="18"/>
        <v>2610.1657498304712</v>
      </c>
      <c r="J120" s="26">
        <f t="shared" si="19"/>
        <v>776309.61075196089</v>
      </c>
      <c r="K120" s="61"/>
      <c r="L120" s="79"/>
      <c r="M120" s="79"/>
      <c r="N120" s="80"/>
    </row>
    <row r="121" spans="1:14" x14ac:dyDescent="0.35">
      <c r="A121" s="69">
        <v>44109</v>
      </c>
      <c r="B121" s="61" t="s">
        <v>375</v>
      </c>
      <c r="C121" s="67"/>
      <c r="D121" s="26">
        <v>3</v>
      </c>
      <c r="E121" s="41">
        <f t="shared" si="16"/>
        <v>34021.589999999982</v>
      </c>
      <c r="F121" s="42"/>
      <c r="G121" s="26">
        <f t="shared" si="17"/>
        <v>22.816134176839789</v>
      </c>
      <c r="H121" s="42"/>
      <c r="I121" s="26">
        <f t="shared" si="18"/>
        <v>68.44840253051936</v>
      </c>
      <c r="J121" s="26">
        <f t="shared" si="19"/>
        <v>776241.16234943038</v>
      </c>
      <c r="K121" s="61"/>
      <c r="L121" s="1"/>
      <c r="M121" s="1"/>
      <c r="N121" s="1"/>
    </row>
    <row r="122" spans="1:14" x14ac:dyDescent="0.35">
      <c r="A122" s="69">
        <v>44109</v>
      </c>
      <c r="B122" s="61" t="s">
        <v>376</v>
      </c>
      <c r="C122" s="67"/>
      <c r="D122" s="26">
        <f>6*4.2+6*4+5*3.5</f>
        <v>66.7</v>
      </c>
      <c r="E122" s="41">
        <f t="shared" si="16"/>
        <v>33954.889999999985</v>
      </c>
      <c r="F122" s="42"/>
      <c r="G122" s="26">
        <f t="shared" si="17"/>
        <v>22.816134176839789</v>
      </c>
      <c r="H122" s="42"/>
      <c r="I122" s="26">
        <f t="shared" si="18"/>
        <v>1521.836149595214</v>
      </c>
      <c r="J122" s="26">
        <f t="shared" si="19"/>
        <v>774719.32619983517</v>
      </c>
      <c r="K122" s="61"/>
      <c r="L122" s="1"/>
      <c r="M122" s="1"/>
      <c r="N122" s="1"/>
    </row>
    <row r="123" spans="1:14" x14ac:dyDescent="0.35">
      <c r="A123" s="69">
        <v>44110</v>
      </c>
      <c r="B123" s="61" t="s">
        <v>377</v>
      </c>
      <c r="C123" s="67"/>
      <c r="D123" s="26">
        <v>70</v>
      </c>
      <c r="E123" s="41">
        <f t="shared" si="16"/>
        <v>33884.889999999985</v>
      </c>
      <c r="F123" s="42"/>
      <c r="G123" s="26">
        <f t="shared" si="17"/>
        <v>22.816134176839785</v>
      </c>
      <c r="H123" s="42"/>
      <c r="I123" s="26">
        <f t="shared" si="18"/>
        <v>1597.129392378785</v>
      </c>
      <c r="J123" s="26">
        <f t="shared" si="19"/>
        <v>773122.19680745644</v>
      </c>
      <c r="K123" s="61"/>
      <c r="L123" s="1"/>
      <c r="M123" s="1"/>
      <c r="N123" s="1"/>
    </row>
    <row r="124" spans="1:14" x14ac:dyDescent="0.35">
      <c r="A124" s="69">
        <v>44111</v>
      </c>
      <c r="B124" s="61" t="s">
        <v>378</v>
      </c>
      <c r="C124" s="67"/>
      <c r="D124" s="26">
        <f>8*4.7+4*3.5</f>
        <v>51.6</v>
      </c>
      <c r="E124" s="41">
        <f t="shared" si="16"/>
        <v>33833.289999999986</v>
      </c>
      <c r="F124" s="42"/>
      <c r="G124" s="26">
        <f t="shared" si="17"/>
        <v>22.816134176839789</v>
      </c>
      <c r="H124" s="42"/>
      <c r="I124" s="26">
        <f t="shared" si="18"/>
        <v>1177.3125235249331</v>
      </c>
      <c r="J124" s="26">
        <f t="shared" si="19"/>
        <v>771944.88428393146</v>
      </c>
      <c r="K124" s="61"/>
      <c r="L124" s="1"/>
      <c r="M124" s="1"/>
      <c r="N124" s="1"/>
    </row>
    <row r="125" spans="1:14" x14ac:dyDescent="0.35">
      <c r="A125" s="69">
        <v>44111</v>
      </c>
      <c r="B125" s="61" t="s">
        <v>380</v>
      </c>
      <c r="C125" s="67"/>
      <c r="D125" s="26">
        <v>15</v>
      </c>
      <c r="E125" s="41">
        <f t="shared" si="16"/>
        <v>33818.289999999986</v>
      </c>
      <c r="F125" s="42"/>
      <c r="G125" s="26">
        <f t="shared" si="17"/>
        <v>22.816134176839785</v>
      </c>
      <c r="H125" s="42"/>
      <c r="I125" s="26">
        <f t="shared" si="18"/>
        <v>342.24201265259677</v>
      </c>
      <c r="J125" s="26">
        <f t="shared" si="19"/>
        <v>771602.64227127889</v>
      </c>
      <c r="K125" s="61"/>
      <c r="L125" s="1"/>
      <c r="M125" s="1"/>
      <c r="N125" s="1"/>
    </row>
    <row r="126" spans="1:14" x14ac:dyDescent="0.35">
      <c r="A126" s="69">
        <v>44112</v>
      </c>
      <c r="B126" s="61" t="s">
        <v>383</v>
      </c>
      <c r="C126" s="67"/>
      <c r="D126" s="26">
        <v>7</v>
      </c>
      <c r="E126" s="41">
        <f t="shared" si="16"/>
        <v>33811.289999999986</v>
      </c>
      <c r="F126" s="42"/>
      <c r="G126" s="26">
        <f t="shared" si="17"/>
        <v>22.816134176839785</v>
      </c>
      <c r="H126" s="42"/>
      <c r="I126" s="26">
        <f t="shared" si="18"/>
        <v>159.71293923787849</v>
      </c>
      <c r="J126" s="26">
        <f t="shared" si="19"/>
        <v>771442.92933204107</v>
      </c>
      <c r="K126" s="61"/>
      <c r="L126" s="1"/>
      <c r="M126" s="1"/>
      <c r="N126" s="1"/>
    </row>
    <row r="127" spans="1:14" x14ac:dyDescent="0.35">
      <c r="A127" s="69">
        <v>44112</v>
      </c>
      <c r="B127" s="61" t="s">
        <v>385</v>
      </c>
      <c r="C127" s="67"/>
      <c r="D127" s="26">
        <f>6*5.1</f>
        <v>30.599999999999998</v>
      </c>
      <c r="E127" s="41">
        <f t="shared" si="16"/>
        <v>33780.689999999988</v>
      </c>
      <c r="F127" s="42"/>
      <c r="G127" s="26">
        <f t="shared" si="17"/>
        <v>22.816134176839789</v>
      </c>
      <c r="H127" s="42"/>
      <c r="I127" s="26">
        <f t="shared" si="18"/>
        <v>698.17370581129751</v>
      </c>
      <c r="J127" s="26">
        <f t="shared" si="19"/>
        <v>770744.7556262298</v>
      </c>
      <c r="K127" s="61"/>
      <c r="L127" s="1"/>
      <c r="M127" s="1"/>
      <c r="N127" s="1"/>
    </row>
    <row r="128" spans="1:14" x14ac:dyDescent="0.35">
      <c r="A128" s="69">
        <v>44116</v>
      </c>
      <c r="B128" s="61" t="s">
        <v>389</v>
      </c>
      <c r="C128" s="67"/>
      <c r="D128" s="26">
        <f>15*5.1</f>
        <v>76.5</v>
      </c>
      <c r="E128" s="41">
        <f t="shared" si="16"/>
        <v>33704.189999999988</v>
      </c>
      <c r="F128" s="42"/>
      <c r="G128" s="26">
        <f t="shared" si="17"/>
        <v>22.816134176839789</v>
      </c>
      <c r="H128" s="42"/>
      <c r="I128" s="26">
        <f t="shared" si="18"/>
        <v>1745.4342645282438</v>
      </c>
      <c r="J128" s="26">
        <f t="shared" si="19"/>
        <v>768999.32136170159</v>
      </c>
      <c r="K128" s="61"/>
      <c r="L128" s="1"/>
      <c r="M128" s="1"/>
      <c r="N128" s="1"/>
    </row>
    <row r="129" spans="1:14" x14ac:dyDescent="0.35">
      <c r="A129" s="69">
        <v>44116</v>
      </c>
      <c r="B129" s="61" t="s">
        <v>390</v>
      </c>
      <c r="C129" s="67"/>
      <c r="D129" s="26">
        <f>8*5.5+5*6.5+4*4+2*4.5+3*5.1+6.6</f>
        <v>123.39999999999999</v>
      </c>
      <c r="E129" s="41">
        <f t="shared" si="16"/>
        <v>33580.789999999986</v>
      </c>
      <c r="F129" s="42"/>
      <c r="G129" s="26">
        <f t="shared" si="17"/>
        <v>22.816134176839789</v>
      </c>
      <c r="H129" s="42"/>
      <c r="I129" s="26">
        <f t="shared" si="18"/>
        <v>2815.5109574220296</v>
      </c>
      <c r="J129" s="26">
        <f t="shared" si="19"/>
        <v>766183.8104042795</v>
      </c>
      <c r="K129" s="61"/>
      <c r="L129" s="1"/>
      <c r="M129" s="1"/>
      <c r="N129" s="1"/>
    </row>
    <row r="130" spans="1:14" x14ac:dyDescent="0.35">
      <c r="A130" s="69">
        <v>44118</v>
      </c>
      <c r="B130" s="61" t="s">
        <v>395</v>
      </c>
      <c r="C130" s="67"/>
      <c r="D130" s="26">
        <f>4*3.72+1.72</f>
        <v>16.600000000000001</v>
      </c>
      <c r="E130" s="41">
        <f t="shared" si="16"/>
        <v>33564.189999999988</v>
      </c>
      <c r="F130" s="42"/>
      <c r="G130" s="26">
        <f t="shared" si="17"/>
        <v>22.816134176839789</v>
      </c>
      <c r="H130" s="42"/>
      <c r="I130" s="26">
        <f t="shared" si="18"/>
        <v>378.74782733554053</v>
      </c>
      <c r="J130" s="26">
        <f t="shared" si="19"/>
        <v>765805.06257694401</v>
      </c>
      <c r="K130" s="61"/>
      <c r="L130" s="1"/>
      <c r="M130" s="1"/>
      <c r="N130" s="1"/>
    </row>
    <row r="131" spans="1:14" x14ac:dyDescent="0.35">
      <c r="A131" s="69">
        <v>44119</v>
      </c>
      <c r="B131" s="61" t="s">
        <v>396</v>
      </c>
      <c r="C131" s="67"/>
      <c r="D131" s="26">
        <v>0</v>
      </c>
      <c r="E131" s="41">
        <f t="shared" si="16"/>
        <v>33564.189999999988</v>
      </c>
      <c r="F131" s="42"/>
      <c r="G131" s="26">
        <f t="shared" si="17"/>
        <v>22.816134176839789</v>
      </c>
      <c r="H131" s="42"/>
      <c r="I131" s="26">
        <f t="shared" si="18"/>
        <v>0</v>
      </c>
      <c r="J131" s="26">
        <f t="shared" si="19"/>
        <v>765805.06257694401</v>
      </c>
      <c r="K131" s="61"/>
      <c r="L131" s="1"/>
      <c r="M131" s="1"/>
      <c r="N131" s="1"/>
    </row>
    <row r="132" spans="1:14" s="37" customFormat="1" x14ac:dyDescent="0.35">
      <c r="A132" s="73">
        <v>44119</v>
      </c>
      <c r="B132" s="32" t="s">
        <v>397</v>
      </c>
      <c r="C132" s="40"/>
      <c r="D132" s="33">
        <f>2*3</f>
        <v>6</v>
      </c>
      <c r="E132" s="70">
        <f t="shared" si="16"/>
        <v>33558.189999999988</v>
      </c>
      <c r="F132" s="71"/>
      <c r="G132" s="33">
        <f t="shared" si="17"/>
        <v>22.816134176839789</v>
      </c>
      <c r="H132" s="71"/>
      <c r="I132" s="33">
        <f t="shared" si="18"/>
        <v>136.89680506103872</v>
      </c>
      <c r="J132" s="33">
        <f t="shared" si="19"/>
        <v>765668.16577188298</v>
      </c>
      <c r="K132" s="32"/>
      <c r="L132" s="35">
        <f>SUM(I119:I132)</f>
        <v>13899.588940530797</v>
      </c>
      <c r="M132" s="96"/>
      <c r="N132" s="36">
        <v>44119</v>
      </c>
    </row>
    <row r="133" spans="1:14" x14ac:dyDescent="0.35">
      <c r="A133" s="69">
        <v>44120</v>
      </c>
      <c r="B133" s="61" t="s">
        <v>402</v>
      </c>
      <c r="C133" s="67"/>
      <c r="D133" s="26">
        <f>30*3.1</f>
        <v>93</v>
      </c>
      <c r="E133" s="41">
        <f t="shared" si="16"/>
        <v>33465.189999999988</v>
      </c>
      <c r="F133" s="42"/>
      <c r="G133" s="26">
        <f t="shared" si="17"/>
        <v>22.816134176839789</v>
      </c>
      <c r="H133" s="42"/>
      <c r="I133" s="26">
        <f t="shared" si="18"/>
        <v>2121.9004784461004</v>
      </c>
      <c r="J133" s="26">
        <f t="shared" si="19"/>
        <v>763546.26529343682</v>
      </c>
      <c r="K133" s="61"/>
      <c r="L133" s="1"/>
      <c r="M133" s="1"/>
      <c r="N133" s="1"/>
    </row>
    <row r="134" spans="1:14" x14ac:dyDescent="0.35">
      <c r="A134" s="69">
        <v>44120</v>
      </c>
      <c r="B134" s="61" t="s">
        <v>403</v>
      </c>
      <c r="C134" s="67"/>
      <c r="D134" s="26">
        <f>10*3.85</f>
        <v>38.5</v>
      </c>
      <c r="E134" s="41">
        <f t="shared" si="16"/>
        <v>33426.689999999988</v>
      </c>
      <c r="F134" s="42"/>
      <c r="G134" s="26">
        <f t="shared" si="17"/>
        <v>22.816134176839789</v>
      </c>
      <c r="H134" s="42"/>
      <c r="I134" s="26">
        <f t="shared" si="18"/>
        <v>878.42116580833192</v>
      </c>
      <c r="J134" s="26">
        <f t="shared" si="19"/>
        <v>762667.84412762849</v>
      </c>
      <c r="K134" s="61"/>
      <c r="L134" s="1"/>
      <c r="M134" s="1"/>
      <c r="N134" s="1"/>
    </row>
    <row r="135" spans="1:14" x14ac:dyDescent="0.35">
      <c r="A135" s="69">
        <v>44120</v>
      </c>
      <c r="B135" s="61" t="s">
        <v>404</v>
      </c>
      <c r="C135" s="67"/>
      <c r="D135" s="26">
        <f>3*3</f>
        <v>9</v>
      </c>
      <c r="E135" s="41">
        <f t="shared" si="16"/>
        <v>33417.689999999988</v>
      </c>
      <c r="F135" s="42"/>
      <c r="G135" s="26">
        <f t="shared" si="17"/>
        <v>22.816134176839789</v>
      </c>
      <c r="H135" s="42"/>
      <c r="I135" s="26">
        <f t="shared" si="18"/>
        <v>205.34520759155811</v>
      </c>
      <c r="J135" s="26">
        <f t="shared" si="19"/>
        <v>762462.49892003695</v>
      </c>
      <c r="K135" s="61"/>
      <c r="L135" s="1"/>
      <c r="M135" s="1"/>
      <c r="N135" s="1"/>
    </row>
    <row r="136" spans="1:14" s="64" customFormat="1" x14ac:dyDescent="0.35">
      <c r="A136" s="69">
        <v>44121</v>
      </c>
      <c r="B136" s="61" t="s">
        <v>407</v>
      </c>
      <c r="C136" s="67"/>
      <c r="D136" s="26">
        <f>5*9.6+6*8.4+3</f>
        <v>101.4</v>
      </c>
      <c r="E136" s="41">
        <f t="shared" si="16"/>
        <v>33316.289999999986</v>
      </c>
      <c r="F136" s="42"/>
      <c r="G136" s="26">
        <f t="shared" si="17"/>
        <v>22.816134176839789</v>
      </c>
      <c r="H136" s="42"/>
      <c r="I136" s="26">
        <f t="shared" si="18"/>
        <v>2313.5560055315545</v>
      </c>
      <c r="J136" s="26">
        <f t="shared" si="19"/>
        <v>760148.94291450537</v>
      </c>
      <c r="K136" s="61"/>
      <c r="L136" s="79"/>
      <c r="M136" s="81"/>
      <c r="N136" s="80"/>
    </row>
    <row r="137" spans="1:14" x14ac:dyDescent="0.35">
      <c r="A137" s="69">
        <v>44123</v>
      </c>
      <c r="B137" s="61" t="s">
        <v>409</v>
      </c>
      <c r="C137" s="67"/>
      <c r="D137" s="26">
        <f>6*4</f>
        <v>24</v>
      </c>
      <c r="E137" s="41">
        <f t="shared" si="16"/>
        <v>33292.289999999986</v>
      </c>
      <c r="F137" s="42"/>
      <c r="G137" s="26">
        <f t="shared" si="17"/>
        <v>22.816134176839789</v>
      </c>
      <c r="H137" s="42"/>
      <c r="I137" s="26">
        <f t="shared" si="18"/>
        <v>547.58722024415488</v>
      </c>
      <c r="J137" s="26">
        <f t="shared" si="19"/>
        <v>759601.35569426126</v>
      </c>
      <c r="K137" s="61"/>
      <c r="L137" s="1"/>
      <c r="M137" s="1"/>
      <c r="N137" s="1"/>
    </row>
    <row r="138" spans="1:14" x14ac:dyDescent="0.35">
      <c r="A138" s="69">
        <v>44123</v>
      </c>
      <c r="B138" s="61" t="s">
        <v>410</v>
      </c>
      <c r="C138" s="67"/>
      <c r="D138" s="26">
        <f>2*3</f>
        <v>6</v>
      </c>
      <c r="E138" s="41">
        <f t="shared" si="16"/>
        <v>33286.289999999986</v>
      </c>
      <c r="F138" s="42"/>
      <c r="G138" s="26">
        <f t="shared" si="17"/>
        <v>22.816134176839789</v>
      </c>
      <c r="H138" s="42"/>
      <c r="I138" s="26">
        <f t="shared" si="18"/>
        <v>136.89680506103872</v>
      </c>
      <c r="J138" s="26">
        <f t="shared" si="19"/>
        <v>759464.45888920024</v>
      </c>
      <c r="K138" s="61"/>
      <c r="L138" s="1"/>
      <c r="M138" s="1"/>
      <c r="N138" s="1"/>
    </row>
    <row r="139" spans="1:14" x14ac:dyDescent="0.35">
      <c r="A139" s="69">
        <v>44124</v>
      </c>
      <c r="B139" s="61" t="s">
        <v>412</v>
      </c>
      <c r="C139" s="67"/>
      <c r="D139" s="26">
        <f>3*2.6+3</f>
        <v>10.8</v>
      </c>
      <c r="E139" s="41">
        <f t="shared" si="16"/>
        <v>33275.489999999983</v>
      </c>
      <c r="F139" s="42"/>
      <c r="G139" s="26">
        <f t="shared" si="17"/>
        <v>22.816134176839789</v>
      </c>
      <c r="H139" s="42"/>
      <c r="I139" s="26">
        <f t="shared" si="18"/>
        <v>246.41424910986973</v>
      </c>
      <c r="J139" s="26">
        <f t="shared" si="19"/>
        <v>759218.04464009032</v>
      </c>
      <c r="K139" s="61"/>
      <c r="L139" s="1"/>
      <c r="M139" s="1"/>
      <c r="N139" s="1"/>
    </row>
    <row r="140" spans="1:14" x14ac:dyDescent="0.35">
      <c r="A140" s="69">
        <v>44125</v>
      </c>
      <c r="B140" s="61" t="s">
        <v>415</v>
      </c>
      <c r="C140" s="67"/>
      <c r="D140" s="26">
        <f>12*1.4+12*1.85</f>
        <v>39</v>
      </c>
      <c r="E140" s="41">
        <f t="shared" si="16"/>
        <v>33236.489999999983</v>
      </c>
      <c r="F140" s="42"/>
      <c r="G140" s="26">
        <f t="shared" si="17"/>
        <v>22.816134176839793</v>
      </c>
      <c r="H140" s="42"/>
      <c r="I140" s="26">
        <f t="shared" si="18"/>
        <v>889.82923289675193</v>
      </c>
      <c r="J140" s="26">
        <f t="shared" si="19"/>
        <v>758328.21540719352</v>
      </c>
      <c r="K140" s="61"/>
      <c r="L140" s="1"/>
      <c r="M140" s="1"/>
      <c r="N140" s="1"/>
    </row>
    <row r="141" spans="1:14" x14ac:dyDescent="0.35">
      <c r="A141" s="69">
        <v>44126</v>
      </c>
      <c r="B141" s="61" t="s">
        <v>416</v>
      </c>
      <c r="C141" s="67"/>
      <c r="D141" s="26">
        <f>4*2.5+3*3</f>
        <v>19</v>
      </c>
      <c r="E141" s="41">
        <f t="shared" si="16"/>
        <v>33217.489999999983</v>
      </c>
      <c r="F141" s="42"/>
      <c r="G141" s="26">
        <f t="shared" si="17"/>
        <v>22.816134176839789</v>
      </c>
      <c r="H141" s="42"/>
      <c r="I141" s="26">
        <f t="shared" si="18"/>
        <v>433.50654935995601</v>
      </c>
      <c r="J141" s="26">
        <f t="shared" si="19"/>
        <v>757894.70885783352</v>
      </c>
      <c r="K141" s="61"/>
      <c r="L141" s="1"/>
      <c r="M141" s="1"/>
      <c r="N141" s="1"/>
    </row>
    <row r="142" spans="1:14" x14ac:dyDescent="0.35">
      <c r="A142" s="69">
        <v>44126</v>
      </c>
      <c r="B142" s="61" t="s">
        <v>418</v>
      </c>
      <c r="C142" s="67"/>
      <c r="D142" s="26">
        <f>16*6.25</f>
        <v>100</v>
      </c>
      <c r="E142" s="41">
        <f t="shared" si="16"/>
        <v>33117.489999999983</v>
      </c>
      <c r="F142" s="42"/>
      <c r="G142" s="26">
        <f t="shared" si="17"/>
        <v>22.816134176839789</v>
      </c>
      <c r="H142" s="42"/>
      <c r="I142" s="26">
        <f t="shared" si="18"/>
        <v>2281.6134176839787</v>
      </c>
      <c r="J142" s="26">
        <f t="shared" si="19"/>
        <v>755613.09544014954</v>
      </c>
      <c r="K142" s="61"/>
      <c r="L142" s="1"/>
      <c r="M142" s="1"/>
      <c r="N142" s="1"/>
    </row>
    <row r="143" spans="1:14" x14ac:dyDescent="0.35">
      <c r="A143" s="69">
        <v>44127</v>
      </c>
      <c r="B143" s="61" t="s">
        <v>420</v>
      </c>
      <c r="C143" s="67"/>
      <c r="D143" s="26">
        <f>5*2.5</f>
        <v>12.5</v>
      </c>
      <c r="E143" s="41">
        <f t="shared" si="16"/>
        <v>33104.989999999983</v>
      </c>
      <c r="F143" s="42"/>
      <c r="G143" s="26">
        <f t="shared" si="17"/>
        <v>22.816134176839789</v>
      </c>
      <c r="H143" s="42"/>
      <c r="I143" s="26">
        <f t="shared" si="18"/>
        <v>285.20167721049734</v>
      </c>
      <c r="J143" s="26">
        <f t="shared" si="19"/>
        <v>755327.89376293903</v>
      </c>
      <c r="K143" s="61"/>
      <c r="L143" s="1"/>
      <c r="M143" s="1"/>
      <c r="N143" s="1"/>
    </row>
    <row r="144" spans="1:14" s="64" customFormat="1" x14ac:dyDescent="0.35">
      <c r="A144" s="69">
        <v>44127</v>
      </c>
      <c r="B144" s="61" t="s">
        <v>421</v>
      </c>
      <c r="C144" s="67"/>
      <c r="D144" s="26">
        <f>5*4.9</f>
        <v>24.5</v>
      </c>
      <c r="E144" s="41">
        <f t="shared" si="16"/>
        <v>33080.489999999983</v>
      </c>
      <c r="F144" s="42"/>
      <c r="G144" s="26">
        <f t="shared" si="17"/>
        <v>22.816134176839789</v>
      </c>
      <c r="H144" s="42"/>
      <c r="I144" s="26">
        <f t="shared" si="18"/>
        <v>558.99528733257478</v>
      </c>
      <c r="J144" s="26">
        <f t="shared" si="19"/>
        <v>754768.89847560646</v>
      </c>
      <c r="K144" s="61"/>
      <c r="L144" s="79"/>
      <c r="M144" s="79"/>
      <c r="N144" s="80"/>
    </row>
    <row r="145" spans="1:14" s="37" customFormat="1" x14ac:dyDescent="0.35">
      <c r="A145" s="73">
        <v>44127</v>
      </c>
      <c r="B145" s="32" t="s">
        <v>422</v>
      </c>
      <c r="C145" s="40"/>
      <c r="D145" s="33">
        <f>18*1.85</f>
        <v>33.300000000000004</v>
      </c>
      <c r="E145" s="70">
        <f t="shared" si="16"/>
        <v>33047.189999999981</v>
      </c>
      <c r="F145" s="71"/>
      <c r="G145" s="33">
        <f t="shared" si="17"/>
        <v>22.816134176839789</v>
      </c>
      <c r="H145" s="71"/>
      <c r="I145" s="33">
        <f t="shared" si="18"/>
        <v>759.77726808876503</v>
      </c>
      <c r="J145" s="33">
        <f t="shared" si="19"/>
        <v>754009.12120751769</v>
      </c>
      <c r="K145" s="32"/>
      <c r="L145" s="35">
        <f>SUM(I133:I145)</f>
        <v>11659.044564365133</v>
      </c>
      <c r="M145" s="35">
        <f>SUM(L132:L145)</f>
        <v>25558.63350489593</v>
      </c>
      <c r="N145" s="36">
        <v>44135</v>
      </c>
    </row>
    <row r="146" spans="1:14" x14ac:dyDescent="0.35">
      <c r="A146" s="69">
        <v>44140</v>
      </c>
      <c r="B146" s="61" t="s">
        <v>432</v>
      </c>
      <c r="C146" s="67"/>
      <c r="D146" s="26">
        <f>9*6</f>
        <v>54</v>
      </c>
      <c r="E146" s="41">
        <f t="shared" si="16"/>
        <v>32993.189999999981</v>
      </c>
      <c r="F146" s="42"/>
      <c r="G146" s="26">
        <f t="shared" si="17"/>
        <v>22.816134176839789</v>
      </c>
      <c r="H146" s="42"/>
      <c r="I146" s="26">
        <f t="shared" si="18"/>
        <v>1232.0712455493485</v>
      </c>
      <c r="J146" s="26">
        <f t="shared" si="19"/>
        <v>752777.04996196833</v>
      </c>
      <c r="K146" s="61"/>
      <c r="L146" s="1"/>
      <c r="M146" s="1"/>
      <c r="N146" s="1"/>
    </row>
    <row r="147" spans="1:14" x14ac:dyDescent="0.35">
      <c r="A147" s="69">
        <v>44141</v>
      </c>
      <c r="B147" s="61" t="s">
        <v>435</v>
      </c>
      <c r="C147" s="67"/>
      <c r="D147" s="26">
        <f>10*4.9</f>
        <v>49</v>
      </c>
      <c r="E147" s="41">
        <f t="shared" si="16"/>
        <v>32944.189999999981</v>
      </c>
      <c r="F147" s="42"/>
      <c r="G147" s="26">
        <f t="shared" si="17"/>
        <v>22.816134176839789</v>
      </c>
      <c r="H147" s="42"/>
      <c r="I147" s="26">
        <f t="shared" si="18"/>
        <v>1117.9905746651496</v>
      </c>
      <c r="J147" s="26">
        <f t="shared" si="19"/>
        <v>751659.05938730319</v>
      </c>
      <c r="K147" s="61"/>
      <c r="L147" s="1"/>
      <c r="M147" s="1"/>
      <c r="N147" s="1"/>
    </row>
    <row r="148" spans="1:14" x14ac:dyDescent="0.35">
      <c r="A148" s="69">
        <v>44146</v>
      </c>
      <c r="B148" s="61" t="s">
        <v>441</v>
      </c>
      <c r="C148" s="67"/>
      <c r="D148" s="26">
        <f>2*3</f>
        <v>6</v>
      </c>
      <c r="E148" s="41">
        <f t="shared" si="16"/>
        <v>32938.189999999981</v>
      </c>
      <c r="F148" s="42"/>
      <c r="G148" s="26">
        <f t="shared" si="17"/>
        <v>22.816134176839789</v>
      </c>
      <c r="H148" s="42"/>
      <c r="I148" s="26">
        <f t="shared" si="18"/>
        <v>136.89680506103872</v>
      </c>
      <c r="J148" s="26">
        <f t="shared" si="19"/>
        <v>751522.16258224216</v>
      </c>
      <c r="K148" s="61"/>
      <c r="L148" s="1"/>
      <c r="M148" s="1"/>
      <c r="N148" s="1"/>
    </row>
    <row r="149" spans="1:14" x14ac:dyDescent="0.35">
      <c r="A149" s="69">
        <v>44148</v>
      </c>
      <c r="B149" s="61" t="s">
        <v>448</v>
      </c>
      <c r="C149" s="67"/>
      <c r="D149" s="26">
        <f>12*5.1</f>
        <v>61.199999999999996</v>
      </c>
      <c r="E149" s="41">
        <f t="shared" si="16"/>
        <v>32876.989999999983</v>
      </c>
      <c r="F149" s="42"/>
      <c r="G149" s="26">
        <f t="shared" si="17"/>
        <v>22.816134176839789</v>
      </c>
      <c r="H149" s="42"/>
      <c r="I149" s="26">
        <f t="shared" si="18"/>
        <v>1396.347411622595</v>
      </c>
      <c r="J149" s="26">
        <f t="shared" si="19"/>
        <v>750125.81517061952</v>
      </c>
      <c r="K149" s="61"/>
      <c r="L149" s="1"/>
      <c r="M149" s="1"/>
      <c r="N149" s="1"/>
    </row>
    <row r="150" spans="1:14" s="37" customFormat="1" x14ac:dyDescent="0.35">
      <c r="A150" s="73">
        <v>44149</v>
      </c>
      <c r="B150" s="32" t="s">
        <v>451</v>
      </c>
      <c r="C150" s="40"/>
      <c r="D150" s="33">
        <f>9*4.25</f>
        <v>38.25</v>
      </c>
      <c r="E150" s="70">
        <f t="shared" si="16"/>
        <v>32838.739999999983</v>
      </c>
      <c r="F150" s="71"/>
      <c r="G150" s="33">
        <f t="shared" si="17"/>
        <v>22.816134176839785</v>
      </c>
      <c r="H150" s="71"/>
      <c r="I150" s="33">
        <f t="shared" si="18"/>
        <v>872.7171322641218</v>
      </c>
      <c r="J150" s="33">
        <f t="shared" si="19"/>
        <v>749253.09803835535</v>
      </c>
      <c r="K150" s="32"/>
      <c r="L150" s="35">
        <f>SUM(I146:I150)</f>
        <v>4756.023169162253</v>
      </c>
      <c r="M150" s="96"/>
      <c r="N150" s="36">
        <v>44150</v>
      </c>
    </row>
    <row r="151" spans="1:14" x14ac:dyDescent="0.35">
      <c r="A151" s="69">
        <v>44156</v>
      </c>
      <c r="B151" s="61" t="s">
        <v>456</v>
      </c>
      <c r="C151" s="67"/>
      <c r="D151" s="26">
        <f>8*5</f>
        <v>40</v>
      </c>
      <c r="E151" s="41">
        <f t="shared" si="16"/>
        <v>32798.739999999983</v>
      </c>
      <c r="F151" s="42"/>
      <c r="G151" s="26">
        <f t="shared" si="17"/>
        <v>22.816134176839785</v>
      </c>
      <c r="H151" s="42"/>
      <c r="I151" s="26">
        <f t="shared" si="18"/>
        <v>912.64536707359139</v>
      </c>
      <c r="J151" s="26">
        <f t="shared" si="19"/>
        <v>748340.45267128176</v>
      </c>
      <c r="K151" s="61"/>
      <c r="L151" s="1"/>
      <c r="M151" s="1"/>
      <c r="N151" s="1"/>
    </row>
    <row r="152" spans="1:14" x14ac:dyDescent="0.35">
      <c r="A152" s="69">
        <v>44156</v>
      </c>
      <c r="B152" s="61" t="s">
        <v>457</v>
      </c>
      <c r="C152" s="67"/>
      <c r="D152" s="26">
        <f>7*5.4</f>
        <v>37.800000000000004</v>
      </c>
      <c r="E152" s="41">
        <f t="shared" si="16"/>
        <v>32760.939999999984</v>
      </c>
      <c r="F152" s="42"/>
      <c r="G152" s="26">
        <f t="shared" si="17"/>
        <v>22.816134176839785</v>
      </c>
      <c r="H152" s="42"/>
      <c r="I152" s="26">
        <f t="shared" si="18"/>
        <v>862.449871884544</v>
      </c>
      <c r="J152" s="26">
        <f t="shared" si="19"/>
        <v>747478.00279939722</v>
      </c>
      <c r="K152" s="61"/>
      <c r="L152" s="1"/>
      <c r="M152" s="1"/>
      <c r="N152" s="1"/>
    </row>
    <row r="153" spans="1:14" x14ac:dyDescent="0.35">
      <c r="A153" s="69">
        <v>44159</v>
      </c>
      <c r="B153" s="61" t="s">
        <v>527</v>
      </c>
      <c r="C153" s="67"/>
      <c r="D153" s="26">
        <f>13*4.8</f>
        <v>62.4</v>
      </c>
      <c r="E153" s="41">
        <f t="shared" ref="E153:E173" si="20">+E152-D153</f>
        <v>32698.539999999983</v>
      </c>
      <c r="F153" s="42"/>
      <c r="G153" s="26">
        <f t="shared" ref="G153:G173" si="21">+J152/E152</f>
        <v>22.816134176839785</v>
      </c>
      <c r="H153" s="42"/>
      <c r="I153" s="26">
        <f t="shared" ref="I153:I173" si="22">+D153*G153</f>
        <v>1423.7267726348025</v>
      </c>
      <c r="J153" s="26">
        <f t="shared" ref="J153:J173" si="23">+J152-I153</f>
        <v>746054.27602676244</v>
      </c>
      <c r="K153" s="61"/>
      <c r="L153" s="1"/>
      <c r="M153" s="1"/>
      <c r="N153" s="1"/>
    </row>
    <row r="154" spans="1:14" s="64" customFormat="1" x14ac:dyDescent="0.35">
      <c r="A154" s="69">
        <v>44160</v>
      </c>
      <c r="B154" s="61" t="s">
        <v>467</v>
      </c>
      <c r="C154" s="67"/>
      <c r="D154" s="26">
        <f>2*3.18</f>
        <v>6.36</v>
      </c>
      <c r="E154" s="41">
        <f t="shared" si="20"/>
        <v>32692.179999999982</v>
      </c>
      <c r="F154" s="42"/>
      <c r="G154" s="26">
        <f t="shared" si="21"/>
        <v>22.816134176839785</v>
      </c>
      <c r="H154" s="42"/>
      <c r="I154" s="26">
        <f t="shared" si="22"/>
        <v>145.11061336470104</v>
      </c>
      <c r="J154" s="26">
        <f t="shared" si="23"/>
        <v>745909.16541339771</v>
      </c>
      <c r="K154" s="61"/>
      <c r="L154" s="79"/>
      <c r="M154" s="81"/>
      <c r="N154" s="80"/>
    </row>
    <row r="155" spans="1:14" x14ac:dyDescent="0.35">
      <c r="A155" s="69">
        <v>44162</v>
      </c>
      <c r="B155" s="61" t="s">
        <v>470</v>
      </c>
      <c r="C155" s="67"/>
      <c r="D155" s="26">
        <f>6*3.5+2.5</f>
        <v>23.5</v>
      </c>
      <c r="E155" s="41">
        <f t="shared" si="20"/>
        <v>32668.679999999982</v>
      </c>
      <c r="F155" s="42"/>
      <c r="G155" s="26">
        <f t="shared" si="21"/>
        <v>22.816134176839785</v>
      </c>
      <c r="H155" s="42"/>
      <c r="I155" s="26">
        <f t="shared" si="22"/>
        <v>536.17915315573498</v>
      </c>
      <c r="J155" s="26">
        <f t="shared" si="23"/>
        <v>745372.98626024195</v>
      </c>
      <c r="K155" s="61"/>
      <c r="L155" s="1"/>
      <c r="M155" s="1"/>
      <c r="N155" s="1"/>
    </row>
    <row r="156" spans="1:14" x14ac:dyDescent="0.35">
      <c r="A156" s="69">
        <v>44162</v>
      </c>
      <c r="B156" s="61" t="s">
        <v>471</v>
      </c>
      <c r="C156" s="67"/>
      <c r="D156" s="26">
        <f>6*3.4</f>
        <v>20.399999999999999</v>
      </c>
      <c r="E156" s="41">
        <f t="shared" si="20"/>
        <v>32648.279999999981</v>
      </c>
      <c r="F156" s="42"/>
      <c r="G156" s="26">
        <f t="shared" si="21"/>
        <v>22.816134176839785</v>
      </c>
      <c r="H156" s="42"/>
      <c r="I156" s="26">
        <f t="shared" si="22"/>
        <v>465.44913720753158</v>
      </c>
      <c r="J156" s="26">
        <f t="shared" si="23"/>
        <v>744907.53712303436</v>
      </c>
      <c r="K156" s="61"/>
      <c r="L156" s="1"/>
      <c r="M156" s="1"/>
      <c r="N156" s="1"/>
    </row>
    <row r="157" spans="1:14" x14ac:dyDescent="0.35">
      <c r="A157" s="69">
        <v>44165</v>
      </c>
      <c r="B157" s="61" t="s">
        <v>473</v>
      </c>
      <c r="C157" s="67"/>
      <c r="D157" s="26">
        <f>7*5.4</f>
        <v>37.800000000000004</v>
      </c>
      <c r="E157" s="41">
        <f t="shared" si="20"/>
        <v>32610.479999999981</v>
      </c>
      <c r="F157" s="42"/>
      <c r="G157" s="26">
        <f t="shared" si="21"/>
        <v>22.816134176839785</v>
      </c>
      <c r="H157" s="42"/>
      <c r="I157" s="26">
        <f t="shared" si="22"/>
        <v>862.449871884544</v>
      </c>
      <c r="J157" s="26">
        <f t="shared" si="23"/>
        <v>744045.08725114982</v>
      </c>
      <c r="K157" s="61"/>
      <c r="L157" s="1"/>
      <c r="M157" s="1"/>
      <c r="N157" s="1"/>
    </row>
    <row r="158" spans="1:14" x14ac:dyDescent="0.35">
      <c r="A158" s="69">
        <v>44165</v>
      </c>
      <c r="B158" s="61" t="s">
        <v>474</v>
      </c>
      <c r="C158" s="67"/>
      <c r="D158" s="26">
        <f>6*3.2</f>
        <v>19.200000000000003</v>
      </c>
      <c r="E158" s="41">
        <f t="shared" si="20"/>
        <v>32591.279999999981</v>
      </c>
      <c r="F158" s="42"/>
      <c r="G158" s="26">
        <f t="shared" si="21"/>
        <v>22.816134176839785</v>
      </c>
      <c r="H158" s="42"/>
      <c r="I158" s="26">
        <f t="shared" si="22"/>
        <v>438.06977619532393</v>
      </c>
      <c r="J158" s="26">
        <f t="shared" si="23"/>
        <v>743607.01747495448</v>
      </c>
      <c r="K158" s="61"/>
      <c r="L158" s="1"/>
      <c r="M158" s="1"/>
      <c r="N158" s="1"/>
    </row>
    <row r="159" spans="1:14" s="37" customFormat="1" x14ac:dyDescent="0.35">
      <c r="A159" s="73">
        <v>44165</v>
      </c>
      <c r="B159" s="32" t="s">
        <v>476</v>
      </c>
      <c r="C159" s="40"/>
      <c r="D159" s="33">
        <v>5</v>
      </c>
      <c r="E159" s="70">
        <f t="shared" si="20"/>
        <v>32586.279999999981</v>
      </c>
      <c r="F159" s="71"/>
      <c r="G159" s="33">
        <f t="shared" si="21"/>
        <v>22.816134176839785</v>
      </c>
      <c r="H159" s="71"/>
      <c r="I159" s="33">
        <f t="shared" si="22"/>
        <v>114.08067088419892</v>
      </c>
      <c r="J159" s="33">
        <f t="shared" si="23"/>
        <v>743492.93680407025</v>
      </c>
      <c r="K159" s="32"/>
      <c r="L159" s="35">
        <f>SUM(I151:I159)</f>
        <v>5760.161234284973</v>
      </c>
      <c r="M159" s="35">
        <f>SUM(L150:L159)</f>
        <v>10516.184403447227</v>
      </c>
      <c r="N159" s="36">
        <v>44165</v>
      </c>
    </row>
    <row r="160" spans="1:14" x14ac:dyDescent="0.35">
      <c r="A160" s="69">
        <v>44167</v>
      </c>
      <c r="B160" s="61" t="s">
        <v>479</v>
      </c>
      <c r="C160" s="67"/>
      <c r="D160" s="26">
        <f>3*2.4</f>
        <v>7.1999999999999993</v>
      </c>
      <c r="E160" s="41">
        <f t="shared" si="20"/>
        <v>32579.07999999998</v>
      </c>
      <c r="F160" s="42"/>
      <c r="G160" s="26">
        <f t="shared" si="21"/>
        <v>22.816134176839782</v>
      </c>
      <c r="H160" s="42"/>
      <c r="I160" s="26">
        <f t="shared" si="22"/>
        <v>164.2761660732464</v>
      </c>
      <c r="J160" s="26">
        <f t="shared" si="23"/>
        <v>743328.66063799697</v>
      </c>
      <c r="K160" s="61"/>
      <c r="L160" s="1"/>
      <c r="M160" s="1"/>
      <c r="N160" s="1"/>
    </row>
    <row r="161" spans="1:14" x14ac:dyDescent="0.35">
      <c r="A161" s="69">
        <v>44170</v>
      </c>
      <c r="B161" s="61" t="s">
        <v>486</v>
      </c>
      <c r="C161" s="67"/>
      <c r="D161" s="26">
        <f>13*1.1</f>
        <v>14.3</v>
      </c>
      <c r="E161" s="41">
        <f t="shared" si="20"/>
        <v>32564.779999999981</v>
      </c>
      <c r="F161" s="42"/>
      <c r="G161" s="26">
        <f t="shared" si="21"/>
        <v>22.816134176839782</v>
      </c>
      <c r="H161" s="42"/>
      <c r="I161" s="26">
        <f t="shared" si="22"/>
        <v>326.2707187288089</v>
      </c>
      <c r="J161" s="26">
        <f t="shared" si="23"/>
        <v>743002.3899192682</v>
      </c>
      <c r="K161" s="61"/>
      <c r="L161" s="1"/>
      <c r="M161" s="1"/>
      <c r="N161" s="1"/>
    </row>
    <row r="162" spans="1:14" x14ac:dyDescent="0.35">
      <c r="A162" s="69">
        <v>44175</v>
      </c>
      <c r="B162" s="61" t="s">
        <v>501</v>
      </c>
      <c r="C162" s="67"/>
      <c r="D162" s="26">
        <v>0</v>
      </c>
      <c r="E162" s="41">
        <f t="shared" si="20"/>
        <v>32564.779999999981</v>
      </c>
      <c r="F162" s="42"/>
      <c r="G162" s="26">
        <f t="shared" si="21"/>
        <v>22.816134176839782</v>
      </c>
      <c r="H162" s="42"/>
      <c r="I162" s="26">
        <f t="shared" si="22"/>
        <v>0</v>
      </c>
      <c r="J162" s="26">
        <f t="shared" si="23"/>
        <v>743002.3899192682</v>
      </c>
      <c r="K162" s="61"/>
      <c r="L162" s="1"/>
      <c r="M162" s="1"/>
      <c r="N162" s="1"/>
    </row>
    <row r="163" spans="1:14" x14ac:dyDescent="0.35">
      <c r="A163" s="69">
        <v>44175</v>
      </c>
      <c r="B163" s="61" t="s">
        <v>502</v>
      </c>
      <c r="C163" s="67"/>
      <c r="D163" s="26">
        <v>133.4</v>
      </c>
      <c r="E163" s="41">
        <f t="shared" si="20"/>
        <v>32431.379999999979</v>
      </c>
      <c r="F163" s="42"/>
      <c r="G163" s="26">
        <f t="shared" si="21"/>
        <v>22.816134176839782</v>
      </c>
      <c r="H163" s="42"/>
      <c r="I163" s="26">
        <f t="shared" si="22"/>
        <v>3043.6722991904271</v>
      </c>
      <c r="J163" s="26">
        <f t="shared" si="23"/>
        <v>739958.71762007778</v>
      </c>
      <c r="K163" s="61"/>
      <c r="L163" s="1"/>
      <c r="M163" s="1"/>
      <c r="N163" s="1"/>
    </row>
    <row r="164" spans="1:14" x14ac:dyDescent="0.35">
      <c r="A164" s="69">
        <v>44176</v>
      </c>
      <c r="B164" s="61" t="s">
        <v>506</v>
      </c>
      <c r="C164" s="67"/>
      <c r="D164" s="26">
        <f>2*1.9+5*0.5</f>
        <v>6.3</v>
      </c>
      <c r="E164" s="41">
        <f t="shared" si="20"/>
        <v>32425.07999999998</v>
      </c>
      <c r="F164" s="42"/>
      <c r="G164" s="26">
        <f t="shared" si="21"/>
        <v>22.816134176839785</v>
      </c>
      <c r="H164" s="42"/>
      <c r="I164" s="26">
        <f t="shared" si="22"/>
        <v>143.74164531409065</v>
      </c>
      <c r="J164" s="26">
        <f t="shared" si="23"/>
        <v>739814.97597476363</v>
      </c>
      <c r="K164" s="61"/>
      <c r="L164" s="1"/>
      <c r="M164" s="1"/>
      <c r="N164" s="1"/>
    </row>
    <row r="165" spans="1:14" x14ac:dyDescent="0.35">
      <c r="A165" s="69">
        <v>44179</v>
      </c>
      <c r="B165" s="61" t="s">
        <v>511</v>
      </c>
      <c r="C165" s="67"/>
      <c r="D165" s="26">
        <f>12*3</f>
        <v>36</v>
      </c>
      <c r="E165" s="41">
        <f t="shared" si="20"/>
        <v>32389.07999999998</v>
      </c>
      <c r="F165" s="42"/>
      <c r="G165" s="26">
        <f t="shared" si="21"/>
        <v>22.816134176839782</v>
      </c>
      <c r="H165" s="42"/>
      <c r="I165" s="26">
        <f t="shared" si="22"/>
        <v>821.3808303662322</v>
      </c>
      <c r="J165" s="26">
        <f t="shared" si="23"/>
        <v>738993.59514439735</v>
      </c>
      <c r="K165" s="61"/>
      <c r="L165" s="1"/>
      <c r="M165" s="1"/>
      <c r="N165" s="1"/>
    </row>
    <row r="166" spans="1:14" x14ac:dyDescent="0.35">
      <c r="A166" s="69">
        <v>44180</v>
      </c>
      <c r="B166" s="61" t="s">
        <v>512</v>
      </c>
      <c r="C166" s="67"/>
      <c r="D166" s="26">
        <f>15*7.4+15*7</f>
        <v>216</v>
      </c>
      <c r="E166" s="41">
        <f t="shared" si="20"/>
        <v>32173.07999999998</v>
      </c>
      <c r="F166" s="42"/>
      <c r="G166" s="26">
        <f t="shared" si="21"/>
        <v>22.816134176839782</v>
      </c>
      <c r="H166" s="42"/>
      <c r="I166" s="26">
        <f t="shared" si="22"/>
        <v>4928.2849821973932</v>
      </c>
      <c r="J166" s="26">
        <f t="shared" si="23"/>
        <v>734065.31016220001</v>
      </c>
      <c r="K166" s="61"/>
      <c r="L166" s="1"/>
      <c r="M166" s="1"/>
      <c r="N166" s="1"/>
    </row>
    <row r="167" spans="1:14" s="37" customFormat="1" x14ac:dyDescent="0.35">
      <c r="A167" s="73">
        <v>44180</v>
      </c>
      <c r="B167" s="32" t="s">
        <v>513</v>
      </c>
      <c r="C167" s="40"/>
      <c r="D167" s="33">
        <f>2*2.4+3.27</f>
        <v>8.07</v>
      </c>
      <c r="E167" s="70">
        <f t="shared" si="20"/>
        <v>32165.00999999998</v>
      </c>
      <c r="F167" s="71"/>
      <c r="G167" s="33">
        <f t="shared" si="21"/>
        <v>22.816134176839782</v>
      </c>
      <c r="H167" s="71"/>
      <c r="I167" s="33">
        <f t="shared" si="22"/>
        <v>184.12620280709706</v>
      </c>
      <c r="J167" s="33">
        <f t="shared" si="23"/>
        <v>733881.18395939295</v>
      </c>
      <c r="K167" s="32"/>
      <c r="L167" s="35">
        <f>SUM(I160:I167)</f>
        <v>9611.7528446772976</v>
      </c>
      <c r="M167" s="35"/>
      <c r="N167" s="36">
        <v>44180</v>
      </c>
    </row>
    <row r="168" spans="1:14" s="64" customFormat="1" x14ac:dyDescent="0.35">
      <c r="A168" s="69">
        <v>44182</v>
      </c>
      <c r="B168" s="61" t="s">
        <v>514</v>
      </c>
      <c r="C168" s="67"/>
      <c r="D168" s="26">
        <f>2*2.65</f>
        <v>5.3</v>
      </c>
      <c r="E168" s="41">
        <f t="shared" si="20"/>
        <v>32159.709999999981</v>
      </c>
      <c r="F168" s="42"/>
      <c r="G168" s="26">
        <f t="shared" si="21"/>
        <v>22.816134176839782</v>
      </c>
      <c r="H168" s="42"/>
      <c r="I168" s="26">
        <f t="shared" si="22"/>
        <v>120.92551113725084</v>
      </c>
      <c r="J168" s="26">
        <f t="shared" si="23"/>
        <v>733760.25844825571</v>
      </c>
      <c r="K168" s="61"/>
      <c r="L168" s="79"/>
      <c r="M168" s="79"/>
      <c r="N168" s="80"/>
    </row>
    <row r="169" spans="1:14" x14ac:dyDescent="0.35">
      <c r="A169" s="69">
        <v>44183</v>
      </c>
      <c r="B169" s="61" t="s">
        <v>516</v>
      </c>
      <c r="C169" s="67"/>
      <c r="D169" s="26">
        <f>8*4.5</f>
        <v>36</v>
      </c>
      <c r="E169" s="41">
        <f t="shared" si="20"/>
        <v>32123.709999999981</v>
      </c>
      <c r="F169" s="42"/>
      <c r="G169" s="26">
        <f t="shared" si="21"/>
        <v>22.816134176839782</v>
      </c>
      <c r="H169" s="42"/>
      <c r="I169" s="26">
        <f t="shared" si="22"/>
        <v>821.3808303662322</v>
      </c>
      <c r="J169" s="26">
        <f t="shared" si="23"/>
        <v>732938.87761788943</v>
      </c>
      <c r="K169" s="61"/>
      <c r="L169" s="1"/>
      <c r="M169" s="1"/>
      <c r="N169" s="1"/>
    </row>
    <row r="170" spans="1:14" x14ac:dyDescent="0.35">
      <c r="A170" s="69">
        <v>44188</v>
      </c>
      <c r="B170" s="61" t="s">
        <v>519</v>
      </c>
      <c r="C170" s="67"/>
      <c r="D170" s="26">
        <f>15*8.1</f>
        <v>121.5</v>
      </c>
      <c r="E170" s="41">
        <f t="shared" si="20"/>
        <v>32002.209999999981</v>
      </c>
      <c r="F170" s="42"/>
      <c r="G170" s="26">
        <f t="shared" si="21"/>
        <v>22.816134176839782</v>
      </c>
      <c r="H170" s="42"/>
      <c r="I170" s="26">
        <f t="shared" si="22"/>
        <v>2772.1603024860333</v>
      </c>
      <c r="J170" s="26">
        <f t="shared" si="23"/>
        <v>730166.7173154034</v>
      </c>
      <c r="K170" s="61"/>
      <c r="L170" s="1"/>
      <c r="M170" s="1"/>
      <c r="N170" s="1"/>
    </row>
    <row r="171" spans="1:14" x14ac:dyDescent="0.35">
      <c r="A171" s="69">
        <v>44194</v>
      </c>
      <c r="B171" s="61" t="s">
        <v>521</v>
      </c>
      <c r="C171" s="67"/>
      <c r="D171" s="26">
        <f>8*4.5</f>
        <v>36</v>
      </c>
      <c r="E171" s="41">
        <f t="shared" si="20"/>
        <v>31966.209999999981</v>
      </c>
      <c r="F171" s="42"/>
      <c r="G171" s="26">
        <f t="shared" si="21"/>
        <v>22.816134176839782</v>
      </c>
      <c r="H171" s="42"/>
      <c r="I171" s="26">
        <f t="shared" si="22"/>
        <v>821.3808303662322</v>
      </c>
      <c r="J171" s="26">
        <f t="shared" si="23"/>
        <v>729345.33648503711</v>
      </c>
      <c r="K171" s="61"/>
      <c r="L171" s="1"/>
      <c r="M171" s="1"/>
      <c r="N171" s="1"/>
    </row>
    <row r="172" spans="1:14" x14ac:dyDescent="0.35">
      <c r="A172" s="69">
        <v>44196</v>
      </c>
      <c r="B172" s="61" t="s">
        <v>523</v>
      </c>
      <c r="C172" s="67"/>
      <c r="D172" s="26">
        <f>6*3.2</f>
        <v>19.200000000000003</v>
      </c>
      <c r="E172" s="41">
        <f t="shared" si="20"/>
        <v>31947.00999999998</v>
      </c>
      <c r="F172" s="42"/>
      <c r="G172" s="26">
        <f t="shared" si="21"/>
        <v>22.816134176839782</v>
      </c>
      <c r="H172" s="42"/>
      <c r="I172" s="26">
        <f t="shared" si="22"/>
        <v>438.06977619532387</v>
      </c>
      <c r="J172" s="26">
        <f t="shared" si="23"/>
        <v>728907.26670884178</v>
      </c>
      <c r="K172" s="61"/>
      <c r="L172" s="1"/>
      <c r="M172" s="1"/>
      <c r="N172" s="1"/>
    </row>
    <row r="173" spans="1:14" s="37" customFormat="1" x14ac:dyDescent="0.35">
      <c r="A173" s="73">
        <v>44196</v>
      </c>
      <c r="B173" s="32" t="s">
        <v>524</v>
      </c>
      <c r="C173" s="40"/>
      <c r="D173" s="33">
        <v>83.7</v>
      </c>
      <c r="E173" s="70">
        <f t="shared" si="20"/>
        <v>31863.309999999979</v>
      </c>
      <c r="F173" s="71"/>
      <c r="G173" s="33">
        <f t="shared" si="21"/>
        <v>22.816134176839782</v>
      </c>
      <c r="H173" s="71"/>
      <c r="I173" s="33">
        <f t="shared" si="22"/>
        <v>1909.7104306014899</v>
      </c>
      <c r="J173" s="33">
        <f t="shared" si="23"/>
        <v>726997.55627824028</v>
      </c>
      <c r="K173" s="32"/>
      <c r="L173" s="35">
        <f>SUM(I168:I173)</f>
        <v>6883.6276811525631</v>
      </c>
      <c r="M173" s="97">
        <f>SUM(L167:L173)</f>
        <v>16495.38052582986</v>
      </c>
      <c r="N173" s="36">
        <v>44196</v>
      </c>
    </row>
    <row r="174" spans="1:14" ht="15" thickBot="1" x14ac:dyDescent="0.4">
      <c r="A174" s="69"/>
      <c r="B174" s="61" t="s">
        <v>34</v>
      </c>
      <c r="C174" s="67">
        <f>SUM(C9:C173)</f>
        <v>38274.449999999997</v>
      </c>
      <c r="D174" s="67">
        <f>SUM(D9:D173)</f>
        <v>6411.1399999999976</v>
      </c>
      <c r="E174" s="41"/>
      <c r="F174" s="42"/>
      <c r="G174" s="26"/>
      <c r="H174" s="67">
        <f>SUM(H9:H173)</f>
        <v>873276.37999999989</v>
      </c>
      <c r="I174" s="67">
        <f>SUM(I9:I173)</f>
        <v>146278.82372175899</v>
      </c>
      <c r="J174" s="26"/>
      <c r="K174" s="62"/>
      <c r="L174" s="1"/>
      <c r="M174" s="105">
        <f>SUM(M38:M173)</f>
        <v>146278.82372175893</v>
      </c>
      <c r="N174" s="1"/>
    </row>
    <row r="175" spans="1:14" ht="15" thickTop="1" x14ac:dyDescent="0.35">
      <c r="A175" s="90"/>
      <c r="B175" s="5"/>
      <c r="C175" s="91"/>
      <c r="D175" s="94"/>
      <c r="E175" s="92"/>
      <c r="F175" s="93"/>
      <c r="G175" s="94"/>
      <c r="H175" s="93"/>
      <c r="I175" s="94"/>
      <c r="J175" s="94"/>
      <c r="K175" s="95"/>
      <c r="L175" s="1"/>
      <c r="M175" s="1"/>
      <c r="N175" s="1"/>
    </row>
    <row r="176" spans="1:14" x14ac:dyDescent="0.35">
      <c r="A176" s="90"/>
      <c r="B176" s="5"/>
      <c r="C176" s="91"/>
      <c r="D176" s="94"/>
      <c r="E176" s="92"/>
      <c r="F176" s="93"/>
      <c r="G176" s="94"/>
      <c r="H176" s="93"/>
      <c r="I176" s="94"/>
      <c r="J176" s="94"/>
      <c r="K176" s="95"/>
    </row>
    <row r="177" spans="1:13" x14ac:dyDescent="0.35">
      <c r="A177" s="50" t="s">
        <v>23</v>
      </c>
      <c r="B177" s="5"/>
      <c r="C177" s="4"/>
      <c r="D177" s="4"/>
      <c r="E177" s="4"/>
      <c r="F177" s="4"/>
      <c r="G177" s="1"/>
      <c r="H177" s="1"/>
      <c r="I177" s="48"/>
      <c r="J177" s="1"/>
      <c r="M177" s="49"/>
    </row>
    <row r="178" spans="1:13" x14ac:dyDescent="0.35">
      <c r="A178" s="50" t="s">
        <v>36</v>
      </c>
      <c r="B178" s="5"/>
      <c r="C178" s="4"/>
      <c r="D178" s="4"/>
      <c r="E178" s="4"/>
      <c r="F178" s="4"/>
      <c r="G178" s="1"/>
      <c r="H178" s="1"/>
      <c r="I178" s="1"/>
      <c r="J178" s="51">
        <f>+E173*F94</f>
        <v>726952.23283687164</v>
      </c>
    </row>
    <row r="179" spans="1:13" x14ac:dyDescent="0.35">
      <c r="A179" s="50" t="s">
        <v>24</v>
      </c>
      <c r="B179" s="5"/>
      <c r="C179" s="4"/>
      <c r="D179" s="4"/>
      <c r="E179" s="4"/>
      <c r="F179" s="4"/>
      <c r="G179" s="1"/>
      <c r="H179" s="1"/>
      <c r="I179" s="1"/>
      <c r="J179" s="52">
        <f>+J173</f>
        <v>726997.55627824028</v>
      </c>
    </row>
    <row r="180" spans="1:13" ht="15" thickBot="1" x14ac:dyDescent="0.4">
      <c r="A180" s="50"/>
      <c r="B180" s="5" t="s">
        <v>25</v>
      </c>
      <c r="C180" s="4"/>
      <c r="D180" s="4"/>
      <c r="E180" s="4"/>
      <c r="F180" s="4"/>
      <c r="G180" s="1"/>
      <c r="H180" s="1"/>
      <c r="I180" s="1"/>
      <c r="J180" s="53">
        <f>+J178-J179</f>
        <v>-45.323441368644126</v>
      </c>
    </row>
    <row r="181" spans="1:13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  <ignoredErrors>
    <ignoredError sqref="D17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51"/>
  <sheetViews>
    <sheetView workbookViewId="0">
      <selection activeCell="C25" sqref="C25"/>
    </sheetView>
  </sheetViews>
  <sheetFormatPr baseColWidth="10" defaultRowHeight="14.5" x14ac:dyDescent="0.35"/>
  <cols>
    <col min="2" max="2" width="34.08984375" customWidth="1"/>
    <col min="12" max="12" width="10.54296875" customWidth="1"/>
    <col min="13" max="13" width="11" customWidth="1"/>
    <col min="14" max="14" width="10.08984375" customWidth="1"/>
  </cols>
  <sheetData>
    <row r="1" spans="1:14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4" x14ac:dyDescent="0.35">
      <c r="A2" s="110" t="s">
        <v>2</v>
      </c>
      <c r="B2" s="3"/>
      <c r="C2" s="4"/>
      <c r="D2" s="4"/>
      <c r="E2" s="4"/>
      <c r="F2" s="4"/>
      <c r="G2" s="4"/>
      <c r="H2" s="5" t="s">
        <v>30</v>
      </c>
      <c r="I2" s="4"/>
      <c r="J2" s="4"/>
      <c r="K2" s="111"/>
    </row>
    <row r="3" spans="1:14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4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4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4" x14ac:dyDescent="0.35">
      <c r="A6" s="113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111"/>
    </row>
    <row r="7" spans="1:14" x14ac:dyDescent="0.35">
      <c r="A7" s="114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15"/>
    </row>
    <row r="8" spans="1:14" x14ac:dyDescent="0.35">
      <c r="A8" s="17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116" t="s">
        <v>21</v>
      </c>
    </row>
    <row r="9" spans="1:14" x14ac:dyDescent="0.35">
      <c r="A9" s="117">
        <v>43832</v>
      </c>
      <c r="B9" s="24" t="s">
        <v>38</v>
      </c>
      <c r="C9" s="25">
        <f>+E9</f>
        <v>5180.82</v>
      </c>
      <c r="D9" s="26"/>
      <c r="E9" s="27">
        <v>5180.82</v>
      </c>
      <c r="F9" s="26">
        <f>+H9/C9</f>
        <v>23.266125825641502</v>
      </c>
      <c r="G9" s="26"/>
      <c r="H9" s="28">
        <f>+J9</f>
        <v>120537.61</v>
      </c>
      <c r="I9" s="29"/>
      <c r="J9" s="29">
        <v>120537.61</v>
      </c>
      <c r="K9" s="118"/>
      <c r="L9" s="1"/>
      <c r="M9" s="1"/>
      <c r="N9" s="1"/>
    </row>
    <row r="10" spans="1:14" s="37" customFormat="1" x14ac:dyDescent="0.35">
      <c r="A10" s="119">
        <v>43845</v>
      </c>
      <c r="B10" s="32" t="s">
        <v>73</v>
      </c>
      <c r="C10" s="33"/>
      <c r="D10" s="33">
        <f>8*6.12</f>
        <v>48.96</v>
      </c>
      <c r="E10" s="70">
        <f>+E9-D10</f>
        <v>5131.8599999999997</v>
      </c>
      <c r="F10" s="71"/>
      <c r="G10" s="33">
        <f>+J9/E9</f>
        <v>23.266125825641502</v>
      </c>
      <c r="H10" s="71"/>
      <c r="I10" s="33">
        <f>+D10*G10</f>
        <v>1139.109520423408</v>
      </c>
      <c r="J10" s="33">
        <f>+J9-I10</f>
        <v>119398.50047957659</v>
      </c>
      <c r="K10" s="32"/>
      <c r="L10" s="35">
        <f>SUM(I10)</f>
        <v>1139.109520423408</v>
      </c>
      <c r="M10" s="35"/>
      <c r="N10" s="36">
        <v>43845</v>
      </c>
    </row>
    <row r="11" spans="1:14" s="64" customFormat="1" x14ac:dyDescent="0.35">
      <c r="A11" s="117">
        <v>43854</v>
      </c>
      <c r="B11" s="61" t="s">
        <v>91</v>
      </c>
      <c r="C11" s="26"/>
      <c r="D11" s="26">
        <f>8*4.3+5*4+4*3</f>
        <v>66.400000000000006</v>
      </c>
      <c r="E11" s="41">
        <f t="shared" ref="E11:E17" si="0">+E10-D11</f>
        <v>5065.46</v>
      </c>
      <c r="F11" s="42"/>
      <c r="G11" s="26">
        <f t="shared" ref="G11:G17" si="1">+J10/E10</f>
        <v>23.266125825641502</v>
      </c>
      <c r="H11" s="42"/>
      <c r="I11" s="26">
        <f t="shared" ref="I11:I17" si="2">+D11*G11</f>
        <v>1544.8707548225959</v>
      </c>
      <c r="J11" s="26">
        <f t="shared" ref="J11:J17" si="3">+J10-I11</f>
        <v>117853.62972475399</v>
      </c>
      <c r="K11" s="61"/>
      <c r="L11" s="81"/>
      <c r="M11" s="81"/>
      <c r="N11" s="81"/>
    </row>
    <row r="12" spans="1:14" s="37" customFormat="1" x14ac:dyDescent="0.35">
      <c r="A12" s="119">
        <v>43858</v>
      </c>
      <c r="B12" s="32" t="s">
        <v>99</v>
      </c>
      <c r="C12" s="33"/>
      <c r="D12" s="33">
        <f>4*6.12</f>
        <v>24.48</v>
      </c>
      <c r="E12" s="70">
        <f t="shared" si="0"/>
        <v>5040.9800000000005</v>
      </c>
      <c r="F12" s="71"/>
      <c r="G12" s="33">
        <f t="shared" si="1"/>
        <v>23.266125825641499</v>
      </c>
      <c r="H12" s="71"/>
      <c r="I12" s="33">
        <f t="shared" si="2"/>
        <v>569.55476021170387</v>
      </c>
      <c r="J12" s="33">
        <f t="shared" si="3"/>
        <v>117284.07496454229</v>
      </c>
      <c r="K12" s="32"/>
      <c r="L12" s="35">
        <f>SUM(I11:I12)</f>
        <v>2114.4255150342997</v>
      </c>
      <c r="M12" s="35">
        <f>SUM(L10:L12)</f>
        <v>3253.5350354577076</v>
      </c>
      <c r="N12" s="36">
        <v>43861</v>
      </c>
    </row>
    <row r="13" spans="1:14" s="37" customFormat="1" x14ac:dyDescent="0.35">
      <c r="A13" s="119">
        <v>43868</v>
      </c>
      <c r="B13" s="32" t="s">
        <v>119</v>
      </c>
      <c r="C13" s="33"/>
      <c r="D13" s="33">
        <f>20*6</f>
        <v>120</v>
      </c>
      <c r="E13" s="70">
        <f t="shared" si="0"/>
        <v>4920.9800000000005</v>
      </c>
      <c r="F13" s="71"/>
      <c r="G13" s="33">
        <f t="shared" si="1"/>
        <v>23.266125825641499</v>
      </c>
      <c r="H13" s="71"/>
      <c r="I13" s="33">
        <f t="shared" si="2"/>
        <v>2791.9350990769799</v>
      </c>
      <c r="J13" s="33">
        <f t="shared" si="3"/>
        <v>114492.13986546532</v>
      </c>
      <c r="K13" s="32"/>
      <c r="L13" s="35">
        <f>SUM(I13)</f>
        <v>2791.9350990769799</v>
      </c>
      <c r="M13" s="96"/>
      <c r="N13" s="36">
        <v>43876</v>
      </c>
    </row>
    <row r="14" spans="1:14" s="64" customFormat="1" x14ac:dyDescent="0.35">
      <c r="A14" s="117">
        <v>43880</v>
      </c>
      <c r="B14" s="61" t="s">
        <v>138</v>
      </c>
      <c r="C14" s="26"/>
      <c r="D14" s="26">
        <f>2*5</f>
        <v>10</v>
      </c>
      <c r="E14" s="41">
        <f t="shared" si="0"/>
        <v>4910.9800000000005</v>
      </c>
      <c r="F14" s="42"/>
      <c r="G14" s="26">
        <f t="shared" si="1"/>
        <v>23.266125825641499</v>
      </c>
      <c r="H14" s="42"/>
      <c r="I14" s="26">
        <f t="shared" si="2"/>
        <v>232.66125825641498</v>
      </c>
      <c r="J14" s="26">
        <f t="shared" si="3"/>
        <v>114259.4786072089</v>
      </c>
      <c r="K14" s="61"/>
      <c r="L14" s="79"/>
      <c r="M14" s="79"/>
      <c r="N14" s="80"/>
    </row>
    <row r="15" spans="1:14" s="37" customFormat="1" x14ac:dyDescent="0.35">
      <c r="A15" s="119">
        <v>43887</v>
      </c>
      <c r="B15" s="32" t="s">
        <v>151</v>
      </c>
      <c r="C15" s="33"/>
      <c r="D15" s="33">
        <f>6.8+6.6+6.35+6.15+5.5+5.3+5.1+4.8+4.6+4.35</f>
        <v>55.55</v>
      </c>
      <c r="E15" s="70">
        <f t="shared" si="0"/>
        <v>4855.43</v>
      </c>
      <c r="F15" s="71"/>
      <c r="G15" s="33">
        <f t="shared" si="1"/>
        <v>23.266125825641499</v>
      </c>
      <c r="H15" s="71"/>
      <c r="I15" s="33">
        <f t="shared" si="2"/>
        <v>1292.4332896143851</v>
      </c>
      <c r="J15" s="33">
        <f t="shared" si="3"/>
        <v>112967.04531759451</v>
      </c>
      <c r="K15" s="32"/>
      <c r="L15" s="35">
        <f>SUM(I14:I15)</f>
        <v>1525.0945478708002</v>
      </c>
      <c r="M15" s="35">
        <f>SUM(L13:L15)</f>
        <v>4317.0296469477798</v>
      </c>
      <c r="N15" s="36">
        <v>43890</v>
      </c>
    </row>
    <row r="16" spans="1:14" s="64" customFormat="1" x14ac:dyDescent="0.35">
      <c r="A16" s="117">
        <v>43897</v>
      </c>
      <c r="B16" s="61" t="s">
        <v>176</v>
      </c>
      <c r="C16" s="26"/>
      <c r="D16" s="26">
        <f>4*5.8</f>
        <v>23.2</v>
      </c>
      <c r="E16" s="41">
        <f t="shared" si="0"/>
        <v>4832.2300000000005</v>
      </c>
      <c r="F16" s="42"/>
      <c r="G16" s="26">
        <f t="shared" si="1"/>
        <v>23.266125825641499</v>
      </c>
      <c r="H16" s="42"/>
      <c r="I16" s="26">
        <f t="shared" si="2"/>
        <v>539.77411915488278</v>
      </c>
      <c r="J16" s="26">
        <f t="shared" si="3"/>
        <v>112427.27119843963</v>
      </c>
      <c r="K16" s="61"/>
      <c r="L16" s="81"/>
      <c r="M16" s="81"/>
      <c r="N16" s="81"/>
    </row>
    <row r="17" spans="1:14" s="64" customFormat="1" x14ac:dyDescent="0.35">
      <c r="A17" s="69">
        <v>43897</v>
      </c>
      <c r="B17" s="61" t="s">
        <v>177</v>
      </c>
      <c r="C17" s="62"/>
      <c r="D17" s="67">
        <v>2.5</v>
      </c>
      <c r="E17" s="41">
        <f t="shared" si="0"/>
        <v>4829.7300000000005</v>
      </c>
      <c r="F17" s="42"/>
      <c r="G17" s="26">
        <f t="shared" si="1"/>
        <v>23.266125825641499</v>
      </c>
      <c r="H17" s="42"/>
      <c r="I17" s="26">
        <f t="shared" si="2"/>
        <v>58.165314564103745</v>
      </c>
      <c r="J17" s="26">
        <f t="shared" si="3"/>
        <v>112369.10588387553</v>
      </c>
      <c r="K17" s="61"/>
      <c r="L17" s="81"/>
      <c r="M17" s="81"/>
      <c r="N17" s="81"/>
    </row>
    <row r="18" spans="1:14" s="37" customFormat="1" x14ac:dyDescent="0.35">
      <c r="A18" s="73">
        <v>43900</v>
      </c>
      <c r="B18" s="32" t="s">
        <v>187</v>
      </c>
      <c r="C18" s="39"/>
      <c r="D18" s="40">
        <v>3.6</v>
      </c>
      <c r="E18" s="70">
        <f t="shared" ref="E18:E42" si="4">+E17-D18</f>
        <v>4826.13</v>
      </c>
      <c r="F18" s="71"/>
      <c r="G18" s="33">
        <f t="shared" ref="G18:G21" si="5">+J17/E17</f>
        <v>23.266125825641499</v>
      </c>
      <c r="H18" s="71"/>
      <c r="I18" s="33">
        <f t="shared" ref="I18:I42" si="6">+D18*G18</f>
        <v>83.7580529723094</v>
      </c>
      <c r="J18" s="33">
        <f t="shared" ref="J18:J42" si="7">+J17-I18</f>
        <v>112285.34783090322</v>
      </c>
      <c r="K18" s="32"/>
      <c r="L18" s="35">
        <f>SUM(I16:I18)</f>
        <v>681.69748669129592</v>
      </c>
      <c r="M18" s="35"/>
      <c r="N18" s="36">
        <v>43905</v>
      </c>
    </row>
    <row r="19" spans="1:14" s="64" customFormat="1" x14ac:dyDescent="0.35">
      <c r="A19" s="69">
        <v>43908</v>
      </c>
      <c r="B19" s="61" t="s">
        <v>201</v>
      </c>
      <c r="C19" s="62"/>
      <c r="D19" s="67">
        <v>0</v>
      </c>
      <c r="E19" s="41">
        <f t="shared" si="4"/>
        <v>4826.13</v>
      </c>
      <c r="F19" s="42"/>
      <c r="G19" s="26">
        <f t="shared" si="5"/>
        <v>23.266125825641502</v>
      </c>
      <c r="H19" s="42"/>
      <c r="I19" s="26">
        <f t="shared" si="6"/>
        <v>0</v>
      </c>
      <c r="J19" s="26">
        <f t="shared" si="7"/>
        <v>112285.34783090322</v>
      </c>
      <c r="K19" s="61"/>
      <c r="L19" s="81"/>
      <c r="M19" s="81"/>
      <c r="N19" s="81"/>
    </row>
    <row r="20" spans="1:14" s="37" customFormat="1" x14ac:dyDescent="0.35">
      <c r="A20" s="73">
        <v>43908</v>
      </c>
      <c r="B20" s="32" t="s">
        <v>202</v>
      </c>
      <c r="C20" s="39"/>
      <c r="D20" s="40">
        <f>16*6.2</f>
        <v>99.2</v>
      </c>
      <c r="E20" s="70">
        <f t="shared" si="4"/>
        <v>4726.93</v>
      </c>
      <c r="F20" s="71"/>
      <c r="G20" s="33">
        <f t="shared" si="5"/>
        <v>23.266125825641502</v>
      </c>
      <c r="H20" s="71"/>
      <c r="I20" s="33">
        <f t="shared" si="6"/>
        <v>2307.9996819036369</v>
      </c>
      <c r="J20" s="33">
        <f t="shared" si="7"/>
        <v>109977.34814899959</v>
      </c>
      <c r="K20" s="32"/>
      <c r="L20" s="35">
        <f>SUM(I19:I20)</f>
        <v>2307.9996819036369</v>
      </c>
      <c r="M20" s="35">
        <f>SUM(L18:L20)</f>
        <v>2989.6971685949329</v>
      </c>
      <c r="N20" s="36">
        <v>43921</v>
      </c>
    </row>
    <row r="21" spans="1:14" s="37" customFormat="1" x14ac:dyDescent="0.35">
      <c r="A21" s="119">
        <v>43992</v>
      </c>
      <c r="B21" s="32" t="s">
        <v>225</v>
      </c>
      <c r="C21" s="72"/>
      <c r="D21" s="72">
        <f>20*6.6</f>
        <v>132</v>
      </c>
      <c r="E21" s="70">
        <f t="shared" si="4"/>
        <v>4594.93</v>
      </c>
      <c r="F21" s="71"/>
      <c r="G21" s="33">
        <f t="shared" si="5"/>
        <v>23.266125825641502</v>
      </c>
      <c r="H21" s="71"/>
      <c r="I21" s="33">
        <f t="shared" si="6"/>
        <v>3071.1286089846785</v>
      </c>
      <c r="J21" s="33">
        <f t="shared" si="7"/>
        <v>106906.21954001491</v>
      </c>
      <c r="K21" s="32"/>
      <c r="L21" s="35">
        <f>SUM(I21)</f>
        <v>3071.1286089846785</v>
      </c>
      <c r="M21" s="35">
        <f>SUM(L21)</f>
        <v>3071.1286089846785</v>
      </c>
      <c r="N21" s="36">
        <v>43997</v>
      </c>
    </row>
    <row r="22" spans="1:14" s="64" customFormat="1" x14ac:dyDescent="0.35">
      <c r="A22" s="117">
        <v>44032</v>
      </c>
      <c r="B22" s="61" t="s">
        <v>306</v>
      </c>
      <c r="C22" s="66">
        <v>4376.68</v>
      </c>
      <c r="D22" s="66"/>
      <c r="E22" s="41">
        <f>+E21+C22</f>
        <v>8971.61</v>
      </c>
      <c r="F22" s="42">
        <f>+H22/C22</f>
        <v>22.381321001306926</v>
      </c>
      <c r="G22" s="26"/>
      <c r="H22" s="42">
        <v>97955.88</v>
      </c>
      <c r="I22" s="26"/>
      <c r="J22" s="26">
        <f>+J21+H22</f>
        <v>204862.09954001493</v>
      </c>
      <c r="K22" s="61"/>
      <c r="L22" s="79"/>
      <c r="M22" s="79"/>
      <c r="N22" s="80"/>
    </row>
    <row r="23" spans="1:14" s="37" customFormat="1" x14ac:dyDescent="0.35">
      <c r="A23" s="119">
        <v>44049</v>
      </c>
      <c r="B23" s="32" t="s">
        <v>288</v>
      </c>
      <c r="C23" s="33"/>
      <c r="D23" s="33">
        <f>4*3</f>
        <v>12</v>
      </c>
      <c r="E23" s="70">
        <f>+E22-D23</f>
        <v>8959.61</v>
      </c>
      <c r="F23" s="71"/>
      <c r="G23" s="33">
        <f>SUM(J22/E22)</f>
        <v>22.834485620754236</v>
      </c>
      <c r="H23" s="71"/>
      <c r="I23" s="33">
        <f t="shared" si="6"/>
        <v>274.01382744905084</v>
      </c>
      <c r="J23" s="33">
        <f>+J22-I23</f>
        <v>204588.08571256587</v>
      </c>
      <c r="K23" s="32"/>
      <c r="L23" s="35">
        <f>SUM(I23)</f>
        <v>274.01382744905084</v>
      </c>
      <c r="M23" s="35"/>
      <c r="N23" s="36">
        <v>44058</v>
      </c>
    </row>
    <row r="24" spans="1:14" s="37" customFormat="1" x14ac:dyDescent="0.35">
      <c r="A24" s="119">
        <v>44072</v>
      </c>
      <c r="B24" s="32" t="s">
        <v>312</v>
      </c>
      <c r="C24" s="33"/>
      <c r="D24" s="33">
        <f>4*2.5</f>
        <v>10</v>
      </c>
      <c r="E24" s="70">
        <f>+E23-D24</f>
        <v>8949.61</v>
      </c>
      <c r="F24" s="71"/>
      <c r="G24" s="33">
        <f t="shared" ref="G24:G42" si="8">SUM(J23/E23)</f>
        <v>22.834485620754236</v>
      </c>
      <c r="H24" s="71"/>
      <c r="I24" s="33">
        <f t="shared" si="6"/>
        <v>228.34485620754236</v>
      </c>
      <c r="J24" s="33">
        <f t="shared" si="7"/>
        <v>204359.74085635832</v>
      </c>
      <c r="K24" s="32"/>
      <c r="L24" s="35">
        <f>SUM(I24)</f>
        <v>228.34485620754236</v>
      </c>
      <c r="M24" s="35">
        <f>SUM(L23:L24)</f>
        <v>502.3586836565932</v>
      </c>
      <c r="N24" s="36">
        <v>44074</v>
      </c>
    </row>
    <row r="25" spans="1:14" s="64" customFormat="1" x14ac:dyDescent="0.35">
      <c r="A25" s="117">
        <v>44082</v>
      </c>
      <c r="B25" s="61" t="s">
        <v>323</v>
      </c>
      <c r="C25" s="26"/>
      <c r="D25" s="26">
        <f>156.8+4</f>
        <v>160.80000000000001</v>
      </c>
      <c r="E25" s="41">
        <f t="shared" si="4"/>
        <v>8788.8100000000013</v>
      </c>
      <c r="F25" s="42"/>
      <c r="G25" s="29">
        <f t="shared" si="8"/>
        <v>22.834485620754233</v>
      </c>
      <c r="H25" s="42"/>
      <c r="I25" s="26">
        <f t="shared" si="6"/>
        <v>3671.7852878172807</v>
      </c>
      <c r="J25" s="26">
        <f>+J24-I25</f>
        <v>200687.95556854105</v>
      </c>
      <c r="K25" s="61"/>
      <c r="L25" s="81"/>
      <c r="M25" s="81"/>
      <c r="N25" s="81"/>
    </row>
    <row r="26" spans="1:14" s="64" customFormat="1" x14ac:dyDescent="0.35">
      <c r="A26" s="117">
        <v>44083</v>
      </c>
      <c r="B26" s="61" t="s">
        <v>327</v>
      </c>
      <c r="C26" s="26"/>
      <c r="D26" s="26">
        <f>6*3.7+2*5.7+3*4.45</f>
        <v>46.95</v>
      </c>
      <c r="E26" s="41">
        <f t="shared" si="4"/>
        <v>8741.86</v>
      </c>
      <c r="F26" s="42"/>
      <c r="G26" s="29">
        <f t="shared" si="8"/>
        <v>22.834485620754233</v>
      </c>
      <c r="H26" s="42"/>
      <c r="I26" s="26">
        <f t="shared" si="6"/>
        <v>1072.0790998944112</v>
      </c>
      <c r="J26" s="26">
        <f t="shared" si="7"/>
        <v>199615.87646864663</v>
      </c>
      <c r="K26" s="61"/>
      <c r="L26" s="81"/>
      <c r="M26" s="81"/>
      <c r="N26" s="81"/>
    </row>
    <row r="27" spans="1:14" s="37" customFormat="1" x14ac:dyDescent="0.35">
      <c r="A27" s="119">
        <v>44084</v>
      </c>
      <c r="B27" s="32" t="s">
        <v>328</v>
      </c>
      <c r="C27" s="33"/>
      <c r="D27" s="33">
        <f>3*4.4+4*3.6+5.6+5.5</f>
        <v>38.700000000000003</v>
      </c>
      <c r="E27" s="70">
        <f t="shared" si="4"/>
        <v>8703.16</v>
      </c>
      <c r="F27" s="71"/>
      <c r="G27" s="33">
        <f t="shared" si="8"/>
        <v>22.834485620754236</v>
      </c>
      <c r="H27" s="71"/>
      <c r="I27" s="33">
        <f t="shared" si="6"/>
        <v>883.69459352318904</v>
      </c>
      <c r="J27" s="33">
        <f>+J26-I27</f>
        <v>198732.18187512344</v>
      </c>
      <c r="K27" s="32"/>
      <c r="L27" s="35">
        <f>SUM(I25:I27)</f>
        <v>5627.5589812348808</v>
      </c>
      <c r="M27" s="35"/>
      <c r="N27" s="36">
        <v>44089</v>
      </c>
    </row>
    <row r="28" spans="1:14" s="64" customFormat="1" ht="13.75" customHeight="1" x14ac:dyDescent="0.35">
      <c r="A28" s="117">
        <v>44098</v>
      </c>
      <c r="B28" s="61" t="s">
        <v>358</v>
      </c>
      <c r="C28" s="26"/>
      <c r="D28" s="26">
        <f>3*4.3+3*3.5</f>
        <v>23.4</v>
      </c>
      <c r="E28" s="41">
        <f t="shared" si="4"/>
        <v>8679.76</v>
      </c>
      <c r="F28" s="42"/>
      <c r="G28" s="29">
        <f t="shared" si="8"/>
        <v>22.834485620754236</v>
      </c>
      <c r="H28" s="42"/>
      <c r="I28" s="26">
        <f t="shared" si="6"/>
        <v>534.32696352564915</v>
      </c>
      <c r="J28" s="26">
        <f t="shared" si="7"/>
        <v>198197.85491159779</v>
      </c>
      <c r="K28" s="61"/>
      <c r="L28" s="79"/>
      <c r="M28" s="79"/>
      <c r="N28" s="80"/>
    </row>
    <row r="29" spans="1:14" s="64" customFormat="1" x14ac:dyDescent="0.35">
      <c r="A29" s="117">
        <v>44099</v>
      </c>
      <c r="B29" s="61" t="s">
        <v>362</v>
      </c>
      <c r="C29" s="26"/>
      <c r="D29" s="26">
        <v>1.5</v>
      </c>
      <c r="E29" s="41">
        <f t="shared" si="4"/>
        <v>8678.26</v>
      </c>
      <c r="F29" s="42"/>
      <c r="G29" s="29">
        <f t="shared" si="8"/>
        <v>22.834485620754236</v>
      </c>
      <c r="H29" s="42"/>
      <c r="I29" s="26">
        <f t="shared" si="6"/>
        <v>34.251728431131355</v>
      </c>
      <c r="J29" s="26">
        <f t="shared" si="7"/>
        <v>198163.60318316668</v>
      </c>
      <c r="K29" s="61"/>
      <c r="L29" s="79"/>
      <c r="M29" s="81"/>
      <c r="N29" s="80"/>
    </row>
    <row r="30" spans="1:14" s="37" customFormat="1" x14ac:dyDescent="0.35">
      <c r="A30" s="119">
        <v>44103</v>
      </c>
      <c r="B30" s="32" t="s">
        <v>368</v>
      </c>
      <c r="C30" s="33"/>
      <c r="D30" s="33">
        <f>2*3+6*2.5</f>
        <v>21</v>
      </c>
      <c r="E30" s="70">
        <f t="shared" si="4"/>
        <v>8657.26</v>
      </c>
      <c r="F30" s="71"/>
      <c r="G30" s="33">
        <f t="shared" si="8"/>
        <v>22.834485620754236</v>
      </c>
      <c r="H30" s="71"/>
      <c r="I30" s="33">
        <f t="shared" si="6"/>
        <v>479.52419803583894</v>
      </c>
      <c r="J30" s="33">
        <f t="shared" si="7"/>
        <v>197684.07898513085</v>
      </c>
      <c r="K30" s="32"/>
      <c r="L30" s="35">
        <f>SUM(I28:I30)</f>
        <v>1048.1028899926196</v>
      </c>
      <c r="M30" s="35">
        <f>SUM(L27:L30)</f>
        <v>6675.6618712275003</v>
      </c>
      <c r="N30" s="36">
        <v>44104</v>
      </c>
    </row>
    <row r="31" spans="1:14" s="64" customFormat="1" x14ac:dyDescent="0.35">
      <c r="A31" s="117">
        <v>44117</v>
      </c>
      <c r="B31" s="61" t="s">
        <v>393</v>
      </c>
      <c r="C31" s="26"/>
      <c r="D31" s="26">
        <f>10*5.8+10*5.9</f>
        <v>117</v>
      </c>
      <c r="E31" s="41">
        <f t="shared" si="4"/>
        <v>8540.26</v>
      </c>
      <c r="F31" s="42"/>
      <c r="G31" s="29">
        <f t="shared" si="8"/>
        <v>22.83448562075424</v>
      </c>
      <c r="H31" s="42"/>
      <c r="I31" s="26">
        <f t="shared" si="6"/>
        <v>2671.6348176282459</v>
      </c>
      <c r="J31" s="26">
        <f t="shared" si="7"/>
        <v>195012.4441675026</v>
      </c>
      <c r="K31" s="61"/>
      <c r="L31" s="79"/>
      <c r="M31" s="79"/>
      <c r="N31" s="80"/>
    </row>
    <row r="32" spans="1:14" s="64" customFormat="1" x14ac:dyDescent="0.35">
      <c r="A32" s="117">
        <v>44118</v>
      </c>
      <c r="B32" s="61" t="s">
        <v>394</v>
      </c>
      <c r="C32" s="26"/>
      <c r="D32" s="26">
        <f>6*5</f>
        <v>30</v>
      </c>
      <c r="E32" s="41">
        <f t="shared" si="4"/>
        <v>8510.26</v>
      </c>
      <c r="F32" s="42"/>
      <c r="G32" s="29">
        <f t="shared" si="8"/>
        <v>22.83448562075424</v>
      </c>
      <c r="H32" s="42"/>
      <c r="I32" s="26">
        <f t="shared" si="6"/>
        <v>685.03456862262715</v>
      </c>
      <c r="J32" s="26">
        <f t="shared" si="7"/>
        <v>194327.40959887998</v>
      </c>
      <c r="K32" s="61"/>
      <c r="L32" s="79"/>
      <c r="M32" s="81"/>
      <c r="N32" s="80"/>
    </row>
    <row r="33" spans="1:14" s="37" customFormat="1" x14ac:dyDescent="0.35">
      <c r="A33" s="119">
        <v>44119</v>
      </c>
      <c r="B33" s="32" t="s">
        <v>398</v>
      </c>
      <c r="C33" s="33"/>
      <c r="D33" s="33">
        <v>28.28</v>
      </c>
      <c r="E33" s="70">
        <f t="shared" si="4"/>
        <v>8481.98</v>
      </c>
      <c r="F33" s="71"/>
      <c r="G33" s="33">
        <f t="shared" si="8"/>
        <v>22.83448562075424</v>
      </c>
      <c r="H33" s="71"/>
      <c r="I33" s="33">
        <f t="shared" si="6"/>
        <v>645.75925335492991</v>
      </c>
      <c r="J33" s="33">
        <f t="shared" si="7"/>
        <v>193681.65034552506</v>
      </c>
      <c r="K33" s="32"/>
      <c r="L33" s="35">
        <f>SUM(I31:I33)</f>
        <v>4002.4286396058028</v>
      </c>
      <c r="M33" s="96"/>
      <c r="N33" s="36">
        <v>44119</v>
      </c>
    </row>
    <row r="34" spans="1:14" s="37" customFormat="1" x14ac:dyDescent="0.35">
      <c r="A34" s="73">
        <v>44128</v>
      </c>
      <c r="B34" s="32" t="s">
        <v>423</v>
      </c>
      <c r="C34" s="40"/>
      <c r="D34" s="40">
        <v>7.6</v>
      </c>
      <c r="E34" s="70">
        <f t="shared" ref="E34" si="9">+E33-D34</f>
        <v>8474.3799999999992</v>
      </c>
      <c r="F34" s="71"/>
      <c r="G34" s="33">
        <f t="shared" si="8"/>
        <v>22.834485620754243</v>
      </c>
      <c r="H34" s="71"/>
      <c r="I34" s="33">
        <f t="shared" ref="I34" si="10">+D34*G34</f>
        <v>173.54209071773224</v>
      </c>
      <c r="J34" s="33">
        <f t="shared" ref="J34" si="11">+J33-I34</f>
        <v>193508.10825480733</v>
      </c>
      <c r="K34" s="32"/>
      <c r="L34" s="35">
        <f>SUM(I34)</f>
        <v>173.54209071773224</v>
      </c>
      <c r="M34" s="35">
        <f>SUM(L33:L34)</f>
        <v>4175.9707303235355</v>
      </c>
      <c r="N34" s="36">
        <v>44135</v>
      </c>
    </row>
    <row r="35" spans="1:14" x14ac:dyDescent="0.35">
      <c r="A35" s="77">
        <v>44142</v>
      </c>
      <c r="B35" s="61" t="s">
        <v>438</v>
      </c>
      <c r="C35" s="28"/>
      <c r="D35" s="28">
        <f>6*3.8+13*2.6+6*5.7</f>
        <v>90.800000000000011</v>
      </c>
      <c r="E35" s="41">
        <f t="shared" si="4"/>
        <v>8383.58</v>
      </c>
      <c r="F35" s="42"/>
      <c r="G35" s="29">
        <f t="shared" si="8"/>
        <v>22.834485620754243</v>
      </c>
      <c r="H35" s="42"/>
      <c r="I35" s="26">
        <f t="shared" si="6"/>
        <v>2073.3712943644855</v>
      </c>
      <c r="J35" s="26">
        <f t="shared" si="7"/>
        <v>191434.73696044285</v>
      </c>
      <c r="K35" s="32"/>
      <c r="L35" s="1"/>
      <c r="M35" s="1"/>
      <c r="N35" s="1"/>
    </row>
    <row r="36" spans="1:14" s="37" customFormat="1" x14ac:dyDescent="0.35">
      <c r="A36" s="73">
        <v>44147</v>
      </c>
      <c r="B36" s="32" t="s">
        <v>444</v>
      </c>
      <c r="C36" s="40"/>
      <c r="D36" s="40">
        <v>1.5</v>
      </c>
      <c r="E36" s="70">
        <f t="shared" si="4"/>
        <v>8382.08</v>
      </c>
      <c r="F36" s="71"/>
      <c r="G36" s="33">
        <f t="shared" si="8"/>
        <v>22.834485620754243</v>
      </c>
      <c r="H36" s="71"/>
      <c r="I36" s="33">
        <f t="shared" si="6"/>
        <v>34.251728431131369</v>
      </c>
      <c r="J36" s="33">
        <f t="shared" si="7"/>
        <v>191400.48523201174</v>
      </c>
      <c r="K36" s="32"/>
      <c r="L36" s="35">
        <f>SUM(I35:I36)</f>
        <v>2107.6230227956166</v>
      </c>
      <c r="M36" s="35">
        <f>SUM(L36)</f>
        <v>2107.6230227956166</v>
      </c>
      <c r="N36" s="36">
        <v>44150</v>
      </c>
    </row>
    <row r="37" spans="1:14" x14ac:dyDescent="0.35">
      <c r="A37" s="77">
        <v>44174</v>
      </c>
      <c r="B37" s="61" t="s">
        <v>492</v>
      </c>
      <c r="C37" s="28"/>
      <c r="D37" s="28">
        <f>2*2</f>
        <v>4</v>
      </c>
      <c r="E37" s="41">
        <f t="shared" si="4"/>
        <v>8378.08</v>
      </c>
      <c r="F37" s="42"/>
      <c r="G37" s="29">
        <f t="shared" si="8"/>
        <v>22.834485620754243</v>
      </c>
      <c r="H37" s="42"/>
      <c r="I37" s="26">
        <f t="shared" si="6"/>
        <v>91.337942483016974</v>
      </c>
      <c r="J37" s="26">
        <f t="shared" si="7"/>
        <v>191309.14728952872</v>
      </c>
      <c r="K37" s="32"/>
      <c r="L37" s="1"/>
      <c r="M37" s="1"/>
      <c r="N37" s="1"/>
    </row>
    <row r="38" spans="1:14" s="37" customFormat="1" x14ac:dyDescent="0.35">
      <c r="A38" s="73">
        <v>44177</v>
      </c>
      <c r="B38" s="32" t="s">
        <v>509</v>
      </c>
      <c r="C38" s="40"/>
      <c r="D38" s="40">
        <v>521.9</v>
      </c>
      <c r="E38" s="70">
        <f t="shared" si="4"/>
        <v>7856.18</v>
      </c>
      <c r="F38" s="71"/>
      <c r="G38" s="33">
        <f t="shared" si="8"/>
        <v>22.834485620754243</v>
      </c>
      <c r="H38" s="71"/>
      <c r="I38" s="33">
        <f t="shared" si="6"/>
        <v>11917.318045471638</v>
      </c>
      <c r="J38" s="33">
        <f t="shared" si="7"/>
        <v>179391.82924405707</v>
      </c>
      <c r="K38" s="32"/>
      <c r="L38" s="35">
        <f>SUM(I37:I38)</f>
        <v>12008.655987954655</v>
      </c>
      <c r="M38" s="96"/>
      <c r="N38" s="36">
        <v>44180</v>
      </c>
    </row>
    <row r="39" spans="1:14" x14ac:dyDescent="0.35">
      <c r="A39" s="77">
        <v>44183</v>
      </c>
      <c r="B39" s="61" t="s">
        <v>515</v>
      </c>
      <c r="C39" s="28"/>
      <c r="D39" s="28">
        <f>20*5.85</f>
        <v>117</v>
      </c>
      <c r="E39" s="41">
        <f t="shared" si="4"/>
        <v>7739.18</v>
      </c>
      <c r="F39" s="42"/>
      <c r="G39" s="29">
        <f t="shared" si="8"/>
        <v>22.834485620754243</v>
      </c>
      <c r="H39" s="42"/>
      <c r="I39" s="26">
        <f t="shared" si="6"/>
        <v>2671.6348176282463</v>
      </c>
      <c r="J39" s="26">
        <f t="shared" si="7"/>
        <v>176720.19442642882</v>
      </c>
      <c r="K39" s="32"/>
      <c r="L39" s="1"/>
      <c r="M39" s="1"/>
      <c r="N39" s="1"/>
    </row>
    <row r="40" spans="1:14" s="64" customFormat="1" x14ac:dyDescent="0.35">
      <c r="A40" s="69">
        <v>44186</v>
      </c>
      <c r="B40" s="61" t="s">
        <v>517</v>
      </c>
      <c r="C40" s="67"/>
      <c r="D40" s="67">
        <f>4*0.8</f>
        <v>3.2</v>
      </c>
      <c r="E40" s="41">
        <f t="shared" si="4"/>
        <v>7735.9800000000005</v>
      </c>
      <c r="F40" s="42"/>
      <c r="G40" s="29">
        <f t="shared" si="8"/>
        <v>22.83448562075424</v>
      </c>
      <c r="H40" s="42"/>
      <c r="I40" s="26">
        <f t="shared" si="6"/>
        <v>73.070353986413565</v>
      </c>
      <c r="J40" s="26">
        <f t="shared" si="7"/>
        <v>176647.12407244241</v>
      </c>
      <c r="K40" s="61"/>
      <c r="L40" s="79"/>
      <c r="M40" s="79"/>
      <c r="N40" s="80"/>
    </row>
    <row r="41" spans="1:14" x14ac:dyDescent="0.35">
      <c r="A41" s="77">
        <v>44188</v>
      </c>
      <c r="B41" s="61" t="s">
        <v>518</v>
      </c>
      <c r="C41" s="28"/>
      <c r="D41" s="28">
        <f>25*5</f>
        <v>125</v>
      </c>
      <c r="E41" s="41">
        <f t="shared" si="4"/>
        <v>7610.9800000000005</v>
      </c>
      <c r="F41" s="42"/>
      <c r="G41" s="29">
        <f t="shared" si="8"/>
        <v>22.834485620754243</v>
      </c>
      <c r="H41" s="42"/>
      <c r="I41" s="26">
        <f t="shared" si="6"/>
        <v>2854.3107025942804</v>
      </c>
      <c r="J41" s="26">
        <f t="shared" si="7"/>
        <v>173792.81336984813</v>
      </c>
      <c r="K41" s="32"/>
      <c r="L41" s="1"/>
      <c r="M41" s="1"/>
      <c r="N41" s="1"/>
    </row>
    <row r="42" spans="1:14" s="37" customFormat="1" x14ac:dyDescent="0.35">
      <c r="A42" s="73">
        <v>44188</v>
      </c>
      <c r="B42" s="32" t="s">
        <v>520</v>
      </c>
      <c r="C42" s="40"/>
      <c r="D42" s="40">
        <v>218.4</v>
      </c>
      <c r="E42" s="70">
        <f t="shared" si="4"/>
        <v>7392.5800000000008</v>
      </c>
      <c r="F42" s="71"/>
      <c r="G42" s="33">
        <f t="shared" si="8"/>
        <v>22.83448562075424</v>
      </c>
      <c r="H42" s="71"/>
      <c r="I42" s="33">
        <f t="shared" si="6"/>
        <v>4987.0516595727258</v>
      </c>
      <c r="J42" s="33">
        <f t="shared" si="7"/>
        <v>168805.7617102754</v>
      </c>
      <c r="K42" s="32"/>
      <c r="L42" s="35">
        <f>SUM(I39:I42)</f>
        <v>10586.067533781666</v>
      </c>
      <c r="M42" s="35">
        <f>SUM(L38:L42)</f>
        <v>22594.72352173632</v>
      </c>
      <c r="N42" s="36">
        <v>44196</v>
      </c>
    </row>
    <row r="43" spans="1:14" ht="15" thickBot="1" x14ac:dyDescent="0.4">
      <c r="A43" s="76"/>
      <c r="B43" s="61" t="s">
        <v>34</v>
      </c>
      <c r="C43" s="28">
        <f>SUM(C9:C42)</f>
        <v>9557.5</v>
      </c>
      <c r="D43" s="28">
        <f>SUM(D9:D42)</f>
        <v>2164.92</v>
      </c>
      <c r="E43" s="41"/>
      <c r="F43" s="42"/>
      <c r="G43" s="26"/>
      <c r="H43" s="28">
        <f t="shared" ref="H43:I43" si="12">SUM(H9:H42)</f>
        <v>218493.49</v>
      </c>
      <c r="I43" s="28">
        <f t="shared" si="12"/>
        <v>49687.728289724662</v>
      </c>
      <c r="J43" s="26"/>
      <c r="K43" s="32"/>
      <c r="L43" s="1"/>
      <c r="M43" s="105">
        <f>SUM(M10:M42)</f>
        <v>49687.72828972467</v>
      </c>
      <c r="N43" s="1"/>
    </row>
    <row r="44" spans="1:14" ht="15" thickTop="1" x14ac:dyDescent="0.35">
      <c r="A44" s="4"/>
      <c r="B44" s="5"/>
      <c r="C44" s="107"/>
      <c r="D44" s="107"/>
      <c r="E44" s="92"/>
      <c r="F44" s="93"/>
      <c r="G44" s="94"/>
      <c r="H44" s="107"/>
      <c r="I44" s="107"/>
      <c r="J44" s="94"/>
      <c r="K44" s="120"/>
      <c r="L44" s="1"/>
      <c r="M44" s="48"/>
      <c r="N44" s="1"/>
    </row>
    <row r="45" spans="1:14" x14ac:dyDescent="0.35">
      <c r="A45" s="4"/>
      <c r="B45" s="5"/>
      <c r="C45" s="107"/>
      <c r="D45" s="107"/>
      <c r="E45" s="92"/>
      <c r="F45" s="93"/>
      <c r="G45" s="94"/>
      <c r="H45" s="107"/>
      <c r="I45" s="107"/>
      <c r="J45" s="94"/>
      <c r="K45" s="120"/>
      <c r="L45" s="1"/>
      <c r="M45" s="48"/>
      <c r="N45" s="1"/>
    </row>
    <row r="46" spans="1:14" x14ac:dyDescent="0.35">
      <c r="A46" s="50" t="s">
        <v>23</v>
      </c>
      <c r="B46" s="5"/>
      <c r="C46" s="4"/>
      <c r="D46" s="4"/>
      <c r="E46" s="4"/>
      <c r="F46" s="4"/>
      <c r="G46" s="1"/>
      <c r="H46" s="1"/>
      <c r="I46" s="1"/>
      <c r="J46" s="1"/>
      <c r="L46" s="1"/>
      <c r="M46" s="1"/>
      <c r="N46" s="1"/>
    </row>
    <row r="47" spans="1:14" x14ac:dyDescent="0.35">
      <c r="A47" s="50" t="s">
        <v>36</v>
      </c>
      <c r="B47" s="5"/>
      <c r="C47" s="4"/>
      <c r="D47" s="4"/>
      <c r="E47" s="4"/>
      <c r="F47" s="4"/>
      <c r="G47" s="1"/>
      <c r="H47" s="1"/>
      <c r="I47" s="1"/>
      <c r="J47" s="51">
        <f>+E42*F22</f>
        <v>165455.70600784157</v>
      </c>
      <c r="L47" s="1"/>
      <c r="M47" s="1"/>
      <c r="N47" s="1"/>
    </row>
    <row r="48" spans="1:14" x14ac:dyDescent="0.35">
      <c r="A48" s="50" t="s">
        <v>24</v>
      </c>
      <c r="B48" s="5"/>
      <c r="C48" s="4"/>
      <c r="D48" s="4"/>
      <c r="E48" s="4"/>
      <c r="F48" s="4"/>
      <c r="G48" s="1"/>
      <c r="H48" s="1"/>
      <c r="I48" s="1"/>
      <c r="J48" s="52">
        <f>+J42</f>
        <v>168805.7617102754</v>
      </c>
      <c r="L48" s="1"/>
      <c r="M48" s="1"/>
      <c r="N48" s="1"/>
    </row>
    <row r="49" spans="1:14" ht="15" thickBot="1" x14ac:dyDescent="0.4">
      <c r="A49" s="50"/>
      <c r="B49" s="5" t="s">
        <v>25</v>
      </c>
      <c r="C49" s="4"/>
      <c r="D49" s="4"/>
      <c r="E49" s="4"/>
      <c r="F49" s="4"/>
      <c r="G49" s="1"/>
      <c r="H49" s="1"/>
      <c r="I49" s="1"/>
      <c r="J49" s="53">
        <f>+J47-J48</f>
        <v>-3350.0557024338341</v>
      </c>
      <c r="L49" s="1"/>
      <c r="M49" s="1"/>
      <c r="N49" s="1"/>
    </row>
    <row r="50" spans="1:14" ht="15" thickTop="1" x14ac:dyDescent="0.35">
      <c r="L50" s="1"/>
      <c r="M50" s="1"/>
      <c r="N50" s="1"/>
    </row>
    <row r="51" spans="1:14" x14ac:dyDescent="0.35">
      <c r="L51" s="1"/>
      <c r="M51" s="1"/>
      <c r="N51" s="1"/>
    </row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1:N28"/>
  <sheetViews>
    <sheetView workbookViewId="0">
      <selection activeCell="A26" sqref="A26"/>
    </sheetView>
  </sheetViews>
  <sheetFormatPr baseColWidth="10" defaultRowHeight="14.5" x14ac:dyDescent="0.35"/>
  <cols>
    <col min="2" max="2" width="37.54296875" customWidth="1"/>
    <col min="12" max="12" width="10.08984375" customWidth="1"/>
    <col min="13" max="13" width="10.81640625" customWidth="1"/>
    <col min="14" max="14" width="9.81640625" customWidth="1"/>
  </cols>
  <sheetData>
    <row r="1" spans="1:14" x14ac:dyDescent="0.35">
      <c r="A1" s="54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59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6"/>
    </row>
    <row r="5" spans="1:14" x14ac:dyDescent="0.35">
      <c r="A5" s="10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6"/>
    </row>
    <row r="6" spans="1:14" x14ac:dyDescent="0.35">
      <c r="A6" s="10"/>
      <c r="B6" s="11"/>
      <c r="C6" s="4"/>
      <c r="D6" s="184" t="s">
        <v>7</v>
      </c>
      <c r="E6" s="184"/>
      <c r="F6" s="184"/>
      <c r="G6" s="184"/>
      <c r="H6" s="4"/>
      <c r="I6" s="4"/>
      <c r="J6" s="4"/>
      <c r="K6" s="6"/>
    </row>
    <row r="7" spans="1:14" ht="14.4" customHeight="1" x14ac:dyDescent="0.35">
      <c r="A7" s="12" t="s">
        <v>8</v>
      </c>
      <c r="B7" s="13" t="s">
        <v>9</v>
      </c>
      <c r="C7" s="185" t="s">
        <v>10</v>
      </c>
      <c r="D7" s="185"/>
      <c r="E7" s="186"/>
      <c r="F7" s="187" t="s">
        <v>11</v>
      </c>
      <c r="G7" s="187"/>
      <c r="H7" s="188" t="s">
        <v>12</v>
      </c>
      <c r="I7" s="189"/>
      <c r="J7" s="189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43832</v>
      </c>
      <c r="B9" s="24" t="s">
        <v>22</v>
      </c>
      <c r="C9" s="25"/>
      <c r="D9" s="26"/>
      <c r="E9" s="27"/>
      <c r="F9" s="26"/>
      <c r="G9" s="26"/>
      <c r="H9" s="28"/>
      <c r="I9" s="29"/>
      <c r="J9" s="29"/>
      <c r="K9" s="30"/>
    </row>
    <row r="10" spans="1:14" s="37" customFormat="1" x14ac:dyDescent="0.35">
      <c r="A10" s="31"/>
      <c r="B10" s="61" t="s">
        <v>39</v>
      </c>
      <c r="C10" s="33"/>
      <c r="D10" s="33"/>
      <c r="E10" s="70"/>
      <c r="F10" s="71"/>
      <c r="G10" s="33"/>
      <c r="H10" s="71"/>
      <c r="I10" s="33"/>
      <c r="J10" s="33"/>
      <c r="K10" s="34"/>
      <c r="L10" s="35"/>
      <c r="M10" s="96"/>
      <c r="N10" s="36"/>
    </row>
    <row r="11" spans="1:14" s="37" customFormat="1" x14ac:dyDescent="0.35">
      <c r="A11" s="31"/>
      <c r="B11" s="61" t="s">
        <v>39</v>
      </c>
      <c r="C11" s="33"/>
      <c r="D11" s="33"/>
      <c r="E11" s="70"/>
      <c r="F11" s="71"/>
      <c r="G11" s="33"/>
      <c r="H11" s="71"/>
      <c r="I11" s="33"/>
      <c r="J11" s="33"/>
      <c r="K11" s="34"/>
      <c r="L11" s="35"/>
      <c r="M11" s="35"/>
      <c r="N11" s="36"/>
    </row>
    <row r="12" spans="1:14" s="37" customFormat="1" x14ac:dyDescent="0.35">
      <c r="A12" s="31"/>
      <c r="B12" s="61" t="s">
        <v>39</v>
      </c>
      <c r="C12" s="33"/>
      <c r="D12" s="33"/>
      <c r="E12" s="70"/>
      <c r="F12" s="71"/>
      <c r="G12" s="33"/>
      <c r="H12" s="71"/>
      <c r="I12" s="33"/>
      <c r="J12" s="33"/>
      <c r="K12" s="34"/>
      <c r="L12" s="35"/>
      <c r="M12" s="35"/>
      <c r="N12" s="36"/>
    </row>
    <row r="13" spans="1:14" s="37" customFormat="1" x14ac:dyDescent="0.35">
      <c r="A13" s="31"/>
      <c r="B13" s="61" t="s">
        <v>39</v>
      </c>
      <c r="C13" s="33"/>
      <c r="D13" s="33"/>
      <c r="E13" s="70"/>
      <c r="F13" s="71"/>
      <c r="G13" s="33"/>
      <c r="H13" s="71"/>
      <c r="I13" s="33"/>
      <c r="J13" s="33"/>
      <c r="K13" s="34"/>
      <c r="L13" s="35"/>
      <c r="M13" s="96"/>
      <c r="N13" s="36"/>
    </row>
    <row r="14" spans="1:14" s="64" customFormat="1" x14ac:dyDescent="0.35">
      <c r="A14" s="65"/>
      <c r="B14" s="61" t="s">
        <v>39</v>
      </c>
      <c r="C14" s="62"/>
      <c r="D14" s="67"/>
      <c r="E14" s="41"/>
      <c r="F14" s="42"/>
      <c r="G14" s="26"/>
      <c r="H14" s="42"/>
      <c r="I14" s="26"/>
      <c r="J14" s="26"/>
      <c r="K14" s="63"/>
      <c r="L14" s="81"/>
      <c r="M14" s="81"/>
      <c r="N14" s="81"/>
    </row>
    <row r="15" spans="1:14" s="37" customFormat="1" x14ac:dyDescent="0.35">
      <c r="A15" s="38"/>
      <c r="B15" s="61" t="s">
        <v>39</v>
      </c>
      <c r="C15" s="39"/>
      <c r="D15" s="40"/>
      <c r="E15" s="70"/>
      <c r="F15" s="71"/>
      <c r="G15" s="33"/>
      <c r="H15" s="71"/>
      <c r="I15" s="33"/>
      <c r="J15" s="33"/>
      <c r="K15" s="34"/>
      <c r="L15" s="35"/>
      <c r="M15" s="35"/>
      <c r="N15" s="36"/>
    </row>
    <row r="16" spans="1:14" s="64" customFormat="1" x14ac:dyDescent="0.35">
      <c r="A16" s="65"/>
      <c r="B16" s="61" t="s">
        <v>39</v>
      </c>
      <c r="C16" s="62"/>
      <c r="D16" s="67"/>
      <c r="E16" s="41"/>
      <c r="F16" s="42"/>
      <c r="G16" s="26"/>
      <c r="H16" s="42"/>
      <c r="I16" s="26"/>
      <c r="J16" s="26"/>
      <c r="K16" s="63"/>
      <c r="L16" s="81"/>
      <c r="M16" s="81"/>
      <c r="N16" s="81"/>
    </row>
    <row r="17" spans="1:14" s="64" customFormat="1" x14ac:dyDescent="0.35">
      <c r="A17" s="65"/>
      <c r="B17" s="61" t="s">
        <v>39</v>
      </c>
      <c r="C17" s="62"/>
      <c r="D17" s="67"/>
      <c r="E17" s="41"/>
      <c r="F17" s="42"/>
      <c r="G17" s="26"/>
      <c r="H17" s="42"/>
      <c r="I17" s="26"/>
      <c r="J17" s="26"/>
      <c r="K17" s="63"/>
      <c r="L17" s="81"/>
      <c r="M17" s="81"/>
      <c r="N17" s="81"/>
    </row>
    <row r="18" spans="1:14" s="64" customFormat="1" x14ac:dyDescent="0.35">
      <c r="A18" s="65"/>
      <c r="B18" s="61" t="s">
        <v>39</v>
      </c>
      <c r="C18" s="62"/>
      <c r="D18" s="67"/>
      <c r="E18" s="41"/>
      <c r="F18" s="42"/>
      <c r="G18" s="26"/>
      <c r="H18" s="42"/>
      <c r="I18" s="26"/>
      <c r="J18" s="26"/>
      <c r="K18" s="63"/>
      <c r="L18" s="81"/>
      <c r="M18" s="81"/>
      <c r="N18" s="81"/>
    </row>
    <row r="19" spans="1:14" s="37" customFormat="1" x14ac:dyDescent="0.35">
      <c r="A19" s="31"/>
      <c r="B19" s="61" t="s">
        <v>39</v>
      </c>
      <c r="C19" s="72"/>
      <c r="D19" s="72"/>
      <c r="E19" s="70"/>
      <c r="F19" s="71"/>
      <c r="G19" s="33"/>
      <c r="H19" s="71"/>
      <c r="I19" s="33"/>
      <c r="J19" s="33"/>
      <c r="K19" s="34"/>
      <c r="L19" s="35"/>
      <c r="M19" s="35"/>
      <c r="N19" s="36"/>
    </row>
    <row r="20" spans="1:14" s="37" customFormat="1" x14ac:dyDescent="0.35">
      <c r="A20" s="31"/>
      <c r="B20" s="61" t="s">
        <v>39</v>
      </c>
      <c r="C20" s="33"/>
      <c r="D20" s="33"/>
      <c r="E20" s="70"/>
      <c r="F20" s="71"/>
      <c r="G20" s="33"/>
      <c r="H20" s="71"/>
      <c r="I20" s="33"/>
      <c r="J20" s="33"/>
      <c r="K20" s="34"/>
      <c r="L20" s="35"/>
      <c r="M20" s="97"/>
      <c r="N20" s="36"/>
    </row>
    <row r="21" spans="1:14" ht="15" thickBot="1" x14ac:dyDescent="0.4">
      <c r="A21" s="43"/>
      <c r="B21" s="44"/>
      <c r="C21" s="45">
        <f>SUM(C9:C20)</f>
        <v>0</v>
      </c>
      <c r="D21" s="45">
        <f>SUM(D9:D20)</f>
        <v>0</v>
      </c>
      <c r="E21" s="46"/>
      <c r="F21" s="46"/>
      <c r="G21" s="46"/>
      <c r="H21" s="45">
        <f t="shared" ref="H21:I21" si="0">SUM(H9:H20)</f>
        <v>0</v>
      </c>
      <c r="I21" s="45">
        <f t="shared" si="0"/>
        <v>0</v>
      </c>
      <c r="J21" s="46"/>
      <c r="K21" s="47"/>
      <c r="L21" s="1"/>
      <c r="M21" s="48">
        <f>SUM(I9:I20)</f>
        <v>0</v>
      </c>
      <c r="N21" s="1"/>
    </row>
    <row r="24" spans="1:14" x14ac:dyDescent="0.35">
      <c r="A24" s="50" t="s">
        <v>23</v>
      </c>
      <c r="B24" s="5"/>
      <c r="C24" s="4"/>
      <c r="D24" s="4"/>
      <c r="E24" s="4"/>
      <c r="F24" s="4"/>
      <c r="G24" s="1"/>
      <c r="H24" s="1"/>
      <c r="I24" s="1"/>
      <c r="J24" s="1"/>
    </row>
    <row r="25" spans="1:14" x14ac:dyDescent="0.35">
      <c r="A25" s="50" t="s">
        <v>36</v>
      </c>
      <c r="B25" s="5"/>
      <c r="C25" s="4"/>
      <c r="D25" s="4"/>
      <c r="E25" s="4"/>
      <c r="F25" s="4"/>
      <c r="G25" s="1"/>
      <c r="H25" s="1"/>
      <c r="I25" s="1"/>
      <c r="J25" s="51">
        <f>+D21*F9</f>
        <v>0</v>
      </c>
    </row>
    <row r="26" spans="1:14" x14ac:dyDescent="0.35">
      <c r="A26" s="50" t="s">
        <v>24</v>
      </c>
      <c r="B26" s="5"/>
      <c r="C26" s="4"/>
      <c r="D26" s="4"/>
      <c r="E26" s="4"/>
      <c r="F26" s="4"/>
      <c r="G26" s="1"/>
      <c r="H26" s="1"/>
      <c r="I26" s="1"/>
      <c r="J26" s="52">
        <f>+I21</f>
        <v>0</v>
      </c>
    </row>
    <row r="27" spans="1:14" ht="15" thickBot="1" x14ac:dyDescent="0.4">
      <c r="A27" s="50"/>
      <c r="B27" s="5" t="s">
        <v>25</v>
      </c>
      <c r="C27" s="4"/>
      <c r="D27" s="4"/>
      <c r="E27" s="4"/>
      <c r="F27" s="4"/>
      <c r="G27" s="1"/>
      <c r="H27" s="1"/>
      <c r="I27" s="1"/>
      <c r="J27" s="53">
        <f>+J25-J26</f>
        <v>0</v>
      </c>
    </row>
    <row r="28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2"/>
  <sheetViews>
    <sheetView topLeftCell="A34" workbookViewId="0">
      <selection sqref="A1:N51"/>
    </sheetView>
  </sheetViews>
  <sheetFormatPr baseColWidth="10" defaultRowHeight="14.5" x14ac:dyDescent="0.35"/>
  <cols>
    <col min="2" max="2" width="30.54296875" customWidth="1"/>
    <col min="12" max="12" width="10.36328125" customWidth="1"/>
    <col min="13" max="13" width="10.1796875" customWidth="1"/>
    <col min="14" max="14" width="11.81640625" customWidth="1"/>
  </cols>
  <sheetData>
    <row r="1" spans="1:15" x14ac:dyDescent="0.35">
      <c r="A1" s="108" t="s">
        <v>0</v>
      </c>
      <c r="B1" s="55"/>
      <c r="C1" s="56"/>
      <c r="D1" s="57"/>
      <c r="E1" s="57"/>
      <c r="F1" s="57"/>
      <c r="G1" s="57"/>
      <c r="H1" s="58" t="s">
        <v>1</v>
      </c>
      <c r="I1" s="57"/>
      <c r="J1" s="57"/>
      <c r="K1" s="109"/>
    </row>
    <row r="2" spans="1:15" x14ac:dyDescent="0.35">
      <c r="A2" s="110" t="s">
        <v>2</v>
      </c>
      <c r="B2" s="3"/>
      <c r="C2" s="4"/>
      <c r="D2" s="4"/>
      <c r="E2" s="4"/>
      <c r="F2" s="4"/>
      <c r="G2" s="4"/>
      <c r="H2" s="5" t="s">
        <v>31</v>
      </c>
      <c r="I2" s="4"/>
      <c r="J2" s="4"/>
      <c r="K2" s="111"/>
    </row>
    <row r="3" spans="1:15" x14ac:dyDescent="0.35">
      <c r="A3" s="112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111"/>
    </row>
    <row r="4" spans="1:15" x14ac:dyDescent="0.35">
      <c r="A4" s="113"/>
      <c r="B4" s="4"/>
      <c r="C4" s="4"/>
      <c r="D4" s="182" t="s">
        <v>6</v>
      </c>
      <c r="E4" s="182"/>
      <c r="F4" s="182"/>
      <c r="G4" s="182"/>
      <c r="H4" s="182"/>
      <c r="I4" s="4"/>
      <c r="J4" s="4"/>
      <c r="K4" s="111"/>
    </row>
    <row r="5" spans="1:15" x14ac:dyDescent="0.35">
      <c r="A5" s="113"/>
      <c r="B5" s="11"/>
      <c r="C5" s="4"/>
      <c r="D5" s="183" t="s">
        <v>35</v>
      </c>
      <c r="E5" s="183"/>
      <c r="F5" s="183"/>
      <c r="G5" s="183"/>
      <c r="H5" s="4"/>
      <c r="I5" s="4"/>
      <c r="J5" s="4"/>
      <c r="K5" s="111"/>
    </row>
    <row r="6" spans="1:15" x14ac:dyDescent="0.35">
      <c r="A6" s="133"/>
      <c r="B6" s="134"/>
      <c r="C6" s="135"/>
      <c r="D6" s="184" t="s">
        <v>7</v>
      </c>
      <c r="E6" s="184"/>
      <c r="F6" s="184"/>
      <c r="G6" s="184"/>
      <c r="H6" s="135"/>
      <c r="I6" s="135"/>
      <c r="J6" s="135"/>
      <c r="K6" s="136"/>
    </row>
    <row r="7" spans="1:15" x14ac:dyDescent="0.35">
      <c r="A7" s="17" t="s">
        <v>8</v>
      </c>
      <c r="B7" s="17" t="s">
        <v>9</v>
      </c>
      <c r="C7" s="200" t="s">
        <v>10</v>
      </c>
      <c r="D7" s="200"/>
      <c r="E7" s="200"/>
      <c r="F7" s="201" t="s">
        <v>11</v>
      </c>
      <c r="G7" s="201"/>
      <c r="H7" s="202" t="s">
        <v>12</v>
      </c>
      <c r="I7" s="202"/>
      <c r="J7" s="202"/>
      <c r="K7" s="132"/>
    </row>
    <row r="8" spans="1:15" x14ac:dyDescent="0.35">
      <c r="A8" s="125"/>
      <c r="B8" s="125"/>
      <c r="C8" s="125" t="s">
        <v>13</v>
      </c>
      <c r="D8" s="125" t="s">
        <v>14</v>
      </c>
      <c r="E8" s="126" t="s">
        <v>15</v>
      </c>
      <c r="F8" s="127" t="s">
        <v>16</v>
      </c>
      <c r="G8" s="127" t="s">
        <v>17</v>
      </c>
      <c r="H8" s="125" t="s">
        <v>18</v>
      </c>
      <c r="I8" s="128" t="s">
        <v>19</v>
      </c>
      <c r="J8" s="125" t="s">
        <v>20</v>
      </c>
      <c r="K8" s="129" t="s">
        <v>21</v>
      </c>
    </row>
    <row r="9" spans="1:15" x14ac:dyDescent="0.35">
      <c r="A9" s="68">
        <v>43832</v>
      </c>
      <c r="B9" s="61" t="s">
        <v>22</v>
      </c>
      <c r="C9" s="25">
        <f>+E9</f>
        <v>1031377</v>
      </c>
      <c r="D9" s="26"/>
      <c r="E9" s="27">
        <v>1031377</v>
      </c>
      <c r="F9" s="26">
        <f>+H9/C9</f>
        <v>0.1977241299738117</v>
      </c>
      <c r="G9" s="26"/>
      <c r="H9" s="28">
        <f>+J9</f>
        <v>203928.12</v>
      </c>
      <c r="I9" s="29"/>
      <c r="J9" s="29">
        <v>203928.12</v>
      </c>
      <c r="K9" s="76"/>
      <c r="L9" s="1"/>
      <c r="M9" s="1"/>
      <c r="N9" s="1"/>
      <c r="O9" s="1"/>
    </row>
    <row r="10" spans="1:15" s="64" customFormat="1" x14ac:dyDescent="0.35">
      <c r="A10" s="68">
        <v>43832</v>
      </c>
      <c r="B10" s="62" t="s">
        <v>43</v>
      </c>
      <c r="C10" s="26"/>
      <c r="D10" s="26">
        <v>200</v>
      </c>
      <c r="E10" s="41">
        <f>+E9-D10</f>
        <v>1031177</v>
      </c>
      <c r="F10" s="42"/>
      <c r="G10" s="26">
        <f>+J9/E9</f>
        <v>0.1977241299738117</v>
      </c>
      <c r="H10" s="42"/>
      <c r="I10" s="26">
        <f>+D10*G10</f>
        <v>39.544825994762341</v>
      </c>
      <c r="J10" s="26">
        <f>+J9-I10</f>
        <v>203888.57517400524</v>
      </c>
      <c r="K10" s="61"/>
      <c r="L10" s="81"/>
      <c r="M10" s="81"/>
      <c r="N10" s="81"/>
      <c r="O10" s="81"/>
    </row>
    <row r="11" spans="1:15" s="64" customFormat="1" x14ac:dyDescent="0.35">
      <c r="A11" s="68">
        <v>43832</v>
      </c>
      <c r="B11" s="62" t="s">
        <v>44</v>
      </c>
      <c r="C11" s="26"/>
      <c r="D11" s="26">
        <v>100</v>
      </c>
      <c r="E11" s="41">
        <f t="shared" ref="E11:E44" si="0">+E10-D11</f>
        <v>1031077</v>
      </c>
      <c r="F11" s="42"/>
      <c r="G11" s="26">
        <f t="shared" ref="G11:G44" si="1">+J10/E10</f>
        <v>0.1977241299738117</v>
      </c>
      <c r="H11" s="42"/>
      <c r="I11" s="26">
        <f t="shared" ref="I11:I44" si="2">+D11*G11</f>
        <v>19.772412997381171</v>
      </c>
      <c r="J11" s="26">
        <f t="shared" ref="J11:J44" si="3">+J10-I11</f>
        <v>203868.80276100786</v>
      </c>
      <c r="K11" s="61"/>
      <c r="L11" s="81"/>
      <c r="M11" s="81"/>
      <c r="N11" s="81"/>
      <c r="O11" s="81"/>
    </row>
    <row r="12" spans="1:15" s="37" customFormat="1" x14ac:dyDescent="0.35">
      <c r="A12" s="89">
        <v>43834</v>
      </c>
      <c r="B12" s="39" t="s">
        <v>50</v>
      </c>
      <c r="C12" s="33"/>
      <c r="D12" s="33">
        <v>100</v>
      </c>
      <c r="E12" s="70">
        <f t="shared" si="0"/>
        <v>1030977</v>
      </c>
      <c r="F12" s="71"/>
      <c r="G12" s="33">
        <f t="shared" si="1"/>
        <v>0.19772412997381172</v>
      </c>
      <c r="H12" s="71"/>
      <c r="I12" s="33">
        <f t="shared" si="2"/>
        <v>19.772412997381174</v>
      </c>
      <c r="J12" s="33">
        <f t="shared" si="3"/>
        <v>203849.03034801048</v>
      </c>
      <c r="K12" s="32"/>
      <c r="L12" s="35">
        <f>SUM(I10:I12)</f>
        <v>79.089651989524697</v>
      </c>
      <c r="M12" s="96"/>
      <c r="N12" s="36">
        <v>43845</v>
      </c>
      <c r="O12" s="96"/>
    </row>
    <row r="13" spans="1:15" s="64" customFormat="1" x14ac:dyDescent="0.35">
      <c r="A13" s="68">
        <v>43855</v>
      </c>
      <c r="B13" s="62" t="s">
        <v>92</v>
      </c>
      <c r="C13" s="26"/>
      <c r="D13" s="26">
        <v>250</v>
      </c>
      <c r="E13" s="41">
        <f t="shared" si="0"/>
        <v>1030727</v>
      </c>
      <c r="F13" s="42"/>
      <c r="G13" s="26">
        <f t="shared" si="1"/>
        <v>0.19772412997381172</v>
      </c>
      <c r="H13" s="42"/>
      <c r="I13" s="26">
        <f t="shared" si="2"/>
        <v>49.431032493452932</v>
      </c>
      <c r="J13" s="26">
        <f t="shared" si="3"/>
        <v>203799.59931551703</v>
      </c>
      <c r="K13" s="61"/>
      <c r="L13" s="81"/>
      <c r="M13" s="81"/>
      <c r="N13" s="81"/>
      <c r="O13" s="81"/>
    </row>
    <row r="14" spans="1:15" s="37" customFormat="1" x14ac:dyDescent="0.35">
      <c r="A14" s="73">
        <v>43860</v>
      </c>
      <c r="B14" s="39" t="s">
        <v>104</v>
      </c>
      <c r="C14" s="39"/>
      <c r="D14" s="40">
        <v>500</v>
      </c>
      <c r="E14" s="70">
        <f t="shared" si="0"/>
        <v>1030227</v>
      </c>
      <c r="F14" s="71"/>
      <c r="G14" s="33">
        <f t="shared" si="1"/>
        <v>0.19772412997381172</v>
      </c>
      <c r="H14" s="71"/>
      <c r="I14" s="33">
        <f t="shared" si="2"/>
        <v>98.862064986905864</v>
      </c>
      <c r="J14" s="33">
        <f t="shared" si="3"/>
        <v>203700.73725053013</v>
      </c>
      <c r="K14" s="32"/>
      <c r="L14" s="35">
        <f>SUM(I13:I14)</f>
        <v>148.2930974803588</v>
      </c>
      <c r="M14" s="35">
        <f>SUM(L12:L14)</f>
        <v>227.38274946988349</v>
      </c>
      <c r="N14" s="36">
        <v>43861</v>
      </c>
      <c r="O14" s="96"/>
    </row>
    <row r="15" spans="1:15" s="37" customFormat="1" x14ac:dyDescent="0.35">
      <c r="A15" s="73">
        <v>43890</v>
      </c>
      <c r="B15" s="39" t="s">
        <v>158</v>
      </c>
      <c r="C15" s="39"/>
      <c r="D15" s="40">
        <v>50</v>
      </c>
      <c r="E15" s="70">
        <f t="shared" si="0"/>
        <v>1030177</v>
      </c>
      <c r="F15" s="71"/>
      <c r="G15" s="33">
        <f t="shared" si="1"/>
        <v>0.19772412997381172</v>
      </c>
      <c r="H15" s="71"/>
      <c r="I15" s="33">
        <f t="shared" si="2"/>
        <v>9.8862064986905871</v>
      </c>
      <c r="J15" s="33">
        <f t="shared" si="3"/>
        <v>203690.85104403144</v>
      </c>
      <c r="K15" s="32"/>
      <c r="L15" s="35">
        <f>SUM(I15)</f>
        <v>9.8862064986905871</v>
      </c>
      <c r="M15" s="35">
        <f>SUM(L15)</f>
        <v>9.8862064986905871</v>
      </c>
      <c r="N15" s="36">
        <v>43890</v>
      </c>
      <c r="O15" s="96"/>
    </row>
    <row r="16" spans="1:15" s="64" customFormat="1" x14ac:dyDescent="0.35">
      <c r="A16" s="69">
        <v>43892</v>
      </c>
      <c r="B16" s="62" t="s">
        <v>161</v>
      </c>
      <c r="C16" s="62"/>
      <c r="D16" s="67">
        <v>100</v>
      </c>
      <c r="E16" s="41">
        <f t="shared" si="0"/>
        <v>1030077</v>
      </c>
      <c r="F16" s="42"/>
      <c r="G16" s="26">
        <f t="shared" si="1"/>
        <v>0.19772412997381172</v>
      </c>
      <c r="H16" s="42"/>
      <c r="I16" s="26">
        <f t="shared" si="2"/>
        <v>19.772412997381174</v>
      </c>
      <c r="J16" s="26">
        <f t="shared" si="3"/>
        <v>203671.07863103406</v>
      </c>
      <c r="K16" s="61"/>
      <c r="L16" s="81"/>
      <c r="M16" s="81"/>
      <c r="N16" s="81"/>
      <c r="O16" s="81"/>
    </row>
    <row r="17" spans="1:15" s="64" customFormat="1" x14ac:dyDescent="0.35">
      <c r="A17" s="69">
        <v>43893</v>
      </c>
      <c r="B17" s="62" t="s">
        <v>165</v>
      </c>
      <c r="C17" s="62"/>
      <c r="D17" s="67">
        <v>500</v>
      </c>
      <c r="E17" s="41">
        <f t="shared" si="0"/>
        <v>1029577</v>
      </c>
      <c r="F17" s="42"/>
      <c r="G17" s="26">
        <f t="shared" si="1"/>
        <v>0.19772412997381172</v>
      </c>
      <c r="H17" s="42"/>
      <c r="I17" s="26">
        <f t="shared" si="2"/>
        <v>98.862064986905864</v>
      </c>
      <c r="J17" s="26">
        <f t="shared" si="3"/>
        <v>203572.21656604717</v>
      </c>
      <c r="K17" s="61"/>
      <c r="L17" s="79"/>
      <c r="M17" s="81"/>
      <c r="N17" s="80"/>
      <c r="O17" s="81"/>
    </row>
    <row r="18" spans="1:15" s="64" customFormat="1" x14ac:dyDescent="0.35">
      <c r="A18" s="69">
        <v>43895</v>
      </c>
      <c r="B18" s="62" t="s">
        <v>173</v>
      </c>
      <c r="C18" s="62"/>
      <c r="D18" s="67">
        <v>450</v>
      </c>
      <c r="E18" s="41">
        <f t="shared" si="0"/>
        <v>1029127</v>
      </c>
      <c r="F18" s="42"/>
      <c r="G18" s="26">
        <f t="shared" si="1"/>
        <v>0.19772412997381172</v>
      </c>
      <c r="H18" s="42"/>
      <c r="I18" s="26">
        <f t="shared" si="2"/>
        <v>88.97585848821528</v>
      </c>
      <c r="J18" s="26">
        <f t="shared" si="3"/>
        <v>203483.24070755896</v>
      </c>
      <c r="K18" s="61"/>
      <c r="L18" s="81"/>
      <c r="M18" s="81"/>
      <c r="N18" s="81"/>
      <c r="O18" s="81"/>
    </row>
    <row r="19" spans="1:15" s="37" customFormat="1" x14ac:dyDescent="0.35">
      <c r="A19" s="89">
        <v>43898</v>
      </c>
      <c r="B19" s="39" t="s">
        <v>180</v>
      </c>
      <c r="C19" s="33"/>
      <c r="D19" s="33">
        <v>50</v>
      </c>
      <c r="E19" s="70">
        <f t="shared" si="0"/>
        <v>1029077</v>
      </c>
      <c r="F19" s="71"/>
      <c r="G19" s="33">
        <f t="shared" si="1"/>
        <v>0.19772412997381175</v>
      </c>
      <c r="H19" s="71"/>
      <c r="I19" s="33">
        <f t="shared" si="2"/>
        <v>9.8862064986905871</v>
      </c>
      <c r="J19" s="33">
        <f t="shared" si="3"/>
        <v>203473.35450106027</v>
      </c>
      <c r="K19" s="32"/>
      <c r="L19" s="35">
        <f>SUM(I16:I19)</f>
        <v>217.49654297119289</v>
      </c>
      <c r="M19" s="35">
        <f>SUM(L19)</f>
        <v>217.49654297119289</v>
      </c>
      <c r="N19" s="36">
        <v>43905</v>
      </c>
      <c r="O19" s="96"/>
    </row>
    <row r="20" spans="1:15" s="64" customFormat="1" x14ac:dyDescent="0.35">
      <c r="A20" s="68">
        <v>44007</v>
      </c>
      <c r="B20" s="62" t="s">
        <v>253</v>
      </c>
      <c r="C20" s="26"/>
      <c r="D20" s="26">
        <v>100</v>
      </c>
      <c r="E20" s="41">
        <f t="shared" si="0"/>
        <v>1028977</v>
      </c>
      <c r="F20" s="42"/>
      <c r="G20" s="26">
        <f t="shared" si="1"/>
        <v>0.19772412997381175</v>
      </c>
      <c r="H20" s="42"/>
      <c r="I20" s="26">
        <f t="shared" si="2"/>
        <v>19.772412997381174</v>
      </c>
      <c r="J20" s="26">
        <f t="shared" si="3"/>
        <v>203453.58208806289</v>
      </c>
      <c r="K20" s="61"/>
      <c r="L20" s="81"/>
      <c r="M20" s="81"/>
      <c r="N20" s="81"/>
      <c r="O20" s="81"/>
    </row>
    <row r="21" spans="1:15" s="64" customFormat="1" x14ac:dyDescent="0.35">
      <c r="A21" s="68">
        <v>44007</v>
      </c>
      <c r="B21" s="62" t="s">
        <v>254</v>
      </c>
      <c r="C21" s="26"/>
      <c r="D21" s="26">
        <v>150</v>
      </c>
      <c r="E21" s="41">
        <f t="shared" si="0"/>
        <v>1028827</v>
      </c>
      <c r="F21" s="42"/>
      <c r="G21" s="26">
        <f t="shared" si="1"/>
        <v>0.19772412997381175</v>
      </c>
      <c r="H21" s="42"/>
      <c r="I21" s="26">
        <f t="shared" si="2"/>
        <v>29.658619496071761</v>
      </c>
      <c r="J21" s="26">
        <f t="shared" si="3"/>
        <v>203423.92346856682</v>
      </c>
      <c r="K21" s="61"/>
      <c r="L21" s="81"/>
      <c r="M21" s="81"/>
      <c r="N21" s="81"/>
      <c r="O21" s="81"/>
    </row>
    <row r="22" spans="1:15" s="64" customFormat="1" x14ac:dyDescent="0.35">
      <c r="A22" s="68">
        <v>44007</v>
      </c>
      <c r="B22" s="62" t="s">
        <v>259</v>
      </c>
      <c r="C22" s="26"/>
      <c r="D22" s="26">
        <v>150</v>
      </c>
      <c r="E22" s="41">
        <f t="shared" si="0"/>
        <v>1028677</v>
      </c>
      <c r="F22" s="42"/>
      <c r="G22" s="26">
        <f t="shared" si="1"/>
        <v>0.19772412997381175</v>
      </c>
      <c r="H22" s="42"/>
      <c r="I22" s="26">
        <f t="shared" si="2"/>
        <v>29.658619496071761</v>
      </c>
      <c r="J22" s="26">
        <f t="shared" si="3"/>
        <v>203394.26484907075</v>
      </c>
      <c r="K22" s="61"/>
      <c r="L22" s="81"/>
      <c r="M22" s="81"/>
      <c r="N22" s="81"/>
      <c r="O22" s="81"/>
    </row>
    <row r="23" spans="1:15" s="37" customFormat="1" x14ac:dyDescent="0.35">
      <c r="A23" s="89">
        <v>44009</v>
      </c>
      <c r="B23" s="39" t="s">
        <v>267</v>
      </c>
      <c r="C23" s="33"/>
      <c r="D23" s="33">
        <v>100</v>
      </c>
      <c r="E23" s="70">
        <f t="shared" si="0"/>
        <v>1028577</v>
      </c>
      <c r="F23" s="71"/>
      <c r="G23" s="33">
        <f t="shared" si="1"/>
        <v>0.19772412997381175</v>
      </c>
      <c r="H23" s="71"/>
      <c r="I23" s="33">
        <f t="shared" si="2"/>
        <v>19.772412997381174</v>
      </c>
      <c r="J23" s="33">
        <f t="shared" si="3"/>
        <v>203374.49243607337</v>
      </c>
      <c r="K23" s="32"/>
      <c r="L23" s="35">
        <f>SUM(I20:I23)</f>
        <v>98.862064986905864</v>
      </c>
      <c r="M23" s="35">
        <f>SUM(L23)</f>
        <v>98.862064986905864</v>
      </c>
      <c r="N23" s="36">
        <v>44012</v>
      </c>
      <c r="O23" s="96"/>
    </row>
    <row r="24" spans="1:15" s="37" customFormat="1" x14ac:dyDescent="0.35">
      <c r="A24" s="89">
        <v>44032</v>
      </c>
      <c r="B24" s="39" t="s">
        <v>281</v>
      </c>
      <c r="C24" s="33"/>
      <c r="D24" s="33">
        <v>400</v>
      </c>
      <c r="E24" s="70">
        <f t="shared" si="0"/>
        <v>1028177</v>
      </c>
      <c r="F24" s="71"/>
      <c r="G24" s="33">
        <f t="shared" si="1"/>
        <v>0.19772412997381175</v>
      </c>
      <c r="H24" s="71"/>
      <c r="I24" s="33">
        <f t="shared" si="2"/>
        <v>79.089651989524697</v>
      </c>
      <c r="J24" s="33">
        <f t="shared" si="3"/>
        <v>203295.40278408385</v>
      </c>
      <c r="K24" s="32"/>
      <c r="L24" s="35">
        <f>SUM(I24)</f>
        <v>79.089651989524697</v>
      </c>
      <c r="M24" s="35">
        <f>SUM(L24)</f>
        <v>79.089651989524697</v>
      </c>
      <c r="N24" s="36">
        <v>44043</v>
      </c>
      <c r="O24" s="96"/>
    </row>
    <row r="25" spans="1:15" s="37" customFormat="1" x14ac:dyDescent="0.35">
      <c r="A25" s="89">
        <v>44049</v>
      </c>
      <c r="B25" s="39" t="s">
        <v>287</v>
      </c>
      <c r="C25" s="33"/>
      <c r="D25" s="33">
        <v>250</v>
      </c>
      <c r="E25" s="70">
        <f t="shared" si="0"/>
        <v>1027927</v>
      </c>
      <c r="F25" s="71"/>
      <c r="G25" s="33">
        <f t="shared" si="1"/>
        <v>0.19772412997381175</v>
      </c>
      <c r="H25" s="71"/>
      <c r="I25" s="33">
        <f t="shared" si="2"/>
        <v>49.431032493452939</v>
      </c>
      <c r="J25" s="33">
        <f t="shared" si="3"/>
        <v>203245.9717515904</v>
      </c>
      <c r="K25" s="32"/>
      <c r="L25" s="35">
        <f>SUM(I25)</f>
        <v>49.431032493452939</v>
      </c>
      <c r="M25" s="35">
        <f>SUM(L25)</f>
        <v>49.431032493452939</v>
      </c>
      <c r="N25" s="36">
        <v>44058</v>
      </c>
      <c r="O25" s="96"/>
    </row>
    <row r="26" spans="1:15" s="64" customFormat="1" x14ac:dyDescent="0.35">
      <c r="A26" s="68">
        <v>44078</v>
      </c>
      <c r="B26" s="62" t="s">
        <v>319</v>
      </c>
      <c r="C26" s="26"/>
      <c r="D26" s="26">
        <v>450</v>
      </c>
      <c r="E26" s="41">
        <f t="shared" si="0"/>
        <v>1027477</v>
      </c>
      <c r="F26" s="42"/>
      <c r="G26" s="26">
        <f t="shared" si="1"/>
        <v>0.19772412997381175</v>
      </c>
      <c r="H26" s="42"/>
      <c r="I26" s="26">
        <f t="shared" si="2"/>
        <v>88.975858488215295</v>
      </c>
      <c r="J26" s="26">
        <f t="shared" si="3"/>
        <v>203156.9958931022</v>
      </c>
      <c r="K26" s="61"/>
      <c r="L26" s="81"/>
      <c r="M26" s="81"/>
      <c r="N26" s="81"/>
      <c r="O26" s="81"/>
    </row>
    <row r="27" spans="1:15" s="64" customFormat="1" x14ac:dyDescent="0.35">
      <c r="A27" s="68">
        <v>44081</v>
      </c>
      <c r="B27" s="62" t="s">
        <v>322</v>
      </c>
      <c r="C27" s="26"/>
      <c r="D27" s="26">
        <v>50</v>
      </c>
      <c r="E27" s="41">
        <f t="shared" si="0"/>
        <v>1027427</v>
      </c>
      <c r="F27" s="42"/>
      <c r="G27" s="26">
        <f t="shared" si="1"/>
        <v>0.19772412997381178</v>
      </c>
      <c r="H27" s="42"/>
      <c r="I27" s="26">
        <f t="shared" si="2"/>
        <v>9.8862064986905889</v>
      </c>
      <c r="J27" s="26">
        <f t="shared" si="3"/>
        <v>203147.10968660351</v>
      </c>
      <c r="K27" s="61"/>
      <c r="L27" s="79"/>
      <c r="M27" s="79"/>
      <c r="N27" s="80"/>
      <c r="O27" s="81"/>
    </row>
    <row r="28" spans="1:15" s="64" customFormat="1" x14ac:dyDescent="0.35">
      <c r="A28" s="68">
        <v>44082</v>
      </c>
      <c r="B28" s="62" t="s">
        <v>326</v>
      </c>
      <c r="C28" s="26"/>
      <c r="D28" s="26">
        <v>5</v>
      </c>
      <c r="E28" s="41">
        <f t="shared" si="0"/>
        <v>1027422</v>
      </c>
      <c r="F28" s="42"/>
      <c r="G28" s="26">
        <f t="shared" si="1"/>
        <v>0.19772412997381178</v>
      </c>
      <c r="H28" s="42"/>
      <c r="I28" s="26">
        <f t="shared" si="2"/>
        <v>0.98862064986905884</v>
      </c>
      <c r="J28" s="26">
        <f t="shared" si="3"/>
        <v>203146.12106595363</v>
      </c>
      <c r="K28" s="61"/>
      <c r="L28" s="81"/>
      <c r="M28" s="81"/>
      <c r="N28" s="81"/>
      <c r="O28" s="81"/>
    </row>
    <row r="29" spans="1:15" s="37" customFormat="1" x14ac:dyDescent="0.35">
      <c r="A29" s="89">
        <v>44084</v>
      </c>
      <c r="B29" s="39" t="s">
        <v>330</v>
      </c>
      <c r="C29" s="33"/>
      <c r="D29" s="33">
        <v>100</v>
      </c>
      <c r="E29" s="70">
        <f t="shared" si="0"/>
        <v>1027322</v>
      </c>
      <c r="F29" s="71"/>
      <c r="G29" s="33">
        <f t="shared" si="1"/>
        <v>0.19772412997381175</v>
      </c>
      <c r="H29" s="71"/>
      <c r="I29" s="33">
        <f t="shared" si="2"/>
        <v>19.772412997381174</v>
      </c>
      <c r="J29" s="33">
        <f t="shared" si="3"/>
        <v>203126.34865295625</v>
      </c>
      <c r="K29" s="32"/>
      <c r="L29" s="35">
        <f>SUM(I26:I29)</f>
        <v>119.62309863415612</v>
      </c>
      <c r="M29" s="96"/>
      <c r="N29" s="36">
        <v>44089</v>
      </c>
      <c r="O29" s="96"/>
    </row>
    <row r="30" spans="1:15" s="64" customFormat="1" x14ac:dyDescent="0.35">
      <c r="A30" s="68">
        <v>44097</v>
      </c>
      <c r="B30" s="62" t="s">
        <v>352</v>
      </c>
      <c r="C30" s="26"/>
      <c r="D30" s="26">
        <v>300</v>
      </c>
      <c r="E30" s="41">
        <f t="shared" si="0"/>
        <v>1027022</v>
      </c>
      <c r="F30" s="42"/>
      <c r="G30" s="26">
        <f t="shared" si="1"/>
        <v>0.19772412997381175</v>
      </c>
      <c r="H30" s="42"/>
      <c r="I30" s="26">
        <f t="shared" si="2"/>
        <v>59.317238992143523</v>
      </c>
      <c r="J30" s="26">
        <f t="shared" si="3"/>
        <v>203067.03141396411</v>
      </c>
      <c r="K30" s="61"/>
      <c r="L30" s="81"/>
      <c r="M30" s="81"/>
      <c r="N30" s="81"/>
      <c r="O30" s="81"/>
    </row>
    <row r="31" spans="1:15" s="37" customFormat="1" x14ac:dyDescent="0.35">
      <c r="A31" s="89">
        <v>44097</v>
      </c>
      <c r="B31" s="39" t="s">
        <v>354</v>
      </c>
      <c r="C31" s="33"/>
      <c r="D31" s="33">
        <v>150</v>
      </c>
      <c r="E31" s="70">
        <f t="shared" si="0"/>
        <v>1026872</v>
      </c>
      <c r="F31" s="71"/>
      <c r="G31" s="33">
        <f t="shared" si="1"/>
        <v>0.19772412997381178</v>
      </c>
      <c r="H31" s="71"/>
      <c r="I31" s="33">
        <f t="shared" si="2"/>
        <v>29.658619496071768</v>
      </c>
      <c r="J31" s="33">
        <f t="shared" si="3"/>
        <v>203037.37279446804</v>
      </c>
      <c r="K31" s="32"/>
      <c r="L31" s="35">
        <f>SUM(I30:I31)</f>
        <v>88.975858488215295</v>
      </c>
      <c r="M31" s="35">
        <f>SUM(L29:L31)</f>
        <v>208.59895712237142</v>
      </c>
      <c r="N31" s="36">
        <v>44104</v>
      </c>
      <c r="O31" s="96"/>
    </row>
    <row r="32" spans="1:15" s="64" customFormat="1" x14ac:dyDescent="0.35">
      <c r="A32" s="68">
        <v>44107</v>
      </c>
      <c r="B32" s="62" t="s">
        <v>374</v>
      </c>
      <c r="C32" s="26"/>
      <c r="D32" s="26">
        <v>300</v>
      </c>
      <c r="E32" s="41">
        <f t="shared" si="0"/>
        <v>1026572</v>
      </c>
      <c r="F32" s="42"/>
      <c r="G32" s="26">
        <f t="shared" si="1"/>
        <v>0.19772412997381178</v>
      </c>
      <c r="H32" s="42"/>
      <c r="I32" s="26">
        <f t="shared" si="2"/>
        <v>59.317238992143537</v>
      </c>
      <c r="J32" s="26">
        <f t="shared" si="3"/>
        <v>202978.0555554759</v>
      </c>
      <c r="K32" s="61"/>
      <c r="L32" s="81"/>
      <c r="M32" s="81"/>
      <c r="N32" s="81"/>
      <c r="O32" s="81"/>
    </row>
    <row r="33" spans="1:15" s="64" customFormat="1" x14ac:dyDescent="0.35">
      <c r="A33" s="68">
        <v>44112</v>
      </c>
      <c r="B33" s="62" t="s">
        <v>382</v>
      </c>
      <c r="C33" s="26"/>
      <c r="D33" s="26">
        <v>200</v>
      </c>
      <c r="E33" s="41">
        <f t="shared" si="0"/>
        <v>1026372</v>
      </c>
      <c r="F33" s="42"/>
      <c r="G33" s="26">
        <f t="shared" si="1"/>
        <v>0.19772412997381178</v>
      </c>
      <c r="H33" s="42"/>
      <c r="I33" s="26">
        <f t="shared" si="2"/>
        <v>39.544825994762355</v>
      </c>
      <c r="J33" s="26">
        <f t="shared" si="3"/>
        <v>202938.51072948115</v>
      </c>
      <c r="K33" s="61"/>
      <c r="L33" s="79"/>
      <c r="M33" s="81"/>
      <c r="N33" s="80"/>
      <c r="O33" s="81"/>
    </row>
    <row r="34" spans="1:15" s="64" customFormat="1" x14ac:dyDescent="0.35">
      <c r="A34" s="68">
        <v>44114</v>
      </c>
      <c r="B34" s="62" t="s">
        <v>388</v>
      </c>
      <c r="C34" s="26"/>
      <c r="D34" s="26">
        <v>150</v>
      </c>
      <c r="E34" s="41">
        <f t="shared" si="0"/>
        <v>1026222</v>
      </c>
      <c r="F34" s="42"/>
      <c r="G34" s="26">
        <f t="shared" si="1"/>
        <v>0.19772412997381178</v>
      </c>
      <c r="H34" s="42"/>
      <c r="I34" s="26">
        <f t="shared" si="2"/>
        <v>29.658619496071768</v>
      </c>
      <c r="J34" s="26">
        <f t="shared" si="3"/>
        <v>202908.85210998508</v>
      </c>
      <c r="K34" s="61"/>
      <c r="L34" s="81"/>
      <c r="M34" s="81"/>
      <c r="N34" s="81"/>
      <c r="O34" s="81"/>
    </row>
    <row r="35" spans="1:15" s="37" customFormat="1" x14ac:dyDescent="0.35">
      <c r="A35" s="89">
        <v>44119</v>
      </c>
      <c r="B35" s="39" t="s">
        <v>400</v>
      </c>
      <c r="C35" s="33"/>
      <c r="D35" s="33">
        <v>100</v>
      </c>
      <c r="E35" s="70">
        <f t="shared" si="0"/>
        <v>1026122</v>
      </c>
      <c r="F35" s="71"/>
      <c r="G35" s="33">
        <f t="shared" si="1"/>
        <v>0.19772412997381178</v>
      </c>
      <c r="H35" s="71"/>
      <c r="I35" s="33">
        <f t="shared" si="2"/>
        <v>19.772412997381178</v>
      </c>
      <c r="J35" s="33">
        <f t="shared" si="3"/>
        <v>202889.0796969877</v>
      </c>
      <c r="K35" s="32"/>
      <c r="L35" s="35">
        <f>SUM(I32:I35)</f>
        <v>148.29309748035882</v>
      </c>
      <c r="M35" s="96"/>
      <c r="N35" s="36">
        <v>44119</v>
      </c>
      <c r="O35" s="96"/>
    </row>
    <row r="36" spans="1:15" s="37" customFormat="1" x14ac:dyDescent="0.35">
      <c r="A36" s="89">
        <v>44124</v>
      </c>
      <c r="B36" s="39" t="s">
        <v>414</v>
      </c>
      <c r="C36" s="33"/>
      <c r="D36" s="33">
        <v>750</v>
      </c>
      <c r="E36" s="70">
        <f t="shared" si="0"/>
        <v>1025372</v>
      </c>
      <c r="F36" s="71"/>
      <c r="G36" s="33">
        <f t="shared" si="1"/>
        <v>0.19772412997381178</v>
      </c>
      <c r="H36" s="71"/>
      <c r="I36" s="33">
        <f t="shared" si="2"/>
        <v>148.29309748035882</v>
      </c>
      <c r="J36" s="33">
        <f t="shared" si="3"/>
        <v>202740.78659950735</v>
      </c>
      <c r="K36" s="32"/>
      <c r="L36" s="35">
        <f>SUM(I36)</f>
        <v>148.29309748035882</v>
      </c>
      <c r="M36" s="35">
        <f>SUM(L35:L36)</f>
        <v>296.58619496071765</v>
      </c>
      <c r="N36" s="36">
        <v>44135</v>
      </c>
      <c r="O36" s="96"/>
    </row>
    <row r="37" spans="1:15" s="64" customFormat="1" x14ac:dyDescent="0.35">
      <c r="A37" s="68">
        <v>44142</v>
      </c>
      <c r="B37" s="62" t="s">
        <v>437</v>
      </c>
      <c r="C37" s="26"/>
      <c r="D37" s="26">
        <v>100</v>
      </c>
      <c r="E37" s="41">
        <f t="shared" si="0"/>
        <v>1025272</v>
      </c>
      <c r="F37" s="42"/>
      <c r="G37" s="26">
        <f t="shared" si="1"/>
        <v>0.19772412997381181</v>
      </c>
      <c r="H37" s="42"/>
      <c r="I37" s="26">
        <f t="shared" si="2"/>
        <v>19.772412997381181</v>
      </c>
      <c r="J37" s="26">
        <f t="shared" si="3"/>
        <v>202721.01418650997</v>
      </c>
      <c r="K37" s="61"/>
      <c r="L37" s="81"/>
      <c r="M37" s="81"/>
      <c r="N37" s="81"/>
      <c r="O37" s="81"/>
    </row>
    <row r="38" spans="1:15" s="64" customFormat="1" x14ac:dyDescent="0.35">
      <c r="A38" s="68">
        <v>44147</v>
      </c>
      <c r="B38" s="62" t="s">
        <v>447</v>
      </c>
      <c r="C38" s="26"/>
      <c r="D38" s="26">
        <v>50</v>
      </c>
      <c r="E38" s="41">
        <f t="shared" si="0"/>
        <v>1025222</v>
      </c>
      <c r="F38" s="42"/>
      <c r="G38" s="26">
        <f t="shared" si="1"/>
        <v>0.19772412997381181</v>
      </c>
      <c r="H38" s="42"/>
      <c r="I38" s="26">
        <f t="shared" si="2"/>
        <v>9.8862064986905906</v>
      </c>
      <c r="J38" s="26">
        <f t="shared" si="3"/>
        <v>202711.12798001128</v>
      </c>
      <c r="K38" s="61"/>
      <c r="L38" s="81"/>
      <c r="M38" s="81"/>
      <c r="N38" s="81"/>
      <c r="O38" s="81"/>
    </row>
    <row r="39" spans="1:15" s="37" customFormat="1" x14ac:dyDescent="0.35">
      <c r="A39" s="89">
        <v>44148</v>
      </c>
      <c r="B39" s="39" t="s">
        <v>450</v>
      </c>
      <c r="C39" s="33"/>
      <c r="D39" s="33">
        <v>50</v>
      </c>
      <c r="E39" s="70">
        <f t="shared" si="0"/>
        <v>1025172</v>
      </c>
      <c r="F39" s="71"/>
      <c r="G39" s="33">
        <f t="shared" si="1"/>
        <v>0.19772412997381181</v>
      </c>
      <c r="H39" s="71"/>
      <c r="I39" s="33">
        <f t="shared" si="2"/>
        <v>9.8862064986905906</v>
      </c>
      <c r="J39" s="33">
        <f t="shared" si="3"/>
        <v>202701.24177351259</v>
      </c>
      <c r="K39" s="32"/>
      <c r="L39" s="35">
        <f>SUM(I37:I39)</f>
        <v>39.544825994762363</v>
      </c>
      <c r="M39" s="96"/>
      <c r="N39" s="36">
        <v>44150</v>
      </c>
      <c r="O39" s="96"/>
    </row>
    <row r="40" spans="1:15" s="37" customFormat="1" x14ac:dyDescent="0.35">
      <c r="A40" s="89">
        <v>44160</v>
      </c>
      <c r="B40" s="39" t="s">
        <v>464</v>
      </c>
      <c r="C40" s="33"/>
      <c r="D40" s="33">
        <v>154</v>
      </c>
      <c r="E40" s="70">
        <f t="shared" si="0"/>
        <v>1025018</v>
      </c>
      <c r="F40" s="71"/>
      <c r="G40" s="33">
        <f t="shared" si="1"/>
        <v>0.19772412997381181</v>
      </c>
      <c r="H40" s="71"/>
      <c r="I40" s="33">
        <f t="shared" si="2"/>
        <v>30.449516015967017</v>
      </c>
      <c r="J40" s="33">
        <f t="shared" si="3"/>
        <v>202670.79225749662</v>
      </c>
      <c r="K40" s="32"/>
      <c r="L40" s="35">
        <f>SUM(I40)</f>
        <v>30.449516015967017</v>
      </c>
      <c r="M40" s="35">
        <f>SUM(L39:L40)</f>
        <v>69.994342010729383</v>
      </c>
      <c r="N40" s="36">
        <v>44165</v>
      </c>
      <c r="O40" s="96"/>
    </row>
    <row r="41" spans="1:15" s="64" customFormat="1" x14ac:dyDescent="0.35">
      <c r="A41" s="68">
        <v>44166</v>
      </c>
      <c r="B41" s="62" t="s">
        <v>478</v>
      </c>
      <c r="C41" s="26"/>
      <c r="D41" s="26">
        <v>50</v>
      </c>
      <c r="E41" s="41">
        <f t="shared" si="0"/>
        <v>1024968</v>
      </c>
      <c r="F41" s="42"/>
      <c r="G41" s="26">
        <f t="shared" si="1"/>
        <v>0.19772412997381181</v>
      </c>
      <c r="H41" s="42"/>
      <c r="I41" s="26">
        <f t="shared" si="2"/>
        <v>9.8862064986905906</v>
      </c>
      <c r="J41" s="26">
        <f t="shared" si="3"/>
        <v>202660.90605099793</v>
      </c>
      <c r="K41" s="61"/>
      <c r="L41" s="79"/>
      <c r="M41" s="81"/>
      <c r="N41" s="80"/>
      <c r="O41" s="81"/>
    </row>
    <row r="42" spans="1:15" s="64" customFormat="1" x14ac:dyDescent="0.35">
      <c r="A42" s="68">
        <v>44170</v>
      </c>
      <c r="B42" s="62" t="s">
        <v>488</v>
      </c>
      <c r="C42" s="26"/>
      <c r="D42" s="26">
        <v>100</v>
      </c>
      <c r="E42" s="41">
        <f t="shared" si="0"/>
        <v>1024868</v>
      </c>
      <c r="F42" s="42"/>
      <c r="G42" s="26">
        <f t="shared" si="1"/>
        <v>0.19772412997381181</v>
      </c>
      <c r="H42" s="42"/>
      <c r="I42" s="26">
        <f t="shared" si="2"/>
        <v>19.772412997381181</v>
      </c>
      <c r="J42" s="26">
        <f t="shared" si="3"/>
        <v>202641.13363800055</v>
      </c>
      <c r="K42" s="61"/>
      <c r="L42" s="79"/>
      <c r="M42" s="79"/>
      <c r="N42" s="80"/>
      <c r="O42" s="81"/>
    </row>
    <row r="43" spans="1:15" s="64" customFormat="1" x14ac:dyDescent="0.35">
      <c r="A43" s="68">
        <v>44172</v>
      </c>
      <c r="B43" s="62" t="s">
        <v>489</v>
      </c>
      <c r="C43" s="26"/>
      <c r="D43" s="26">
        <v>50</v>
      </c>
      <c r="E43" s="41">
        <f t="shared" si="0"/>
        <v>1024818</v>
      </c>
      <c r="F43" s="42"/>
      <c r="G43" s="26">
        <f t="shared" si="1"/>
        <v>0.19772412997381181</v>
      </c>
      <c r="H43" s="42"/>
      <c r="I43" s="26">
        <f t="shared" si="2"/>
        <v>9.8862064986905906</v>
      </c>
      <c r="J43" s="26">
        <f t="shared" si="3"/>
        <v>202631.24743150186</v>
      </c>
      <c r="K43" s="61"/>
      <c r="L43" s="81"/>
      <c r="M43" s="81"/>
      <c r="N43" s="81"/>
      <c r="O43" s="81"/>
    </row>
    <row r="44" spans="1:15" s="37" customFormat="1" x14ac:dyDescent="0.35">
      <c r="A44" s="89">
        <v>44176</v>
      </c>
      <c r="B44" s="39" t="s">
        <v>505</v>
      </c>
      <c r="C44" s="33"/>
      <c r="D44" s="33">
        <v>100</v>
      </c>
      <c r="E44" s="70">
        <f t="shared" si="0"/>
        <v>1024718</v>
      </c>
      <c r="F44" s="71"/>
      <c r="G44" s="33">
        <f t="shared" si="1"/>
        <v>0.19772412997381181</v>
      </c>
      <c r="H44" s="71"/>
      <c r="I44" s="33">
        <f t="shared" si="2"/>
        <v>19.772412997381181</v>
      </c>
      <c r="J44" s="33">
        <f t="shared" si="3"/>
        <v>202611.47501850448</v>
      </c>
      <c r="K44" s="32"/>
      <c r="L44" s="35">
        <f>SUM(I41:I44)</f>
        <v>59.317238992143544</v>
      </c>
      <c r="M44" s="35">
        <f>SUM(L44)</f>
        <v>59.317238992143544</v>
      </c>
      <c r="N44" s="36">
        <v>44180</v>
      </c>
      <c r="O44" s="96"/>
    </row>
    <row r="45" spans="1:15" s="64" customFormat="1" ht="15" thickBot="1" x14ac:dyDescent="0.4">
      <c r="A45" s="62"/>
      <c r="B45" s="62" t="s">
        <v>34</v>
      </c>
      <c r="C45" s="67">
        <f>SUM(C9:C44)</f>
        <v>1031377</v>
      </c>
      <c r="D45" s="67">
        <f>SUM(D9:D44)</f>
        <v>6659</v>
      </c>
      <c r="E45" s="41"/>
      <c r="F45" s="42"/>
      <c r="G45" s="26"/>
      <c r="H45" s="67">
        <f>SUM(H9:H44)</f>
        <v>203928.12</v>
      </c>
      <c r="I45" s="67">
        <f>SUM(I9:I44)</f>
        <v>1316.6449814956129</v>
      </c>
      <c r="J45" s="67"/>
      <c r="K45" s="62"/>
      <c r="L45" s="81"/>
      <c r="M45" s="103">
        <f>SUM(M12:M44)</f>
        <v>1316.6449814956125</v>
      </c>
      <c r="N45" s="81"/>
      <c r="O45" s="81"/>
    </row>
    <row r="46" spans="1:15" s="64" customFormat="1" ht="15" thickTop="1" x14ac:dyDescent="0.35">
      <c r="A46" s="95"/>
      <c r="B46" s="95"/>
      <c r="C46" s="91"/>
      <c r="D46" s="91"/>
      <c r="E46" s="92"/>
      <c r="F46" s="93"/>
      <c r="G46" s="94"/>
      <c r="H46" s="91"/>
      <c r="I46" s="91"/>
      <c r="J46" s="91"/>
      <c r="K46" s="95"/>
      <c r="L46" s="81"/>
      <c r="M46" s="91"/>
      <c r="N46" s="81"/>
      <c r="O46" s="81"/>
    </row>
    <row r="47" spans="1:15" s="64" customFormat="1" x14ac:dyDescent="0.35">
      <c r="A47" s="95"/>
      <c r="B47" s="95"/>
      <c r="C47" s="91"/>
      <c r="D47" s="91"/>
      <c r="E47" s="92"/>
      <c r="F47" s="93"/>
      <c r="G47" s="94"/>
      <c r="H47" s="91"/>
      <c r="I47" s="91"/>
      <c r="J47" s="91"/>
      <c r="K47" s="95"/>
      <c r="L47" s="81"/>
      <c r="M47" s="91"/>
      <c r="N47" s="81"/>
      <c r="O47" s="81"/>
    </row>
    <row r="48" spans="1:15" x14ac:dyDescent="0.35">
      <c r="A48" s="50" t="s">
        <v>23</v>
      </c>
      <c r="B48" s="5"/>
      <c r="C48" s="4"/>
      <c r="D48" s="4"/>
      <c r="E48" s="4"/>
      <c r="F48" s="4"/>
      <c r="G48" s="1"/>
      <c r="H48" s="1"/>
      <c r="I48" s="1"/>
      <c r="J48" s="1"/>
    </row>
    <row r="49" spans="1:10" x14ac:dyDescent="0.35">
      <c r="A49" s="50" t="s">
        <v>36</v>
      </c>
      <c r="B49" s="5"/>
      <c r="C49" s="4"/>
      <c r="D49" s="4"/>
      <c r="E49" s="4"/>
      <c r="F49" s="4"/>
      <c r="G49" s="1"/>
      <c r="H49" s="1"/>
      <c r="I49" s="1"/>
      <c r="J49" s="51">
        <f>+E44*F9</f>
        <v>202611.47501850437</v>
      </c>
    </row>
    <row r="50" spans="1:10" x14ac:dyDescent="0.35">
      <c r="A50" s="50" t="s">
        <v>24</v>
      </c>
      <c r="B50" s="5"/>
      <c r="C50" s="4"/>
      <c r="D50" s="4"/>
      <c r="E50" s="4"/>
      <c r="F50" s="4"/>
      <c r="G50" s="1"/>
      <c r="H50" s="1"/>
      <c r="I50" s="1"/>
      <c r="J50" s="52">
        <f>+J44</f>
        <v>202611.47501850448</v>
      </c>
    </row>
    <row r="51" spans="1:10" ht="15" thickBot="1" x14ac:dyDescent="0.4">
      <c r="A51" s="50"/>
      <c r="B51" s="5" t="s">
        <v>25</v>
      </c>
      <c r="C51" s="4"/>
      <c r="D51" s="4"/>
      <c r="E51" s="4"/>
      <c r="F51" s="4"/>
      <c r="G51" s="1"/>
      <c r="H51" s="1"/>
      <c r="I51" s="1"/>
      <c r="J51" s="53">
        <f>+J49-J50</f>
        <v>0</v>
      </c>
    </row>
    <row r="52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14</vt:i4>
      </vt:variant>
    </vt:vector>
  </HeadingPairs>
  <TitlesOfParts>
    <vt:vector size="30" baseType="lpstr">
      <vt:lpstr>Blue-2019</vt:lpstr>
      <vt:lpstr>Ral-28-2009</vt:lpstr>
      <vt:lpstr>Ral-28-3003</vt:lpstr>
      <vt:lpstr>Clavos</vt:lpstr>
      <vt:lpstr>Ral-26-2009</vt:lpstr>
      <vt:lpstr>Zinc-28</vt:lpstr>
      <vt:lpstr>Zin-26</vt:lpstr>
      <vt:lpstr>Galva-28</vt:lpstr>
      <vt:lpstr>Tiraf63x76.2</vt:lpstr>
      <vt:lpstr>Tiraf63x63.5</vt:lpstr>
      <vt:lpstr>Ral28 3002</vt:lpstr>
      <vt:lpstr>ZINC 28 0.35X1200</vt:lpstr>
      <vt:lpstr>Perno Aut12x1</vt:lpstr>
      <vt:lpstr>Perno Aut12x2 AS</vt:lpstr>
      <vt:lpstr>Perno Aut 12x2 A.F.</vt:lpstr>
      <vt:lpstr>Juntas goma</vt:lpstr>
      <vt:lpstr>'Blue-2019'!Área_de_impresión</vt:lpstr>
      <vt:lpstr>'Galva-28'!Área_de_impresión</vt:lpstr>
      <vt:lpstr>'Perno Aut 12x2 A.F.'!Área_de_impresión</vt:lpstr>
      <vt:lpstr>'Perno Aut12x1'!Área_de_impresión</vt:lpstr>
      <vt:lpstr>'Perno Aut12x2 AS'!Área_de_impresión</vt:lpstr>
      <vt:lpstr>'Ral-26-2009'!Área_de_impresión</vt:lpstr>
      <vt:lpstr>'Ral28 3002'!Área_de_impresión</vt:lpstr>
      <vt:lpstr>'Ral-28-2009'!Área_de_impresión</vt:lpstr>
      <vt:lpstr>'Ral-28-3003'!Área_de_impresión</vt:lpstr>
      <vt:lpstr>Tiraf63x63.5!Área_de_impresión</vt:lpstr>
      <vt:lpstr>Tiraf63x76.2!Área_de_impresión</vt:lpstr>
      <vt:lpstr>'Zin-26'!Área_de_impresión</vt:lpstr>
      <vt:lpstr>'ZINC 28 0.35X1200'!Área_de_impresión</vt:lpstr>
      <vt:lpstr>'Zinc-28'!Área_de_impresión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2023-12-06T20:40:10Z</dcterms:modified>
</cp:coreProperties>
</file>