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 tabRatio="599" activeTab="1"/>
  </bookViews>
  <sheets>
    <sheet name="Cal.ond.2014" sheetId="1" r:id="rId1"/>
    <sheet name="Cal.RAL-2009#26- 2014" sheetId="2" r:id="rId2"/>
    <sheet name="Cal.BLUE2014" sheetId="3" r:id="rId3"/>
    <sheet name="Cal.RAL28-2014" sheetId="4" r:id="rId4"/>
    <sheet name="Gan.J-50 2014" sheetId="5" r:id="rId5"/>
    <sheet name="Gan.J-60-2014" sheetId="6" r:id="rId6"/>
    <sheet name="CLAVOS-2014" sheetId="7" r:id="rId7"/>
    <sheet name="FAC.CAMP.-2014" sheetId="8" r:id="rId8"/>
    <sheet name="Galvanizada-2014" sheetId="9" r:id="rId9"/>
    <sheet name="CALRAL 2010 # 26" sheetId="11" r:id="rId10"/>
    <sheet name="GANCHOS J-70" sheetId="12" r:id="rId11"/>
    <sheet name="BLANCO #28" sheetId="13" r:id="rId12"/>
    <sheet name="Hoja1" sheetId="14" r:id="rId13"/>
    <sheet name="Hoja2" sheetId="15" r:id="rId14"/>
  </sheets>
  <externalReferences>
    <externalReference r:id="rId15"/>
  </externalReferences>
  <definedNames>
    <definedName name="_xlnm.Print_Area" localSheetId="11">'BLANCO #28'!$A$1:$M$23</definedName>
    <definedName name="_xlnm.Print_Area" localSheetId="2">Cal.BLUE2014!$A$1:$M$49</definedName>
    <definedName name="_xlnm.Print_Area" localSheetId="0">Cal.ond.2014!$A$1:$M$389</definedName>
    <definedName name="_xlnm.Print_Area" localSheetId="1">'Cal.RAL-2009#26- 2014'!$A$1:$M$135</definedName>
    <definedName name="_xlnm.Print_Area" localSheetId="3">'Cal.RAL28-2014'!$A$1:$M$119</definedName>
    <definedName name="_xlnm.Print_Area" localSheetId="9">'CALRAL 2010 # 26'!$A$1:$M$51</definedName>
    <definedName name="_xlnm.Print_Area" localSheetId="6">'CLAVOS-2014'!$A$1:$M$119</definedName>
    <definedName name="_xlnm.Print_Area" localSheetId="7">'FAC.CAMP.-2014'!$A$1:$M$42</definedName>
    <definedName name="_xlnm.Print_Area" localSheetId="8">'Galvanizada-2014'!$A$1:$M$41</definedName>
    <definedName name="_xlnm.Print_Area" localSheetId="4">'Gan.J-50 2014'!$A$1:$M$67</definedName>
    <definedName name="_xlnm.Print_Area" localSheetId="5">'Gan.J-60-2014'!$A$1:$M$49</definedName>
    <definedName name="_xlnm.Print_Area" localSheetId="10">'GANCHOS J-70'!$A$1:$M$22</definedName>
  </definedNames>
  <calcPr calcId="125725"/>
</workbook>
</file>

<file path=xl/calcChain.xml><?xml version="1.0" encoding="utf-8"?>
<calcChain xmlns="http://schemas.openxmlformats.org/spreadsheetml/2006/main">
  <c r="D55" i="4"/>
  <c r="J55" i="7"/>
  <c r="E55"/>
  <c r="E54"/>
  <c r="J54"/>
  <c r="F54"/>
  <c r="L13" i="13"/>
  <c r="N31" i="11"/>
  <c r="N42"/>
  <c r="N40"/>
  <c r="N12"/>
  <c r="N30" i="9"/>
  <c r="N28"/>
  <c r="N27"/>
  <c r="N25"/>
  <c r="N23"/>
  <c r="N22"/>
  <c r="N28" i="8"/>
  <c r="N12"/>
  <c r="N20"/>
  <c r="N29"/>
  <c r="N42" i="6"/>
  <c r="N40"/>
  <c r="N35"/>
  <c r="N33"/>
  <c r="N28"/>
  <c r="M28"/>
  <c r="N20"/>
  <c r="N17"/>
  <c r="N15"/>
  <c r="N57" i="5"/>
  <c r="N55"/>
  <c r="N50"/>
  <c r="N48"/>
  <c r="N41"/>
  <c r="N29"/>
  <c r="N26"/>
  <c r="N19"/>
  <c r="N48" i="4"/>
  <c r="N37" i="3"/>
  <c r="N44"/>
  <c r="N42"/>
  <c r="N41"/>
  <c r="N28"/>
  <c r="N26"/>
  <c r="N25"/>
  <c r="N22"/>
  <c r="N127" i="2"/>
  <c r="N52" i="1"/>
  <c r="G56"/>
  <c r="N374"/>
  <c r="I374"/>
  <c r="M51"/>
  <c r="N372"/>
  <c r="N322"/>
  <c r="N282"/>
  <c r="N83"/>
  <c r="M83"/>
  <c r="M72"/>
  <c r="N22" i="5"/>
  <c r="M22"/>
  <c r="M20"/>
  <c r="N53" i="4"/>
  <c r="M53"/>
  <c r="M51"/>
  <c r="N70" i="2"/>
  <c r="M70"/>
  <c r="M68"/>
  <c r="N58"/>
  <c r="M58"/>
  <c r="M53"/>
  <c r="N60" i="1"/>
  <c r="M60"/>
  <c r="M54"/>
  <c r="N21" i="9"/>
  <c r="M21"/>
  <c r="M19"/>
  <c r="N17"/>
  <c r="M17"/>
  <c r="M15"/>
  <c r="M12"/>
  <c r="N32" i="8"/>
  <c r="M18" i="5"/>
  <c r="M41"/>
  <c r="N38"/>
  <c r="M38"/>
  <c r="M36"/>
  <c r="N34"/>
  <c r="M34"/>
  <c r="M31"/>
  <c r="N16"/>
  <c r="M16"/>
  <c r="M14"/>
  <c r="N44" i="4"/>
  <c r="M44"/>
  <c r="M39"/>
  <c r="N27"/>
  <c r="M27"/>
  <c r="M17"/>
  <c r="M73" i="2"/>
  <c r="M44"/>
  <c r="N44" s="1"/>
  <c r="M36"/>
  <c r="N26"/>
  <c r="M26"/>
  <c r="M19"/>
  <c r="N227" i="1"/>
  <c r="M227"/>
  <c r="M220"/>
  <c r="N200"/>
  <c r="M200"/>
  <c r="M179"/>
  <c r="N160"/>
  <c r="M160"/>
  <c r="M143"/>
  <c r="N129"/>
  <c r="M129"/>
  <c r="M117"/>
  <c r="N104"/>
  <c r="M104"/>
  <c r="M95"/>
  <c r="M52"/>
  <c r="N51"/>
  <c r="M48"/>
  <c r="M17"/>
  <c r="K53" i="4"/>
  <c r="K51" i="1"/>
  <c r="E13" i="13"/>
  <c r="H13"/>
  <c r="D13"/>
  <c r="C13"/>
  <c r="J22" i="12"/>
  <c r="J21"/>
  <c r="J20"/>
  <c r="J14"/>
  <c r="E14"/>
  <c r="I14"/>
  <c r="H14"/>
  <c r="D14"/>
  <c r="C14"/>
  <c r="H42" i="11"/>
  <c r="C42"/>
  <c r="J37" i="9"/>
  <c r="J36"/>
  <c r="J35"/>
  <c r="J30"/>
  <c r="E30"/>
  <c r="I30"/>
  <c r="H30"/>
  <c r="D30"/>
  <c r="C30"/>
  <c r="F94" i="7"/>
  <c r="H109"/>
  <c r="D109"/>
  <c r="C109"/>
  <c r="E109" s="1"/>
  <c r="J115" s="1"/>
  <c r="E32" i="8"/>
  <c r="J39"/>
  <c r="J38"/>
  <c r="J37"/>
  <c r="J32"/>
  <c r="D42" i="6"/>
  <c r="C42"/>
  <c r="E42" s="1"/>
  <c r="D57" i="5"/>
  <c r="C57"/>
  <c r="E57" s="1"/>
  <c r="H109" i="4"/>
  <c r="D109"/>
  <c r="E109" s="1"/>
  <c r="C109"/>
  <c r="F24" i="3"/>
  <c r="F9"/>
  <c r="H44"/>
  <c r="C44"/>
  <c r="E127" i="2"/>
  <c r="H127"/>
  <c r="D127"/>
  <c r="C127"/>
  <c r="E374" i="1" l="1"/>
  <c r="H374" l="1"/>
  <c r="D374"/>
  <c r="C374"/>
  <c r="K12" i="12"/>
  <c r="C9" i="4"/>
  <c r="F9" s="1"/>
  <c r="J9"/>
  <c r="D10"/>
  <c r="E10" s="1"/>
  <c r="G10"/>
  <c r="D11"/>
  <c r="I11" s="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60"/>
  <c r="D61"/>
  <c r="D62"/>
  <c r="D63"/>
  <c r="D65"/>
  <c r="D68"/>
  <c r="D69"/>
  <c r="D70"/>
  <c r="D71"/>
  <c r="D72"/>
  <c r="F73"/>
  <c r="D75"/>
  <c r="D78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3"/>
  <c r="D104"/>
  <c r="D105"/>
  <c r="D106"/>
  <c r="D107"/>
  <c r="D28" i="9"/>
  <c r="D27"/>
  <c r="H39" i="6"/>
  <c r="F39" s="1"/>
  <c r="J46" s="1"/>
  <c r="D42" i="3"/>
  <c r="D41"/>
  <c r="D40"/>
  <c r="D39"/>
  <c r="D38"/>
  <c r="D372" i="1"/>
  <c r="D371"/>
  <c r="D369"/>
  <c r="D368"/>
  <c r="D367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7"/>
  <c r="D336"/>
  <c r="D335"/>
  <c r="D333"/>
  <c r="D332"/>
  <c r="D331"/>
  <c r="D330"/>
  <c r="D329"/>
  <c r="D328"/>
  <c r="D327"/>
  <c r="D326"/>
  <c r="D325"/>
  <c r="D324"/>
  <c r="D323"/>
  <c r="D322"/>
  <c r="D321"/>
  <c r="D319"/>
  <c r="D318"/>
  <c r="E317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D317"/>
  <c r="E11" i="4" l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I10"/>
  <c r="J10" s="1"/>
  <c r="J11" s="1"/>
  <c r="G11" l="1"/>
  <c r="I12" s="1"/>
  <c r="J12" s="1"/>
  <c r="G12" l="1"/>
  <c r="I13" s="1"/>
  <c r="J13" s="1"/>
  <c r="G13" l="1"/>
  <c r="I14" s="1"/>
  <c r="J14" s="1"/>
  <c r="G14" l="1"/>
  <c r="I15" s="1"/>
  <c r="J15" s="1"/>
  <c r="G15" l="1"/>
  <c r="I16" s="1"/>
  <c r="J16" s="1"/>
  <c r="G16" l="1"/>
  <c r="I17" s="1"/>
  <c r="J17"/>
  <c r="G17" l="1"/>
  <c r="I18" s="1"/>
  <c r="J18" s="1"/>
  <c r="G18" l="1"/>
  <c r="I19" s="1"/>
  <c r="J19"/>
  <c r="G19" l="1"/>
  <c r="I20" s="1"/>
  <c r="J20" s="1"/>
  <c r="G20" l="1"/>
  <c r="I21" s="1"/>
  <c r="J21"/>
  <c r="G21" l="1"/>
  <c r="I22" s="1"/>
  <c r="J22" s="1"/>
  <c r="G22" l="1"/>
  <c r="I23" s="1"/>
  <c r="J23" s="1"/>
  <c r="G23" l="1"/>
  <c r="I24" s="1"/>
  <c r="J24" s="1"/>
  <c r="G24" l="1"/>
  <c r="I25" s="1"/>
  <c r="J25"/>
  <c r="G25" l="1"/>
  <c r="I26" s="1"/>
  <c r="J26" s="1"/>
  <c r="G26" l="1"/>
  <c r="I27" s="1"/>
  <c r="J27"/>
  <c r="G28" l="1"/>
  <c r="I29" s="1"/>
  <c r="J28"/>
  <c r="G27"/>
  <c r="I28" s="1"/>
  <c r="G29" l="1"/>
  <c r="I30" s="1"/>
  <c r="J29"/>
  <c r="G30" l="1"/>
  <c r="I31" s="1"/>
  <c r="J30"/>
  <c r="G31" l="1"/>
  <c r="I32" s="1"/>
  <c r="J31"/>
  <c r="G32" l="1"/>
  <c r="I33" s="1"/>
  <c r="J32"/>
  <c r="G33" l="1"/>
  <c r="I34" s="1"/>
  <c r="J33"/>
  <c r="G34" l="1"/>
  <c r="I35" s="1"/>
  <c r="J34"/>
  <c r="G35" l="1"/>
  <c r="I36" s="1"/>
  <c r="J35"/>
  <c r="G36" l="1"/>
  <c r="I37" s="1"/>
  <c r="J36"/>
  <c r="G37" l="1"/>
  <c r="I38" s="1"/>
  <c r="J37"/>
  <c r="G38" l="1"/>
  <c r="I39" s="1"/>
  <c r="J38"/>
  <c r="G39" l="1"/>
  <c r="I40" s="1"/>
  <c r="J39"/>
  <c r="G40" l="1"/>
  <c r="I41" s="1"/>
  <c r="J40"/>
  <c r="G41" l="1"/>
  <c r="I42" s="1"/>
  <c r="J41"/>
  <c r="G42" l="1"/>
  <c r="I43" s="1"/>
  <c r="J42"/>
  <c r="G43" l="1"/>
  <c r="I44" s="1"/>
  <c r="J43"/>
  <c r="G44" l="1"/>
  <c r="I45" s="1"/>
  <c r="J44"/>
  <c r="G45" l="1"/>
  <c r="I46" s="1"/>
  <c r="J45"/>
  <c r="G46" l="1"/>
  <c r="I47" s="1"/>
  <c r="J46"/>
  <c r="G47" l="1"/>
  <c r="I48" s="1"/>
  <c r="J47"/>
  <c r="G48" l="1"/>
  <c r="I49" s="1"/>
  <c r="J48"/>
  <c r="G49" l="1"/>
  <c r="I50" s="1"/>
  <c r="J49"/>
  <c r="G50" l="1"/>
  <c r="I51" s="1"/>
  <c r="J50"/>
  <c r="G51" l="1"/>
  <c r="I52" s="1"/>
  <c r="J51"/>
  <c r="G52" l="1"/>
  <c r="I53" s="1"/>
  <c r="J52"/>
  <c r="G53" l="1"/>
  <c r="I54" s="1"/>
  <c r="J53"/>
  <c r="G54" l="1"/>
  <c r="I55" s="1"/>
  <c r="J54"/>
  <c r="M56" l="1"/>
  <c r="G55"/>
  <c r="I56" s="1"/>
  <c r="J55"/>
  <c r="G56" l="1"/>
  <c r="I57" s="1"/>
  <c r="J56"/>
  <c r="G57" l="1"/>
  <c r="I58" s="1"/>
  <c r="J57"/>
  <c r="G58" l="1"/>
  <c r="I59" s="1"/>
  <c r="J58"/>
  <c r="G59" l="1"/>
  <c r="I60" s="1"/>
  <c r="M60" s="1"/>
  <c r="N60" s="1"/>
  <c r="J59"/>
  <c r="K60" l="1"/>
  <c r="G60"/>
  <c r="I61" s="1"/>
  <c r="J60"/>
  <c r="G61" l="1"/>
  <c r="I62" s="1"/>
  <c r="J61"/>
  <c r="G62" l="1"/>
  <c r="I63" s="1"/>
  <c r="J62"/>
  <c r="G63" l="1"/>
  <c r="I64" s="1"/>
  <c r="J63"/>
  <c r="G64" l="1"/>
  <c r="I65" s="1"/>
  <c r="M65" s="1"/>
  <c r="J64"/>
  <c r="G65" l="1"/>
  <c r="I66" s="1"/>
  <c r="J65"/>
  <c r="G66" l="1"/>
  <c r="I67" s="1"/>
  <c r="J66"/>
  <c r="G67" l="1"/>
  <c r="I68" s="1"/>
  <c r="M68" s="1"/>
  <c r="N68" s="1"/>
  <c r="J67"/>
  <c r="I32" i="8"/>
  <c r="H32"/>
  <c r="D32"/>
  <c r="C32"/>
  <c r="K29"/>
  <c r="K28"/>
  <c r="K12"/>
  <c r="H94" i="7"/>
  <c r="K68" i="4"/>
  <c r="K48"/>
  <c r="K44"/>
  <c r="K27"/>
  <c r="K52" i="1"/>
  <c r="G68" i="4" l="1"/>
  <c r="I69" s="1"/>
  <c r="M69" s="1"/>
  <c r="J68"/>
  <c r="F34" i="6"/>
  <c r="F50" i="5"/>
  <c r="J63" s="1"/>
  <c r="D316" i="1"/>
  <c r="D315"/>
  <c r="D314"/>
  <c r="D313"/>
  <c r="D312"/>
  <c r="D311"/>
  <c r="D310"/>
  <c r="D309"/>
  <c r="G69" i="4" l="1"/>
  <c r="I70" s="1"/>
  <c r="J69"/>
  <c r="D307" i="1"/>
  <c r="D306"/>
  <c r="D305"/>
  <c r="D304"/>
  <c r="D303"/>
  <c r="D302"/>
  <c r="D301"/>
  <c r="D300"/>
  <c r="D299"/>
  <c r="D298"/>
  <c r="D297"/>
  <c r="D296"/>
  <c r="D295"/>
  <c r="D294"/>
  <c r="D26" i="9"/>
  <c r="D293" i="1"/>
  <c r="D292"/>
  <c r="D291"/>
  <c r="D290"/>
  <c r="E290" s="1"/>
  <c r="D289"/>
  <c r="D288"/>
  <c r="E287"/>
  <c r="D286"/>
  <c r="D285"/>
  <c r="D284"/>
  <c r="E283"/>
  <c r="D283"/>
  <c r="D282"/>
  <c r="D281"/>
  <c r="D280"/>
  <c r="D279"/>
  <c r="D278"/>
  <c r="D277"/>
  <c r="D276"/>
  <c r="D275"/>
  <c r="D274"/>
  <c r="D273"/>
  <c r="D272"/>
  <c r="D271"/>
  <c r="D270"/>
  <c r="D269"/>
  <c r="D25" i="9"/>
  <c r="D261" i="1"/>
  <c r="D253"/>
  <c r="D250"/>
  <c r="D251"/>
  <c r="D252"/>
  <c r="D254"/>
  <c r="D255"/>
  <c r="D256"/>
  <c r="D257"/>
  <c r="D258"/>
  <c r="D259"/>
  <c r="D260"/>
  <c r="D262"/>
  <c r="D263"/>
  <c r="D265"/>
  <c r="D266"/>
  <c r="D267"/>
  <c r="D268"/>
  <c r="J9" i="13"/>
  <c r="E9"/>
  <c r="F9" s="1"/>
  <c r="J19" s="1"/>
  <c r="D40" i="11"/>
  <c r="D39"/>
  <c r="D38"/>
  <c r="D37"/>
  <c r="D36"/>
  <c r="D35"/>
  <c r="D34"/>
  <c r="D33"/>
  <c r="D32"/>
  <c r="D31"/>
  <c r="D30"/>
  <c r="D24" i="9"/>
  <c r="D247" i="1"/>
  <c r="D246"/>
  <c r="D245"/>
  <c r="D244"/>
  <c r="D242"/>
  <c r="D241"/>
  <c r="D240"/>
  <c r="D239"/>
  <c r="D238"/>
  <c r="D237"/>
  <c r="D236"/>
  <c r="D235"/>
  <c r="D234"/>
  <c r="D233"/>
  <c r="D232"/>
  <c r="D230"/>
  <c r="D229"/>
  <c r="D228"/>
  <c r="G10" i="13" l="1"/>
  <c r="G70" i="4"/>
  <c r="I71" s="1"/>
  <c r="J70"/>
  <c r="E291" i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288"/>
  <c r="E289" s="1"/>
  <c r="E284"/>
  <c r="E285" s="1"/>
  <c r="E286" s="1"/>
  <c r="D227"/>
  <c r="D226"/>
  <c r="D225"/>
  <c r="D23" i="9"/>
  <c r="D224" i="1"/>
  <c r="D10" i="13"/>
  <c r="E10" s="1"/>
  <c r="E11" s="1"/>
  <c r="D223" i="1"/>
  <c r="D222"/>
  <c r="D221"/>
  <c r="D220"/>
  <c r="D219"/>
  <c r="D218"/>
  <c r="D217"/>
  <c r="D216"/>
  <c r="D215"/>
  <c r="D214"/>
  <c r="D213"/>
  <c r="D212"/>
  <c r="D211"/>
  <c r="I10" i="13" l="1"/>
  <c r="G71" i="4"/>
  <c r="I72" s="1"/>
  <c r="M73" s="1"/>
  <c r="N73" s="1"/>
  <c r="J71"/>
  <c r="K73"/>
  <c r="D210" i="1"/>
  <c r="D209"/>
  <c r="D208"/>
  <c r="D207"/>
  <c r="D206"/>
  <c r="D205"/>
  <c r="D204"/>
  <c r="D203"/>
  <c r="F69"/>
  <c r="J380" s="1"/>
  <c r="D166"/>
  <c r="J11" i="12"/>
  <c r="F11"/>
  <c r="E11"/>
  <c r="E12" s="1"/>
  <c r="D29" i="11"/>
  <c r="D28"/>
  <c r="D27"/>
  <c r="D26"/>
  <c r="D25"/>
  <c r="D24"/>
  <c r="D23"/>
  <c r="D22"/>
  <c r="D21"/>
  <c r="D20"/>
  <c r="D19"/>
  <c r="D18"/>
  <c r="D16"/>
  <c r="D15"/>
  <c r="D14"/>
  <c r="D13"/>
  <c r="D12"/>
  <c r="D11"/>
  <c r="D10"/>
  <c r="F25" i="6"/>
  <c r="F21"/>
  <c r="F35" i="5"/>
  <c r="D37" i="3"/>
  <c r="D36"/>
  <c r="D35"/>
  <c r="D34"/>
  <c r="D33"/>
  <c r="D32"/>
  <c r="D116" i="2"/>
  <c r="D42" i="11" l="1"/>
  <c r="E42" s="1"/>
  <c r="L10" i="13"/>
  <c r="J10"/>
  <c r="G11" s="1"/>
  <c r="I11" s="1"/>
  <c r="I13" s="1"/>
  <c r="J13" s="1"/>
  <c r="J20" s="1"/>
  <c r="J21" s="1"/>
  <c r="G72" i="4"/>
  <c r="I74" s="1"/>
  <c r="J72"/>
  <c r="J73" s="1"/>
  <c r="G12" i="12"/>
  <c r="I12" s="1"/>
  <c r="J12" s="1"/>
  <c r="J11" i="13" l="1"/>
  <c r="L11"/>
  <c r="G74" i="4"/>
  <c r="I75" s="1"/>
  <c r="J74"/>
  <c r="G75" l="1"/>
  <c r="I76" s="1"/>
  <c r="J75"/>
  <c r="G76" l="1"/>
  <c r="I77" s="1"/>
  <c r="J76"/>
  <c r="G77" l="1"/>
  <c r="I78" s="1"/>
  <c r="J77"/>
  <c r="G78" l="1"/>
  <c r="I79" s="1"/>
  <c r="M79" s="1"/>
  <c r="J78"/>
  <c r="D201" i="1"/>
  <c r="D200"/>
  <c r="D199"/>
  <c r="D198"/>
  <c r="D195"/>
  <c r="D194"/>
  <c r="D193"/>
  <c r="D192"/>
  <c r="D191"/>
  <c r="D190"/>
  <c r="D189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7"/>
  <c r="D165"/>
  <c r="D164"/>
  <c r="D163"/>
  <c r="D162"/>
  <c r="D161"/>
  <c r="G79" i="4" l="1"/>
  <c r="I80" s="1"/>
  <c r="J79"/>
  <c r="D160" i="1"/>
  <c r="D159"/>
  <c r="D158"/>
  <c r="D157"/>
  <c r="D156"/>
  <c r="D155"/>
  <c r="D154"/>
  <c r="D153"/>
  <c r="D152"/>
  <c r="D151"/>
  <c r="D150"/>
  <c r="D148"/>
  <c r="D147"/>
  <c r="D146"/>
  <c r="D145"/>
  <c r="D144"/>
  <c r="D143"/>
  <c r="D142"/>
  <c r="D141"/>
  <c r="D140"/>
  <c r="D139"/>
  <c r="D138"/>
  <c r="G80" i="4" l="1"/>
  <c r="I81" s="1"/>
  <c r="J80"/>
  <c r="D115" i="2"/>
  <c r="D114"/>
  <c r="D113"/>
  <c r="G81" i="4" l="1"/>
  <c r="I82" s="1"/>
  <c r="J81"/>
  <c r="D112" i="2"/>
  <c r="D111"/>
  <c r="D110"/>
  <c r="D109"/>
  <c r="D108"/>
  <c r="D107"/>
  <c r="D106"/>
  <c r="D105"/>
  <c r="G82" i="4" l="1"/>
  <c r="I83" s="1"/>
  <c r="J82"/>
  <c r="D128" i="1"/>
  <c r="D101" i="2"/>
  <c r="D104" i="1"/>
  <c r="D63" i="2"/>
  <c r="D26" i="8"/>
  <c r="D52" i="1"/>
  <c r="D21" i="3"/>
  <c r="D20"/>
  <c r="D19"/>
  <c r="D18"/>
  <c r="D17"/>
  <c r="D15"/>
  <c r="D14"/>
  <c r="D13"/>
  <c r="D12"/>
  <c r="D11"/>
  <c r="D10"/>
  <c r="F9" i="9"/>
  <c r="J9"/>
  <c r="E9"/>
  <c r="J9" i="1"/>
  <c r="C9"/>
  <c r="J9" i="3"/>
  <c r="G10" s="1"/>
  <c r="F9" i="2"/>
  <c r="J9"/>
  <c r="G10" s="1"/>
  <c r="J11" i="5"/>
  <c r="J11" i="6"/>
  <c r="E11"/>
  <c r="E12" s="1"/>
  <c r="E13" s="1"/>
  <c r="E14" s="1"/>
  <c r="E15" s="1"/>
  <c r="E16" s="1"/>
  <c r="F11"/>
  <c r="F11" i="7"/>
  <c r="I10" i="3" l="1"/>
  <c r="J10" s="1"/>
  <c r="E10"/>
  <c r="E11" s="1"/>
  <c r="E12" s="1"/>
  <c r="E13" s="1"/>
  <c r="E14" s="1"/>
  <c r="E15" s="1"/>
  <c r="E16" s="1"/>
  <c r="E17" s="1"/>
  <c r="E18" s="1"/>
  <c r="E19" s="1"/>
  <c r="E20" s="1"/>
  <c r="E21" s="1"/>
  <c r="G83" i="4"/>
  <c r="I84" s="1"/>
  <c r="J83"/>
  <c r="G10" i="9"/>
  <c r="D137" i="1"/>
  <c r="D136"/>
  <c r="D135"/>
  <c r="D134"/>
  <c r="D133"/>
  <c r="D132"/>
  <c r="D131"/>
  <c r="D130"/>
  <c r="D129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5"/>
  <c r="D103"/>
  <c r="D102"/>
  <c r="D100"/>
  <c r="D99"/>
  <c r="D98"/>
  <c r="D97"/>
  <c r="D96"/>
  <c r="D95"/>
  <c r="D94"/>
  <c r="D93"/>
  <c r="D92"/>
  <c r="D91"/>
  <c r="D90"/>
  <c r="D89"/>
  <c r="D88"/>
  <c r="D86"/>
  <c r="D85"/>
  <c r="D84"/>
  <c r="D83"/>
  <c r="D80"/>
  <c r="D79"/>
  <c r="D78"/>
  <c r="D77"/>
  <c r="D76"/>
  <c r="D74"/>
  <c r="D73"/>
  <c r="D72"/>
  <c r="D71"/>
  <c r="D70"/>
  <c r="D68"/>
  <c r="D67"/>
  <c r="D66"/>
  <c r="D65"/>
  <c r="D64"/>
  <c r="D63"/>
  <c r="D62"/>
  <c r="D61"/>
  <c r="D59"/>
  <c r="D58"/>
  <c r="D57"/>
  <c r="D56"/>
  <c r="F9" i="11"/>
  <c r="J47" s="1"/>
  <c r="J9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2" i="2"/>
  <c r="G11" i="3" l="1"/>
  <c r="I11" s="1"/>
  <c r="J11" s="1"/>
  <c r="G12" s="1"/>
  <c r="I12" s="1"/>
  <c r="J12" s="1"/>
  <c r="G13" s="1"/>
  <c r="I13" s="1"/>
  <c r="J13" s="1"/>
  <c r="G14" s="1"/>
  <c r="I14" s="1"/>
  <c r="J14" s="1"/>
  <c r="G15" s="1"/>
  <c r="I15" s="1"/>
  <c r="J15" s="1"/>
  <c r="G16" s="1"/>
  <c r="I16" s="1"/>
  <c r="J16" s="1"/>
  <c r="G17" s="1"/>
  <c r="I17" s="1"/>
  <c r="J17" s="1"/>
  <c r="G18" s="1"/>
  <c r="I18" s="1"/>
  <c r="J18" s="1"/>
  <c r="G19" s="1"/>
  <c r="I19" s="1"/>
  <c r="J19" s="1"/>
  <c r="G20" s="1"/>
  <c r="I20" s="1"/>
  <c r="J20" s="1"/>
  <c r="G21" s="1"/>
  <c r="I21" s="1"/>
  <c r="J21" s="1"/>
  <c r="G22" s="1"/>
  <c r="G84" i="4"/>
  <c r="I85" s="1"/>
  <c r="M85" s="1"/>
  <c r="N85" s="1"/>
  <c r="J84"/>
  <c r="E30" i="11"/>
  <c r="E31" s="1"/>
  <c r="E32" s="1"/>
  <c r="E33" s="1"/>
  <c r="E34" s="1"/>
  <c r="E35" s="1"/>
  <c r="E36" s="1"/>
  <c r="E37" s="1"/>
  <c r="E38" s="1"/>
  <c r="E39" s="1"/>
  <c r="E40" s="1"/>
  <c r="G10"/>
  <c r="I10" s="1"/>
  <c r="F55" i="1"/>
  <c r="F12" i="2"/>
  <c r="J9" i="8"/>
  <c r="F9"/>
  <c r="E9"/>
  <c r="F11" i="5"/>
  <c r="J10" i="11" l="1"/>
  <c r="G11" s="1"/>
  <c r="I11" s="1"/>
  <c r="J11" s="1"/>
  <c r="G12" s="1"/>
  <c r="I12" s="1"/>
  <c r="J12" s="1"/>
  <c r="G13" s="1"/>
  <c r="I13" s="1"/>
  <c r="G85" i="4"/>
  <c r="I86" s="1"/>
  <c r="J85"/>
  <c r="G10" i="8"/>
  <c r="D104" i="2"/>
  <c r="D103"/>
  <c r="D22" i="9"/>
  <c r="D102" i="2"/>
  <c r="D31" i="3"/>
  <c r="D100" i="2"/>
  <c r="D99"/>
  <c r="D98"/>
  <c r="D97"/>
  <c r="D96"/>
  <c r="D95"/>
  <c r="D94"/>
  <c r="D93"/>
  <c r="D92"/>
  <c r="D91"/>
  <c r="D90"/>
  <c r="D89"/>
  <c r="D30" i="3"/>
  <c r="D29"/>
  <c r="D88" i="2"/>
  <c r="D87"/>
  <c r="D86"/>
  <c r="D85"/>
  <c r="D84"/>
  <c r="D101" i="1"/>
  <c r="D83" i="2"/>
  <c r="D82"/>
  <c r="D81"/>
  <c r="D80"/>
  <c r="D79"/>
  <c r="D77"/>
  <c r="D76"/>
  <c r="D75"/>
  <c r="D73"/>
  <c r="D28" i="3"/>
  <c r="D27"/>
  <c r="D71" i="2"/>
  <c r="D70"/>
  <c r="D69"/>
  <c r="D75" i="1"/>
  <c r="D68" i="2"/>
  <c r="D67"/>
  <c r="D66"/>
  <c r="D65"/>
  <c r="D64"/>
  <c r="D62"/>
  <c r="D61"/>
  <c r="D60"/>
  <c r="D58"/>
  <c r="D57"/>
  <c r="D56"/>
  <c r="D60" i="1"/>
  <c r="D55" i="2"/>
  <c r="D26" i="3"/>
  <c r="D54" i="2"/>
  <c r="D54" i="1"/>
  <c r="D53" i="2"/>
  <c r="D52"/>
  <c r="D51"/>
  <c r="D20" i="9"/>
  <c r="K12" i="11" l="1"/>
  <c r="J13"/>
  <c r="G14" s="1"/>
  <c r="I14" s="1"/>
  <c r="J14" s="1"/>
  <c r="G15" s="1"/>
  <c r="I15" s="1"/>
  <c r="J15" s="1"/>
  <c r="G16" s="1"/>
  <c r="I16" s="1"/>
  <c r="J16" s="1"/>
  <c r="G17" s="1"/>
  <c r="I17" s="1"/>
  <c r="J17" s="1"/>
  <c r="G18" s="1"/>
  <c r="I18" s="1"/>
  <c r="J18" s="1"/>
  <c r="G19" s="1"/>
  <c r="I19" s="1"/>
  <c r="J19" s="1"/>
  <c r="G20" s="1"/>
  <c r="I20" s="1"/>
  <c r="J20" s="1"/>
  <c r="G21" s="1"/>
  <c r="I21" s="1"/>
  <c r="J21" s="1"/>
  <c r="G22" s="1"/>
  <c r="I22" s="1"/>
  <c r="J22" s="1"/>
  <c r="G23" s="1"/>
  <c r="I23" s="1"/>
  <c r="J23" s="1"/>
  <c r="G24" s="1"/>
  <c r="I24" s="1"/>
  <c r="G86" i="4"/>
  <c r="I87" s="1"/>
  <c r="J86"/>
  <c r="D50" i="2"/>
  <c r="D49"/>
  <c r="D29" i="8"/>
  <c r="D48" i="2"/>
  <c r="D47"/>
  <c r="D46"/>
  <c r="D45"/>
  <c r="M23" i="11" l="1"/>
  <c r="J24"/>
  <c r="G25" s="1"/>
  <c r="I25" s="1"/>
  <c r="J25" s="1"/>
  <c r="G26" s="1"/>
  <c r="I26" s="1"/>
  <c r="J26" s="1"/>
  <c r="G27" s="1"/>
  <c r="I27" s="1"/>
  <c r="J27" s="1"/>
  <c r="G28" s="1"/>
  <c r="I28" s="1"/>
  <c r="J28" s="1"/>
  <c r="G29" s="1"/>
  <c r="I29" s="1"/>
  <c r="J29" s="1"/>
  <c r="G30" s="1"/>
  <c r="I30" s="1"/>
  <c r="J30" s="1"/>
  <c r="G31" s="1"/>
  <c r="I31" s="1"/>
  <c r="K31" s="1"/>
  <c r="G87" i="4"/>
  <c r="I88" s="1"/>
  <c r="M88" s="1"/>
  <c r="J87"/>
  <c r="D17" i="9"/>
  <c r="D16"/>
  <c r="D15"/>
  <c r="D14"/>
  <c r="D13"/>
  <c r="D29" i="1"/>
  <c r="D12" i="9"/>
  <c r="D11"/>
  <c r="D14" i="1"/>
  <c r="D10" i="9"/>
  <c r="D44" i="2"/>
  <c r="D43"/>
  <c r="D42"/>
  <c r="D41"/>
  <c r="D40"/>
  <c r="D39"/>
  <c r="D21" i="9"/>
  <c r="D38" i="2"/>
  <c r="D22" i="8"/>
  <c r="D37" i="2"/>
  <c r="D19" i="9"/>
  <c r="D36" i="2"/>
  <c r="D35"/>
  <c r="D34"/>
  <c r="D25" i="3"/>
  <c r="D33" i="2"/>
  <c r="D32"/>
  <c r="D31"/>
  <c r="D30"/>
  <c r="D29"/>
  <c r="D28"/>
  <c r="D18" i="9"/>
  <c r="D23" i="3"/>
  <c r="D27" i="2"/>
  <c r="K30" i="11" l="1"/>
  <c r="J31"/>
  <c r="G32" s="1"/>
  <c r="I32" s="1"/>
  <c r="M30"/>
  <c r="N30"/>
  <c r="G88" i="4"/>
  <c r="I89" s="1"/>
  <c r="J88"/>
  <c r="I10" i="9"/>
  <c r="E10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J32" i="11" l="1"/>
  <c r="G33" s="1"/>
  <c r="I33" s="1"/>
  <c r="J33" s="1"/>
  <c r="G34" s="1"/>
  <c r="I34" s="1"/>
  <c r="J34" s="1"/>
  <c r="G35" s="1"/>
  <c r="I35" s="1"/>
  <c r="J35" s="1"/>
  <c r="G36" s="1"/>
  <c r="I36" s="1"/>
  <c r="J36" s="1"/>
  <c r="G37" s="1"/>
  <c r="I37" s="1"/>
  <c r="J37" s="1"/>
  <c r="G38" s="1"/>
  <c r="I38" s="1"/>
  <c r="J38" s="1"/>
  <c r="G39" s="1"/>
  <c r="I39" s="1"/>
  <c r="J39" s="1"/>
  <c r="G40" s="1"/>
  <c r="I40" s="1"/>
  <c r="J40" s="1"/>
  <c r="J48" s="1"/>
  <c r="J49" s="1"/>
  <c r="J10" i="9"/>
  <c r="G89" i="4"/>
  <c r="I90" s="1"/>
  <c r="M90" s="1"/>
  <c r="N90" s="1"/>
  <c r="J89"/>
  <c r="G11" i="9"/>
  <c r="I11" s="1"/>
  <c r="J11" s="1"/>
  <c r="G12" s="1"/>
  <c r="I12" s="1"/>
  <c r="J12" s="1"/>
  <c r="G13" s="1"/>
  <c r="I13" s="1"/>
  <c r="J13" s="1"/>
  <c r="D22" i="3"/>
  <c r="D26" i="2"/>
  <c r="D25"/>
  <c r="K40" i="11" l="1"/>
  <c r="I42"/>
  <c r="J42" s="1"/>
  <c r="D44" i="3"/>
  <c r="E44" s="1"/>
  <c r="J47" s="1"/>
  <c r="E22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I22"/>
  <c r="J22" s="1"/>
  <c r="G90" i="4"/>
  <c r="I91" s="1"/>
  <c r="J90"/>
  <c r="G14" i="9"/>
  <c r="I14" s="1"/>
  <c r="J14" s="1"/>
  <c r="G15" s="1"/>
  <c r="I15" s="1"/>
  <c r="J15" s="1"/>
  <c r="G16" s="1"/>
  <c r="I16" s="1"/>
  <c r="J16" s="1"/>
  <c r="G17" s="1"/>
  <c r="I17" s="1"/>
  <c r="J17" s="1"/>
  <c r="G18" s="1"/>
  <c r="I18" s="1"/>
  <c r="H42" i="7"/>
  <c r="F42" s="1"/>
  <c r="H26"/>
  <c r="F26" s="1"/>
  <c r="H17" i="6"/>
  <c r="H21" i="5"/>
  <c r="F21" s="1"/>
  <c r="H19"/>
  <c r="F19" s="1"/>
  <c r="F17" i="6" l="1"/>
  <c r="H42"/>
  <c r="G23" i="3"/>
  <c r="I23" s="1"/>
  <c r="J23" s="1"/>
  <c r="J24" s="1"/>
  <c r="G25" s="1"/>
  <c r="I25" s="1"/>
  <c r="J18" i="9"/>
  <c r="G19" s="1"/>
  <c r="I19" s="1"/>
  <c r="J19" s="1"/>
  <c r="G20" s="1"/>
  <c r="I20" s="1"/>
  <c r="J20" s="1"/>
  <c r="G21" s="1"/>
  <c r="I21" s="1"/>
  <c r="J21" s="1"/>
  <c r="G22" s="1"/>
  <c r="I22" s="1"/>
  <c r="K17"/>
  <c r="G91" i="4"/>
  <c r="I92" s="1"/>
  <c r="J91"/>
  <c r="D28" i="8"/>
  <c r="D27"/>
  <c r="D25"/>
  <c r="D24"/>
  <c r="D23"/>
  <c r="D21"/>
  <c r="D20"/>
  <c r="D19"/>
  <c r="D18"/>
  <c r="D17"/>
  <c r="D16"/>
  <c r="D15"/>
  <c r="D14"/>
  <c r="D13"/>
  <c r="D12"/>
  <c r="D11"/>
  <c r="D10"/>
  <c r="E10" s="1"/>
  <c r="H15" i="5"/>
  <c r="H12" i="7"/>
  <c r="E11"/>
  <c r="G12" i="6"/>
  <c r="D24" i="2"/>
  <c r="D23"/>
  <c r="D22"/>
  <c r="D21"/>
  <c r="D50" i="1"/>
  <c r="D48"/>
  <c r="D47"/>
  <c r="D46"/>
  <c r="D45"/>
  <c r="D44"/>
  <c r="D43"/>
  <c r="D42"/>
  <c r="D41"/>
  <c r="D40"/>
  <c r="D19" i="2"/>
  <c r="D18"/>
  <c r="D39" i="1"/>
  <c r="D38"/>
  <c r="D37"/>
  <c r="D36"/>
  <c r="D35"/>
  <c r="D34"/>
  <c r="D32"/>
  <c r="D17" i="2"/>
  <c r="D16"/>
  <c r="D15"/>
  <c r="D14"/>
  <c r="D13"/>
  <c r="D31" i="1"/>
  <c r="D30"/>
  <c r="D28"/>
  <c r="D27"/>
  <c r="D26"/>
  <c r="D25"/>
  <c r="D24"/>
  <c r="D23"/>
  <c r="D22"/>
  <c r="D21"/>
  <c r="D20"/>
  <c r="D11" i="2"/>
  <c r="D10"/>
  <c r="D19" i="1"/>
  <c r="D18"/>
  <c r="D17"/>
  <c r="D16"/>
  <c r="D15"/>
  <c r="D13"/>
  <c r="D12"/>
  <c r="D11"/>
  <c r="D10"/>
  <c r="F9"/>
  <c r="F15" i="5" l="1"/>
  <c r="H57"/>
  <c r="J22" i="9"/>
  <c r="G23" s="1"/>
  <c r="I23" s="1"/>
  <c r="K22"/>
  <c r="K21"/>
  <c r="G92" i="4"/>
  <c r="I93" s="1"/>
  <c r="J92"/>
  <c r="E12" i="7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G13"/>
  <c r="F12"/>
  <c r="J12"/>
  <c r="G10" i="1"/>
  <c r="E10"/>
  <c r="E11" s="1"/>
  <c r="E12" s="1"/>
  <c r="E13" s="1"/>
  <c r="E14" s="1"/>
  <c r="E15" s="1"/>
  <c r="E16" s="1"/>
  <c r="E17" s="1"/>
  <c r="E11" i="8"/>
  <c r="E12" s="1"/>
  <c r="E13" s="1"/>
  <c r="E14" s="1"/>
  <c r="E15" s="1"/>
  <c r="E16" s="1"/>
  <c r="E17" s="1"/>
  <c r="E18" s="1"/>
  <c r="E19" s="1"/>
  <c r="E20" s="1"/>
  <c r="E21" s="1"/>
  <c r="I12" i="6"/>
  <c r="E17"/>
  <c r="E18" s="1"/>
  <c r="J23" i="9" l="1"/>
  <c r="G24" s="1"/>
  <c r="I24" s="1"/>
  <c r="K23"/>
  <c r="J12" i="6"/>
  <c r="G93" i="4"/>
  <c r="I94" s="1"/>
  <c r="J93"/>
  <c r="E42" i="7"/>
  <c r="E43" s="1"/>
  <c r="E44" s="1"/>
  <c r="E45" s="1"/>
  <c r="E46" s="1"/>
  <c r="E47" s="1"/>
  <c r="E48" s="1"/>
  <c r="E49" s="1"/>
  <c r="E50" s="1"/>
  <c r="E51" s="1"/>
  <c r="E52" s="1"/>
  <c r="E53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22" i="8"/>
  <c r="E23" s="1"/>
  <c r="E24" s="1"/>
  <c r="E25" s="1"/>
  <c r="E26" s="1"/>
  <c r="E27" s="1"/>
  <c r="E28" s="1"/>
  <c r="E29" s="1"/>
  <c r="E19" i="6"/>
  <c r="E20" s="1"/>
  <c r="E18" i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I10" i="8"/>
  <c r="J10" s="1"/>
  <c r="G13" i="6"/>
  <c r="I13" s="1"/>
  <c r="J13" s="1"/>
  <c r="M13" l="1"/>
  <c r="J24" i="9"/>
  <c r="G25" s="1"/>
  <c r="I25" s="1"/>
  <c r="J25" s="1"/>
  <c r="K25"/>
  <c r="G94" i="4"/>
  <c r="I95" s="1"/>
  <c r="J94"/>
  <c r="E83" i="7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21" i="6"/>
  <c r="E22" s="1"/>
  <c r="E23" s="1"/>
  <c r="E24" s="1"/>
  <c r="E25" s="1"/>
  <c r="E26" s="1"/>
  <c r="E27" s="1"/>
  <c r="E28" s="1"/>
  <c r="E29" s="1"/>
  <c r="E30" s="1"/>
  <c r="E31" s="1"/>
  <c r="E32" s="1"/>
  <c r="E33" s="1"/>
  <c r="G26" i="9"/>
  <c r="I26" s="1"/>
  <c r="E40" i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G11" i="8"/>
  <c r="I11" s="1"/>
  <c r="J11" s="1"/>
  <c r="G14" i="6"/>
  <c r="I14" s="1"/>
  <c r="J14" l="1"/>
  <c r="M14"/>
  <c r="N14" s="1"/>
  <c r="J26" i="9"/>
  <c r="G27" s="1"/>
  <c r="I27" s="1"/>
  <c r="J27" s="1"/>
  <c r="G28" s="1"/>
  <c r="I28" s="1"/>
  <c r="E34" i="6"/>
  <c r="E35" s="1"/>
  <c r="E36" s="1"/>
  <c r="E37" s="1"/>
  <c r="E38" s="1"/>
  <c r="E39" s="1"/>
  <c r="E40" s="1"/>
  <c r="K14"/>
  <c r="G95" i="4"/>
  <c r="I96" s="1"/>
  <c r="J95"/>
  <c r="G12" i="8"/>
  <c r="I12" s="1"/>
  <c r="J12" s="1"/>
  <c r="G15" i="6"/>
  <c r="I15" s="1"/>
  <c r="J28" i="9" l="1"/>
  <c r="K28"/>
  <c r="K27"/>
  <c r="J15" i="6"/>
  <c r="G16" s="1"/>
  <c r="I16" s="1"/>
  <c r="K15"/>
  <c r="G96" i="4"/>
  <c r="I97" s="1"/>
  <c r="J96"/>
  <c r="G13" i="8"/>
  <c r="I13" s="1"/>
  <c r="J13" s="1"/>
  <c r="J16" i="6" l="1"/>
  <c r="J17" s="1"/>
  <c r="K17"/>
  <c r="G97" i="4"/>
  <c r="I98" s="1"/>
  <c r="J97"/>
  <c r="G18" i="6"/>
  <c r="I18" s="1"/>
  <c r="M18" s="1"/>
  <c r="G14" i="8"/>
  <c r="I14" s="1"/>
  <c r="J14" s="1"/>
  <c r="J18" i="6" l="1"/>
  <c r="G19" s="1"/>
  <c r="I19" s="1"/>
  <c r="G98" i="4"/>
  <c r="I99" s="1"/>
  <c r="J98"/>
  <c r="G15" i="8"/>
  <c r="I15" s="1"/>
  <c r="J15" s="1"/>
  <c r="J19" i="6" l="1"/>
  <c r="G20" s="1"/>
  <c r="I20" s="1"/>
  <c r="M19"/>
  <c r="N19" s="1"/>
  <c r="K19"/>
  <c r="J20"/>
  <c r="G22" s="1"/>
  <c r="I22" s="1"/>
  <c r="K20"/>
  <c r="G99" i="4"/>
  <c r="I100" s="1"/>
  <c r="J99"/>
  <c r="G16" i="8"/>
  <c r="I16" s="1"/>
  <c r="J16" s="1"/>
  <c r="E10" i="2"/>
  <c r="E11" s="1"/>
  <c r="J21" i="6" l="1"/>
  <c r="J22" s="1"/>
  <c r="G23" s="1"/>
  <c r="I23" s="1"/>
  <c r="G100" i="4"/>
  <c r="I101" s="1"/>
  <c r="J100"/>
  <c r="E12" i="2"/>
  <c r="E13" s="1"/>
  <c r="G17" i="8"/>
  <c r="I17" s="1"/>
  <c r="J17" s="1"/>
  <c r="J23" i="6" l="1"/>
  <c r="G24" s="1"/>
  <c r="I24" s="1"/>
  <c r="J24" s="1"/>
  <c r="M25"/>
  <c r="G101" i="4"/>
  <c r="I102" s="1"/>
  <c r="J101"/>
  <c r="G26" i="6"/>
  <c r="I26" s="1"/>
  <c r="J25"/>
  <c r="E14" i="2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8" i="8"/>
  <c r="I18" s="1"/>
  <c r="J18" s="1"/>
  <c r="K26" i="6" l="1"/>
  <c r="M26"/>
  <c r="N26"/>
  <c r="G102" i="4"/>
  <c r="I103" s="1"/>
  <c r="J102"/>
  <c r="J26" i="6"/>
  <c r="E72" i="2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G19" i="8"/>
  <c r="I19" s="1"/>
  <c r="J19" s="1"/>
  <c r="G103" i="4" l="1"/>
  <c r="I104" s="1"/>
  <c r="K104" s="1"/>
  <c r="N104" s="1"/>
  <c r="J103"/>
  <c r="E116" i="2"/>
  <c r="E117" s="1"/>
  <c r="E118" s="1"/>
  <c r="E119" s="1"/>
  <c r="E120" s="1"/>
  <c r="E121" s="1"/>
  <c r="E122" s="1"/>
  <c r="E123" s="1"/>
  <c r="E124" s="1"/>
  <c r="E125" s="1"/>
  <c r="G20" i="8"/>
  <c r="I20" s="1"/>
  <c r="J20" s="1"/>
  <c r="G104" i="4" l="1"/>
  <c r="I105" s="1"/>
  <c r="J104"/>
  <c r="G21" i="8"/>
  <c r="I21" s="1"/>
  <c r="J21" s="1"/>
  <c r="G105" i="4" l="1"/>
  <c r="I106" s="1"/>
  <c r="J105"/>
  <c r="G27" i="6"/>
  <c r="I27" s="1"/>
  <c r="M27" s="1"/>
  <c r="G22" i="8"/>
  <c r="I22" s="1"/>
  <c r="J22" s="1"/>
  <c r="J27" i="6" l="1"/>
  <c r="G106" i="4"/>
  <c r="I107" s="1"/>
  <c r="J106"/>
  <c r="G28" i="6"/>
  <c r="I28" s="1"/>
  <c r="J28" s="1"/>
  <c r="G23" i="8"/>
  <c r="I23" s="1"/>
  <c r="J23" s="1"/>
  <c r="K107" i="4" l="1"/>
  <c r="N107" s="1"/>
  <c r="I109"/>
  <c r="J109" s="1"/>
  <c r="J117" s="1"/>
  <c r="J118" s="1"/>
  <c r="K28" i="6"/>
  <c r="G107" i="4"/>
  <c r="J107"/>
  <c r="G29" i="6"/>
  <c r="I29" s="1"/>
  <c r="G24" i="8"/>
  <c r="I24" s="1"/>
  <c r="J24" s="1"/>
  <c r="G25" s="1"/>
  <c r="I25" s="1"/>
  <c r="J25" s="1"/>
  <c r="J29" i="6" l="1"/>
  <c r="G30"/>
  <c r="I30" s="1"/>
  <c r="J30" s="1"/>
  <c r="G26" i="8"/>
  <c r="I26" s="1"/>
  <c r="J26" s="1"/>
  <c r="E12" i="5"/>
  <c r="E13" s="1"/>
  <c r="E14" s="1"/>
  <c r="G31" i="6" l="1"/>
  <c r="I31" s="1"/>
  <c r="J31" s="1"/>
  <c r="E15" i="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G27" i="8"/>
  <c r="I27" s="1"/>
  <c r="J27" s="1"/>
  <c r="E41" i="5" l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G32" i="6"/>
  <c r="I32" s="1"/>
  <c r="J32" s="1"/>
  <c r="G28" i="8"/>
  <c r="I28" s="1"/>
  <c r="J28" s="1"/>
  <c r="G33" i="6" l="1"/>
  <c r="I33" s="1"/>
  <c r="J33" s="1"/>
  <c r="G29" i="8"/>
  <c r="I29" s="1"/>
  <c r="J29" s="1"/>
  <c r="K33" i="6" l="1"/>
  <c r="G35"/>
  <c r="I35" s="1"/>
  <c r="J34"/>
  <c r="G34"/>
  <c r="G12" i="5"/>
  <c r="I12" s="1"/>
  <c r="J35" i="6" l="1"/>
  <c r="G36" s="1"/>
  <c r="I36" s="1"/>
  <c r="K35"/>
  <c r="J12" i="5"/>
  <c r="G13" s="1"/>
  <c r="I13" s="1"/>
  <c r="J13" s="1"/>
  <c r="G14" s="1"/>
  <c r="I14" s="1"/>
  <c r="J14" s="1"/>
  <c r="J15" s="1"/>
  <c r="G16" s="1"/>
  <c r="I16" s="1"/>
  <c r="J16" s="1"/>
  <c r="K16" l="1"/>
  <c r="J36" i="6"/>
  <c r="G37" s="1"/>
  <c r="I37" s="1"/>
  <c r="J37" s="1"/>
  <c r="G38" s="1"/>
  <c r="I38" s="1"/>
  <c r="J38" s="1"/>
  <c r="G17" i="5"/>
  <c r="G40" i="6" l="1"/>
  <c r="I40" s="1"/>
  <c r="J39"/>
  <c r="I17" i="5"/>
  <c r="K40" i="6" l="1"/>
  <c r="I42"/>
  <c r="J42" s="1"/>
  <c r="J47" s="1"/>
  <c r="J48" s="1"/>
  <c r="J40"/>
  <c r="J17" i="5"/>
  <c r="G18" s="1"/>
  <c r="I18" s="1"/>
  <c r="K19" s="1"/>
  <c r="I10" i="2"/>
  <c r="J18" i="5" l="1"/>
  <c r="J19" s="1"/>
  <c r="G20" l="1"/>
  <c r="I20" s="1"/>
  <c r="I11" i="2"/>
  <c r="J10"/>
  <c r="J20" i="5" l="1"/>
  <c r="J21" s="1"/>
  <c r="J11" i="2"/>
  <c r="J12" s="1"/>
  <c r="G11"/>
  <c r="I13" s="1"/>
  <c r="J13" l="1"/>
  <c r="G13"/>
  <c r="I14" s="1"/>
  <c r="G22" i="5"/>
  <c r="I22" s="1"/>
  <c r="J22" l="1"/>
  <c r="K22"/>
  <c r="J14" i="2"/>
  <c r="G15" s="1"/>
  <c r="G14"/>
  <c r="I15" s="1"/>
  <c r="G23" i="5"/>
  <c r="I23" s="1"/>
  <c r="J15" i="2" l="1"/>
  <c r="G16" s="1"/>
  <c r="J23" i="5"/>
  <c r="G24" s="1"/>
  <c r="I24" s="1"/>
  <c r="J24"/>
  <c r="I16" i="2"/>
  <c r="J16" s="1"/>
  <c r="G17" s="1"/>
  <c r="G25" i="5" l="1"/>
  <c r="I25" s="1"/>
  <c r="I17" i="2"/>
  <c r="J17" l="1"/>
  <c r="G18" s="1"/>
  <c r="J25" i="5"/>
  <c r="G26"/>
  <c r="I26" s="1"/>
  <c r="J26" s="1"/>
  <c r="I18" i="2"/>
  <c r="J18" s="1"/>
  <c r="G19" s="1"/>
  <c r="K26" i="5" l="1"/>
  <c r="G27"/>
  <c r="I27" s="1"/>
  <c r="I19" i="2"/>
  <c r="J19" l="1"/>
  <c r="G20" s="1"/>
  <c r="J27" i="5"/>
  <c r="G28"/>
  <c r="I28" s="1"/>
  <c r="J28" s="1"/>
  <c r="I20" i="2"/>
  <c r="J20" s="1"/>
  <c r="G21" s="1"/>
  <c r="G29" i="5" l="1"/>
  <c r="I29" s="1"/>
  <c r="J29" s="1"/>
  <c r="I21" i="2"/>
  <c r="J21" s="1"/>
  <c r="G22" s="1"/>
  <c r="K29" i="5" l="1"/>
  <c r="G30"/>
  <c r="I30" s="1"/>
  <c r="I22" i="2"/>
  <c r="J22" s="1"/>
  <c r="G23" s="1"/>
  <c r="J30" i="5" l="1"/>
  <c r="G31"/>
  <c r="I31" s="1"/>
  <c r="J31" s="1"/>
  <c r="I23" i="2"/>
  <c r="J23" s="1"/>
  <c r="G24" s="1"/>
  <c r="G32" i="5" l="1"/>
  <c r="I32" s="1"/>
  <c r="I24" i="2"/>
  <c r="J24" s="1"/>
  <c r="G25" s="1"/>
  <c r="J32" i="5" l="1"/>
  <c r="G33"/>
  <c r="I33" s="1"/>
  <c r="J33" s="1"/>
  <c r="I25" i="2"/>
  <c r="J25" s="1"/>
  <c r="G26" s="1"/>
  <c r="G34" i="5" l="1"/>
  <c r="I34" s="1"/>
  <c r="I26" i="2"/>
  <c r="J34" i="5" l="1"/>
  <c r="K34"/>
  <c r="J26" i="2"/>
  <c r="G27" s="1"/>
  <c r="K26"/>
  <c r="J35" i="5"/>
  <c r="G36"/>
  <c r="I36" s="1"/>
  <c r="I27" i="2"/>
  <c r="J27" l="1"/>
  <c r="G28" s="1"/>
  <c r="J36" i="5"/>
  <c r="G37" s="1"/>
  <c r="I37" s="1"/>
  <c r="J37" s="1"/>
  <c r="G38" s="1"/>
  <c r="I38" s="1"/>
  <c r="J38" s="1"/>
  <c r="I28" i="2"/>
  <c r="J28" s="1"/>
  <c r="G29" s="1"/>
  <c r="K38" i="5" l="1"/>
  <c r="G39"/>
  <c r="I39" s="1"/>
  <c r="I29" i="2"/>
  <c r="J39" i="5" l="1"/>
  <c r="J29" i="2"/>
  <c r="G30" s="1"/>
  <c r="G40" i="5"/>
  <c r="I40" s="1"/>
  <c r="J40" s="1"/>
  <c r="I30" i="2"/>
  <c r="J30" s="1"/>
  <c r="G31" s="1"/>
  <c r="G41" i="5" l="1"/>
  <c r="I41" s="1"/>
  <c r="I31" i="2"/>
  <c r="J31" s="1"/>
  <c r="G32" s="1"/>
  <c r="J41" i="5" l="1"/>
  <c r="K41"/>
  <c r="G42"/>
  <c r="I42" s="1"/>
  <c r="I32" i="2"/>
  <c r="J32" s="1"/>
  <c r="G33" s="1"/>
  <c r="J42" i="5" l="1"/>
  <c r="I33" i="2"/>
  <c r="J33" s="1"/>
  <c r="G34" s="1"/>
  <c r="G43" i="5" l="1"/>
  <c r="I43" s="1"/>
  <c r="I34" i="2"/>
  <c r="J34" s="1"/>
  <c r="G35" s="1"/>
  <c r="J43" i="5" l="1"/>
  <c r="G44"/>
  <c r="I44" s="1"/>
  <c r="J44" s="1"/>
  <c r="I35" i="2"/>
  <c r="J35" s="1"/>
  <c r="G36" s="1"/>
  <c r="G45" i="5" l="1"/>
  <c r="I45" s="1"/>
  <c r="J45" s="1"/>
  <c r="I36" i="2"/>
  <c r="J36" s="1"/>
  <c r="G37" s="1"/>
  <c r="G46" i="5" l="1"/>
  <c r="I46" s="1"/>
  <c r="J46" s="1"/>
  <c r="I37" i="2"/>
  <c r="J37" s="1"/>
  <c r="G38" s="1"/>
  <c r="G47" i="5" l="1"/>
  <c r="I47" s="1"/>
  <c r="J47" s="1"/>
  <c r="I38" i="2"/>
  <c r="J38" s="1"/>
  <c r="G39" s="1"/>
  <c r="G48" i="5" l="1"/>
  <c r="I48" s="1"/>
  <c r="I39" i="2"/>
  <c r="J39" s="1"/>
  <c r="G40" s="1"/>
  <c r="J48" i="5" l="1"/>
  <c r="K48"/>
  <c r="G49"/>
  <c r="I49" s="1"/>
  <c r="I40" i="2"/>
  <c r="J40" s="1"/>
  <c r="G41" s="1"/>
  <c r="J49" i="5" l="1"/>
  <c r="J50" s="1"/>
  <c r="G51" s="1"/>
  <c r="I51" s="1"/>
  <c r="K50"/>
  <c r="I41" i="2"/>
  <c r="J41" s="1"/>
  <c r="G42" s="1"/>
  <c r="J51" i="5" l="1"/>
  <c r="G52" s="1"/>
  <c r="I52" s="1"/>
  <c r="J52" s="1"/>
  <c r="G53" s="1"/>
  <c r="I53" s="1"/>
  <c r="J53" s="1"/>
  <c r="G54" s="1"/>
  <c r="I54" s="1"/>
  <c r="J54" s="1"/>
  <c r="G55" s="1"/>
  <c r="I55" s="1"/>
  <c r="I42" i="2"/>
  <c r="J42" s="1"/>
  <c r="G43" s="1"/>
  <c r="J55" i="5" l="1"/>
  <c r="I57"/>
  <c r="J57" s="1"/>
  <c r="J64" s="1"/>
  <c r="J65" s="1"/>
  <c r="K55"/>
  <c r="I43" i="2"/>
  <c r="J43" s="1"/>
  <c r="G44" s="1"/>
  <c r="I44" l="1"/>
  <c r="J44" l="1"/>
  <c r="G45" s="1"/>
  <c r="K44"/>
  <c r="I45"/>
  <c r="J45" l="1"/>
  <c r="G46" s="1"/>
  <c r="I46"/>
  <c r="J46" l="1"/>
  <c r="G47" s="1"/>
  <c r="I47"/>
  <c r="J47" l="1"/>
  <c r="G48" s="1"/>
  <c r="I48"/>
  <c r="J48" l="1"/>
  <c r="G49" s="1"/>
  <c r="I49"/>
  <c r="J49" l="1"/>
  <c r="G50" s="1"/>
  <c r="I50"/>
  <c r="J50" l="1"/>
  <c r="G51" s="1"/>
  <c r="I51"/>
  <c r="J51" l="1"/>
  <c r="G52" s="1"/>
  <c r="I52"/>
  <c r="J52" l="1"/>
  <c r="G53" s="1"/>
  <c r="I53"/>
  <c r="J53" s="1"/>
  <c r="G54" s="1"/>
  <c r="I54" l="1"/>
  <c r="J54" s="1"/>
  <c r="G55" s="1"/>
  <c r="I55" l="1"/>
  <c r="J55" s="1"/>
  <c r="G56" s="1"/>
  <c r="I56" l="1"/>
  <c r="J56" s="1"/>
  <c r="G57" s="1"/>
  <c r="I57" l="1"/>
  <c r="J57" s="1"/>
  <c r="G58" s="1"/>
  <c r="I58" l="1"/>
  <c r="J58" l="1"/>
  <c r="G59" s="1"/>
  <c r="K58"/>
  <c r="I59"/>
  <c r="J59" l="1"/>
  <c r="G60" s="1"/>
  <c r="I60"/>
  <c r="J60" l="1"/>
  <c r="G61" s="1"/>
  <c r="I61"/>
  <c r="J61" l="1"/>
  <c r="G62" s="1"/>
  <c r="I62"/>
  <c r="J62" l="1"/>
  <c r="G63" s="1"/>
  <c r="I63"/>
  <c r="J63" l="1"/>
  <c r="G64" s="1"/>
  <c r="I64"/>
  <c r="J64" l="1"/>
  <c r="G65" s="1"/>
  <c r="I65"/>
  <c r="J65" l="1"/>
  <c r="G66" s="1"/>
  <c r="I66"/>
  <c r="J66" l="1"/>
  <c r="G67" s="1"/>
  <c r="I67"/>
  <c r="J67" l="1"/>
  <c r="G68" s="1"/>
  <c r="I68"/>
  <c r="J68" s="1"/>
  <c r="G69" s="1"/>
  <c r="I69" l="1"/>
  <c r="J69" s="1"/>
  <c r="G70" s="1"/>
  <c r="I70" l="1"/>
  <c r="J70" l="1"/>
  <c r="G71" s="1"/>
  <c r="K70"/>
  <c r="I71"/>
  <c r="J71" l="1"/>
  <c r="J72" s="1"/>
  <c r="G73"/>
  <c r="I73"/>
  <c r="J73" s="1"/>
  <c r="G74" s="1"/>
  <c r="I74" l="1"/>
  <c r="J74" l="1"/>
  <c r="G75" s="1"/>
  <c r="I75"/>
  <c r="J75" s="1"/>
  <c r="G76" s="1"/>
  <c r="I76" l="1"/>
  <c r="J76" s="1"/>
  <c r="G77" s="1"/>
  <c r="I77" l="1"/>
  <c r="J77" s="1"/>
  <c r="G78" s="1"/>
  <c r="I78" l="1"/>
  <c r="J78" s="1"/>
  <c r="G79" s="1"/>
  <c r="I10" i="1"/>
  <c r="J10" l="1"/>
  <c r="G11" s="1"/>
  <c r="I11" s="1"/>
  <c r="J11" s="1"/>
  <c r="G12" s="1"/>
  <c r="I79" i="2"/>
  <c r="J79" l="1"/>
  <c r="G80" s="1"/>
  <c r="I80"/>
  <c r="J80" s="1"/>
  <c r="G81" s="1"/>
  <c r="I12" i="1"/>
  <c r="J12" s="1"/>
  <c r="G13" s="1"/>
  <c r="I81" i="2" l="1"/>
  <c r="J81" s="1"/>
  <c r="G82" s="1"/>
  <c r="I13" i="1"/>
  <c r="J13" s="1"/>
  <c r="G14" s="1"/>
  <c r="I82" i="2" l="1"/>
  <c r="J82" s="1"/>
  <c r="G83" s="1"/>
  <c r="I14" i="1"/>
  <c r="J14" s="1"/>
  <c r="G15" s="1"/>
  <c r="I83" i="2" l="1"/>
  <c r="J83" s="1"/>
  <c r="G84" s="1"/>
  <c r="I15" i="1"/>
  <c r="J15" s="1"/>
  <c r="G16" s="1"/>
  <c r="I84" i="2" l="1"/>
  <c r="M84" s="1"/>
  <c r="N84" s="1"/>
  <c r="I16" i="1"/>
  <c r="J16" s="1"/>
  <c r="G17" s="1"/>
  <c r="J84" i="2" l="1"/>
  <c r="G85" s="1"/>
  <c r="K84"/>
  <c r="I85"/>
  <c r="I17" i="1"/>
  <c r="J17" s="1"/>
  <c r="G18" s="1"/>
  <c r="J85" i="2" l="1"/>
  <c r="G86" s="1"/>
  <c r="I86"/>
  <c r="J86" s="1"/>
  <c r="G87" s="1"/>
  <c r="I18" i="1"/>
  <c r="I87" i="2" l="1"/>
  <c r="J18" i="1"/>
  <c r="J87" i="2" l="1"/>
  <c r="G88" s="1"/>
  <c r="I88"/>
  <c r="G19" i="1"/>
  <c r="I19" s="1"/>
  <c r="J88" i="2" l="1"/>
  <c r="G89" s="1"/>
  <c r="I89"/>
  <c r="J19" i="1"/>
  <c r="J89" i="2" l="1"/>
  <c r="G90" s="1"/>
  <c r="I90"/>
  <c r="J90" s="1"/>
  <c r="G91" s="1"/>
  <c r="G20" i="1"/>
  <c r="I20" s="1"/>
  <c r="I91" i="2" l="1"/>
  <c r="J20" i="1"/>
  <c r="J91" i="2" l="1"/>
  <c r="G92" s="1"/>
  <c r="I92"/>
  <c r="G21" i="1"/>
  <c r="I21" s="1"/>
  <c r="J92" i="2" l="1"/>
  <c r="G93" s="1"/>
  <c r="I93"/>
  <c r="J21" i="1"/>
  <c r="G22" s="1"/>
  <c r="I22" s="1"/>
  <c r="J93" i="2" l="1"/>
  <c r="G94" s="1"/>
  <c r="I94"/>
  <c r="J94" s="1"/>
  <c r="G95" s="1"/>
  <c r="J22" i="1"/>
  <c r="I95" i="2" l="1"/>
  <c r="G23" i="1"/>
  <c r="I23" s="1"/>
  <c r="J95" i="2" l="1"/>
  <c r="G96" s="1"/>
  <c r="M95"/>
  <c r="I96"/>
  <c r="J23" i="1"/>
  <c r="J96" i="2" l="1"/>
  <c r="G97" s="1"/>
  <c r="I97"/>
  <c r="J97" s="1"/>
  <c r="G98" s="1"/>
  <c r="G24" i="1"/>
  <c r="I24" s="1"/>
  <c r="I98" i="2" l="1"/>
  <c r="J98" s="1"/>
  <c r="G99" s="1"/>
  <c r="J24" i="1"/>
  <c r="G25" s="1"/>
  <c r="I25" s="1"/>
  <c r="I99" i="2" l="1"/>
  <c r="J99" s="1"/>
  <c r="G100" s="1"/>
  <c r="J25" i="1"/>
  <c r="G26" s="1"/>
  <c r="I26" s="1"/>
  <c r="I100" i="2" l="1"/>
  <c r="J100" s="1"/>
  <c r="G101" s="1"/>
  <c r="J26" i="1"/>
  <c r="I101" i="2" l="1"/>
  <c r="J101" s="1"/>
  <c r="G102" s="1"/>
  <c r="G27" i="1"/>
  <c r="I27" s="1"/>
  <c r="I102" i="2" l="1"/>
  <c r="M102" s="1"/>
  <c r="N102" s="1"/>
  <c r="J27" i="1"/>
  <c r="J102" i="2" l="1"/>
  <c r="G103" s="1"/>
  <c r="K102"/>
  <c r="I103"/>
  <c r="G28" i="1"/>
  <c r="I28" s="1"/>
  <c r="J28" s="1"/>
  <c r="J103" i="2" l="1"/>
  <c r="G104" s="1"/>
  <c r="I104"/>
  <c r="J104" s="1"/>
  <c r="G105" s="1"/>
  <c r="G29" i="1"/>
  <c r="I29" s="1"/>
  <c r="J29" s="1"/>
  <c r="I105" i="2" l="1"/>
  <c r="G30" i="1"/>
  <c r="I30" s="1"/>
  <c r="J105" i="2" l="1"/>
  <c r="G106" s="1"/>
  <c r="I106"/>
  <c r="J106" s="1"/>
  <c r="G107" s="1"/>
  <c r="J30" i="1"/>
  <c r="I107" i="2" l="1"/>
  <c r="G31" i="1"/>
  <c r="I31" s="1"/>
  <c r="J31" s="1"/>
  <c r="J107" i="2" l="1"/>
  <c r="G108" s="1"/>
  <c r="I108"/>
  <c r="J108" s="1"/>
  <c r="G109" s="1"/>
  <c r="G32" i="1"/>
  <c r="I32" s="1"/>
  <c r="J32" s="1"/>
  <c r="I109" i="2" l="1"/>
  <c r="G33" i="1"/>
  <c r="I33" s="1"/>
  <c r="J109" i="2" l="1"/>
  <c r="G110" s="1"/>
  <c r="I110"/>
  <c r="M110" s="1"/>
  <c r="J33" i="1"/>
  <c r="J110" i="2" l="1"/>
  <c r="G111" s="1"/>
  <c r="I111"/>
  <c r="G34" i="1"/>
  <c r="I34" s="1"/>
  <c r="J34" s="1"/>
  <c r="J111" i="2" l="1"/>
  <c r="G112" s="1"/>
  <c r="I112"/>
  <c r="G35" i="1"/>
  <c r="I35" s="1"/>
  <c r="J35" s="1"/>
  <c r="J112" i="2" l="1"/>
  <c r="G113" s="1"/>
  <c r="I113"/>
  <c r="J113" s="1"/>
  <c r="G114" s="1"/>
  <c r="G36" i="1"/>
  <c r="I36" s="1"/>
  <c r="I114" i="2" l="1"/>
  <c r="J36" i="1"/>
  <c r="J114" i="2" l="1"/>
  <c r="G115" s="1"/>
  <c r="I116" s="1"/>
  <c r="M115"/>
  <c r="N115" s="1"/>
  <c r="I115"/>
  <c r="G37" i="1"/>
  <c r="I37" s="1"/>
  <c r="J37" s="1"/>
  <c r="J115" i="2" l="1"/>
  <c r="G116" s="1"/>
  <c r="I117" s="1"/>
  <c r="K115"/>
  <c r="J116"/>
  <c r="G38" i="1"/>
  <c r="I38" s="1"/>
  <c r="J38" s="1"/>
  <c r="J117" i="2" l="1"/>
  <c r="G117"/>
  <c r="I118" s="1"/>
  <c r="G39" i="1"/>
  <c r="I39" s="1"/>
  <c r="J39" s="1"/>
  <c r="J118" i="2" l="1"/>
  <c r="G118"/>
  <c r="I119" s="1"/>
  <c r="G40" i="1"/>
  <c r="I40" s="1"/>
  <c r="J40" s="1"/>
  <c r="J119" i="2" l="1"/>
  <c r="G119"/>
  <c r="I120" s="1"/>
  <c r="M120" s="1"/>
  <c r="G41" i="1"/>
  <c r="I41" s="1"/>
  <c r="J120" i="2" l="1"/>
  <c r="G120"/>
  <c r="I121" s="1"/>
  <c r="J41" i="1"/>
  <c r="J121" i="2" l="1"/>
  <c r="G121"/>
  <c r="I122" s="1"/>
  <c r="G42" i="1"/>
  <c r="I42" s="1"/>
  <c r="J42" s="1"/>
  <c r="J122" i="2" l="1"/>
  <c r="G122"/>
  <c r="I123" s="1"/>
  <c r="G43" i="1"/>
  <c r="I43" s="1"/>
  <c r="J43" s="1"/>
  <c r="G44" s="1"/>
  <c r="I44" s="1"/>
  <c r="J44" s="1"/>
  <c r="G45" s="1"/>
  <c r="I45" s="1"/>
  <c r="J45" s="1"/>
  <c r="G46" s="1"/>
  <c r="I46" s="1"/>
  <c r="J123" i="2" l="1"/>
  <c r="G123"/>
  <c r="I124" s="1"/>
  <c r="J46" i="1"/>
  <c r="J124" i="2" l="1"/>
  <c r="G124"/>
  <c r="I125" s="1"/>
  <c r="M125" s="1"/>
  <c r="N125" s="1"/>
  <c r="G47" i="1"/>
  <c r="I47" s="1"/>
  <c r="K125" i="2" l="1"/>
  <c r="I127"/>
  <c r="J127" s="1"/>
  <c r="J133" s="1"/>
  <c r="J125"/>
  <c r="G125"/>
  <c r="J47" i="1"/>
  <c r="G48" l="1"/>
  <c r="I48" s="1"/>
  <c r="J48" l="1"/>
  <c r="G49" s="1"/>
  <c r="I49" s="1"/>
  <c r="J49" l="1"/>
  <c r="G50" s="1"/>
  <c r="I50" s="1"/>
  <c r="J50" l="1"/>
  <c r="G51" s="1"/>
  <c r="I51" s="1"/>
  <c r="J51" l="1"/>
  <c r="G52" s="1"/>
  <c r="I52" s="1"/>
  <c r="J52" s="1"/>
  <c r="G53" s="1"/>
  <c r="I53" s="1"/>
  <c r="J53" s="1"/>
  <c r="G54" s="1"/>
  <c r="I13" i="7" l="1"/>
  <c r="G14"/>
  <c r="I14" s="1"/>
  <c r="J13" l="1"/>
  <c r="J14" s="1"/>
  <c r="G15"/>
  <c r="I15" s="1"/>
  <c r="J15" s="1"/>
  <c r="M15" l="1"/>
  <c r="G16"/>
  <c r="I16" s="1"/>
  <c r="J16" l="1"/>
  <c r="G17" s="1"/>
  <c r="I17" s="1"/>
  <c r="J17" l="1"/>
  <c r="G18"/>
  <c r="I18" s="1"/>
  <c r="J18" s="1"/>
  <c r="G19" l="1"/>
  <c r="I19" s="1"/>
  <c r="J19" s="1"/>
  <c r="G20" l="1"/>
  <c r="I20" s="1"/>
  <c r="J20" l="1"/>
  <c r="G21" s="1"/>
  <c r="I21" s="1"/>
  <c r="M20"/>
  <c r="N20" s="1"/>
  <c r="K20"/>
  <c r="J21" l="1"/>
  <c r="G22" s="1"/>
  <c r="I22" s="1"/>
  <c r="J22" l="1"/>
  <c r="G23"/>
  <c r="I23" s="1"/>
  <c r="J23" s="1"/>
  <c r="G24" l="1"/>
  <c r="I24" s="1"/>
  <c r="J24" s="1"/>
  <c r="M24" l="1"/>
  <c r="G25"/>
  <c r="I25" s="1"/>
  <c r="J25" l="1"/>
  <c r="J26" s="1"/>
  <c r="G27" s="1"/>
  <c r="I27" s="1"/>
  <c r="J27" l="1"/>
  <c r="G28"/>
  <c r="I28" s="1"/>
  <c r="J28" l="1"/>
  <c r="G29" s="1"/>
  <c r="I29" s="1"/>
  <c r="J29" l="1"/>
  <c r="G30"/>
  <c r="I30" s="1"/>
  <c r="J30" s="1"/>
  <c r="M31" l="1"/>
  <c r="N31" s="1"/>
  <c r="G31"/>
  <c r="I31" s="1"/>
  <c r="J31" s="1"/>
  <c r="K31" l="1"/>
  <c r="G32"/>
  <c r="I32" s="1"/>
  <c r="J32" l="1"/>
  <c r="G33"/>
  <c r="I33" s="1"/>
  <c r="J33" s="1"/>
  <c r="G34" l="1"/>
  <c r="I34" s="1"/>
  <c r="J34" s="1"/>
  <c r="G35" l="1"/>
  <c r="I35" s="1"/>
  <c r="J35" l="1"/>
  <c r="G36"/>
  <c r="I36" s="1"/>
  <c r="J36" s="1"/>
  <c r="G37" l="1"/>
  <c r="I37" s="1"/>
  <c r="J37" s="1"/>
  <c r="M37" l="1"/>
  <c r="G38"/>
  <c r="I38" s="1"/>
  <c r="J38" l="1"/>
  <c r="G39"/>
  <c r="I39" s="1"/>
  <c r="J39" s="1"/>
  <c r="M39" l="1"/>
  <c r="N39" s="1"/>
  <c r="K39"/>
  <c r="G40"/>
  <c r="I40" s="1"/>
  <c r="J40" l="1"/>
  <c r="G41"/>
  <c r="I41" s="1"/>
  <c r="J41" s="1"/>
  <c r="J42" s="1"/>
  <c r="G43" l="1"/>
  <c r="I43" s="1"/>
  <c r="J43" l="1"/>
  <c r="J44" l="1"/>
  <c r="G44"/>
  <c r="I44" s="1"/>
  <c r="G45" l="1"/>
  <c r="I45" s="1"/>
  <c r="M44"/>
  <c r="J45" l="1"/>
  <c r="G46" s="1"/>
  <c r="I46" s="1"/>
  <c r="J46" l="1"/>
  <c r="G47" s="1"/>
  <c r="I47" s="1"/>
  <c r="K47"/>
  <c r="J47" l="1"/>
  <c r="G48" s="1"/>
  <c r="I48" s="1"/>
  <c r="M47"/>
  <c r="N47" s="1"/>
  <c r="J48" l="1"/>
  <c r="G49" s="1"/>
  <c r="I49" s="1"/>
  <c r="J49" s="1"/>
  <c r="G50" s="1"/>
  <c r="I50" s="1"/>
  <c r="J50" s="1"/>
  <c r="G51" s="1"/>
  <c r="I51" s="1"/>
  <c r="J51" s="1"/>
  <c r="M52"/>
  <c r="G52"/>
  <c r="I52" s="1"/>
  <c r="J52" s="1"/>
  <c r="G53" l="1"/>
  <c r="I53" s="1"/>
  <c r="J53" l="1"/>
  <c r="M55"/>
  <c r="N55" s="1"/>
  <c r="G55"/>
  <c r="I55" s="1"/>
  <c r="K55" l="1"/>
  <c r="G56"/>
  <c r="I56" s="1"/>
  <c r="J56" l="1"/>
  <c r="G57"/>
  <c r="I57" s="1"/>
  <c r="J57" s="1"/>
  <c r="G58" l="1"/>
  <c r="I58" s="1"/>
  <c r="J58" l="1"/>
  <c r="M58"/>
  <c r="G59"/>
  <c r="I59" s="1"/>
  <c r="J59" l="1"/>
  <c r="G60"/>
  <c r="I60" s="1"/>
  <c r="J60" s="1"/>
  <c r="G61" l="1"/>
  <c r="I61" s="1"/>
  <c r="J61" s="1"/>
  <c r="G62" l="1"/>
  <c r="I62" s="1"/>
  <c r="J62" s="1"/>
  <c r="M62" l="1"/>
  <c r="N62" s="1"/>
  <c r="K62"/>
  <c r="G63"/>
  <c r="I63" s="1"/>
  <c r="J63" l="1"/>
  <c r="G64"/>
  <c r="I64" s="1"/>
  <c r="J64" s="1"/>
  <c r="M64" l="1"/>
  <c r="G65"/>
  <c r="I65" s="1"/>
  <c r="J65" l="1"/>
  <c r="G66"/>
  <c r="I66" s="1"/>
  <c r="J66" s="1"/>
  <c r="G67" l="1"/>
  <c r="I67" s="1"/>
  <c r="J67" l="1"/>
  <c r="G68"/>
  <c r="I68" s="1"/>
  <c r="J68" s="1"/>
  <c r="G69" l="1"/>
  <c r="I69" s="1"/>
  <c r="J69" l="1"/>
  <c r="G70"/>
  <c r="I70" s="1"/>
  <c r="J70" s="1"/>
  <c r="G71" l="1"/>
  <c r="I71" s="1"/>
  <c r="J71" l="1"/>
  <c r="M71"/>
  <c r="N71" s="1"/>
  <c r="K71"/>
  <c r="G72"/>
  <c r="I72" s="1"/>
  <c r="J72" l="1"/>
  <c r="G73"/>
  <c r="I73" s="1"/>
  <c r="J73" s="1"/>
  <c r="G74" l="1"/>
  <c r="I74" s="1"/>
  <c r="J74" l="1"/>
  <c r="M75"/>
  <c r="G75"/>
  <c r="I75" s="1"/>
  <c r="J75" s="1"/>
  <c r="G76" l="1"/>
  <c r="I76" s="1"/>
  <c r="J76" l="1"/>
  <c r="G77"/>
  <c r="I77" s="1"/>
  <c r="J77" s="1"/>
  <c r="G78" l="1"/>
  <c r="I78" s="1"/>
  <c r="J78" l="1"/>
  <c r="M78"/>
  <c r="N78" s="1"/>
  <c r="K78"/>
  <c r="G79"/>
  <c r="I79" s="1"/>
  <c r="J79" l="1"/>
  <c r="M79"/>
  <c r="G80"/>
  <c r="I80" s="1"/>
  <c r="J80" l="1"/>
  <c r="G81" s="1"/>
  <c r="I81" s="1"/>
  <c r="J81" s="1"/>
  <c r="G82" l="1"/>
  <c r="I82" s="1"/>
  <c r="J82" s="1"/>
  <c r="G83" l="1"/>
  <c r="I83" s="1"/>
  <c r="K83" s="1"/>
  <c r="M83" l="1"/>
  <c r="N83" s="1"/>
  <c r="J83"/>
  <c r="G84" s="1"/>
  <c r="I84" s="1"/>
  <c r="J84" l="1"/>
  <c r="G85"/>
  <c r="I85" s="1"/>
  <c r="J85" l="1"/>
  <c r="G86"/>
  <c r="I86" s="1"/>
  <c r="J86" l="1"/>
  <c r="G87"/>
  <c r="I87" s="1"/>
  <c r="J87" l="1"/>
  <c r="G88"/>
  <c r="I88" s="1"/>
  <c r="J88" l="1"/>
  <c r="G89"/>
  <c r="I89" s="1"/>
  <c r="J89" l="1"/>
  <c r="G90"/>
  <c r="I90" s="1"/>
  <c r="J90" l="1"/>
  <c r="G91"/>
  <c r="I91" s="1"/>
  <c r="J91" l="1"/>
  <c r="G92"/>
  <c r="I92" s="1"/>
  <c r="J92" l="1"/>
  <c r="K92"/>
  <c r="N92" s="1"/>
  <c r="G93"/>
  <c r="I93" s="1"/>
  <c r="J93" l="1"/>
  <c r="J94" s="1"/>
  <c r="G95"/>
  <c r="I95" s="1"/>
  <c r="J95" l="1"/>
  <c r="G96"/>
  <c r="I96" s="1"/>
  <c r="J96" s="1"/>
  <c r="G97" l="1"/>
  <c r="I97" s="1"/>
  <c r="J97" s="1"/>
  <c r="G98" l="1"/>
  <c r="I98" s="1"/>
  <c r="J98" s="1"/>
  <c r="K85" i="4" l="1"/>
  <c r="G99" i="7" l="1"/>
  <c r="I99" s="1"/>
  <c r="J99" s="1"/>
  <c r="K90" i="4"/>
  <c r="G100" i="7" l="1"/>
  <c r="I100" s="1"/>
  <c r="J100" s="1"/>
  <c r="E203" i="1"/>
  <c r="E204" s="1"/>
  <c r="E205" s="1"/>
  <c r="E206" s="1"/>
  <c r="E207" s="1"/>
  <c r="E208" s="1"/>
  <c r="E209" s="1"/>
  <c r="E210" s="1"/>
  <c r="E211" s="1"/>
  <c r="E212" s="1"/>
  <c r="E213" s="1"/>
  <c r="K100" i="7" l="1"/>
  <c r="N100" s="1"/>
  <c r="G101"/>
  <c r="I101" s="1"/>
  <c r="J101" s="1"/>
  <c r="E214" i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I54"/>
  <c r="E253" l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K99" i="4"/>
  <c r="N99" s="1"/>
  <c r="N109" s="1"/>
  <c r="J54" i="1"/>
  <c r="J55" s="1"/>
  <c r="G102" i="7" l="1"/>
  <c r="I102" s="1"/>
  <c r="J102" s="1"/>
  <c r="I56" i="1"/>
  <c r="J56" l="1"/>
  <c r="G57" s="1"/>
  <c r="I57" s="1"/>
  <c r="J57" l="1"/>
  <c r="G58" s="1"/>
  <c r="G103" i="7"/>
  <c r="I103" s="1"/>
  <c r="J103" s="1"/>
  <c r="I58" i="1"/>
  <c r="J58" l="1"/>
  <c r="G59" s="1"/>
  <c r="I59"/>
  <c r="J59" s="1"/>
  <c r="G104" i="7" l="1"/>
  <c r="I104" s="1"/>
  <c r="J104" s="1"/>
  <c r="G60" i="1"/>
  <c r="I60" s="1"/>
  <c r="J60" l="1"/>
  <c r="G61" s="1"/>
  <c r="I61" s="1"/>
  <c r="K60"/>
  <c r="G105" i="7" l="1"/>
  <c r="I105" s="1"/>
  <c r="J105" s="1"/>
  <c r="J61" i="1"/>
  <c r="G62" s="1"/>
  <c r="I62" s="1"/>
  <c r="J62" s="1"/>
  <c r="G63" s="1"/>
  <c r="I63" s="1"/>
  <c r="J63" s="1"/>
  <c r="G64" s="1"/>
  <c r="I64" l="1"/>
  <c r="G106" i="7" l="1"/>
  <c r="I106" s="1"/>
  <c r="J106" s="1"/>
  <c r="J64" i="1"/>
  <c r="G65" s="1"/>
  <c r="I65" s="1"/>
  <c r="J65" s="1"/>
  <c r="G66" s="1"/>
  <c r="I66" l="1"/>
  <c r="G107" i="7" l="1"/>
  <c r="I107" s="1"/>
  <c r="J107" s="1"/>
  <c r="J66" i="1"/>
  <c r="G67" s="1"/>
  <c r="I67" s="1"/>
  <c r="J67" s="1"/>
  <c r="G68" s="1"/>
  <c r="K107" i="7" l="1"/>
  <c r="N107" s="1"/>
  <c r="N109" s="1"/>
  <c r="I109"/>
  <c r="J109" s="1"/>
  <c r="J116" s="1"/>
  <c r="J117" s="1"/>
  <c r="I68" i="1"/>
  <c r="J68" s="1"/>
  <c r="J69" s="1"/>
  <c r="G70" s="1"/>
  <c r="I70" l="1"/>
  <c r="J70" l="1"/>
  <c r="G71" s="1"/>
  <c r="I71"/>
  <c r="J71" s="1"/>
  <c r="G72" s="1"/>
  <c r="I72" l="1"/>
  <c r="J72" s="1"/>
  <c r="G73" s="1"/>
  <c r="I73" l="1"/>
  <c r="J73" s="1"/>
  <c r="G74" s="1"/>
  <c r="I74" l="1"/>
  <c r="J74" s="1"/>
  <c r="G75" l="1"/>
  <c r="I75" s="1"/>
  <c r="J75" s="1"/>
  <c r="G76" s="1"/>
  <c r="I76" s="1"/>
  <c r="J76" s="1"/>
  <c r="G77" s="1"/>
  <c r="I77" l="1"/>
  <c r="J77" s="1"/>
  <c r="G78" s="1"/>
  <c r="I78" l="1"/>
  <c r="J78" s="1"/>
  <c r="G79" s="1"/>
  <c r="I79" l="1"/>
  <c r="J79" s="1"/>
  <c r="G80" s="1"/>
  <c r="I80" l="1"/>
  <c r="J80" s="1"/>
  <c r="G81" s="1"/>
  <c r="I81" l="1"/>
  <c r="J81" s="1"/>
  <c r="G82" s="1"/>
  <c r="I82" l="1"/>
  <c r="J82" s="1"/>
  <c r="G83" s="1"/>
  <c r="I83" l="1"/>
  <c r="J83" l="1"/>
  <c r="G84" s="1"/>
  <c r="K83"/>
  <c r="I84"/>
  <c r="J84" l="1"/>
  <c r="G85" s="1"/>
  <c r="I85"/>
  <c r="J85" s="1"/>
  <c r="G86" s="1"/>
  <c r="I86" l="1"/>
  <c r="J86" l="1"/>
  <c r="G87" s="1"/>
  <c r="I87"/>
  <c r="J87" s="1"/>
  <c r="G88" s="1"/>
  <c r="I88" l="1"/>
  <c r="J88" l="1"/>
  <c r="G89" s="1"/>
  <c r="I89"/>
  <c r="J89" s="1"/>
  <c r="G90" s="1"/>
  <c r="I90" l="1"/>
  <c r="J90" l="1"/>
  <c r="G91" s="1"/>
  <c r="I91"/>
  <c r="J91" s="1"/>
  <c r="G92" s="1"/>
  <c r="I92" l="1"/>
  <c r="J92" l="1"/>
  <c r="G93" s="1"/>
  <c r="I93"/>
  <c r="J93" s="1"/>
  <c r="G94" s="1"/>
  <c r="I94" l="1"/>
  <c r="J94" s="1"/>
  <c r="G95" s="1"/>
  <c r="I95" l="1"/>
  <c r="J95" s="1"/>
  <c r="G96" s="1"/>
  <c r="I96" l="1"/>
  <c r="J96" s="1"/>
  <c r="G97" s="1"/>
  <c r="I97" l="1"/>
  <c r="J97" s="1"/>
  <c r="G98" s="1"/>
  <c r="I98" l="1"/>
  <c r="J98" s="1"/>
  <c r="G99" s="1"/>
  <c r="I99" l="1"/>
  <c r="J99" s="1"/>
  <c r="G100" s="1"/>
  <c r="I100" l="1"/>
  <c r="J100" s="1"/>
  <c r="G101" l="1"/>
  <c r="I101" s="1"/>
  <c r="J101" s="1"/>
  <c r="G102" s="1"/>
  <c r="I102" s="1"/>
  <c r="J102" s="1"/>
  <c r="G103" s="1"/>
  <c r="I103" l="1"/>
  <c r="J103" s="1"/>
  <c r="G104" s="1"/>
  <c r="I104" l="1"/>
  <c r="J104" l="1"/>
  <c r="G105" s="1"/>
  <c r="K104"/>
  <c r="I105"/>
  <c r="J105" l="1"/>
  <c r="G106" s="1"/>
  <c r="I106"/>
  <c r="J106" s="1"/>
  <c r="G107" s="1"/>
  <c r="I107" l="1"/>
  <c r="J107" l="1"/>
  <c r="G108" s="1"/>
  <c r="I108"/>
  <c r="J108" s="1"/>
  <c r="G109" s="1"/>
  <c r="I109" l="1"/>
  <c r="J109" l="1"/>
  <c r="G110" s="1"/>
  <c r="I110"/>
  <c r="J110" s="1"/>
  <c r="G111" s="1"/>
  <c r="I111" l="1"/>
  <c r="J111" l="1"/>
  <c r="G112" s="1"/>
  <c r="I112"/>
  <c r="J112" s="1"/>
  <c r="G113" s="1"/>
  <c r="I113" l="1"/>
  <c r="J113" l="1"/>
  <c r="G114" s="1"/>
  <c r="I114"/>
  <c r="J114" s="1"/>
  <c r="G115" s="1"/>
  <c r="I115" l="1"/>
  <c r="J115" s="1"/>
  <c r="G116" s="1"/>
  <c r="I116" l="1"/>
  <c r="J116" s="1"/>
  <c r="G117" s="1"/>
  <c r="I117" l="1"/>
  <c r="J117" s="1"/>
  <c r="G118" s="1"/>
  <c r="I118" l="1"/>
  <c r="J118" s="1"/>
  <c r="G119" s="1"/>
  <c r="I119" l="1"/>
  <c r="J119" s="1"/>
  <c r="G120" s="1"/>
  <c r="I120" l="1"/>
  <c r="J120" s="1"/>
  <c r="G121" s="1"/>
  <c r="I121" l="1"/>
  <c r="J121" s="1"/>
  <c r="G122" s="1"/>
  <c r="I122" l="1"/>
  <c r="J122" s="1"/>
  <c r="G123" s="1"/>
  <c r="I123" l="1"/>
  <c r="J123" s="1"/>
  <c r="G124" s="1"/>
  <c r="I124" l="1"/>
  <c r="J124" s="1"/>
  <c r="G125" s="1"/>
  <c r="I125" l="1"/>
  <c r="J125" s="1"/>
  <c r="G126" s="1"/>
  <c r="I126" l="1"/>
  <c r="J126" s="1"/>
  <c r="G127" s="1"/>
  <c r="I127" l="1"/>
  <c r="J127" s="1"/>
  <c r="G128" s="1"/>
  <c r="I128" l="1"/>
  <c r="J128" s="1"/>
  <c r="G129" s="1"/>
  <c r="I129" l="1"/>
  <c r="J129" l="1"/>
  <c r="G130" s="1"/>
  <c r="K129"/>
  <c r="I130"/>
  <c r="J130" l="1"/>
  <c r="G131" s="1"/>
  <c r="I131"/>
  <c r="J131" s="1"/>
  <c r="G132" s="1"/>
  <c r="I132" l="1"/>
  <c r="J132" l="1"/>
  <c r="G133" s="1"/>
  <c r="I133"/>
  <c r="J133" s="1"/>
  <c r="G134" s="1"/>
  <c r="I134" l="1"/>
  <c r="J134" l="1"/>
  <c r="G135" s="1"/>
  <c r="I135" s="1"/>
  <c r="J135" s="1"/>
  <c r="G136" s="1"/>
  <c r="I136" l="1"/>
  <c r="J136" l="1"/>
  <c r="G137" s="1"/>
  <c r="I137" s="1"/>
  <c r="J137" s="1"/>
  <c r="G138" s="1"/>
  <c r="I138" l="1"/>
  <c r="J138" l="1"/>
  <c r="G139" s="1"/>
  <c r="I139"/>
  <c r="J139" s="1"/>
  <c r="G140" s="1"/>
  <c r="I140" l="1"/>
  <c r="J140" s="1"/>
  <c r="G141" s="1"/>
  <c r="I141" l="1"/>
  <c r="J141" s="1"/>
  <c r="G142" s="1"/>
  <c r="I142" l="1"/>
  <c r="J142" s="1"/>
  <c r="G143" s="1"/>
  <c r="I143" l="1"/>
  <c r="J143" s="1"/>
  <c r="G144" s="1"/>
  <c r="I144" l="1"/>
  <c r="J144" s="1"/>
  <c r="G145" s="1"/>
  <c r="I145" l="1"/>
  <c r="J145" s="1"/>
  <c r="G146" s="1"/>
  <c r="I146" l="1"/>
  <c r="J146" s="1"/>
  <c r="G147" s="1"/>
  <c r="I147" l="1"/>
  <c r="J147" s="1"/>
  <c r="G148" s="1"/>
  <c r="I148" l="1"/>
  <c r="J148" s="1"/>
  <c r="G149" s="1"/>
  <c r="I149" l="1"/>
  <c r="J149" s="1"/>
  <c r="G150" s="1"/>
  <c r="I150" l="1"/>
  <c r="J150" s="1"/>
  <c r="G151" s="1"/>
  <c r="I151" l="1"/>
  <c r="J151" s="1"/>
  <c r="G152" s="1"/>
  <c r="I152" l="1"/>
  <c r="J152" s="1"/>
  <c r="G153" s="1"/>
  <c r="I153" l="1"/>
  <c r="J153" s="1"/>
  <c r="G154" s="1"/>
  <c r="I154" l="1"/>
  <c r="J154" s="1"/>
  <c r="G155" s="1"/>
  <c r="I155" l="1"/>
  <c r="J155" s="1"/>
  <c r="G156" s="1"/>
  <c r="I156" l="1"/>
  <c r="J156" s="1"/>
  <c r="G157" s="1"/>
  <c r="I157" l="1"/>
  <c r="J157" s="1"/>
  <c r="G158" s="1"/>
  <c r="I158" l="1"/>
  <c r="J158" s="1"/>
  <c r="G159" s="1"/>
  <c r="I159" l="1"/>
  <c r="J159" s="1"/>
  <c r="G160" s="1"/>
  <c r="I160" l="1"/>
  <c r="J160" l="1"/>
  <c r="G161" s="1"/>
  <c r="K160"/>
  <c r="I161"/>
  <c r="J161" l="1"/>
  <c r="G162" s="1"/>
  <c r="I162"/>
  <c r="J162" s="1"/>
  <c r="G163" s="1"/>
  <c r="I163" l="1"/>
  <c r="J163" l="1"/>
  <c r="G164" s="1"/>
  <c r="I164"/>
  <c r="J164" s="1"/>
  <c r="G165" s="1"/>
  <c r="I165" l="1"/>
  <c r="J165" l="1"/>
  <c r="G166" s="1"/>
  <c r="I166"/>
  <c r="J166" s="1"/>
  <c r="G167" s="1"/>
  <c r="I167" l="1"/>
  <c r="J167" l="1"/>
  <c r="G168" s="1"/>
  <c r="I168"/>
  <c r="J168" s="1"/>
  <c r="G169" s="1"/>
  <c r="I169" l="1"/>
  <c r="J169" l="1"/>
  <c r="G170" s="1"/>
  <c r="I170" s="1"/>
  <c r="J170" s="1"/>
  <c r="G171" s="1"/>
  <c r="I171" l="1"/>
  <c r="J171" s="1"/>
  <c r="G172" s="1"/>
  <c r="I172" l="1"/>
  <c r="J172" s="1"/>
  <c r="G173" s="1"/>
  <c r="I173" l="1"/>
  <c r="J173" s="1"/>
  <c r="G174" s="1"/>
  <c r="I174" l="1"/>
  <c r="J174" s="1"/>
  <c r="G175" s="1"/>
  <c r="I175" l="1"/>
  <c r="J175" s="1"/>
  <c r="G176" s="1"/>
  <c r="I176" l="1"/>
  <c r="J176" s="1"/>
  <c r="G177" s="1"/>
  <c r="I177" l="1"/>
  <c r="J177" s="1"/>
  <c r="G178" s="1"/>
  <c r="I178" l="1"/>
  <c r="J178" s="1"/>
  <c r="G179" s="1"/>
  <c r="I179" l="1"/>
  <c r="J179" s="1"/>
  <c r="G180" s="1"/>
  <c r="I180" l="1"/>
  <c r="J180" s="1"/>
  <c r="G181" s="1"/>
  <c r="I181" l="1"/>
  <c r="J181" s="1"/>
  <c r="G182" s="1"/>
  <c r="I182" l="1"/>
  <c r="J182" s="1"/>
  <c r="G183" s="1"/>
  <c r="I183" l="1"/>
  <c r="J183" s="1"/>
  <c r="G184" s="1"/>
  <c r="I184" l="1"/>
  <c r="J184" s="1"/>
  <c r="G185" s="1"/>
  <c r="I185" l="1"/>
  <c r="J185" s="1"/>
  <c r="G186" s="1"/>
  <c r="I186" l="1"/>
  <c r="J186" s="1"/>
  <c r="G187" s="1"/>
  <c r="I187" l="1"/>
  <c r="J187" s="1"/>
  <c r="G188" s="1"/>
  <c r="I188" l="1"/>
  <c r="J188" s="1"/>
  <c r="G189" s="1"/>
  <c r="I189" l="1"/>
  <c r="J189" s="1"/>
  <c r="G190" s="1"/>
  <c r="I190" l="1"/>
  <c r="J190" s="1"/>
  <c r="G191" s="1"/>
  <c r="I191" l="1"/>
  <c r="J191" s="1"/>
  <c r="G192" s="1"/>
  <c r="I192" l="1"/>
  <c r="J192" s="1"/>
  <c r="G193" s="1"/>
  <c r="I193" l="1"/>
  <c r="J193" s="1"/>
  <c r="G194" s="1"/>
  <c r="I194" l="1"/>
  <c r="J194" s="1"/>
  <c r="G195" s="1"/>
  <c r="I195" l="1"/>
  <c r="J195" s="1"/>
  <c r="G196" s="1"/>
  <c r="I196" l="1"/>
  <c r="J196" s="1"/>
  <c r="G197" s="1"/>
  <c r="I197" l="1"/>
  <c r="J197" s="1"/>
  <c r="G198" s="1"/>
  <c r="I198" l="1"/>
  <c r="J198" s="1"/>
  <c r="G199" s="1"/>
  <c r="I199" l="1"/>
  <c r="J199" s="1"/>
  <c r="G200" s="1"/>
  <c r="I200" l="1"/>
  <c r="J200" l="1"/>
  <c r="G201" s="1"/>
  <c r="K200"/>
  <c r="I201"/>
  <c r="J201" l="1"/>
  <c r="G202" s="1"/>
  <c r="I202"/>
  <c r="J202" s="1"/>
  <c r="G203" l="1"/>
  <c r="I203" s="1"/>
  <c r="J203" l="1"/>
  <c r="G204"/>
  <c r="I204" s="1"/>
  <c r="J204" s="1"/>
  <c r="G205" l="1"/>
  <c r="I205" s="1"/>
  <c r="J205" l="1"/>
  <c r="G206"/>
  <c r="I206" s="1"/>
  <c r="J206" s="1"/>
  <c r="G207" l="1"/>
  <c r="I207" s="1"/>
  <c r="J207" l="1"/>
  <c r="G208" s="1"/>
  <c r="I208" s="1"/>
  <c r="J208" s="1"/>
  <c r="G209" l="1"/>
  <c r="I209" s="1"/>
  <c r="J209" l="1"/>
  <c r="G210"/>
  <c r="I210" s="1"/>
  <c r="J210" s="1"/>
  <c r="G211" l="1"/>
  <c r="I211" s="1"/>
  <c r="J211" s="1"/>
  <c r="G212" l="1"/>
  <c r="I212" s="1"/>
  <c r="J212" s="1"/>
  <c r="G213" l="1"/>
  <c r="I213" s="1"/>
  <c r="J213" s="1"/>
  <c r="G214" l="1"/>
  <c r="I214" s="1"/>
  <c r="J214" s="1"/>
  <c r="G215" l="1"/>
  <c r="I215" s="1"/>
  <c r="J215" s="1"/>
  <c r="G216" l="1"/>
  <c r="I216" s="1"/>
  <c r="J216" s="1"/>
  <c r="G217" l="1"/>
  <c r="I217" s="1"/>
  <c r="J217" s="1"/>
  <c r="G218" l="1"/>
  <c r="I218" s="1"/>
  <c r="J218" s="1"/>
  <c r="G219" l="1"/>
  <c r="I219" s="1"/>
  <c r="J219" s="1"/>
  <c r="G220" l="1"/>
  <c r="I220" s="1"/>
  <c r="J220" s="1"/>
  <c r="G221" l="1"/>
  <c r="I221" s="1"/>
  <c r="J221" s="1"/>
  <c r="G222" l="1"/>
  <c r="I222" s="1"/>
  <c r="J222" s="1"/>
  <c r="G223" l="1"/>
  <c r="I223" s="1"/>
  <c r="J223" s="1"/>
  <c r="G224" l="1"/>
  <c r="I224" s="1"/>
  <c r="J224" s="1"/>
  <c r="G225" l="1"/>
  <c r="I225" s="1"/>
  <c r="J225" s="1"/>
  <c r="G226" l="1"/>
  <c r="I226" s="1"/>
  <c r="J226" s="1"/>
  <c r="G227" l="1"/>
  <c r="I227" s="1"/>
  <c r="J227" l="1"/>
  <c r="K227"/>
  <c r="G228"/>
  <c r="I228" s="1"/>
  <c r="J228" l="1"/>
  <c r="G229"/>
  <c r="I229" s="1"/>
  <c r="J229" s="1"/>
  <c r="G230" s="1"/>
  <c r="I230" s="1"/>
  <c r="J230" s="1"/>
  <c r="G231" s="1"/>
  <c r="I231" s="1"/>
  <c r="J231" s="1"/>
  <c r="G232" l="1"/>
  <c r="I232" s="1"/>
  <c r="J232" l="1"/>
  <c r="G233"/>
  <c r="I233" s="1"/>
  <c r="J233" s="1"/>
  <c r="G234" l="1"/>
  <c r="I234" s="1"/>
  <c r="J234" l="1"/>
  <c r="G235"/>
  <c r="I235" s="1"/>
  <c r="J235" s="1"/>
  <c r="G236" l="1"/>
  <c r="I236" s="1"/>
  <c r="J236" l="1"/>
  <c r="G237"/>
  <c r="I237" s="1"/>
  <c r="J237" s="1"/>
  <c r="G238" l="1"/>
  <c r="I238" s="1"/>
  <c r="J238" l="1"/>
  <c r="G239"/>
  <c r="I239" s="1"/>
  <c r="J239" s="1"/>
  <c r="G240" l="1"/>
  <c r="I240" s="1"/>
  <c r="J240" s="1"/>
  <c r="G241" l="1"/>
  <c r="I241" s="1"/>
  <c r="J241" s="1"/>
  <c r="G242" l="1"/>
  <c r="I242" s="1"/>
  <c r="J242" s="1"/>
  <c r="G243" l="1"/>
  <c r="I243" s="1"/>
  <c r="J243" s="1"/>
  <c r="G244" l="1"/>
  <c r="I244" s="1"/>
  <c r="J244" s="1"/>
  <c r="G245" l="1"/>
  <c r="I245" s="1"/>
  <c r="J245" s="1"/>
  <c r="G246" l="1"/>
  <c r="I246" s="1"/>
  <c r="J246" s="1"/>
  <c r="G247" l="1"/>
  <c r="I247" s="1"/>
  <c r="J247" s="1"/>
  <c r="G248" s="1"/>
  <c r="I248" s="1"/>
  <c r="J248" s="1"/>
  <c r="G249" l="1"/>
  <c r="I249" s="1"/>
  <c r="J249" s="1"/>
  <c r="G250" l="1"/>
  <c r="I250" s="1"/>
  <c r="J250" s="1"/>
  <c r="G251" l="1"/>
  <c r="I251" s="1"/>
  <c r="J251" s="1"/>
  <c r="G252" l="1"/>
  <c r="I252" s="1"/>
  <c r="J252"/>
  <c r="G253" l="1"/>
  <c r="I253" s="1"/>
  <c r="J253"/>
  <c r="G254" l="1"/>
  <c r="I254" s="1"/>
  <c r="J254"/>
  <c r="G255" s="1"/>
  <c r="I255" s="1"/>
  <c r="J255" s="1"/>
  <c r="G256" l="1"/>
  <c r="I256" s="1"/>
  <c r="J256" s="1"/>
  <c r="G257" s="1"/>
  <c r="I257" s="1"/>
  <c r="J257" s="1"/>
  <c r="G258" l="1"/>
  <c r="I258" s="1"/>
  <c r="J258" s="1"/>
  <c r="G259" s="1"/>
  <c r="I259" s="1"/>
  <c r="J259" s="1"/>
  <c r="G260" s="1"/>
  <c r="I260" s="1"/>
  <c r="J260" s="1"/>
  <c r="G261" l="1"/>
  <c r="I261" s="1"/>
  <c r="J261" s="1"/>
  <c r="G262" l="1"/>
  <c r="I262" s="1"/>
  <c r="J262" s="1"/>
  <c r="G263" l="1"/>
  <c r="I263" s="1"/>
  <c r="J263" s="1"/>
  <c r="G264" s="1"/>
  <c r="I264" s="1"/>
  <c r="J264" s="1"/>
  <c r="G265" l="1"/>
  <c r="I265" s="1"/>
  <c r="J265" s="1"/>
  <c r="G266" l="1"/>
  <c r="I266" s="1"/>
  <c r="J266" s="1"/>
  <c r="G267" l="1"/>
  <c r="I267" s="1"/>
  <c r="J267" s="1"/>
  <c r="G268" l="1"/>
  <c r="I268" s="1"/>
  <c r="J268" s="1"/>
  <c r="G269" l="1"/>
  <c r="I269" s="1"/>
  <c r="J269" s="1"/>
  <c r="G270" s="1"/>
  <c r="I270" s="1"/>
  <c r="J270" s="1"/>
  <c r="G271" s="1"/>
  <c r="I271" s="1"/>
  <c r="J271" s="1"/>
  <c r="G272" s="1"/>
  <c r="I272" s="1"/>
  <c r="J272" s="1"/>
  <c r="G273" l="1"/>
  <c r="I273" s="1"/>
  <c r="J273"/>
  <c r="G274" s="1"/>
  <c r="I274" s="1"/>
  <c r="J274" s="1"/>
  <c r="G275" s="1"/>
  <c r="I275" s="1"/>
  <c r="J275" s="1"/>
  <c r="G276" s="1"/>
  <c r="I276" s="1"/>
  <c r="J276" s="1"/>
  <c r="G277" s="1"/>
  <c r="I277" s="1"/>
  <c r="J277" s="1"/>
  <c r="G278" s="1"/>
  <c r="I278" s="1"/>
  <c r="J278" s="1"/>
  <c r="G279" s="1"/>
  <c r="I279" s="1"/>
  <c r="J279" s="1"/>
  <c r="G280" s="1"/>
  <c r="I280" s="1"/>
  <c r="J280" s="1"/>
  <c r="G281" s="1"/>
  <c r="I281" s="1"/>
  <c r="J281" s="1"/>
  <c r="G282" s="1"/>
  <c r="I282" s="1"/>
  <c r="J282" l="1"/>
  <c r="K282"/>
  <c r="G283"/>
  <c r="I283" s="1"/>
  <c r="J283" l="1"/>
  <c r="G284"/>
  <c r="I284" s="1"/>
  <c r="J284" s="1"/>
  <c r="G285" l="1"/>
  <c r="I285" s="1"/>
  <c r="J285"/>
  <c r="G286" l="1"/>
  <c r="I286" s="1"/>
  <c r="J286" l="1"/>
  <c r="G287" s="1"/>
  <c r="I287" s="1"/>
  <c r="J287" s="1"/>
  <c r="G288" l="1"/>
  <c r="I288" s="1"/>
  <c r="J288" s="1"/>
  <c r="G289" l="1"/>
  <c r="I289" s="1"/>
  <c r="J289" s="1"/>
  <c r="G290" l="1"/>
  <c r="I290" s="1"/>
  <c r="J290" s="1"/>
  <c r="G291" l="1"/>
  <c r="I291" s="1"/>
  <c r="J291" s="1"/>
  <c r="G292" l="1"/>
  <c r="I292" s="1"/>
  <c r="J292" s="1"/>
  <c r="G293" l="1"/>
  <c r="I293" s="1"/>
  <c r="J293" s="1"/>
  <c r="G294" l="1"/>
  <c r="I294" s="1"/>
  <c r="J294" s="1"/>
  <c r="G295" l="1"/>
  <c r="I295" s="1"/>
  <c r="J295" s="1"/>
  <c r="G296" l="1"/>
  <c r="I296" s="1"/>
  <c r="J296" s="1"/>
  <c r="G297" l="1"/>
  <c r="I297" s="1"/>
  <c r="J297" s="1"/>
  <c r="G298" l="1"/>
  <c r="I298" s="1"/>
  <c r="J298" s="1"/>
  <c r="G299" l="1"/>
  <c r="I299" s="1"/>
  <c r="J299" s="1"/>
  <c r="G300" l="1"/>
  <c r="I300" s="1"/>
  <c r="J300" s="1"/>
  <c r="G301" l="1"/>
  <c r="I301" s="1"/>
  <c r="J301" s="1"/>
  <c r="G302" l="1"/>
  <c r="I302" s="1"/>
  <c r="J302" s="1"/>
  <c r="G303" l="1"/>
  <c r="I303" s="1"/>
  <c r="J303" s="1"/>
  <c r="G304" l="1"/>
  <c r="I304" s="1"/>
  <c r="J304" s="1"/>
  <c r="G305" l="1"/>
  <c r="I305" s="1"/>
  <c r="J305" s="1"/>
  <c r="G306" l="1"/>
  <c r="I306" s="1"/>
  <c r="J306" s="1"/>
  <c r="G307" l="1"/>
  <c r="I307" s="1"/>
  <c r="J307" s="1"/>
  <c r="G308" l="1"/>
  <c r="I308" s="1"/>
  <c r="J308" s="1"/>
  <c r="G309" l="1"/>
  <c r="I309" s="1"/>
  <c r="J309" s="1"/>
  <c r="G310" l="1"/>
  <c r="I310" s="1"/>
  <c r="J310" s="1"/>
  <c r="G311" l="1"/>
  <c r="I311" s="1"/>
  <c r="J311" s="1"/>
  <c r="G312" l="1"/>
  <c r="I312" s="1"/>
  <c r="J312" s="1"/>
  <c r="G313" l="1"/>
  <c r="I313" s="1"/>
  <c r="J313" s="1"/>
  <c r="G314" l="1"/>
  <c r="I314" s="1"/>
  <c r="J314" s="1"/>
  <c r="G315" l="1"/>
  <c r="I315" s="1"/>
  <c r="J315" s="1"/>
  <c r="G316" l="1"/>
  <c r="I316" s="1"/>
  <c r="J316" s="1"/>
  <c r="G317" s="1"/>
  <c r="I317" s="1"/>
  <c r="J317" s="1"/>
  <c r="G318" s="1"/>
  <c r="I318" s="1"/>
  <c r="J318" s="1"/>
  <c r="G319" l="1"/>
  <c r="I319" s="1"/>
  <c r="J319" s="1"/>
  <c r="G320" s="1"/>
  <c r="I320" s="1"/>
  <c r="J320" s="1"/>
  <c r="G321" s="1"/>
  <c r="I321" s="1"/>
  <c r="J321" s="1"/>
  <c r="G322" s="1"/>
  <c r="I322" s="1"/>
  <c r="K22" i="3"/>
  <c r="J322" i="1" l="1"/>
  <c r="K322"/>
  <c r="K25" i="3"/>
  <c r="G323" i="1" l="1"/>
  <c r="I323" s="1"/>
  <c r="J323" s="1"/>
  <c r="G324" s="1"/>
  <c r="I324" s="1"/>
  <c r="J324" s="1"/>
  <c r="G325" s="1"/>
  <c r="I325" s="1"/>
  <c r="J325" s="1"/>
  <c r="G326" s="1"/>
  <c r="I326" s="1"/>
  <c r="J326" s="1"/>
  <c r="G327" s="1"/>
  <c r="I327" s="1"/>
  <c r="J327" s="1"/>
  <c r="G328" s="1"/>
  <c r="I328" s="1"/>
  <c r="J328" s="1"/>
  <c r="G329" s="1"/>
  <c r="I329" s="1"/>
  <c r="J329" s="1"/>
  <c r="G330" s="1"/>
  <c r="I330" s="1"/>
  <c r="J330" s="1"/>
  <c r="G331" s="1"/>
  <c r="I331" s="1"/>
  <c r="J331" s="1"/>
  <c r="G332" s="1"/>
  <c r="I332" s="1"/>
  <c r="J332" s="1"/>
  <c r="G333" s="1"/>
  <c r="I333" s="1"/>
  <c r="J333" s="1"/>
  <c r="G334" s="1"/>
  <c r="I334" s="1"/>
  <c r="J334" s="1"/>
  <c r="G335" s="1"/>
  <c r="I335" s="1"/>
  <c r="J335" s="1"/>
  <c r="G336" s="1"/>
  <c r="I336" s="1"/>
  <c r="J336" s="1"/>
  <c r="G337" s="1"/>
  <c r="I337" s="1"/>
  <c r="J337" s="1"/>
  <c r="G338" s="1"/>
  <c r="I338" s="1"/>
  <c r="J338" s="1"/>
  <c r="G339" s="1"/>
  <c r="I339" s="1"/>
  <c r="J339" s="1"/>
  <c r="G340" s="1"/>
  <c r="I340" s="1"/>
  <c r="J340" s="1"/>
  <c r="G341" s="1"/>
  <c r="I341" s="1"/>
  <c r="J341" s="1"/>
  <c r="G342" s="1"/>
  <c r="I342" s="1"/>
  <c r="J342" s="1"/>
  <c r="G343" s="1"/>
  <c r="I343" s="1"/>
  <c r="J343" s="1"/>
  <c r="G344" s="1"/>
  <c r="I344" s="1"/>
  <c r="J344" s="1"/>
  <c r="G345" s="1"/>
  <c r="I345" s="1"/>
  <c r="J345" s="1"/>
  <c r="G346" s="1"/>
  <c r="I346" s="1"/>
  <c r="J346" s="1"/>
  <c r="G347" s="1"/>
  <c r="I347" s="1"/>
  <c r="J347" s="1"/>
  <c r="G348" s="1"/>
  <c r="I348" s="1"/>
  <c r="J348" s="1"/>
  <c r="G349" s="1"/>
  <c r="I349" s="1"/>
  <c r="J349" s="1"/>
  <c r="G350" s="1"/>
  <c r="I350" s="1"/>
  <c r="J350" s="1"/>
  <c r="G351" s="1"/>
  <c r="I351" s="1"/>
  <c r="J351" s="1"/>
  <c r="G352" s="1"/>
  <c r="I352" s="1"/>
  <c r="J352" s="1"/>
  <c r="G353" s="1"/>
  <c r="I353" s="1"/>
  <c r="J353" s="1"/>
  <c r="G354" s="1"/>
  <c r="I354" s="1"/>
  <c r="J354" s="1"/>
  <c r="G355" s="1"/>
  <c r="I355" s="1"/>
  <c r="J355" s="1"/>
  <c r="G356" s="1"/>
  <c r="I356" s="1"/>
  <c r="J356" s="1"/>
  <c r="G357" s="1"/>
  <c r="I357" s="1"/>
  <c r="J357" s="1"/>
  <c r="G358" s="1"/>
  <c r="I358" s="1"/>
  <c r="J358" s="1"/>
  <c r="G359" s="1"/>
  <c r="I359" s="1"/>
  <c r="J359" s="1"/>
  <c r="G360" s="1"/>
  <c r="I360" s="1"/>
  <c r="J360" s="1"/>
  <c r="G361" s="1"/>
  <c r="I361" s="1"/>
  <c r="J361" s="1"/>
  <c r="G362" s="1"/>
  <c r="I362" s="1"/>
  <c r="J362" s="1"/>
  <c r="G363" s="1"/>
  <c r="I363" s="1"/>
  <c r="J363" s="1"/>
  <c r="G364" s="1"/>
  <c r="I364" s="1"/>
  <c r="J364" s="1"/>
  <c r="G365" s="1"/>
  <c r="I365" s="1"/>
  <c r="J365" s="1"/>
  <c r="G366" s="1"/>
  <c r="I366" s="1"/>
  <c r="J366" s="1"/>
  <c r="G367" s="1"/>
  <c r="I367" s="1"/>
  <c r="J367" s="1"/>
  <c r="G368" s="1"/>
  <c r="I368" s="1"/>
  <c r="J368" s="1"/>
  <c r="G369" s="1"/>
  <c r="I369" s="1"/>
  <c r="J369" s="1"/>
  <c r="G370" s="1"/>
  <c r="I370" s="1"/>
  <c r="J370" s="1"/>
  <c r="G371" s="1"/>
  <c r="I371" s="1"/>
  <c r="J371" s="1"/>
  <c r="G372" s="1"/>
  <c r="I372" s="1"/>
  <c r="J25" i="3"/>
  <c r="G26" s="1"/>
  <c r="I26"/>
  <c r="J372" i="1" l="1"/>
  <c r="J374"/>
  <c r="J381" s="1"/>
  <c r="J382" s="1"/>
  <c r="K372"/>
  <c r="J26" i="3"/>
  <c r="G27" s="1"/>
  <c r="K26"/>
  <c r="I27"/>
  <c r="J27" l="1"/>
  <c r="G28" s="1"/>
  <c r="I28"/>
  <c r="J28" l="1"/>
  <c r="G29" s="1"/>
  <c r="K28"/>
  <c r="I29"/>
  <c r="J29" l="1"/>
  <c r="G30" s="1"/>
  <c r="I30"/>
  <c r="J30" l="1"/>
  <c r="G31" s="1"/>
  <c r="M30"/>
  <c r="I31"/>
  <c r="J31" l="1"/>
  <c r="G32" s="1"/>
  <c r="M31"/>
  <c r="N31" s="1"/>
  <c r="K31"/>
  <c r="I32"/>
  <c r="I33"/>
  <c r="J32" l="1"/>
  <c r="G33" s="1"/>
  <c r="I34" s="1"/>
  <c r="M33"/>
  <c r="J33"/>
  <c r="G34" s="1"/>
  <c r="J34" l="1"/>
  <c r="G35" s="1"/>
  <c r="I35"/>
  <c r="J35" s="1"/>
  <c r="G36" s="1"/>
  <c r="I36" l="1"/>
  <c r="K36" s="1"/>
  <c r="M36" l="1"/>
  <c r="N36" s="1"/>
  <c r="J36"/>
  <c r="G37" s="1"/>
  <c r="I37"/>
  <c r="K37" s="1"/>
  <c r="J37" l="1"/>
  <c r="G38" s="1"/>
  <c r="I38"/>
  <c r="J38" l="1"/>
  <c r="G39" s="1"/>
  <c r="I39"/>
  <c r="J39" l="1"/>
  <c r="G40" s="1"/>
  <c r="I40"/>
  <c r="J40" l="1"/>
  <c r="G41" s="1"/>
  <c r="I41"/>
  <c r="L41" s="1"/>
  <c r="J41" l="1"/>
  <c r="G42" s="1"/>
  <c r="I42"/>
  <c r="J42" l="1"/>
  <c r="L42"/>
  <c r="I44"/>
  <c r="J44" s="1"/>
  <c r="J48" s="1"/>
  <c r="J49" s="1"/>
</calcChain>
</file>

<file path=xl/sharedStrings.xml><?xml version="1.0" encoding="utf-8"?>
<sst xmlns="http://schemas.openxmlformats.org/spreadsheetml/2006/main" count="1202" uniqueCount="891">
  <si>
    <t>FELIX DELGADILLO MEJIA</t>
  </si>
  <si>
    <t>Metodo:Promedio Ponderado</t>
  </si>
  <si>
    <t>NIT  358900018</t>
  </si>
  <si>
    <t>Mercaderia:Planchas para calaminas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</si>
  <si>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</si>
  <si>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</si>
  <si>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</si>
  <si>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</si>
  <si>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</si>
  <si>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</si>
  <si>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</si>
  <si>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</si>
  <si>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</si>
  <si>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</si>
  <si>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</si>
  <si>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</si>
  <si>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</si>
  <si>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</si>
  <si>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</si>
  <si>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</si>
  <si>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</si>
  <si>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</si>
  <si>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>inventario inicial 2014</t>
  </si>
  <si>
    <t xml:space="preserve">                Practicado al 31 diciembre 2014</t>
  </si>
  <si>
    <t>Inventario Inicial</t>
  </si>
  <si>
    <t xml:space="preserve">                Practicado al 31 de diciembre DEL 2014</t>
  </si>
  <si>
    <t>inventario inicial</t>
  </si>
  <si>
    <t xml:space="preserve">                Practicado al 31 de diciembre DE 2014</t>
  </si>
  <si>
    <t>Nº 28</t>
  </si>
  <si>
    <t>Calamina Ondulada F- 839</t>
  </si>
  <si>
    <t>Calamina Ondulada F- 840</t>
  </si>
  <si>
    <t>Calamina Ondulada F- 841</t>
  </si>
  <si>
    <t>Calamina Ondulada F- 842</t>
  </si>
  <si>
    <t>Calamina Ondulada F- 843</t>
  </si>
  <si>
    <t>Calamina Ondulada F- 844</t>
  </si>
  <si>
    <t>Calamina Ondulada F- 845</t>
  </si>
  <si>
    <t>Calamina Ondulada F- 846</t>
  </si>
  <si>
    <t>Calamina Ondulada F- 848</t>
  </si>
  <si>
    <t>Calamina Ondulada F- 849</t>
  </si>
  <si>
    <t>Venta Calamina RAL F- 850</t>
  </si>
  <si>
    <t>Venta Calamina RAL F- 851</t>
  </si>
  <si>
    <t>Calamina Ondulada F- 852</t>
  </si>
  <si>
    <t>Calamina Ondulada F- 853</t>
  </si>
  <si>
    <t>Calamina Ondulada F- 854</t>
  </si>
  <si>
    <t>Venta Calamina RAL F- 855</t>
  </si>
  <si>
    <t>Calamina Ondulada F- 856</t>
  </si>
  <si>
    <t>Venta Calamina RAL F- 857</t>
  </si>
  <si>
    <t>Calamina Ondulada F- 858</t>
  </si>
  <si>
    <t>Calamina Ondulada F- 859</t>
  </si>
  <si>
    <t>Calamina Ondulada F- 860</t>
  </si>
  <si>
    <t>Calamina Ondulada F- 861</t>
  </si>
  <si>
    <t>Calamina Ondulada F- 862</t>
  </si>
  <si>
    <t>Calamina Ondulada F- 863</t>
  </si>
  <si>
    <t>Calamina Ondulada F- 864</t>
  </si>
  <si>
    <t>Calamina Ondulada F- 865</t>
  </si>
  <si>
    <t>Venta Calamina RAL F- 866</t>
  </si>
  <si>
    <t>Venta Calamina RAL F- 867</t>
  </si>
  <si>
    <t>Venta Calamina RAL F- 868</t>
  </si>
  <si>
    <t>Venta Calamina RAL F- 869</t>
  </si>
  <si>
    <t>Venta Calamina RAL F- 870</t>
  </si>
  <si>
    <t>Calamina Ondulada F- 871</t>
  </si>
  <si>
    <t>ANULADO F-872</t>
  </si>
  <si>
    <t>Calamina Ondulada F- 873</t>
  </si>
  <si>
    <t>Calamina Ondulada F- 874</t>
  </si>
  <si>
    <t>Calamina Ondulada F- 875</t>
  </si>
  <si>
    <t>Calamina Ondulada F- 876</t>
  </si>
  <si>
    <t>Calamina Ondulada F- 877</t>
  </si>
  <si>
    <t>Calamina Ondulada F- 878</t>
  </si>
  <si>
    <t>Venta Calamina RAL F- 880</t>
  </si>
  <si>
    <t>Venta Calamina RAL F- 881</t>
  </si>
  <si>
    <t>Venta Calamina RAL F- 882</t>
  </si>
  <si>
    <t>Calamina Ondulada F- 884</t>
  </si>
  <si>
    <t>Calamina Ondulada F- 885</t>
  </si>
  <si>
    <t>Calamina Ondulada F- 886</t>
  </si>
  <si>
    <t>Calamina Ondulada F- 887</t>
  </si>
  <si>
    <t>Venta Calamina RAL F- 888</t>
  </si>
  <si>
    <t>Calamina Ondulada F- 889</t>
  </si>
  <si>
    <t>Calamina Ondulada F- 890</t>
  </si>
  <si>
    <t>Venta Calamina RAL F- 891</t>
  </si>
  <si>
    <t>Venta Calamina RAL F- 892</t>
  </si>
  <si>
    <t>Calamina Ondulada F- 894</t>
  </si>
  <si>
    <t>Calamina Ondulada F- 895</t>
  </si>
  <si>
    <t>Calamina Ondulada F- 896</t>
  </si>
  <si>
    <t>Venta Calamina RAL F- 897</t>
  </si>
  <si>
    <t>Venta Calamina RAL F- 899</t>
  </si>
  <si>
    <t>ANULADO F-900</t>
  </si>
  <si>
    <t>Calamina Ondulada F- 901</t>
  </si>
  <si>
    <t>Calamina Ondulada F- 902</t>
  </si>
  <si>
    <t>ANULADO F-905</t>
  </si>
  <si>
    <t>Venta Calamina RAL F- 906</t>
  </si>
  <si>
    <t>Venta Calamina RAL F- 907</t>
  </si>
  <si>
    <t>Venta Calamina RAL F- 909</t>
  </si>
  <si>
    <t>Venta Calamina RAL F- 912</t>
  </si>
  <si>
    <t>Venta Calamina RAL F- 913</t>
  </si>
  <si>
    <t>Venta Calamina RAL F- 918</t>
  </si>
  <si>
    <t>ANULADO F-919</t>
  </si>
  <si>
    <t>Venta Calamina RAL F- 923</t>
  </si>
  <si>
    <t>Venta Calamina RAL F- 925</t>
  </si>
  <si>
    <t>Venta Calamina RAL F- 927</t>
  </si>
  <si>
    <t>Venta Calamina RAL F- 928</t>
  </si>
  <si>
    <t xml:space="preserve">ENTRADA </t>
  </si>
  <si>
    <t>INVENTARIO INICIAL</t>
  </si>
  <si>
    <t>Venta Ganchos J -50 F- 848</t>
  </si>
  <si>
    <t>Venta Ganchos J -60 F-856</t>
  </si>
  <si>
    <t>Peso: kg</t>
  </si>
  <si>
    <t>VENTA CLAVOS DE CALAMINA F- 857</t>
  </si>
  <si>
    <t>Venta Ganchos J -50 F- 876</t>
  </si>
  <si>
    <t>VENTA CLAVOS DE CALAMINA F-883</t>
  </si>
  <si>
    <t>Venta Ganchos J -50 F-890</t>
  </si>
  <si>
    <t>VENTA CLAVOS DE CALAMINA F-898</t>
  </si>
  <si>
    <t>Venta Ganchos J -60 F-899</t>
  </si>
  <si>
    <t>VENTA CLAVOS DE CALAMINA F-901</t>
  </si>
  <si>
    <t>VENTA CLAVOS DE CALAMINA F- 908</t>
  </si>
  <si>
    <t>VENTA CLAVOS DE CALAMINA F-911</t>
  </si>
  <si>
    <t>Venta Ganchos J -60 F-923</t>
  </si>
  <si>
    <t>Venta Ganchos J -50 F-928</t>
  </si>
  <si>
    <t>VENTA CLAVOS DE CALAMINA F-929</t>
  </si>
  <si>
    <t>VENTA CLAVOS DE CALAMINA F-930</t>
  </si>
  <si>
    <t>COMPRA DE CLAVOS  F- 919</t>
  </si>
  <si>
    <t>COMPRA DE GANCHOS F-2821</t>
  </si>
  <si>
    <t>Calamina Ondulada F- 935</t>
  </si>
  <si>
    <t>Calamina Ondulada F-  936</t>
  </si>
  <si>
    <t>Calamina Ondulada F-  937</t>
  </si>
  <si>
    <t>Calamina Ondulada F-  939</t>
  </si>
  <si>
    <t>Calamina Ondulada F-  941</t>
  </si>
  <si>
    <t>Calamina Ondulada F-  943</t>
  </si>
  <si>
    <t>Calamina Ondulada F-  944</t>
  </si>
  <si>
    <t>Calamina Ondulada F-   954</t>
  </si>
  <si>
    <t>Calamina Ondulada F-  957</t>
  </si>
  <si>
    <t>Calamina Ondulada F-  958</t>
  </si>
  <si>
    <t>Calamina Ondulada F-  962</t>
  </si>
  <si>
    <t>Calamina Ondulada F-  974</t>
  </si>
  <si>
    <t>Calamina Ondulada F-  978</t>
  </si>
  <si>
    <t>Calamina Ondulada F-  981</t>
  </si>
  <si>
    <t>Calamina Ondulada F-  984</t>
  </si>
  <si>
    <t>Calamina Ondulada F-  985</t>
  </si>
  <si>
    <t>Calamina Ondulada F-  988</t>
  </si>
  <si>
    <t>Calamina Ondulada F-  989</t>
  </si>
  <si>
    <t>VENTA CLAVOS DE CALAMINA F-939</t>
  </si>
  <si>
    <t>Venta Ganchos J -50 F-949</t>
  </si>
  <si>
    <t>Venta Ganchos J -50 F-952</t>
  </si>
  <si>
    <t>VENTA CLAVOS DE CALAMINA F-953</t>
  </si>
  <si>
    <t>VENTA CLAVOS DE CALAMINA F-958</t>
  </si>
  <si>
    <t>VENTA CLAVOS DE CALAMINA F-972</t>
  </si>
  <si>
    <t>VENTA CLAVOS DE CALAMINA F-980</t>
  </si>
  <si>
    <t>VENTA CLAVOS DE CALAMINA F-986</t>
  </si>
  <si>
    <t>VENTA CLAVOS DE CALAMINA F-987</t>
  </si>
  <si>
    <t>VENTA CLAVOS DE CALAMINA F-992</t>
  </si>
  <si>
    <t>VENTA CLAVOS DE CALAMINA F-994</t>
  </si>
  <si>
    <t>VENTA CLAVOS DE CALAMINA F-995</t>
  </si>
  <si>
    <t>VENTA CLAVOS DE CALAMINA F-1001</t>
  </si>
  <si>
    <t>VENTA CLAVOS DE CALAMINA F-1002</t>
  </si>
  <si>
    <t>VENTA CLAVOS DE CALAMINA F-1004</t>
  </si>
  <si>
    <t>Venta Ganchos J -60 F-1007</t>
  </si>
  <si>
    <t>VENTA CLAVOS DE CALAMINA F-1008</t>
  </si>
  <si>
    <t>VENTA CLAVOS DE CALAMINA F-1011</t>
  </si>
  <si>
    <t>VENTA CLAVOS DE CALAMINA F-1012</t>
  </si>
  <si>
    <t>VENTA CLAVOS DE CALAMINA F-1019</t>
  </si>
  <si>
    <t>VENTA CLAVOS DE CALAMINA F-1025</t>
  </si>
  <si>
    <t>VENTA CLAVOS DE CALAMINA F-1030</t>
  </si>
  <si>
    <t>VENTA CLAVOS DE CALAMINA F-1032</t>
  </si>
  <si>
    <t>Venta Ganchos J -50 F-1033</t>
  </si>
  <si>
    <t>VENTA CLAVOS DE CALAMINA F-1039</t>
  </si>
  <si>
    <t>VENTA CLAVOS DE CALAMINA F-1047</t>
  </si>
  <si>
    <t>VENTA CLAVOS DE CALAMINA F-1052</t>
  </si>
  <si>
    <t>VENTA CLAVOS DE CALAMINA F-1054</t>
  </si>
  <si>
    <t>Venta Ganchos J -60 F-1056</t>
  </si>
  <si>
    <t>Venta Ganchos J -50 F-1064</t>
  </si>
  <si>
    <t>VENTA CLAVOS DE CALAMINA F-1066</t>
  </si>
  <si>
    <t>VENTA CLAVOS DE CALAMINA F-1074</t>
  </si>
  <si>
    <t>VENTA CLAVOS DE CALAMINA F-1075</t>
  </si>
  <si>
    <t>VENTA CLAVOS DE CALAMINA F-1077</t>
  </si>
  <si>
    <t>VENTA CLAVOS DE CALAMINA F-1082</t>
  </si>
  <si>
    <t>VENTA CLAVOS DE CALAMINA F-1087</t>
  </si>
  <si>
    <t>Venta Ganchos J -50 F-1093</t>
  </si>
  <si>
    <t>Venta Ganchos J -50 F-1097</t>
  </si>
  <si>
    <t>Venta Ganchos J -50 F-1098</t>
  </si>
  <si>
    <t>VENTA CLAVOS DE CALAMINA F-1099</t>
  </si>
  <si>
    <t>COMPRA DE CLAVOS  F- 1526</t>
  </si>
  <si>
    <t>COMPRA DE GANCHOS F-2865</t>
  </si>
  <si>
    <t>COMPRA DE CLAVOS  F-2056</t>
  </si>
  <si>
    <t>COMPRA GANCHOS F-2987</t>
  </si>
  <si>
    <t>Venta Calamina RAL F- 929</t>
  </si>
  <si>
    <t>Venta Calamina RAL F- 930</t>
  </si>
  <si>
    <t>Venta Calamina RAL F- 931</t>
  </si>
  <si>
    <t>Venta Calamina RAL F- 932</t>
  </si>
  <si>
    <t>Venta Calamina RAL F- 933</t>
  </si>
  <si>
    <t>Venta Calamina Blue F- 934</t>
  </si>
  <si>
    <t>Venta Calamina RAL F- 938</t>
  </si>
  <si>
    <t>Calamina Ondulada F- 940</t>
  </si>
  <si>
    <t>Calamina Ondulada F- 942</t>
  </si>
  <si>
    <t>Venta Calamina RAL F- 945</t>
  </si>
  <si>
    <t>Venta Calamina RAL F- 946</t>
  </si>
  <si>
    <t>Calamina Ondulada F- 947</t>
  </si>
  <si>
    <t>Venta Calamina Blue F- 948</t>
  </si>
  <si>
    <t>Venta Calamina RAL F- 950</t>
  </si>
  <si>
    <t>Venta Calamina RAL F- 951</t>
  </si>
  <si>
    <t>Calamina Ondulada F- 952</t>
  </si>
  <si>
    <t>Venta Calamina RAL F- 953</t>
  </si>
  <si>
    <t>Venta Calamina RAL F- 955</t>
  </si>
  <si>
    <t>Venta Calamina RAL F- 956</t>
  </si>
  <si>
    <t>Calamina Ondulada F- 959</t>
  </si>
  <si>
    <t>Venta Calamina RAL F- 960</t>
  </si>
  <si>
    <t>Calamina Ondulada F- 961</t>
  </si>
  <si>
    <t>Venta Calamina Blue F- 963</t>
  </si>
  <si>
    <t>Venta Calamina RAL F- 964</t>
  </si>
  <si>
    <t>Calamina Ondulada F- 965</t>
  </si>
  <si>
    <t>Venta Calamina RAL F- 967</t>
  </si>
  <si>
    <t>Venta Calamina RAL F- 968</t>
  </si>
  <si>
    <t>Venta Calamina RAL F- 969</t>
  </si>
  <si>
    <t>Calamina Ondulada F- 970</t>
  </si>
  <si>
    <t>Venta Calamina Galvanizada F- 971</t>
  </si>
  <si>
    <t>Venta Calamina Galvanizada F- 949</t>
  </si>
  <si>
    <t>Venta Calamina RAL F- 975</t>
  </si>
  <si>
    <t>Calamina Ondulada F-  976</t>
  </si>
  <si>
    <t>Venta Calamina RAL F- 977</t>
  </si>
  <si>
    <t>Venta Calamina Galvanizada F- 979</t>
  </si>
  <si>
    <t>Venta Calamina RAL F- 980</t>
  </si>
  <si>
    <t>Venta Calamina RAL F- 982</t>
  </si>
  <si>
    <t>Venta Calamina RAL F- 983</t>
  </si>
  <si>
    <t>Venta Calamina RAL F- 987</t>
  </si>
  <si>
    <t>Calamina Ondulada F- 988</t>
  </si>
  <si>
    <t>Venta Calamina RAL F- 990</t>
  </si>
  <si>
    <t>Calamina Ondulada F- 991</t>
  </si>
  <si>
    <t>Venta Calamina RAL F- 992</t>
  </si>
  <si>
    <t>Venta Calamina RAL F- 993</t>
  </si>
  <si>
    <t>Venta Calamina RAL F- 996</t>
  </si>
  <si>
    <t>Venta Calamina RAL F- 997</t>
  </si>
  <si>
    <t>Venta Calamina Galvanizada F- 838</t>
  </si>
  <si>
    <t>Venta Calamina Galvanizada F- 843</t>
  </si>
  <si>
    <t>Venta Calamina Galvanizada F- 863</t>
  </si>
  <si>
    <t>Venta Calamina Galvanizada  F- 847</t>
  </si>
  <si>
    <t>Venta Calamina Galvanizada F- 879</t>
  </si>
  <si>
    <t>Venta Calamina Galvanizada F- 893</t>
  </si>
  <si>
    <t>Venta Calamina Galvanizada F- 914</t>
  </si>
  <si>
    <t>Venta Calamina Galvanizada F- 917</t>
  </si>
  <si>
    <t>Venta Calamina RAL F- 998</t>
  </si>
  <si>
    <t>Venta Calamina RAL F- 999</t>
  </si>
  <si>
    <t>Venta Calamina RAL F- 1000</t>
  </si>
  <si>
    <t>Venta Calamina RAL F- 1001</t>
  </si>
  <si>
    <t>Venta Calamina RAL F- 1002</t>
  </si>
  <si>
    <t>Calamina Ondulada F- 1003</t>
  </si>
  <si>
    <t>Venta Calamina RAL F- 1004</t>
  </si>
  <si>
    <t>Venta Calamina RAL F- 1005</t>
  </si>
  <si>
    <t>Venta Calamina RAL F- 1006</t>
  </si>
  <si>
    <t>Venta  Calamina RAL F-966</t>
  </si>
  <si>
    <t>Venta Calamina Galvanizada F- 973</t>
  </si>
  <si>
    <t>Venta Calamina RAL F- 1008</t>
  </si>
  <si>
    <t>Venta Calamina RAL F- 1009</t>
  </si>
  <si>
    <t>Venta Calamina RAL F- 1010</t>
  </si>
  <si>
    <t>Venta Calamina RAL F- 1011</t>
  </si>
  <si>
    <t>Venta Calamina RAL F- 1012</t>
  </si>
  <si>
    <t>Calamina Ondulada F- 1014</t>
  </si>
  <si>
    <t>Calamina Ondulada F- 1015</t>
  </si>
  <si>
    <t>Calamina Ondulada F- 1016</t>
  </si>
  <si>
    <t>Calamina Ondulada F- 1017</t>
  </si>
  <si>
    <t>Calamina Ondulada F- 1018</t>
  </si>
  <si>
    <t>Venta Calamina RAL F- 1019</t>
  </si>
  <si>
    <t>Venta Calamina Blue F- 1020</t>
  </si>
  <si>
    <t>Venta Calamina RAL F- 1021</t>
  </si>
  <si>
    <t>Calamina Ondulada F- 1022</t>
  </si>
  <si>
    <t>Venta Calamina RAL F- 1023</t>
  </si>
  <si>
    <t>Venta Calamina RAL F- 1024</t>
  </si>
  <si>
    <t>Venta Calamina RAL F- 1025</t>
  </si>
  <si>
    <t>Calamina Ondulada F- 1026</t>
  </si>
  <si>
    <t>Calamina Ondulada F- 1027</t>
  </si>
  <si>
    <t>Calamina Ondulada F- 1028</t>
  </si>
  <si>
    <t>Venta Calamina RAL F- 1029</t>
  </si>
  <si>
    <t>Calamina Ondulada F- 1030</t>
  </si>
  <si>
    <t>ANULADO F- 1031</t>
  </si>
  <si>
    <t>Venta Calamina RAL F- 1032</t>
  </si>
  <si>
    <t>Venta Calamina RAL F- 1033</t>
  </si>
  <si>
    <t>Calamina Ondulada F- 1034</t>
  </si>
  <si>
    <t>Venta Calamina RAL F- 1035</t>
  </si>
  <si>
    <t>Venta Calamina RAL F- 1036</t>
  </si>
  <si>
    <t>Venta Calamina RAL F- 1037</t>
  </si>
  <si>
    <t>Venta Calamina RAL F- 1038</t>
  </si>
  <si>
    <t>Venta Calamina RAL F- 1039</t>
  </si>
  <si>
    <t>Calamina Ondulada F- 1040</t>
  </si>
  <si>
    <t>Venta Calamina RAL F- 1041</t>
  </si>
  <si>
    <t>Calamina Ondulada F- 1042</t>
  </si>
  <si>
    <t>Venta Calamina RAL F- 1043</t>
  </si>
  <si>
    <t>Calamina Ondulada F- 1044</t>
  </si>
  <si>
    <t>Venta Calamina RAL F- 1045</t>
  </si>
  <si>
    <t>Venta Calamina RAL F- 1046</t>
  </si>
  <si>
    <t>Calamina Ondulada F- 1047</t>
  </si>
  <si>
    <t>Calamina Ondulada F- 1048</t>
  </si>
  <si>
    <t>Calamina Ondulada F- 1049</t>
  </si>
  <si>
    <t>Calamina Ondulada F- 1050</t>
  </si>
  <si>
    <t>Calamina Ondulada F- 1051</t>
  </si>
  <si>
    <t>Calamina Ondulada F- 1052</t>
  </si>
  <si>
    <t>Calamina Ondulada F- 1053</t>
  </si>
  <si>
    <t>Calamina Ondulada F- 1054</t>
  </si>
  <si>
    <t>Venta Calamina RAL F- 1055</t>
  </si>
  <si>
    <t>Calamina Ondulada F- 1056</t>
  </si>
  <si>
    <t>Venta Calamina RAL F- 1057</t>
  </si>
  <si>
    <t>Venta Calamina RAL F- 1058</t>
  </si>
  <si>
    <t>Calamina Ondulada F- 1059</t>
  </si>
  <si>
    <t>Calamina Ondulada F- 1060</t>
  </si>
  <si>
    <t>ANULADO F- 1061</t>
  </si>
  <si>
    <t>ANULADO F- 1062</t>
  </si>
  <si>
    <t>Calamina Ondulada F- 1063</t>
  </si>
  <si>
    <t>Venta Calamina RAL F- 1064</t>
  </si>
  <si>
    <t>VENTA CLAVOS DE CALAMINA F-1064</t>
  </si>
  <si>
    <t>Calamina Ondulada F- 1065</t>
  </si>
  <si>
    <t>Venta Calamina RAL F- 1067</t>
  </si>
  <si>
    <t>Calamina Ondulada F- 1068</t>
  </si>
  <si>
    <t>Venta Calamina RAL F- 1069</t>
  </si>
  <si>
    <t>Venta Calamina RAL F- 1070</t>
  </si>
  <si>
    <t>Calamina Ondulada F- 1071</t>
  </si>
  <si>
    <t>Venta Calamina RAL F- 1072</t>
  </si>
  <si>
    <t>ANULADO F-1073</t>
  </si>
  <si>
    <t>Calamina Ondulada F- 1074</t>
  </si>
  <si>
    <t>Calamina Ondulada F- 1075</t>
  </si>
  <si>
    <t>Calamina Ondulada F- 1076</t>
  </si>
  <si>
    <t>Calamina Ondulada F- 1077</t>
  </si>
  <si>
    <t>Venta Calamina Blue F- 1078</t>
  </si>
  <si>
    <t>Venta Calamina Blue F- 1079</t>
  </si>
  <si>
    <t>Calamina Ondulada F- 1080</t>
  </si>
  <si>
    <t>Calamina Ondulada F- 1081</t>
  </si>
  <si>
    <t>Calamina Ondulada F- 1083</t>
  </si>
  <si>
    <t>Venta Calamina RAL F- 1084</t>
  </si>
  <si>
    <t>Calamina Ondulada F- 1085</t>
  </si>
  <si>
    <t>ANULADO F-1086</t>
  </si>
  <si>
    <t>Venta Calamina RAL F- 1088</t>
  </si>
  <si>
    <t>Venta Calamina RAL F- 1089</t>
  </si>
  <si>
    <t>ANULADO F-1090</t>
  </si>
  <si>
    <t>Venta Calamina RAL F- 1091</t>
  </si>
  <si>
    <t>Venta Calamina RAL F- 1092</t>
  </si>
  <si>
    <t>Calamina Ondulada F- 1093</t>
  </si>
  <si>
    <t>Calamina Ondulada F- 1094</t>
  </si>
  <si>
    <t>Venta Calamina RAL F- 1095</t>
  </si>
  <si>
    <t>Venta Calamina RAL F- 1096</t>
  </si>
  <si>
    <t>Calamina Ondulada F- 1097</t>
  </si>
  <si>
    <t>Calamina Ondulada F- 1098</t>
  </si>
  <si>
    <t>Venta Calamina RAL F- 1099</t>
  </si>
  <si>
    <t>Calamina Ondulada F- 1100</t>
  </si>
  <si>
    <t>Venta Calamina RAL F- 1101</t>
  </si>
  <si>
    <t>Calamina Ondulada F- 1102</t>
  </si>
  <si>
    <t>Calamina Ondulada F- 1103</t>
  </si>
  <si>
    <t>Calamina Ondulada F- 1104</t>
  </si>
  <si>
    <t>Venta Ganchos J -50 F-1104</t>
  </si>
  <si>
    <t>Venta Calamina RAL F- 1105</t>
  </si>
  <si>
    <t>Venta Calamina RAL F- 1106</t>
  </si>
  <si>
    <t>Venta Calamina RAL F- 1108</t>
  </si>
  <si>
    <t>Calamina Ondulada F- 1109</t>
  </si>
  <si>
    <t>ANULADO F-1110</t>
  </si>
  <si>
    <t>Calamina Ondulada F- 1111</t>
  </si>
  <si>
    <t>Calamina Ondulada F- 1112</t>
  </si>
  <si>
    <t>Venta Calamina RAL F- 1113</t>
  </si>
  <si>
    <t>Venta Calamina RAL F- 1114</t>
  </si>
  <si>
    <t>Venta Calamina RAL F- 1115</t>
  </si>
  <si>
    <t>Venta Calamina RAL F-1115</t>
  </si>
  <si>
    <t>VENTA CLAVOS DE CALAMINA F-1115</t>
  </si>
  <si>
    <t>Venta Calamina Blue F- 1116</t>
  </si>
  <si>
    <t>Calamina Ondulada F- 1117</t>
  </si>
  <si>
    <t>Venta Calamina Blue F- 1118</t>
  </si>
  <si>
    <t>Calamina Ondulada F- 1119</t>
  </si>
  <si>
    <t>Venta Calamina RAL F- 1120</t>
  </si>
  <si>
    <t>Calamina Ondulada F- 1121</t>
  </si>
  <si>
    <t>Venta Ganchos J -60 F-1121</t>
  </si>
  <si>
    <t>Venta Calamina RAL F- 1122</t>
  </si>
  <si>
    <t>Calamina Ondulada F- 1123</t>
  </si>
  <si>
    <t>Venta Calamina RAL F- 1124</t>
  </si>
  <si>
    <t>Venta Calamina RAL F- 1125</t>
  </si>
  <si>
    <t>Calamina Ondulada F- 1126</t>
  </si>
  <si>
    <t>Calamina Ondulada F- 1127</t>
  </si>
  <si>
    <t>VENTA CLAVOS DE CALAMINA F-1127</t>
  </si>
  <si>
    <t>Calamina Ondulada F- 1128</t>
  </si>
  <si>
    <t>Calamina Ondulada F- 1129</t>
  </si>
  <si>
    <t>Calamina Ondulada F- 1130</t>
  </si>
  <si>
    <t>Venta Calamina RAL F- 1131</t>
  </si>
  <si>
    <t>VENTA CLAVOS DE CALAMINA F-1131</t>
  </si>
  <si>
    <t>Venta Calamina RAL F- 1132</t>
  </si>
  <si>
    <t>Venta Calamina RAL F- 1133</t>
  </si>
  <si>
    <t>Calamina Ondulada F- 1134</t>
  </si>
  <si>
    <t>Calamina Ondulada F- 1135</t>
  </si>
  <si>
    <t>Venta Calamina RAL F- 1136</t>
  </si>
  <si>
    <t>Calamina Ondulada F- 1137</t>
  </si>
  <si>
    <t>Calamina Ondulada F- 1138</t>
  </si>
  <si>
    <t>Venta Calamina RAL F- 1139</t>
  </si>
  <si>
    <t>Calamina Ondulada F- 1140</t>
  </si>
  <si>
    <t>Venta Ganchos J -50 F-1140</t>
  </si>
  <si>
    <t>Venta Ganchos J -50 F-1141</t>
  </si>
  <si>
    <t>Calamina Ondulada F- 1141</t>
  </si>
  <si>
    <t>VENTA CLAVOS DE CALAMINA F-1142</t>
  </si>
  <si>
    <t>Venta Calamina RAL F- 1143</t>
  </si>
  <si>
    <t>VENTA CLAVOS DE CALAMINA F-1143</t>
  </si>
  <si>
    <t>Calamina Ondulada F- 1144</t>
  </si>
  <si>
    <t>Venta Calamina RAL F- 1145</t>
  </si>
  <si>
    <t>VENTA CLAVOS DE CALAMINA F-1146</t>
  </si>
  <si>
    <t>Calamina Ondulada F- 1147</t>
  </si>
  <si>
    <t>Calamina Ondulada F- 1148</t>
  </si>
  <si>
    <t>Calamina Ondulada F- 1149</t>
  </si>
  <si>
    <t>VENTA CLAVOS DE CALAMINA F-1149</t>
  </si>
  <si>
    <t>Venta Calamina RAL F- 1150</t>
  </si>
  <si>
    <t>Venta Calamina Blue F- 1151</t>
  </si>
  <si>
    <t>Venta Calamina RAL F- 1152</t>
  </si>
  <si>
    <t>Venta Ganchos J -60 F-1153</t>
  </si>
  <si>
    <t>Calamina Ondulada F- 1154</t>
  </si>
  <si>
    <t>Venta Ganchos J -50 F-1154</t>
  </si>
  <si>
    <t>Venta Calamina RAL F- 1155</t>
  </si>
  <si>
    <t>Venta Ganchos J -50 F-1156</t>
  </si>
  <si>
    <t>Calamina Ondulada F- 1157</t>
  </si>
  <si>
    <t>Calamina Ondulada F- 1158</t>
  </si>
  <si>
    <t>Venta Calamina Galvanizada F-1159</t>
  </si>
  <si>
    <t>Calamina Ondulada F- 1160</t>
  </si>
  <si>
    <t>Calamina Ondulada F- 1161</t>
  </si>
  <si>
    <t>VENTA CLAVOS DE CALAMINA F-1161</t>
  </si>
  <si>
    <t>Venta Calamina RAL F- 1162</t>
  </si>
  <si>
    <t>Calamina Ondulada F- 1163</t>
  </si>
  <si>
    <t>Venta Ganchos J -50 F-1163</t>
  </si>
  <si>
    <t>Venta Calamina RAL F- 1164</t>
  </si>
  <si>
    <t>Calamina Ondulada F- 1165</t>
  </si>
  <si>
    <t>Calamina Ondulada F- 1166</t>
  </si>
  <si>
    <t>VENTA CLAVOS DE CALAMINA F-1167</t>
  </si>
  <si>
    <t>Calamina Ondulada F- 1168</t>
  </si>
  <si>
    <t>COMPRA  F-7908</t>
  </si>
  <si>
    <t>Venta Calamina Blue F- 926</t>
  </si>
  <si>
    <t>Venta Calamina Blue F- 922</t>
  </si>
  <si>
    <t>Venta Calamina  Blue F- 924</t>
  </si>
  <si>
    <t>Venta Calamina Blue  F- 921</t>
  </si>
  <si>
    <t>Venta Calamina Blue  F- 920</t>
  </si>
  <si>
    <t>Venta Calamina Blue  F- 916</t>
  </si>
  <si>
    <t>Venta Calamina Blue  F- 915</t>
  </si>
  <si>
    <t>Venta Calamina Blur  F- 911</t>
  </si>
  <si>
    <t>Venta de Calamina Blue  F- 910</t>
  </si>
  <si>
    <t>venta Calamina  Blue F- 904</t>
  </si>
  <si>
    <t>Venta Calamina  Blue F- 903</t>
  </si>
  <si>
    <t>Calamina Ondulada F-985</t>
  </si>
  <si>
    <t>ANULADO F-1013</t>
  </si>
  <si>
    <t>Venta Calamina RAL F- 1087</t>
  </si>
  <si>
    <t>Calamina Ondulada F- 1107</t>
  </si>
  <si>
    <t>Calamina Ondulada F- 1153</t>
  </si>
  <si>
    <t>Venta Calamina RAL F- 1169</t>
  </si>
  <si>
    <t>Calamina Ondulada F- 1170</t>
  </si>
  <si>
    <t>Calamina Ondulada F- 1171</t>
  </si>
  <si>
    <t>Venta Calamina RAL F- 1172</t>
  </si>
  <si>
    <t>Calamina Ondulada F- 1173</t>
  </si>
  <si>
    <t>Venta Calamina RAL F- 1174</t>
  </si>
  <si>
    <t>Venta Calamina RAL F-  1175</t>
  </si>
  <si>
    <t>Venta Calamina RAL F- 1176</t>
  </si>
  <si>
    <t>Calamina Ondulada F- 1177</t>
  </si>
  <si>
    <t>Calamina Ondulada F- 1178</t>
  </si>
  <si>
    <t>Venta Calamina RAL F- 1179</t>
  </si>
  <si>
    <t>Venta Calamina RAL F- 1180</t>
  </si>
  <si>
    <t>Calamina Ondulada F- 1181</t>
  </si>
  <si>
    <t>Venta Calamina RAL F- 1182</t>
  </si>
  <si>
    <t>Calamina Ondulada F- 1183</t>
  </si>
  <si>
    <t>Calamina Ondulada F- 1184</t>
  </si>
  <si>
    <t>Venta Ganchos J -50 F-1184</t>
  </si>
  <si>
    <t>Calamina Ondulada F- 1185</t>
  </si>
  <si>
    <t>VENTA CLAVOS DE CALAMINA F-1185</t>
  </si>
  <si>
    <t>Venta Calamina RAL F- 1186</t>
  </si>
  <si>
    <t>Venta Calamina RAL F- 1187</t>
  </si>
  <si>
    <t>Venta Calamina RAL F- 1188</t>
  </si>
  <si>
    <t>VENTA CLAVOS DE CALAMINA F-1189</t>
  </si>
  <si>
    <t>Venta Ganchos J -50 F-1190</t>
  </si>
  <si>
    <t>Calamina Ondulada F- 1191</t>
  </si>
  <si>
    <t>Calamina Ondulada F- 1192</t>
  </si>
  <si>
    <t>VENTA CLAVOS DE CALAMINA F-1192</t>
  </si>
  <si>
    <t>Venta Calamina RAL F- 1193</t>
  </si>
  <si>
    <t>Venta Calamina RAL F- 1194</t>
  </si>
  <si>
    <t>VENTA CLAVOS DE CALAMINA F-1194</t>
  </si>
  <si>
    <t>Calamina Ondulada F- 1195</t>
  </si>
  <si>
    <t>Calamina Ondulada F- 1196</t>
  </si>
  <si>
    <t>Venta Calamina RAL F- 1197</t>
  </si>
  <si>
    <t>VENTA CLAVOS DE CALAMINA F-1197</t>
  </si>
  <si>
    <t>Calamina Ondulada F- 1198</t>
  </si>
  <si>
    <t>Calamina Ondulada F- 1199</t>
  </si>
  <si>
    <t>VENTA CLAVOS DE CALAMINA F-1199</t>
  </si>
  <si>
    <t>Calamina Ondulada F- 1200</t>
  </si>
  <si>
    <t>Venta Calamina RAL F- 1201</t>
  </si>
  <si>
    <t>Venta Calamina RAL F- 1202</t>
  </si>
  <si>
    <t>Calamina Ondulada F- 1203</t>
  </si>
  <si>
    <t>Calamina Ondulada F- 1204</t>
  </si>
  <si>
    <t>Venta Ganchos J -50 F-1204</t>
  </si>
  <si>
    <t>Calamina Ondulada F- 1205</t>
  </si>
  <si>
    <t>VENTA CLAVOS DE CALAMINA F-1205</t>
  </si>
  <si>
    <t>Calamina Ondulada F- 1206</t>
  </si>
  <si>
    <t>Calamina Ondulada F- 1207</t>
  </si>
  <si>
    <t>Venta Calamina RAL F- 1208</t>
  </si>
  <si>
    <t>Calamina Ondulada F- 1209</t>
  </si>
  <si>
    <t>Venta Ganchos J -60 F-1209</t>
  </si>
  <si>
    <t>Venta Calamina RAL F- 1210</t>
  </si>
  <si>
    <t>Calamina Ondulada F- 1211</t>
  </si>
  <si>
    <t>Calamina Ondulada F- 1212</t>
  </si>
  <si>
    <t>Calamina Ondulada F- 1215</t>
  </si>
  <si>
    <t>Calamina Ondulada F- 1219</t>
  </si>
  <si>
    <t>Calamina Ondulada F- 1220</t>
  </si>
  <si>
    <t>Calamina Ondulada F- 1222</t>
  </si>
  <si>
    <t>Calamina Ondulada F- 1224</t>
  </si>
  <si>
    <t>Calamina Ondulada F- 1227</t>
  </si>
  <si>
    <t>Calamina Ondulada F- 1229</t>
  </si>
  <si>
    <t>Calamina Ondulada F- 1230</t>
  </si>
  <si>
    <t>Calamina Ondulada F- 1234</t>
  </si>
  <si>
    <t>Calamina Ondulada F- 1235</t>
  </si>
  <si>
    <t>Calamina Ondulada F- 1237</t>
  </si>
  <si>
    <t>Calamina Ondulada F- 1239</t>
  </si>
  <si>
    <t>Calamina Ondulada F- 1241</t>
  </si>
  <si>
    <t>Calamina Ondulada F- 1242</t>
  </si>
  <si>
    <t>Calamina Ondulada F- 1243</t>
  </si>
  <si>
    <t>Calamina Ondulada F- 1246</t>
  </si>
  <si>
    <t>Calamina Ondulada F- 1247</t>
  </si>
  <si>
    <t>Calamina Ondulada F- 1248</t>
  </si>
  <si>
    <t>Calamina Ondulada F- 1249</t>
  </si>
  <si>
    <t>Calamina Ondulada F- 1252</t>
  </si>
  <si>
    <t>Calamina Ondulada F- 1253</t>
  </si>
  <si>
    <t>Calamina Ondulada F- 1257</t>
  </si>
  <si>
    <t>Calamina Ondulada F- 1258</t>
  </si>
  <si>
    <t>Calamina Ondulada F- 1259</t>
  </si>
  <si>
    <t>Calamina Ondulada F- 1262</t>
  </si>
  <si>
    <t>Calamina Ondulada F- 1264</t>
  </si>
  <si>
    <t>Calamina Ondulada F- 1266</t>
  </si>
  <si>
    <t>Calamina Ondulada F- 1267</t>
  </si>
  <si>
    <t>Calamina Ondulada F- 1269</t>
  </si>
  <si>
    <t>Calamina Ondulada F- 1270</t>
  </si>
  <si>
    <t>Calamina Ondulada F- 1275</t>
  </si>
  <si>
    <t>Calamina Ondulada F- 1277</t>
  </si>
  <si>
    <t>Calamina Ondulada F- 1278</t>
  </si>
  <si>
    <t>Calamina Ondulada F- 1284</t>
  </si>
  <si>
    <t>Calamina Ondulada F- 1285</t>
  </si>
  <si>
    <t>Calamina Ondulada F- 1286</t>
  </si>
  <si>
    <t>Calamina Ondulada F- 1287</t>
  </si>
  <si>
    <t>Calamina Ondulada F- 1288</t>
  </si>
  <si>
    <t>Calamina Ondulada F- 1289</t>
  </si>
  <si>
    <t>Calamina Ondulada F- 1291</t>
  </si>
  <si>
    <t>Venta Calamina RAL F-  1213</t>
  </si>
  <si>
    <t>Venta Calamina RAL F- 1227</t>
  </si>
  <si>
    <t>Venta Calamina RAL F- 1232</t>
  </si>
  <si>
    <t>Venta Calamina RAL F- 1244</t>
  </si>
  <si>
    <t>Venta Calamina RAL F- 1245</t>
  </si>
  <si>
    <t>Venta Calamina RAL F- 1261</t>
  </si>
  <si>
    <t>Venta Calamina RAL F- 1263</t>
  </si>
  <si>
    <t>Venta Calamina RAL F- 1274</t>
  </si>
  <si>
    <t>Venta Calamina RAL F- 1279</t>
  </si>
  <si>
    <t>Venta Calamina RAL F- 1280</t>
  </si>
  <si>
    <t>Venta Calamina Blue F- 1225</t>
  </si>
  <si>
    <t>Venta Calamina Blue F- 1231</t>
  </si>
  <si>
    <t>Venta Calamina Blue F- 1273</t>
  </si>
  <si>
    <t>Venta Calamina Blue F- 1276</t>
  </si>
  <si>
    <t>Venta Calamina Blue F- 1281</t>
  </si>
  <si>
    <t>Venta Calamina Blue F- 1290</t>
  </si>
  <si>
    <t>ANULADO F- 1216</t>
  </si>
  <si>
    <t>Venta Calamina RAL F- 1223</t>
  </si>
  <si>
    <t>Venta Calamina RAL F- 1228</t>
  </si>
  <si>
    <t>Venta Calamina RAL F- 1236</t>
  </si>
  <si>
    <t>Venta Calamina RAL F- 1246</t>
  </si>
  <si>
    <t>Venta Calamina RAL F- 1254</t>
  </si>
  <si>
    <t>Venta Calamina RAL F- 1265</t>
  </si>
  <si>
    <t>Venta Calamina RAL F- 1271</t>
  </si>
  <si>
    <t>Venta Calamina RAL F- 1272</t>
  </si>
  <si>
    <t>Venta Calamina RAL F- 1282</t>
  </si>
  <si>
    <t>Venta Calamina RAL F- 1283</t>
  </si>
  <si>
    <t>COMPRA GANCHOS F-3143</t>
  </si>
  <si>
    <t>Venta Ganchos J -50 F-1241</t>
  </si>
  <si>
    <t>Venta Ganchos J -50 F-1260</t>
  </si>
  <si>
    <t>Venta Ganchos J -50 F-1277</t>
  </si>
  <si>
    <t>Venta Ganchos J -50 F-1290</t>
  </si>
  <si>
    <t>COMPRA GANCHOS F-3136</t>
  </si>
  <si>
    <t>Venta Ganchos J -60 F-1215</t>
  </si>
  <si>
    <t>Venta Ganchos J -60 F-1222</t>
  </si>
  <si>
    <t>Venta Ganchos J -60 F-1225</t>
  </si>
  <si>
    <t>Venta Ganchos J -60 F-1255</t>
  </si>
  <si>
    <t>VENTA CLAVOS DE CALAMINA F-1213</t>
  </si>
  <si>
    <t>VENTA CLAVOS DE CALAMINA F-1220</t>
  </si>
  <si>
    <t>VENTA CLAVOS DE CALAMINA F-1239</t>
  </si>
  <si>
    <t>VENTA CLAVOS DE CALAMINA F-1247</t>
  </si>
  <si>
    <t>VENTA CLAVOS DE CALAMINA F-1249</t>
  </si>
  <si>
    <t>VENTA CLAVOS DE CALAMINA F-1267</t>
  </si>
  <si>
    <t>VENTA CLAVOS DE CALAMINA F-1286</t>
  </si>
  <si>
    <t>Venta Calamina RAL F- 1214</t>
  </si>
  <si>
    <t>Venta Calamina RAL F- 1217</t>
  </si>
  <si>
    <t>Venta Calamina RAL F- 1218</t>
  </si>
  <si>
    <t>Venta Calamina RAL F- 1221</t>
  </si>
  <si>
    <t>ANULADO F-1226</t>
  </si>
  <si>
    <t>Venta Calamina RAL F- 1233</t>
  </si>
  <si>
    <t>Venta Calamina RAL F- 1238</t>
  </si>
  <si>
    <t>Venta Calamina RAL F- 1240</t>
  </si>
  <si>
    <t>Venta Calamina RAL F- 1250</t>
  </si>
  <si>
    <t>Venta Calamina RAL F- 1251</t>
  </si>
  <si>
    <t>Venta Calamina RAL F- 1256</t>
  </si>
  <si>
    <t>Venta Calamina RAL F- 1266</t>
  </si>
  <si>
    <t>Venta Calamina RAL F- 1268</t>
  </si>
  <si>
    <t>COMPRA GANCHOS F-3157</t>
  </si>
  <si>
    <t>Venta Ganchos J -70 F- 1269</t>
  </si>
  <si>
    <t>Calamina Ondulada F- 1223</t>
  </si>
  <si>
    <t>Calamina Ondulada F- 1292</t>
  </si>
  <si>
    <t>VENTA CLAVOS DE CALAMINA F-1293</t>
  </si>
  <si>
    <t>Calamina Ondulada F- 1294</t>
  </si>
  <si>
    <t>Calamina Ondulada F- 1295</t>
  </si>
  <si>
    <t>Venta Calamina RAL F- 1296</t>
  </si>
  <si>
    <t>Venta Calamina RAL F- 1297</t>
  </si>
  <si>
    <t>Calamina Ondulada F- 1298</t>
  </si>
  <si>
    <t>Calamina Ondulada F- 1299</t>
  </si>
  <si>
    <t>Calamina Ondulada F- 1300</t>
  </si>
  <si>
    <t>Calamina Ondulada F- 1301</t>
  </si>
  <si>
    <t>Venta Calamina RAL F- 1302</t>
  </si>
  <si>
    <t>Calamina Ondulada F- 1303</t>
  </si>
  <si>
    <t>Calamina Ondulada F- 1304</t>
  </si>
  <si>
    <t>Calamina Ondulada F- 1305</t>
  </si>
  <si>
    <t>Calamina Ondulada F- 1306</t>
  </si>
  <si>
    <t>Calamina Ondulada F- 1307</t>
  </si>
  <si>
    <t>Venta Ganchos J -50 F- 1308</t>
  </si>
  <si>
    <t>Venta Ganchos J -60 F- 1309</t>
  </si>
  <si>
    <t>Calamina Ondulada F- 1310</t>
  </si>
  <si>
    <t>Calamina Ondulada F- 1311</t>
  </si>
  <si>
    <t>Calamina Ondulada F- 1312</t>
  </si>
  <si>
    <t>Calamina Ondulada F- 1313</t>
  </si>
  <si>
    <t>Venta Ganchos J -50 F- 1313</t>
  </si>
  <si>
    <t>Calamina Ondulada F- 1314</t>
  </si>
  <si>
    <t>Venta Calamina RAL F- 1315</t>
  </si>
  <si>
    <t>Calamina Ondulada F- 1316</t>
  </si>
  <si>
    <t>Calamina Ondulada F- 1317</t>
  </si>
  <si>
    <t>Venta Ganchos J -60 F- 1317</t>
  </si>
  <si>
    <t>Calamina Ondulada F- 1318</t>
  </si>
  <si>
    <t>Venta Calamina RAL F- 1319</t>
  </si>
  <si>
    <t>Calamina Ondulada F- 1320</t>
  </si>
  <si>
    <t>Venta Calamina RAL F- 1321</t>
  </si>
  <si>
    <t>VENTA CLAVOS DE CALAMINA F-1321</t>
  </si>
  <si>
    <t>Venta Calamina WHITE GREY F- 1322</t>
  </si>
  <si>
    <t>Calamina Ondulada F- 1323</t>
  </si>
  <si>
    <t>Venta Calamina Galvanizada F- 1324</t>
  </si>
  <si>
    <t>VENTA CLAVOS DE CALAMINA F- 1324</t>
  </si>
  <si>
    <t>Calamina Ondulada F- 1325</t>
  </si>
  <si>
    <t>VENTA CLAVOS DE CALAMINA F-1325</t>
  </si>
  <si>
    <t>Calamina Ondulada F- 1326</t>
  </si>
  <si>
    <t>Calamina Ondulada F- 1327</t>
  </si>
  <si>
    <t>VENTA CLAVOS DE CALAMINA F-1327</t>
  </si>
  <si>
    <t>Calamina Ondulada F- 1328</t>
  </si>
  <si>
    <t>Calamina Ondulada F- 1329</t>
  </si>
  <si>
    <t>Calamina Ondulada F- 1331</t>
  </si>
  <si>
    <t>Calamina Ondulada F- 1332</t>
  </si>
  <si>
    <t>Calamina Ondulada F- 1333</t>
  </si>
  <si>
    <t>Calamina Ondulada F- 1334</t>
  </si>
  <si>
    <t>Calamina Ondulada F- 1336</t>
  </si>
  <si>
    <t>Calamina Ondulada F- 1337</t>
  </si>
  <si>
    <t>Calamina Ondulada F- 1338</t>
  </si>
  <si>
    <t>Calamina Ondulada F- 1341</t>
  </si>
  <si>
    <t>Calamina Ondulada F- 1342</t>
  </si>
  <si>
    <t>Calamina Ondulada F- 1343</t>
  </si>
  <si>
    <t>Calamina Ondulada F- 1344</t>
  </si>
  <si>
    <t>Calamina Ondulada F- 1345</t>
  </si>
  <si>
    <t>Calamina Ondulada F- 1347</t>
  </si>
  <si>
    <t>Calamina Ondulada F- 1348</t>
  </si>
  <si>
    <t>Calamina Ondulada F- 1349</t>
  </si>
  <si>
    <t>Calamina Ondulada F- 1350</t>
  </si>
  <si>
    <t>Calamina Ondulada F- 1352</t>
  </si>
  <si>
    <t>Calamina Ondulada F- 1353</t>
  </si>
  <si>
    <t>ANULADO F- 1355</t>
  </si>
  <si>
    <t>Calamina Ondulada F- 1356</t>
  </si>
  <si>
    <t>Calamina Ondulada F- 1357</t>
  </si>
  <si>
    <t>Calamina Ondulada F- 1358</t>
  </si>
  <si>
    <t>Calamina Ondulada F- 1363</t>
  </si>
  <si>
    <t>Calamina Ondulada F- 1364</t>
  </si>
  <si>
    <t>Calamina Ondulada F- 1365</t>
  </si>
  <si>
    <t>Calamina Ondulada F- 1366</t>
  </si>
  <si>
    <t>Calamina Ondulada F- 1367</t>
  </si>
  <si>
    <t>Calamina Ondulada F- 1368</t>
  </si>
  <si>
    <t>Calamina Ondulada F- 1369</t>
  </si>
  <si>
    <t>Calamina Ondulada F- 1372</t>
  </si>
  <si>
    <t>Calamina Ondulada F- 1377</t>
  </si>
  <si>
    <t>Calamina Ondulada F- 1378</t>
  </si>
  <si>
    <t>Calamina Ondulada F- 1379</t>
  </si>
  <si>
    <t>Calamina Ondulada F- 1382</t>
  </si>
  <si>
    <t>Calamina Ondulada F- 1384</t>
  </si>
  <si>
    <t>Calamina Ondulada F- 1386</t>
  </si>
  <si>
    <t>Calamina Ondulada F- 1387</t>
  </si>
  <si>
    <t>Venta Calamina RAL F- 1330</t>
  </si>
  <si>
    <t>Venta Calamina RAL F- 1335</t>
  </si>
  <si>
    <t>Venta Calamina RAL F- 1339</t>
  </si>
  <si>
    <t>Venta Calamina RAL F- 1340</t>
  </si>
  <si>
    <t>Venta Calamina RAL F- 1346</t>
  </si>
  <si>
    <t>Venta Calamina RAL F- 1351</t>
  </si>
  <si>
    <t>Venta Calamina RAL F- 1359</t>
  </si>
  <si>
    <t>Venta Calamina RAL F- 1360</t>
  </si>
  <si>
    <t>Venta Calamina RAL F- 1370</t>
  </si>
  <si>
    <t>Venta Ganchos J -50 F- 1328</t>
  </si>
  <si>
    <t>Venta Ganchos J -50 F-1345</t>
  </si>
  <si>
    <t>Venta Ganchos J -50 F-1346</t>
  </si>
  <si>
    <t>Venta Ganchos J -50 F-1349</t>
  </si>
  <si>
    <t>Venta Ganchos J -50 F-1357</t>
  </si>
  <si>
    <t>Venta Ganchos J -50 F-1387</t>
  </si>
  <si>
    <t>Venta Ganchos J -60 F-1339</t>
  </si>
  <si>
    <t>Venta Ganchos J -60 F-1377</t>
  </si>
  <si>
    <t>VENTA CLAVOS DE CALAMINA F- 1332</t>
  </si>
  <si>
    <t>VENTA CLAVOS DE CALAMINA F-1341</t>
  </si>
  <si>
    <t>VENTA CLAVOS DE CALAMINA F-1352</t>
  </si>
  <si>
    <t>VENTA CLAVOS DE CALAMINA F-1356</t>
  </si>
  <si>
    <t>VENTA CLAVOS DE CALAMINA F-1362</t>
  </si>
  <si>
    <t>VENTA CLAVOS DE CALAMINA F-1364</t>
  </si>
  <si>
    <t>VENTA CLAVOS DE CALAMINA F-1367</t>
  </si>
  <si>
    <t>VENTA CLAVOS DE CALAMINA F-1372</t>
  </si>
  <si>
    <t>Venta Calamina Galvanizada F-1362</t>
  </si>
  <si>
    <t>Venta Calamina RAL F- 1371</t>
  </si>
  <si>
    <t>Venta Calamina RAL F- 1373</t>
  </si>
  <si>
    <t>Venta Calamina RAL F- 1374</t>
  </si>
  <si>
    <t>Venta Calamina RAL F- 1375</t>
  </si>
  <si>
    <t>Venta Calamina RAL F- 1376</t>
  </si>
  <si>
    <t>Venta Calamina RAL F- 1380</t>
  </si>
  <si>
    <t>Venta Calamina RAL F- 1381</t>
  </si>
  <si>
    <t>Venta Calamina RAL F- 1383</t>
  </si>
  <si>
    <t>Venta Calamina RAL F- 1385</t>
  </si>
  <si>
    <t>Calamina Ondulada F- 1354</t>
  </si>
  <si>
    <t>Calamina Ondulada F- 1361</t>
  </si>
  <si>
    <t>Venta Calamina Galvanizada F-1388</t>
  </si>
  <si>
    <t>Calamina Ondulada F- 1389</t>
  </si>
  <si>
    <t>Calamina Ondulada F- 1390</t>
  </si>
  <si>
    <t>Calamina Ondulada F- 1391</t>
  </si>
  <si>
    <t>Calamina Ondulada F- 1392</t>
  </si>
  <si>
    <t>Calamina Ondulada F- 1393</t>
  </si>
  <si>
    <t>Calamina Ondulada F- 1394</t>
  </si>
  <si>
    <t>Calamina Ondulada F- 1395</t>
  </si>
  <si>
    <t>Calamina Ondulada F- 1396</t>
  </si>
  <si>
    <t>VENTA CLAVOS DE CALAMINA F-1396</t>
  </si>
  <si>
    <t>Calamina Ondulada F- 1397</t>
  </si>
  <si>
    <t>Venta Ganchos J -60 F- 1398</t>
  </si>
  <si>
    <t>Venta Ganchos J -60 F- 1399</t>
  </si>
  <si>
    <t>Calamina Ondulada F- 1399</t>
  </si>
  <si>
    <t>Calamina Ondulada F- 1400</t>
  </si>
  <si>
    <t>Calamina Ondulada F- 1401</t>
  </si>
  <si>
    <t>Venta Ganchos J -60 F-1401</t>
  </si>
  <si>
    <t>Calamina Ondulada F- 1402</t>
  </si>
  <si>
    <t>Calamina Ondulada F- 1403</t>
  </si>
  <si>
    <t>Venta Ganchos J -50 F-1403</t>
  </si>
  <si>
    <t>Calamina Ondulada F- 1404</t>
  </si>
  <si>
    <t>VENTA CLAVOS DE CALAMINA F- 1404</t>
  </si>
  <si>
    <t>Calamina Ondulada F- 1405</t>
  </si>
  <si>
    <t>Venta Calamina WHITE GREY F-1406</t>
  </si>
  <si>
    <t>Calamina Ondulada F- 1407</t>
  </si>
  <si>
    <t>Calamina Ondulada F- 1408</t>
  </si>
  <si>
    <t>Calamina Ondulada F- 1409</t>
  </si>
  <si>
    <t>Calamina Ondulada F- 1410</t>
  </si>
  <si>
    <t>Venta Calamina RAL F- 1411</t>
  </si>
  <si>
    <t>Calamina Ondulada F- 1412</t>
  </si>
  <si>
    <t>Calamina Ondulada F- 1413</t>
  </si>
  <si>
    <t>VENTA CLAVOS DE CALAMINA F- 1413</t>
  </si>
  <si>
    <t>VENTA CLAVOS DE CALAMINA F-1414</t>
  </si>
  <si>
    <t>Calamina Ondulada F- 1414</t>
  </si>
  <si>
    <t>Calamina Ondulada F- 1415</t>
  </si>
  <si>
    <t>Calamina Ondulada F- 1416</t>
  </si>
  <si>
    <t>Venta Calamina Galvanizada F-1416</t>
  </si>
  <si>
    <t>Calamina Ondulada F- 1417</t>
  </si>
  <si>
    <t>Calamina Ondulada F- 1418</t>
  </si>
  <si>
    <t>Calamina Ondulada F- 1419</t>
  </si>
  <si>
    <t>Calamina Ondulada F- 1420</t>
  </si>
  <si>
    <t>Calamina Ondulada F- 1421</t>
  </si>
  <si>
    <t>Calamina Ondulada F- 1422</t>
  </si>
  <si>
    <t>Calamina Ondulada F- 1423</t>
  </si>
  <si>
    <t>Calamina Ondulada F- 1424</t>
  </si>
  <si>
    <t>Calamina Ondulada F- 1425</t>
  </si>
  <si>
    <t>Calamina Ondulada F- 1426</t>
  </si>
  <si>
    <t>VENTA CLAVOS DE CALAMINA F-1426</t>
  </si>
  <si>
    <t>Calamina Ondulada F- 1427</t>
  </si>
  <si>
    <t>Calamina Ondulada F- 1428</t>
  </si>
  <si>
    <t>Calamina Ondulada F- 1429</t>
  </si>
  <si>
    <t>Venta Ganchos J -50 F- 1429</t>
  </si>
  <si>
    <t>Calamina Ondulada F- 1430</t>
  </si>
  <si>
    <t>Calamina Ondulada F- 1431</t>
  </si>
  <si>
    <t>Venta Calamina RAL F- 1432</t>
  </si>
  <si>
    <t>Calamina Ondulada F- 1433</t>
  </si>
  <si>
    <t>Calamina Ondulada F- 1434</t>
  </si>
  <si>
    <t>Calamina Ondulada F- 1435</t>
  </si>
  <si>
    <t>Calamina Ondulada F- 1436</t>
  </si>
  <si>
    <t>Calamina Ondulada F- 1437</t>
  </si>
  <si>
    <t>Calamina Ondulada F- 1438</t>
  </si>
  <si>
    <t>Venta Calamina RAL F- 1439</t>
  </si>
  <si>
    <t>Venta Calamina RAL F- 1440</t>
  </si>
  <si>
    <t>Calamina Ondulada F- 1441</t>
  </si>
  <si>
    <t>VENTA CLAVOS DE CALAMINA F-1441</t>
  </si>
  <si>
    <t>Calamina Ondulada F- 1442</t>
  </si>
  <si>
    <t>COMPRA GANCHOS F-3277</t>
  </si>
  <si>
    <t>COMPRA GANCHOS F-3278</t>
  </si>
  <si>
    <t>COMPRA DE CLAVOS  F-346</t>
  </si>
  <si>
    <t>COMPRA DUI2014301C40629</t>
  </si>
  <si>
    <t>Calamina Ondulada F- 1443</t>
  </si>
  <si>
    <t>Calamina Ondulada F- 1445</t>
  </si>
  <si>
    <t>Calamina Ondulada F- 1449</t>
  </si>
  <si>
    <t>ANULADO F- 1450</t>
  </si>
  <si>
    <t>Calamina Ondulada F- 1454</t>
  </si>
  <si>
    <t>Calamina Ondulada F- 1455</t>
  </si>
  <si>
    <t>Calamina Ondulada F- 1456</t>
  </si>
  <si>
    <t>Calamina Ondulada F- 1458</t>
  </si>
  <si>
    <t>Calamina Ondulada F- 1459</t>
  </si>
  <si>
    <t>Calamina Ondulada F- 1460</t>
  </si>
  <si>
    <t>Calamina Ondulada F- 1461</t>
  </si>
  <si>
    <t>Calamina Ondulada F- 1462</t>
  </si>
  <si>
    <t>Calamina Ondulada F- 1463</t>
  </si>
  <si>
    <t>Calamina Ondulada F- 1464</t>
  </si>
  <si>
    <t>Calamina Ondulada F- 1465</t>
  </si>
  <si>
    <t>Calamina Ondulada F- 1466</t>
  </si>
  <si>
    <t>Calamina Ondulada F- 1468</t>
  </si>
  <si>
    <t>Calamina Ondulada F- 1469</t>
  </si>
  <si>
    <t>Calamina Ondulada F- 1470</t>
  </si>
  <si>
    <t>Calamina Ondulada F- 1471</t>
  </si>
  <si>
    <t>Calamina Ondulada F- 1472</t>
  </si>
  <si>
    <t>ANULADO F- 1473</t>
  </si>
  <si>
    <t>Calamina Ondulada F- 1474</t>
  </si>
  <si>
    <t>Calamina Ondulada F- 1475</t>
  </si>
  <si>
    <t>Calamina Ondulada F- 1476</t>
  </si>
  <si>
    <t>Calamina Ondulada F- 1477</t>
  </si>
  <si>
    <t>Calamina Ondulada F- 1478</t>
  </si>
  <si>
    <t>Calamina Ondulada F- 1479</t>
  </si>
  <si>
    <t>Calamina Ondulada F- 1480</t>
  </si>
  <si>
    <t>Calamina Ondulada F- 1482</t>
  </si>
  <si>
    <t>Calamina Ondulada F- 1483</t>
  </si>
  <si>
    <t>Calamina Ondulada F- 1484</t>
  </si>
  <si>
    <t>Calamina Ondulada F- 1485</t>
  </si>
  <si>
    <t>Calamina Ondulada F- 1486</t>
  </si>
  <si>
    <t>Calamina Ondulada F- 1487</t>
  </si>
  <si>
    <t>Calamina Ondulada F- 1488</t>
  </si>
  <si>
    <t>Calamina Ondulada F- 1489</t>
  </si>
  <si>
    <t>Calamina Ondulada F- 1490</t>
  </si>
  <si>
    <t>Calamina Ondulada F- 1491</t>
  </si>
  <si>
    <t>Calamina Ondulada F- 1492</t>
  </si>
  <si>
    <t>Calamina Ondulada F- 1495</t>
  </si>
  <si>
    <t>Calamina Ondulada F- 1496</t>
  </si>
  <si>
    <t>Calamina Ondulada F- 1497</t>
  </si>
  <si>
    <t>Calamina Ondulada F- 1498</t>
  </si>
  <si>
    <t>Calamina Ondulada F- 1499</t>
  </si>
  <si>
    <t>Calamina Ondulada F- 1500</t>
  </si>
  <si>
    <t>Calamina Ondulada F- 1502</t>
  </si>
  <si>
    <t>Calamina Ondulada F- 1503</t>
  </si>
  <si>
    <t>Calamina Ondulada F- 1504</t>
  </si>
  <si>
    <t>ANULADO  F- 1505</t>
  </si>
  <si>
    <t>Calamina Ondulada F- 1506</t>
  </si>
  <si>
    <t>Calamina Ondulada F- 1507</t>
  </si>
  <si>
    <t>Calamina Ondulada F- 1508</t>
  </si>
  <si>
    <t>Calamina Ondulada F- 1512</t>
  </si>
  <si>
    <t>Calamina Ondulada F- 1515</t>
  </si>
  <si>
    <t>Venta Calamina Blue F- 1443</t>
  </si>
  <si>
    <t>Venta Calamina Blue F- 1446</t>
  </si>
  <si>
    <t>Venta Calamina Blue F- 1448</t>
  </si>
  <si>
    <t>Venta Calamina Blue F- 1451</t>
  </si>
  <si>
    <t>Venta Calamina Blue F- 1494</t>
  </si>
  <si>
    <t>Venta Calamina RAL F- 1447</t>
  </si>
  <si>
    <t>Venta Calamina RAL F- 1509</t>
  </si>
  <si>
    <t>Venta Calamina RAL F- 1513</t>
  </si>
  <si>
    <t>Venta Calamina RAL F- 1514</t>
  </si>
  <si>
    <t>Venta Ganchos J -50 F-1467</t>
  </si>
  <si>
    <t>Venta Ganchos J -50 F-1471</t>
  </si>
  <si>
    <t>Venta Ganchos J -50 F-1481</t>
  </si>
  <si>
    <t>Venta Ganchos J -50 F-1493</t>
  </si>
  <si>
    <t>Venta Ganchos J -50 F-1515</t>
  </si>
  <si>
    <t>Venta Ganchos J -60 F-1444</t>
  </si>
  <si>
    <t>Venta Ganchos J -60 F-1468</t>
  </si>
  <si>
    <t>Venta Ganchos J -60 F-1491</t>
  </si>
  <si>
    <t>Venta Ganchos J -60 F-1494</t>
  </si>
  <si>
    <t>COMPRA GANCHOS F-3355</t>
  </si>
  <si>
    <t>Venta Ganchos J -60 F-1510</t>
  </si>
  <si>
    <t>VENTA CLAVOS DE CALAMINA F-1449</t>
  </si>
  <si>
    <t>VENTA CLAVOS DE CALAMINA F-1452</t>
  </si>
  <si>
    <t>VENTA CLAVOS DE CALAMINA F-1456</t>
  </si>
  <si>
    <t>VENTA CLAVOS DE CALAMINA F-1459</t>
  </si>
  <si>
    <t>VENTA CLAVOS DE CALAMINA F-1483</t>
  </si>
  <si>
    <t>VENTA CLAVOS DE CALAMINA F-1501</t>
  </si>
  <si>
    <t>VENTA CLAVOS DE CALAMINA F-1502</t>
  </si>
  <si>
    <t>VENTA CLAVOS DE CALAMINA F-1504</t>
  </si>
  <si>
    <t>VENTA CLAVOS DE CALAMINA F-1506</t>
  </si>
  <si>
    <t>Venta Calamina Galvanizada F-1453</t>
  </si>
  <si>
    <t>Venta Calamina Galvanizada F-1457</t>
  </si>
  <si>
    <t>ANULADO F- 1511</t>
  </si>
  <si>
    <t>SUMAS TOTALES Y SALDOS</t>
  </si>
  <si>
    <t>VALORACIÓN INVENTARIO FINAL, PERCIO DE LAS FACTURAS DE COMPRAS (ULTIMAS COMPRAS) Art..9 del D.S. 24051</t>
  </si>
  <si>
    <t>INVENTARIO FINAL AL 31/12/2014</t>
  </si>
  <si>
    <t>INVENTARIO FINAL AL COSTO HISTORICO</t>
  </si>
  <si>
    <t>AJUSTE</t>
  </si>
  <si>
    <t>Mercaderia:Planchas para calaminas # 28 0.35mm</t>
  </si>
  <si>
    <t xml:space="preserve">Mercaderia:Planchas RAL para calaminas # 26 0.40mm </t>
  </si>
  <si>
    <t>Mercaderia:Plancha BLUE para calaminas # 28 0.35mm</t>
  </si>
  <si>
    <t>Mercaderia:Planchas RAL para calaminas # 28 0.35mm</t>
  </si>
  <si>
    <t>Mercaderia: Ganchos J-50</t>
  </si>
  <si>
    <t>Unidad de Medida: Uds.</t>
  </si>
  <si>
    <t xml:space="preserve">    Practicado al 31 de diciembre DE 2014</t>
  </si>
  <si>
    <t>Mercaderia: Ganchos J-60</t>
  </si>
  <si>
    <t>Mercaderia:Planchas para calaminas # 26 0.40mm</t>
  </si>
  <si>
    <t>Mercaderia:Planchas Cortadas # 28 0.35mm</t>
  </si>
  <si>
    <t>Mercaderia: Clavos de Calamina</t>
  </si>
  <si>
    <t>Unidad de Medida: Kg.</t>
  </si>
  <si>
    <t>Mercaderia: Ganchos J-70</t>
  </si>
  <si>
    <t>03/01/201</t>
  </si>
  <si>
    <t>15/08/014</t>
  </si>
  <si>
    <t>COMPRA DE CLAVOS  F-391</t>
  </si>
  <si>
    <t>Invent. Inicial Ganchos J -60</t>
  </si>
  <si>
    <t>COMPRA DUI 2014301C16445</t>
  </si>
  <si>
    <t>COMPRA DUI 2014301C21969</t>
  </si>
  <si>
    <t>COMPRA DUI 2014301C26417</t>
  </si>
  <si>
    <t>COMPRA DUI 2014301C1101</t>
  </si>
  <si>
    <t>COMPRA DUI 2014301C7597</t>
  </si>
  <si>
    <t>COMPRA DUI 2014301C40629</t>
  </si>
  <si>
    <t>COMPRA DUI2014301C30312</t>
  </si>
</sst>
</file>

<file path=xl/styles.xml><?xml version="1.0" encoding="utf-8"?>
<styleSheet xmlns="http://schemas.openxmlformats.org/spreadsheetml/2006/main">
  <numFmts count="2">
    <numFmt numFmtId="164" formatCode="_-* #,##0.00\ _€_-;\-* #,##0.00\ _€_-;_-* &quot;-&quot;??\ _€_-;_-@_-"/>
    <numFmt numFmtId="165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9">
    <xf numFmtId="0" fontId="0" fillId="0" borderId="0" xfId="0"/>
    <xf numFmtId="0" fontId="5" fillId="0" borderId="0" xfId="0" applyFont="1" applyBorder="1"/>
    <xf numFmtId="0" fontId="0" fillId="0" borderId="0" xfId="0" applyBorder="1"/>
    <xf numFmtId="0" fontId="6" fillId="0" borderId="0" xfId="0" applyFont="1" applyBorder="1"/>
    <xf numFmtId="0" fontId="8" fillId="0" borderId="0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12" fillId="0" borderId="1" xfId="0" applyFont="1" applyFill="1" applyBorder="1"/>
    <xf numFmtId="0" fontId="12" fillId="0" borderId="1" xfId="0" applyFont="1" applyBorder="1"/>
    <xf numFmtId="2" fontId="13" fillId="0" borderId="1" xfId="0" applyNumberFormat="1" applyFont="1" applyBorder="1"/>
    <xf numFmtId="4" fontId="12" fillId="0" borderId="1" xfId="0" applyNumberFormat="1" applyFont="1" applyBorder="1" applyAlignment="1">
      <alignment horizontal="right" vertical="center" wrapText="1"/>
    </xf>
    <xf numFmtId="0" fontId="9" fillId="2" borderId="1" xfId="0" applyFont="1" applyFill="1" applyBorder="1"/>
    <xf numFmtId="2" fontId="9" fillId="2" borderId="1" xfId="0" applyNumberFormat="1" applyFont="1" applyFill="1" applyBorder="1"/>
    <xf numFmtId="0" fontId="0" fillId="0" borderId="0" xfId="0"/>
    <xf numFmtId="0" fontId="2" fillId="0" borderId="0" xfId="0" applyFont="1" applyBorder="1"/>
    <xf numFmtId="0" fontId="9" fillId="0" borderId="1" xfId="0" applyFont="1" applyBorder="1"/>
    <xf numFmtId="0" fontId="10" fillId="0" borderId="1" xfId="0" applyFont="1" applyBorder="1"/>
    <xf numFmtId="4" fontId="9" fillId="0" borderId="1" xfId="0" applyNumberFormat="1" applyFont="1" applyBorder="1" applyAlignment="1">
      <alignment horizontal="right"/>
    </xf>
    <xf numFmtId="4" fontId="9" fillId="0" borderId="1" xfId="0" applyNumberFormat="1" applyFont="1" applyBorder="1"/>
    <xf numFmtId="4" fontId="10" fillId="0" borderId="1" xfId="0" applyNumberFormat="1" applyFont="1" applyBorder="1"/>
    <xf numFmtId="0" fontId="9" fillId="0" borderId="1" xfId="0" applyFont="1" applyFill="1" applyBorder="1"/>
    <xf numFmtId="0" fontId="12" fillId="0" borderId="4" xfId="0" applyFont="1" applyBorder="1"/>
    <xf numFmtId="2" fontId="12" fillId="0" borderId="1" xfId="0" applyNumberFormat="1" applyFont="1" applyBorder="1"/>
    <xf numFmtId="0" fontId="14" fillId="0" borderId="1" xfId="0" applyFont="1" applyBorder="1"/>
    <xf numFmtId="0" fontId="11" fillId="0" borderId="0" xfId="0" applyFont="1" applyBorder="1"/>
    <xf numFmtId="0" fontId="9" fillId="0" borderId="0" xfId="0" applyFont="1" applyBorder="1"/>
    <xf numFmtId="0" fontId="5" fillId="0" borderId="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/>
    <xf numFmtId="2" fontId="9" fillId="0" borderId="1" xfId="0" applyNumberFormat="1" applyFont="1" applyBorder="1"/>
    <xf numFmtId="4" fontId="9" fillId="2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" xfId="0" applyBorder="1"/>
    <xf numFmtId="2" fontId="0" fillId="0" borderId="1" xfId="0" applyNumberFormat="1" applyBorder="1"/>
    <xf numFmtId="2" fontId="0" fillId="2" borderId="0" xfId="0" applyNumberFormat="1" applyFill="1"/>
    <xf numFmtId="2" fontId="0" fillId="0" borderId="0" xfId="0" applyNumberFormat="1" applyBorder="1"/>
    <xf numFmtId="0" fontId="7" fillId="0" borderId="0" xfId="0" applyFont="1" applyBorder="1" applyAlignment="1"/>
    <xf numFmtId="2" fontId="0" fillId="0" borderId="0" xfId="0" applyNumberFormat="1"/>
    <xf numFmtId="2" fontId="10" fillId="0" borderId="1" xfId="0" applyNumberFormat="1" applyFont="1" applyBorder="1"/>
    <xf numFmtId="0" fontId="0" fillId="2" borderId="0" xfId="0" applyFill="1" applyBorder="1"/>
    <xf numFmtId="14" fontId="9" fillId="0" borderId="1" xfId="0" applyNumberFormat="1" applyFont="1" applyBorder="1"/>
    <xf numFmtId="2" fontId="12" fillId="2" borderId="1" xfId="0" applyNumberFormat="1" applyFont="1" applyFill="1" applyBorder="1"/>
    <xf numFmtId="4" fontId="9" fillId="2" borderId="1" xfId="0" applyNumberFormat="1" applyFont="1" applyFill="1" applyBorder="1"/>
    <xf numFmtId="4" fontId="10" fillId="2" borderId="1" xfId="0" applyNumberFormat="1" applyFont="1" applyFill="1" applyBorder="1"/>
    <xf numFmtId="0" fontId="0" fillId="2" borderId="0" xfId="0" applyFill="1"/>
    <xf numFmtId="0" fontId="10" fillId="2" borderId="1" xfId="0" applyFont="1" applyFill="1" applyBorder="1"/>
    <xf numFmtId="0" fontId="14" fillId="2" borderId="1" xfId="0" applyFont="1" applyFill="1" applyBorder="1"/>
    <xf numFmtId="2" fontId="11" fillId="2" borderId="1" xfId="0" applyNumberFormat="1" applyFont="1" applyFill="1" applyBorder="1"/>
    <xf numFmtId="14" fontId="0" fillId="0" borderId="1" xfId="0" applyNumberFormat="1" applyBorder="1"/>
    <xf numFmtId="0" fontId="0" fillId="2" borderId="1" xfId="0" applyFill="1" applyBorder="1"/>
    <xf numFmtId="2" fontId="9" fillId="0" borderId="1" xfId="0" applyNumberFormat="1" applyFont="1" applyFill="1" applyBorder="1"/>
    <xf numFmtId="14" fontId="11" fillId="0" borderId="1" xfId="0" applyNumberFormat="1" applyFont="1" applyBorder="1"/>
    <xf numFmtId="4" fontId="9" fillId="0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/>
    <xf numFmtId="4" fontId="9" fillId="0" borderId="1" xfId="0" applyNumberFormat="1" applyFont="1" applyFill="1" applyBorder="1"/>
    <xf numFmtId="4" fontId="10" fillId="0" borderId="1" xfId="0" applyNumberFormat="1" applyFont="1" applyFill="1" applyBorder="1"/>
    <xf numFmtId="0" fontId="11" fillId="2" borderId="1" xfId="0" applyFont="1" applyFill="1" applyBorder="1"/>
    <xf numFmtId="2" fontId="15" fillId="2" borderId="0" xfId="0" applyNumberFormat="1" applyFont="1" applyFill="1"/>
    <xf numFmtId="4" fontId="15" fillId="0" borderId="0" xfId="0" applyNumberFormat="1" applyFont="1"/>
    <xf numFmtId="0" fontId="15" fillId="0" borderId="0" xfId="0" applyFont="1"/>
    <xf numFmtId="4" fontId="15" fillId="2" borderId="0" xfId="0" applyNumberFormat="1" applyFont="1" applyFill="1"/>
    <xf numFmtId="14" fontId="9" fillId="2" borderId="1" xfId="0" applyNumberFormat="1" applyFont="1" applyFill="1" applyBorder="1"/>
    <xf numFmtId="4" fontId="15" fillId="0" borderId="1" xfId="0" applyNumberFormat="1" applyFont="1" applyBorder="1"/>
    <xf numFmtId="4" fontId="15" fillId="2" borderId="1" xfId="0" applyNumberFormat="1" applyFont="1" applyFill="1" applyBorder="1"/>
    <xf numFmtId="0" fontId="5" fillId="0" borderId="11" xfId="0" applyFont="1" applyBorder="1"/>
    <xf numFmtId="0" fontId="5" fillId="0" borderId="13" xfId="0" applyFont="1" applyBorder="1"/>
    <xf numFmtId="0" fontId="0" fillId="0" borderId="13" xfId="0" applyBorder="1"/>
    <xf numFmtId="0" fontId="2" fillId="0" borderId="13" xfId="0" applyFont="1" applyBorder="1"/>
    <xf numFmtId="0" fontId="3" fillId="0" borderId="8" xfId="0" applyFont="1" applyBorder="1"/>
    <xf numFmtId="0" fontId="5" fillId="0" borderId="14" xfId="0" applyFont="1" applyBorder="1"/>
    <xf numFmtId="0" fontId="3" fillId="0" borderId="12" xfId="0" applyFont="1" applyBorder="1"/>
    <xf numFmtId="0" fontId="6" fillId="0" borderId="14" xfId="0" applyFont="1" applyBorder="1"/>
    <xf numFmtId="0" fontId="0" fillId="0" borderId="14" xfId="0" applyBorder="1"/>
    <xf numFmtId="0" fontId="11" fillId="0" borderId="14" xfId="0" applyFont="1" applyBorder="1"/>
    <xf numFmtId="2" fontId="0" fillId="2" borderId="1" xfId="0" applyNumberFormat="1" applyFill="1" applyBorder="1"/>
    <xf numFmtId="14" fontId="17" fillId="2" borderId="1" xfId="0" applyNumberFormat="1" applyFont="1" applyFill="1" applyBorder="1"/>
    <xf numFmtId="0" fontId="16" fillId="2" borderId="1" xfId="0" applyFont="1" applyFill="1" applyBorder="1"/>
    <xf numFmtId="0" fontId="16" fillId="2" borderId="0" xfId="0" applyFont="1" applyFill="1"/>
    <xf numFmtId="14" fontId="11" fillId="0" borderId="0" xfId="0" applyNumberFormat="1" applyFont="1" applyBorder="1"/>
    <xf numFmtId="0" fontId="12" fillId="2" borderId="1" xfId="0" applyFont="1" applyFill="1" applyBorder="1"/>
    <xf numFmtId="14" fontId="9" fillId="0" borderId="0" xfId="0" applyNumberFormat="1" applyFont="1" applyBorder="1"/>
    <xf numFmtId="0" fontId="10" fillId="0" borderId="0" xfId="0" applyFont="1" applyBorder="1"/>
    <xf numFmtId="0" fontId="9" fillId="0" borderId="0" xfId="0" applyFont="1" applyFill="1" applyBorder="1"/>
    <xf numFmtId="4" fontId="9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2" fontId="9" fillId="2" borderId="0" xfId="0" applyNumberFormat="1" applyFont="1" applyFill="1" applyBorder="1"/>
    <xf numFmtId="4" fontId="9" fillId="0" borderId="0" xfId="0" applyNumberFormat="1" applyFont="1" applyBorder="1"/>
    <xf numFmtId="4" fontId="10" fillId="0" borderId="0" xfId="0" applyNumberFormat="1" applyFont="1" applyBorder="1"/>
    <xf numFmtId="0" fontId="11" fillId="0" borderId="13" xfId="0" applyFont="1" applyBorder="1"/>
    <xf numFmtId="0" fontId="9" fillId="0" borderId="13" xfId="0" applyFont="1" applyBorder="1"/>
    <xf numFmtId="0" fontId="10" fillId="0" borderId="8" xfId="0" applyFont="1" applyBorder="1"/>
    <xf numFmtId="0" fontId="10" fillId="0" borderId="12" xfId="0" applyFont="1" applyBorder="1"/>
    <xf numFmtId="0" fontId="9" fillId="0" borderId="4" xfId="0" applyFont="1" applyBorder="1"/>
    <xf numFmtId="4" fontId="15" fillId="0" borderId="12" xfId="0" applyNumberFormat="1" applyFont="1" applyBorder="1"/>
    <xf numFmtId="4" fontId="15" fillId="2" borderId="12" xfId="0" applyNumberFormat="1" applyFont="1" applyFill="1" applyBorder="1"/>
    <xf numFmtId="14" fontId="0" fillId="2" borderId="1" xfId="0" applyNumberFormat="1" applyFill="1" applyBorder="1"/>
    <xf numFmtId="14" fontId="9" fillId="0" borderId="4" xfId="0" applyNumberFormat="1" applyFont="1" applyBorder="1"/>
    <xf numFmtId="0" fontId="0" fillId="0" borderId="8" xfId="0" applyBorder="1"/>
    <xf numFmtId="0" fontId="0" fillId="0" borderId="12" xfId="0" applyBorder="1"/>
    <xf numFmtId="0" fontId="0" fillId="0" borderId="11" xfId="0" applyBorder="1"/>
    <xf numFmtId="14" fontId="9" fillId="2" borderId="4" xfId="0" applyNumberFormat="1" applyFont="1" applyFill="1" applyBorder="1"/>
    <xf numFmtId="4" fontId="0" fillId="0" borderId="1" xfId="0" applyNumberFormat="1" applyBorder="1"/>
    <xf numFmtId="4" fontId="0" fillId="0" borderId="0" xfId="0" applyNumberFormat="1" applyBorder="1"/>
    <xf numFmtId="4" fontId="0" fillId="0" borderId="10" xfId="0" applyNumberFormat="1" applyBorder="1"/>
    <xf numFmtId="2" fontId="0" fillId="0" borderId="10" xfId="0" applyNumberFormat="1" applyBorder="1"/>
    <xf numFmtId="4" fontId="0" fillId="0" borderId="0" xfId="0" applyNumberFormat="1"/>
    <xf numFmtId="4" fontId="10" fillId="0" borderId="10" xfId="0" applyNumberFormat="1" applyFont="1" applyBorder="1"/>
    <xf numFmtId="2" fontId="15" fillId="0" borderId="1" xfId="0" applyNumberFormat="1" applyFont="1" applyBorder="1"/>
    <xf numFmtId="2" fontId="15" fillId="2" borderId="1" xfId="0" applyNumberFormat="1" applyFont="1" applyFill="1" applyBorder="1"/>
    <xf numFmtId="0" fontId="0" fillId="0" borderId="15" xfId="0" applyBorder="1"/>
    <xf numFmtId="4" fontId="0" fillId="2" borderId="1" xfId="0" applyNumberFormat="1" applyFill="1" applyBorder="1"/>
    <xf numFmtId="0" fontId="0" fillId="0" borderId="2" xfId="0" applyBorder="1"/>
    <xf numFmtId="4" fontId="12" fillId="2" borderId="1" xfId="0" applyNumberFormat="1" applyFont="1" applyFill="1" applyBorder="1"/>
    <xf numFmtId="4" fontId="12" fillId="2" borderId="1" xfId="0" applyNumberFormat="1" applyFont="1" applyFill="1" applyBorder="1" applyAlignment="1">
      <alignment horizontal="right" vertical="center" wrapText="1"/>
    </xf>
    <xf numFmtId="2" fontId="13" fillId="2" borderId="1" xfId="0" applyNumberFormat="1" applyFont="1" applyFill="1" applyBorder="1"/>
    <xf numFmtId="2" fontId="10" fillId="2" borderId="1" xfId="0" applyNumberFormat="1" applyFont="1" applyFill="1" applyBorder="1"/>
    <xf numFmtId="14" fontId="11" fillId="2" borderId="1" xfId="0" applyNumberFormat="1" applyFont="1" applyFill="1" applyBorder="1"/>
    <xf numFmtId="14" fontId="10" fillId="2" borderId="14" xfId="0" applyNumberFormat="1" applyFont="1" applyFill="1" applyBorder="1"/>
    <xf numFmtId="4" fontId="11" fillId="2" borderId="1" xfId="0" applyNumberFormat="1" applyFont="1" applyFill="1" applyBorder="1" applyAlignment="1">
      <alignment horizontal="right"/>
    </xf>
    <xf numFmtId="2" fontId="0" fillId="2" borderId="0" xfId="0" applyNumberFormat="1" applyFill="1" applyBorder="1"/>
    <xf numFmtId="165" fontId="0" fillId="2" borderId="1" xfId="0" applyNumberFormat="1" applyFill="1" applyBorder="1"/>
    <xf numFmtId="14" fontId="16" fillId="2" borderId="1" xfId="0" applyNumberFormat="1" applyFont="1" applyFill="1" applyBorder="1"/>
    <xf numFmtId="2" fontId="16" fillId="2" borderId="1" xfId="0" applyNumberFormat="1" applyFont="1" applyFill="1" applyBorder="1"/>
    <xf numFmtId="4" fontId="16" fillId="2" borderId="1" xfId="0" applyNumberFormat="1" applyFont="1" applyFill="1" applyBorder="1"/>
    <xf numFmtId="0" fontId="17" fillId="2" borderId="1" xfId="0" applyFont="1" applyFill="1" applyBorder="1"/>
    <xf numFmtId="0" fontId="0" fillId="2" borderId="10" xfId="0" applyFill="1" applyBorder="1"/>
    <xf numFmtId="0" fontId="12" fillId="2" borderId="4" xfId="0" applyFont="1" applyFill="1" applyBorder="1"/>
    <xf numFmtId="14" fontId="0" fillId="0" borderId="0" xfId="0" applyNumberFormat="1"/>
    <xf numFmtId="4" fontId="0" fillId="2" borderId="0" xfId="0" applyNumberFormat="1" applyFill="1"/>
    <xf numFmtId="14" fontId="0" fillId="2" borderId="0" xfId="0" applyNumberFormat="1" applyFill="1"/>
    <xf numFmtId="2" fontId="0" fillId="3" borderId="0" xfId="0" applyNumberFormat="1" applyFill="1"/>
    <xf numFmtId="4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illares 3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FA\Datos%20de%20programa\Microsoft\Excel\INVENTARIO%20FADELME%20FACTURADO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nd.2013"/>
      <sheetName val="BLUE2013"/>
      <sheetName val="RAL.2013"/>
      <sheetName val="prorrateo"/>
      <sheetName val="RAL # 28 SEP"/>
      <sheetName val="PRORRATEO2013"/>
      <sheetName val="GANCJ-502013"/>
      <sheetName val="GANC j 60 2013"/>
      <sheetName val="GANC J70 2013"/>
      <sheetName val="Cla Cal 2013"/>
      <sheetName val="Hoja1"/>
    </sheetNames>
    <sheetDataSet>
      <sheetData sheetId="0" refreshError="1">
        <row r="368">
          <cell r="E368">
            <v>7128.0199999999868</v>
          </cell>
          <cell r="G368">
            <v>21.385188094199023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8">
          <cell r="E38">
            <v>90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A1:O405"/>
  <sheetViews>
    <sheetView topLeftCell="A365" workbookViewId="0">
      <selection activeCell="B389" sqref="B389"/>
    </sheetView>
  </sheetViews>
  <sheetFormatPr baseColWidth="10" defaultRowHeight="15"/>
  <cols>
    <col min="2" max="2" width="22.85546875" customWidth="1"/>
    <col min="11" max="11" width="13" customWidth="1"/>
    <col min="15" max="15" width="16.7109375" bestFit="1" customWidth="1"/>
  </cols>
  <sheetData>
    <row r="1" spans="1:12">
      <c r="A1" s="82" t="s">
        <v>0</v>
      </c>
      <c r="B1" s="83"/>
      <c r="C1" s="84"/>
      <c r="D1" s="84"/>
      <c r="E1" s="84"/>
      <c r="F1" s="84"/>
      <c r="G1" s="84"/>
      <c r="H1" s="85" t="s">
        <v>1</v>
      </c>
      <c r="I1" s="84"/>
      <c r="J1" s="84"/>
      <c r="K1" s="86"/>
    </row>
    <row r="2" spans="1:12">
      <c r="A2" s="87" t="s">
        <v>2</v>
      </c>
      <c r="B2" s="1"/>
      <c r="C2" s="2"/>
      <c r="D2" s="2"/>
      <c r="E2" s="2"/>
      <c r="F2" s="2"/>
      <c r="G2" s="2"/>
      <c r="H2" s="21" t="s">
        <v>867</v>
      </c>
      <c r="I2" s="2"/>
      <c r="J2" s="2"/>
      <c r="K2" s="88"/>
    </row>
    <row r="3" spans="1:12">
      <c r="A3" s="89" t="s">
        <v>4</v>
      </c>
      <c r="B3" s="3"/>
      <c r="C3" s="2"/>
      <c r="D3" s="2"/>
      <c r="E3" s="2"/>
      <c r="F3" s="2"/>
      <c r="G3" s="2"/>
      <c r="H3" s="21" t="s">
        <v>5</v>
      </c>
      <c r="I3" s="2"/>
      <c r="J3" s="2"/>
      <c r="K3" s="88"/>
    </row>
    <row r="4" spans="1:12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2"/>
      <c r="K4" s="88"/>
    </row>
    <row r="5" spans="1:12">
      <c r="A5" s="90"/>
      <c r="B5" s="4"/>
      <c r="C5" s="2"/>
      <c r="D5" s="21" t="s">
        <v>23</v>
      </c>
      <c r="E5" s="4"/>
      <c r="F5" s="4"/>
      <c r="G5" s="2"/>
      <c r="H5" s="2"/>
      <c r="I5" s="2"/>
      <c r="J5" s="2"/>
      <c r="K5" s="88"/>
    </row>
    <row r="6" spans="1:12">
      <c r="A6" s="91"/>
      <c r="B6" s="4"/>
      <c r="C6" s="2"/>
      <c r="D6" s="2" t="s">
        <v>7</v>
      </c>
      <c r="E6" s="4"/>
      <c r="F6" s="4"/>
      <c r="G6" s="2"/>
      <c r="H6" s="2"/>
      <c r="I6" s="2"/>
      <c r="J6" s="2"/>
      <c r="K6" s="88"/>
    </row>
    <row r="7" spans="1:12">
      <c r="A7" s="35" t="s">
        <v>8</v>
      </c>
      <c r="B7" s="7" t="s">
        <v>9</v>
      </c>
      <c r="C7" s="151" t="s">
        <v>10</v>
      </c>
      <c r="D7" s="151"/>
      <c r="E7" s="152"/>
      <c r="F7" s="153" t="s">
        <v>11</v>
      </c>
      <c r="G7" s="153"/>
      <c r="H7" s="154" t="s">
        <v>12</v>
      </c>
      <c r="I7" s="155"/>
      <c r="J7" s="155"/>
      <c r="K7" s="5" t="s">
        <v>13</v>
      </c>
    </row>
    <row r="8" spans="1:12">
      <c r="A8" s="37"/>
      <c r="B8" s="8"/>
      <c r="C8" s="8" t="s">
        <v>14</v>
      </c>
      <c r="D8" s="6" t="s">
        <v>15</v>
      </c>
      <c r="E8" s="9" t="s">
        <v>16</v>
      </c>
      <c r="F8" s="10" t="s">
        <v>17</v>
      </c>
      <c r="G8" s="10" t="s">
        <v>18</v>
      </c>
      <c r="H8" s="6" t="s">
        <v>19</v>
      </c>
      <c r="I8" s="11" t="s">
        <v>20</v>
      </c>
      <c r="J8" s="12" t="s">
        <v>21</v>
      </c>
      <c r="K8" s="13"/>
    </row>
    <row r="9" spans="1:12" ht="14.25" customHeight="1">
      <c r="A9" s="79">
        <v>41641</v>
      </c>
      <c r="B9" s="97" t="s">
        <v>22</v>
      </c>
      <c r="C9" s="130">
        <f>+E9</f>
        <v>4043.17</v>
      </c>
      <c r="D9" s="97"/>
      <c r="E9" s="131">
        <v>4043.17</v>
      </c>
      <c r="F9" s="59">
        <f>+[1]ond.2013!$G$368</f>
        <v>21.385188094199023</v>
      </c>
      <c r="G9" s="67"/>
      <c r="H9" s="132">
        <v>80453.73</v>
      </c>
      <c r="I9" s="64"/>
      <c r="J9" s="61">
        <f>+H9</f>
        <v>80453.73</v>
      </c>
      <c r="K9" s="15"/>
      <c r="L9" s="55"/>
    </row>
    <row r="10" spans="1:12">
      <c r="A10" s="79">
        <v>41641</v>
      </c>
      <c r="B10" s="18" t="s">
        <v>29</v>
      </c>
      <c r="C10" s="63"/>
      <c r="D10" s="63">
        <f>12*0.5</f>
        <v>6</v>
      </c>
      <c r="E10" s="44">
        <f>+E9-D10</f>
        <v>4037.17</v>
      </c>
      <c r="F10" s="19"/>
      <c r="G10" s="59">
        <f t="shared" ref="G10:G50" si="0">+J9/E9</f>
        <v>19.898676038850702</v>
      </c>
      <c r="H10" s="18"/>
      <c r="I10" s="60">
        <f t="shared" ref="I10:I50" si="1">D10*G10</f>
        <v>119.39205623310421</v>
      </c>
      <c r="J10" s="61">
        <f>+J9-I10</f>
        <v>80334.337943766892</v>
      </c>
      <c r="K10" s="23"/>
    </row>
    <row r="11" spans="1:12">
      <c r="A11" s="79">
        <v>41642</v>
      </c>
      <c r="B11" s="18" t="s">
        <v>30</v>
      </c>
      <c r="C11" s="63"/>
      <c r="D11" s="63">
        <f>50*6.2+50*4.7</f>
        <v>545</v>
      </c>
      <c r="E11" s="44">
        <f t="shared" ref="E11:E51" si="2">E10-D11</f>
        <v>3492.17</v>
      </c>
      <c r="F11" s="19"/>
      <c r="G11" s="59">
        <f t="shared" si="0"/>
        <v>19.898676038850702</v>
      </c>
      <c r="H11" s="18"/>
      <c r="I11" s="60">
        <f t="shared" si="1"/>
        <v>10844.778441173632</v>
      </c>
      <c r="J11" s="61">
        <f t="shared" ref="J11:J54" si="3">J10-I11</f>
        <v>69489.559502593256</v>
      </c>
      <c r="K11" s="23"/>
    </row>
    <row r="12" spans="1:12">
      <c r="A12" s="79">
        <v>41642</v>
      </c>
      <c r="B12" s="18" t="s">
        <v>31</v>
      </c>
      <c r="C12" s="63"/>
      <c r="D12" s="63">
        <f>6</f>
        <v>6</v>
      </c>
      <c r="E12" s="44">
        <f t="shared" si="2"/>
        <v>3486.17</v>
      </c>
      <c r="F12" s="19"/>
      <c r="G12" s="59">
        <f t="shared" si="0"/>
        <v>19.898676038850702</v>
      </c>
      <c r="H12" s="18"/>
      <c r="I12" s="60">
        <f t="shared" si="1"/>
        <v>119.39205623310421</v>
      </c>
      <c r="J12" s="61">
        <f t="shared" si="3"/>
        <v>69370.167446360152</v>
      </c>
      <c r="K12" s="23"/>
    </row>
    <row r="13" spans="1:12">
      <c r="A13" s="79">
        <v>41642</v>
      </c>
      <c r="B13" s="18" t="s">
        <v>32</v>
      </c>
      <c r="C13" s="63"/>
      <c r="D13" s="18">
        <f>1.75</f>
        <v>1.75</v>
      </c>
      <c r="E13" s="44">
        <f t="shared" si="2"/>
        <v>3484.42</v>
      </c>
      <c r="F13" s="59"/>
      <c r="G13" s="59">
        <f t="shared" si="0"/>
        <v>19.898676038850702</v>
      </c>
      <c r="H13" s="64"/>
      <c r="I13" s="60">
        <f t="shared" si="1"/>
        <v>34.822683067988727</v>
      </c>
      <c r="J13" s="61">
        <f t="shared" si="3"/>
        <v>69335.34476329216</v>
      </c>
      <c r="K13" s="15"/>
    </row>
    <row r="14" spans="1:12" s="20" customFormat="1">
      <c r="A14" s="79">
        <v>41642</v>
      </c>
      <c r="B14" s="18" t="s">
        <v>33</v>
      </c>
      <c r="C14" s="63"/>
      <c r="D14" s="18">
        <f>5*3.5</f>
        <v>17.5</v>
      </c>
      <c r="E14" s="44">
        <f t="shared" si="2"/>
        <v>3466.92</v>
      </c>
      <c r="F14" s="59"/>
      <c r="G14" s="59">
        <f t="shared" si="0"/>
        <v>19.898676038850702</v>
      </c>
      <c r="H14" s="64"/>
      <c r="I14" s="60">
        <f t="shared" si="1"/>
        <v>348.22683067988731</v>
      </c>
      <c r="J14" s="61">
        <f t="shared" si="3"/>
        <v>68987.117932612266</v>
      </c>
      <c r="K14" s="15"/>
    </row>
    <row r="15" spans="1:12" s="20" customFormat="1">
      <c r="A15" s="79">
        <v>41642</v>
      </c>
      <c r="B15" s="18" t="s">
        <v>34</v>
      </c>
      <c r="C15" s="63"/>
      <c r="D15" s="18">
        <f>1</f>
        <v>1</v>
      </c>
      <c r="E15" s="44">
        <f t="shared" si="2"/>
        <v>3465.92</v>
      </c>
      <c r="F15" s="59"/>
      <c r="G15" s="59">
        <f t="shared" si="0"/>
        <v>19.898676038850699</v>
      </c>
      <c r="H15" s="64"/>
      <c r="I15" s="60">
        <f t="shared" si="1"/>
        <v>19.898676038850699</v>
      </c>
      <c r="J15" s="61">
        <f t="shared" si="3"/>
        <v>68967.219256573415</v>
      </c>
      <c r="K15" s="15"/>
    </row>
    <row r="16" spans="1:12" s="20" customFormat="1">
      <c r="A16" s="79">
        <v>41642</v>
      </c>
      <c r="B16" s="18" t="s">
        <v>35</v>
      </c>
      <c r="C16" s="63"/>
      <c r="D16" s="18">
        <f>12*5+12*4.16</f>
        <v>109.92</v>
      </c>
      <c r="E16" s="44">
        <f t="shared" si="2"/>
        <v>3356</v>
      </c>
      <c r="F16" s="59"/>
      <c r="G16" s="59">
        <f t="shared" si="0"/>
        <v>19.898676038850699</v>
      </c>
      <c r="H16" s="64"/>
      <c r="I16" s="60">
        <f t="shared" si="1"/>
        <v>2187.2624701904688</v>
      </c>
      <c r="J16" s="61">
        <f t="shared" si="3"/>
        <v>66779.956786382943</v>
      </c>
      <c r="K16" s="15"/>
    </row>
    <row r="17" spans="1:13" s="20" customFormat="1">
      <c r="A17" s="79">
        <v>41642</v>
      </c>
      <c r="B17" s="18" t="s">
        <v>36</v>
      </c>
      <c r="C17" s="63"/>
      <c r="D17" s="18">
        <f>19*3.9+19*4.7+20*3.5</f>
        <v>233.39999999999998</v>
      </c>
      <c r="E17" s="44">
        <f t="shared" si="2"/>
        <v>3122.6</v>
      </c>
      <c r="F17" s="59"/>
      <c r="G17" s="59">
        <f t="shared" si="0"/>
        <v>19.898676038850699</v>
      </c>
      <c r="H17" s="64"/>
      <c r="I17" s="60">
        <f t="shared" si="1"/>
        <v>4644.3509874677529</v>
      </c>
      <c r="J17" s="61">
        <f t="shared" si="3"/>
        <v>62135.605798915189</v>
      </c>
      <c r="K17" s="15"/>
      <c r="L17" s="20" t="s">
        <v>880</v>
      </c>
      <c r="M17" s="123">
        <f>SUM(I10:I17)</f>
        <v>18318.124201084785</v>
      </c>
    </row>
    <row r="18" spans="1:13" s="20" customFormat="1">
      <c r="A18" s="79">
        <v>41643</v>
      </c>
      <c r="B18" s="18" t="s">
        <v>37</v>
      </c>
      <c r="C18" s="63"/>
      <c r="D18" s="18">
        <f>3*4.5</f>
        <v>13.5</v>
      </c>
      <c r="E18" s="44">
        <f t="shared" si="2"/>
        <v>3109.1</v>
      </c>
      <c r="F18" s="59"/>
      <c r="G18" s="59">
        <f t="shared" si="0"/>
        <v>19.898676038850699</v>
      </c>
      <c r="H18" s="64"/>
      <c r="I18" s="60">
        <f t="shared" si="1"/>
        <v>268.63212652448442</v>
      </c>
      <c r="J18" s="61">
        <f t="shared" si="3"/>
        <v>61866.973672390704</v>
      </c>
      <c r="K18" s="15"/>
    </row>
    <row r="19" spans="1:13" s="20" customFormat="1">
      <c r="A19" s="79">
        <v>41643</v>
      </c>
      <c r="B19" s="18" t="s">
        <v>38</v>
      </c>
      <c r="C19" s="63"/>
      <c r="D19" s="18">
        <f>10</f>
        <v>10</v>
      </c>
      <c r="E19" s="44">
        <f t="shared" si="2"/>
        <v>3099.1</v>
      </c>
      <c r="F19" s="59"/>
      <c r="G19" s="59">
        <f t="shared" si="0"/>
        <v>19.898676038850699</v>
      </c>
      <c r="H19" s="64"/>
      <c r="I19" s="60">
        <f t="shared" si="1"/>
        <v>198.98676038850698</v>
      </c>
      <c r="J19" s="61">
        <f t="shared" si="3"/>
        <v>61667.986912002198</v>
      </c>
      <c r="K19" s="15"/>
    </row>
    <row r="20" spans="1:13" s="20" customFormat="1">
      <c r="A20" s="79">
        <v>41645</v>
      </c>
      <c r="B20" s="18" t="s">
        <v>41</v>
      </c>
      <c r="C20" s="63"/>
      <c r="D20" s="18">
        <f>60*2.8</f>
        <v>168</v>
      </c>
      <c r="E20" s="44">
        <f t="shared" si="2"/>
        <v>2931.1</v>
      </c>
      <c r="F20" s="59"/>
      <c r="G20" s="59">
        <f t="shared" si="0"/>
        <v>19.898676038850699</v>
      </c>
      <c r="H20" s="64"/>
      <c r="I20" s="60">
        <f t="shared" si="1"/>
        <v>3342.9775745269176</v>
      </c>
      <c r="J20" s="61">
        <f t="shared" si="3"/>
        <v>58325.009337475283</v>
      </c>
      <c r="K20" s="15"/>
    </row>
    <row r="21" spans="1:13" s="20" customFormat="1">
      <c r="A21" s="79">
        <v>41645</v>
      </c>
      <c r="B21" s="18" t="s">
        <v>42</v>
      </c>
      <c r="C21" s="63"/>
      <c r="D21" s="18">
        <f>16*3.5</f>
        <v>56</v>
      </c>
      <c r="E21" s="44">
        <f t="shared" si="2"/>
        <v>2875.1</v>
      </c>
      <c r="F21" s="59"/>
      <c r="G21" s="59">
        <f t="shared" si="0"/>
        <v>19.898676038850699</v>
      </c>
      <c r="H21" s="64"/>
      <c r="I21" s="60">
        <f t="shared" si="1"/>
        <v>1114.325858175639</v>
      </c>
      <c r="J21" s="61">
        <f t="shared" si="3"/>
        <v>57210.683479299645</v>
      </c>
      <c r="K21" s="15"/>
    </row>
    <row r="22" spans="1:13" s="20" customFormat="1">
      <c r="A22" s="79">
        <v>41645</v>
      </c>
      <c r="B22" s="18" t="s">
        <v>43</v>
      </c>
      <c r="C22" s="63"/>
      <c r="D22" s="18">
        <f>12</f>
        <v>12</v>
      </c>
      <c r="E22" s="44">
        <f t="shared" si="2"/>
        <v>2863.1</v>
      </c>
      <c r="F22" s="59"/>
      <c r="G22" s="59">
        <f t="shared" si="0"/>
        <v>19.898676038850699</v>
      </c>
      <c r="H22" s="64"/>
      <c r="I22" s="60">
        <f t="shared" si="1"/>
        <v>238.7841124662084</v>
      </c>
      <c r="J22" s="61">
        <f t="shared" si="3"/>
        <v>56971.899366833437</v>
      </c>
      <c r="K22" s="15"/>
    </row>
    <row r="23" spans="1:13" s="20" customFormat="1">
      <c r="A23" s="79">
        <v>41646</v>
      </c>
      <c r="B23" s="18" t="s">
        <v>45</v>
      </c>
      <c r="C23" s="63"/>
      <c r="D23" s="18">
        <f>5*1.3+4*2.8</f>
        <v>17.7</v>
      </c>
      <c r="E23" s="44">
        <f t="shared" si="2"/>
        <v>2845.4</v>
      </c>
      <c r="F23" s="59"/>
      <c r="G23" s="59">
        <f t="shared" si="0"/>
        <v>19.898676038850699</v>
      </c>
      <c r="H23" s="64"/>
      <c r="I23" s="60">
        <f t="shared" si="1"/>
        <v>352.20656588765735</v>
      </c>
      <c r="J23" s="61">
        <f t="shared" si="3"/>
        <v>56619.692800945777</v>
      </c>
      <c r="K23" s="15"/>
    </row>
    <row r="24" spans="1:13" s="20" customFormat="1">
      <c r="A24" s="79">
        <v>41647</v>
      </c>
      <c r="B24" s="18" t="s">
        <v>47</v>
      </c>
      <c r="C24" s="63"/>
      <c r="D24" s="18">
        <f>17*4.9</f>
        <v>83.300000000000011</v>
      </c>
      <c r="E24" s="44">
        <f t="shared" si="2"/>
        <v>2762.1</v>
      </c>
      <c r="F24" s="59"/>
      <c r="G24" s="59">
        <f t="shared" si="0"/>
        <v>19.898676038850699</v>
      </c>
      <c r="H24" s="64"/>
      <c r="I24" s="60">
        <f t="shared" si="1"/>
        <v>1657.5597140362634</v>
      </c>
      <c r="J24" s="61">
        <f t="shared" si="3"/>
        <v>54962.133086909511</v>
      </c>
      <c r="K24" s="15"/>
    </row>
    <row r="25" spans="1:13" s="20" customFormat="1">
      <c r="A25" s="79">
        <v>41648</v>
      </c>
      <c r="B25" s="18" t="s">
        <v>48</v>
      </c>
      <c r="C25" s="63"/>
      <c r="D25" s="18">
        <f>18*4.75+4.06+4.05+3.96+3.91+3.86+3.81+3.75+3.7+3.65+3.6+3.5</f>
        <v>127.35</v>
      </c>
      <c r="E25" s="44">
        <f t="shared" si="2"/>
        <v>2634.75</v>
      </c>
      <c r="F25" s="59"/>
      <c r="G25" s="59">
        <f t="shared" si="0"/>
        <v>19.898676038850699</v>
      </c>
      <c r="H25" s="64"/>
      <c r="I25" s="60">
        <f t="shared" si="1"/>
        <v>2534.0963935476366</v>
      </c>
      <c r="J25" s="61">
        <f t="shared" si="3"/>
        <v>52428.036693361872</v>
      </c>
      <c r="K25" s="15"/>
    </row>
    <row r="26" spans="1:13" s="20" customFormat="1">
      <c r="A26" s="79">
        <v>41648</v>
      </c>
      <c r="B26" s="18" t="s">
        <v>49</v>
      </c>
      <c r="C26" s="63"/>
      <c r="D26" s="18">
        <f>2*7+4</f>
        <v>18</v>
      </c>
      <c r="E26" s="44">
        <f t="shared" si="2"/>
        <v>2616.75</v>
      </c>
      <c r="F26" s="59"/>
      <c r="G26" s="59">
        <f t="shared" si="0"/>
        <v>19.898676038850695</v>
      </c>
      <c r="H26" s="64"/>
      <c r="I26" s="60">
        <f t="shared" si="1"/>
        <v>358.17616869931248</v>
      </c>
      <c r="J26" s="61">
        <f t="shared" si="3"/>
        <v>52069.860524662559</v>
      </c>
      <c r="K26" s="15"/>
    </row>
    <row r="27" spans="1:13" s="20" customFormat="1">
      <c r="A27" s="79">
        <v>41648</v>
      </c>
      <c r="B27" s="18" t="s">
        <v>50</v>
      </c>
      <c r="C27" s="63"/>
      <c r="D27" s="18">
        <f>38*4.9+48*5.4+10</f>
        <v>455.40000000000009</v>
      </c>
      <c r="E27" s="44">
        <f t="shared" si="2"/>
        <v>2161.35</v>
      </c>
      <c r="F27" s="59"/>
      <c r="G27" s="59">
        <f t="shared" si="0"/>
        <v>19.898676038850695</v>
      </c>
      <c r="H27" s="64"/>
      <c r="I27" s="60">
        <f t="shared" si="1"/>
        <v>9061.8570680926077</v>
      </c>
      <c r="J27" s="61">
        <f t="shared" si="3"/>
        <v>43008.003456569953</v>
      </c>
      <c r="K27" s="15"/>
    </row>
    <row r="28" spans="1:13" s="20" customFormat="1">
      <c r="A28" s="79">
        <v>41648</v>
      </c>
      <c r="B28" s="18" t="s">
        <v>51</v>
      </c>
      <c r="C28" s="63"/>
      <c r="D28" s="18">
        <f>36*3.5</f>
        <v>126</v>
      </c>
      <c r="E28" s="44">
        <f t="shared" si="2"/>
        <v>2035.35</v>
      </c>
      <c r="F28" s="59"/>
      <c r="G28" s="59">
        <f t="shared" si="0"/>
        <v>19.898676038850699</v>
      </c>
      <c r="H28" s="64"/>
      <c r="I28" s="60">
        <f t="shared" si="1"/>
        <v>2507.2331808951881</v>
      </c>
      <c r="J28" s="61">
        <f t="shared" si="3"/>
        <v>40500.770275674768</v>
      </c>
      <c r="K28" s="15"/>
    </row>
    <row r="29" spans="1:13" s="20" customFormat="1">
      <c r="A29" s="79">
        <v>41648</v>
      </c>
      <c r="B29" s="18" t="s">
        <v>52</v>
      </c>
      <c r="C29" s="63"/>
      <c r="D29" s="18">
        <f>2*2.15</f>
        <v>4.3</v>
      </c>
      <c r="E29" s="44">
        <f t="shared" si="2"/>
        <v>2031.05</v>
      </c>
      <c r="F29" s="59"/>
      <c r="G29" s="59">
        <f t="shared" si="0"/>
        <v>19.898676038850699</v>
      </c>
      <c r="H29" s="64"/>
      <c r="I29" s="60">
        <f t="shared" si="1"/>
        <v>85.564306967058002</v>
      </c>
      <c r="J29" s="61">
        <f t="shared" si="3"/>
        <v>40415.205968707713</v>
      </c>
      <c r="K29" s="15"/>
    </row>
    <row r="30" spans="1:13" s="20" customFormat="1">
      <c r="A30" s="79">
        <v>41649</v>
      </c>
      <c r="B30" s="18" t="s">
        <v>53</v>
      </c>
      <c r="C30" s="63"/>
      <c r="D30" s="18">
        <f>2*4.4+6.6+4</f>
        <v>19.399999999999999</v>
      </c>
      <c r="E30" s="44">
        <f t="shared" si="2"/>
        <v>2011.6499999999999</v>
      </c>
      <c r="F30" s="59"/>
      <c r="G30" s="59">
        <f t="shared" si="0"/>
        <v>19.898676038850699</v>
      </c>
      <c r="H30" s="64"/>
      <c r="I30" s="60">
        <f t="shared" si="1"/>
        <v>386.03431515370352</v>
      </c>
      <c r="J30" s="61">
        <f t="shared" si="3"/>
        <v>40029.171653554011</v>
      </c>
      <c r="K30" s="15"/>
    </row>
    <row r="31" spans="1:13" s="20" customFormat="1">
      <c r="A31" s="79">
        <v>41649</v>
      </c>
      <c r="B31" s="18" t="s">
        <v>54</v>
      </c>
      <c r="C31" s="63"/>
      <c r="D31" s="18">
        <f>58*6.2+58*4.7</f>
        <v>632.20000000000005</v>
      </c>
      <c r="E31" s="44">
        <f t="shared" si="2"/>
        <v>1379.4499999999998</v>
      </c>
      <c r="F31" s="59"/>
      <c r="G31" s="59">
        <f t="shared" si="0"/>
        <v>19.898676038850702</v>
      </c>
      <c r="H31" s="64"/>
      <c r="I31" s="60">
        <f t="shared" si="1"/>
        <v>12579.942991761414</v>
      </c>
      <c r="J31" s="61">
        <f t="shared" si="3"/>
        <v>27449.228661792597</v>
      </c>
      <c r="K31" s="15"/>
    </row>
    <row r="32" spans="1:13" s="20" customFormat="1">
      <c r="A32" s="79">
        <v>41650</v>
      </c>
      <c r="B32" s="18" t="s">
        <v>60</v>
      </c>
      <c r="C32" s="63"/>
      <c r="D32" s="18">
        <f>10.8+10.78+10.75+10.7+10.65+10.61+10.56+10.52+10.47+10.43+10.38+10.33+10.29+10.24+10.19+10.15+10.11+10.06+10.02+9.97+9.92</f>
        <v>217.92999999999998</v>
      </c>
      <c r="E32" s="44">
        <f t="shared" si="2"/>
        <v>1161.5199999999998</v>
      </c>
      <c r="F32" s="59"/>
      <c r="G32" s="59">
        <f t="shared" si="0"/>
        <v>19.898676038850702</v>
      </c>
      <c r="H32" s="64"/>
      <c r="I32" s="60">
        <f t="shared" si="1"/>
        <v>4336.518469146733</v>
      </c>
      <c r="J32" s="61">
        <f t="shared" si="3"/>
        <v>23112.710192645864</v>
      </c>
      <c r="K32" s="15"/>
    </row>
    <row r="33" spans="1:13" s="20" customFormat="1">
      <c r="A33" s="79">
        <v>41650</v>
      </c>
      <c r="B33" s="18" t="s">
        <v>61</v>
      </c>
      <c r="C33" s="63"/>
      <c r="D33" s="18">
        <v>0</v>
      </c>
      <c r="E33" s="44">
        <f t="shared" si="2"/>
        <v>1161.5199999999998</v>
      </c>
      <c r="F33" s="59"/>
      <c r="G33" s="59">
        <f t="shared" si="0"/>
        <v>19.898676038850702</v>
      </c>
      <c r="H33" s="64"/>
      <c r="I33" s="60">
        <f t="shared" si="1"/>
        <v>0</v>
      </c>
      <c r="J33" s="61">
        <f t="shared" si="3"/>
        <v>23112.710192645864</v>
      </c>
      <c r="K33" s="15"/>
    </row>
    <row r="34" spans="1:13" s="20" customFormat="1">
      <c r="A34" s="79">
        <v>41650</v>
      </c>
      <c r="B34" s="18" t="s">
        <v>62</v>
      </c>
      <c r="C34" s="63"/>
      <c r="D34" s="18">
        <f>10*5</f>
        <v>50</v>
      </c>
      <c r="E34" s="44">
        <f t="shared" si="2"/>
        <v>1111.5199999999998</v>
      </c>
      <c r="F34" s="59"/>
      <c r="G34" s="59">
        <f t="shared" si="0"/>
        <v>19.898676038850702</v>
      </c>
      <c r="H34" s="64"/>
      <c r="I34" s="60">
        <f t="shared" si="1"/>
        <v>994.93380194253507</v>
      </c>
      <c r="J34" s="61">
        <f t="shared" si="3"/>
        <v>22117.77639070333</v>
      </c>
      <c r="K34" s="15"/>
    </row>
    <row r="35" spans="1:13" s="20" customFormat="1">
      <c r="A35" s="79">
        <v>41650</v>
      </c>
      <c r="B35" s="18" t="s">
        <v>63</v>
      </c>
      <c r="C35" s="63"/>
      <c r="D35" s="18">
        <f>22*5</f>
        <v>110</v>
      </c>
      <c r="E35" s="44">
        <f t="shared" si="2"/>
        <v>1001.5199999999998</v>
      </c>
      <c r="F35" s="59"/>
      <c r="G35" s="59">
        <f t="shared" si="0"/>
        <v>19.898676038850702</v>
      </c>
      <c r="H35" s="64"/>
      <c r="I35" s="60">
        <f t="shared" si="1"/>
        <v>2188.8543642735772</v>
      </c>
      <c r="J35" s="61">
        <f t="shared" si="3"/>
        <v>19928.922026429751</v>
      </c>
      <c r="K35" s="15"/>
    </row>
    <row r="36" spans="1:13" s="20" customFormat="1">
      <c r="A36" s="79">
        <v>41650</v>
      </c>
      <c r="B36" s="18" t="s">
        <v>64</v>
      </c>
      <c r="C36" s="63"/>
      <c r="D36" s="18">
        <f>9.88+9.83+9.79+9.74+9.7+9.65+4*2.8</f>
        <v>69.789999999999992</v>
      </c>
      <c r="E36" s="44">
        <f t="shared" si="2"/>
        <v>931.72999999999979</v>
      </c>
      <c r="F36" s="59"/>
      <c r="G36" s="59">
        <f t="shared" si="0"/>
        <v>19.898676038850702</v>
      </c>
      <c r="H36" s="64"/>
      <c r="I36" s="60">
        <f t="shared" si="1"/>
        <v>1388.7286007513903</v>
      </c>
      <c r="J36" s="61">
        <f t="shared" si="3"/>
        <v>18540.193425678361</v>
      </c>
      <c r="K36" s="15"/>
    </row>
    <row r="37" spans="1:13" s="20" customFormat="1">
      <c r="A37" s="79">
        <v>41650</v>
      </c>
      <c r="B37" s="18" t="s">
        <v>65</v>
      </c>
      <c r="C37" s="63"/>
      <c r="D37" s="18">
        <f>16*5.4</f>
        <v>86.4</v>
      </c>
      <c r="E37" s="44">
        <f t="shared" si="2"/>
        <v>845.32999999999981</v>
      </c>
      <c r="F37" s="59"/>
      <c r="G37" s="59">
        <f t="shared" si="0"/>
        <v>19.898676038850702</v>
      </c>
      <c r="H37" s="64"/>
      <c r="I37" s="60">
        <f t="shared" si="1"/>
        <v>1719.2456097567008</v>
      </c>
      <c r="J37" s="61">
        <f t="shared" si="3"/>
        <v>16820.94781592166</v>
      </c>
      <c r="K37" s="15"/>
    </row>
    <row r="38" spans="1:13" s="20" customFormat="1">
      <c r="A38" s="79">
        <v>41652</v>
      </c>
      <c r="B38" s="18" t="s">
        <v>66</v>
      </c>
      <c r="C38" s="63"/>
      <c r="D38" s="18">
        <f>7*5</f>
        <v>35</v>
      </c>
      <c r="E38" s="44">
        <f t="shared" si="2"/>
        <v>810.32999999999981</v>
      </c>
      <c r="F38" s="59"/>
      <c r="G38" s="59">
        <f t="shared" si="0"/>
        <v>19.898676038850702</v>
      </c>
      <c r="H38" s="64"/>
      <c r="I38" s="60">
        <f t="shared" si="1"/>
        <v>696.45366135977463</v>
      </c>
      <c r="J38" s="61">
        <f t="shared" si="3"/>
        <v>16124.494154561886</v>
      </c>
      <c r="K38" s="15"/>
    </row>
    <row r="39" spans="1:13" s="20" customFormat="1">
      <c r="A39" s="79">
        <v>41652</v>
      </c>
      <c r="B39" s="18" t="s">
        <v>67</v>
      </c>
      <c r="C39" s="63"/>
      <c r="D39" s="18">
        <f>10*1.5+2</f>
        <v>17</v>
      </c>
      <c r="E39" s="44">
        <f t="shared" si="2"/>
        <v>793.32999999999981</v>
      </c>
      <c r="F39" s="59"/>
      <c r="G39" s="59">
        <f t="shared" si="0"/>
        <v>19.898676038850702</v>
      </c>
      <c r="H39" s="64"/>
      <c r="I39" s="60">
        <f t="shared" si="1"/>
        <v>338.27749266046192</v>
      </c>
      <c r="J39" s="61">
        <f t="shared" si="3"/>
        <v>15786.216661901424</v>
      </c>
      <c r="K39" s="15"/>
    </row>
    <row r="40" spans="1:13" s="20" customFormat="1">
      <c r="A40" s="79">
        <v>41654</v>
      </c>
      <c r="B40" s="18" t="s">
        <v>71</v>
      </c>
      <c r="C40" s="63"/>
      <c r="D40" s="18">
        <f>2*6.85+5.25+7.6+2*4.4+2.8+5.26+4.74+4*4.6</f>
        <v>66.549999999999983</v>
      </c>
      <c r="E40" s="44">
        <f t="shared" si="2"/>
        <v>726.77999999999986</v>
      </c>
      <c r="F40" s="59"/>
      <c r="G40" s="59">
        <f t="shared" si="0"/>
        <v>19.898676038850702</v>
      </c>
      <c r="H40" s="64"/>
      <c r="I40" s="60">
        <f t="shared" si="1"/>
        <v>1324.256890385514</v>
      </c>
      <c r="J40" s="61">
        <f t="shared" si="3"/>
        <v>14461.959771515911</v>
      </c>
      <c r="K40" s="15"/>
    </row>
    <row r="41" spans="1:13" s="20" customFormat="1">
      <c r="A41" s="79">
        <v>41654</v>
      </c>
      <c r="B41" s="18" t="s">
        <v>72</v>
      </c>
      <c r="C41" s="63"/>
      <c r="D41" s="18">
        <f>2+2.15</f>
        <v>4.1500000000000004</v>
      </c>
      <c r="E41" s="44">
        <f t="shared" si="2"/>
        <v>722.62999999999988</v>
      </c>
      <c r="F41" s="59"/>
      <c r="G41" s="59">
        <f t="shared" si="0"/>
        <v>19.898676038850702</v>
      </c>
      <c r="H41" s="64"/>
      <c r="I41" s="60">
        <f t="shared" si="1"/>
        <v>82.57950556123042</v>
      </c>
      <c r="J41" s="61">
        <f t="shared" si="3"/>
        <v>14379.38026595468</v>
      </c>
      <c r="K41" s="15"/>
    </row>
    <row r="42" spans="1:13" s="20" customFormat="1">
      <c r="A42" s="79">
        <v>41654</v>
      </c>
      <c r="B42" s="18" t="s">
        <v>73</v>
      </c>
      <c r="C42" s="63"/>
      <c r="D42" s="18">
        <f>4*3.5+6*2.8+5*4.5+5*3.8</f>
        <v>72.3</v>
      </c>
      <c r="E42" s="44">
        <f t="shared" si="2"/>
        <v>650.32999999999993</v>
      </c>
      <c r="F42" s="59"/>
      <c r="G42" s="59">
        <f t="shared" si="0"/>
        <v>19.898676038850702</v>
      </c>
      <c r="H42" s="64"/>
      <c r="I42" s="60">
        <f t="shared" si="1"/>
        <v>1438.6742776089056</v>
      </c>
      <c r="J42" s="61">
        <f t="shared" si="3"/>
        <v>12940.705988345775</v>
      </c>
      <c r="K42" s="15"/>
    </row>
    <row r="43" spans="1:13" s="20" customFormat="1">
      <c r="A43" s="79">
        <v>41654</v>
      </c>
      <c r="B43" s="18" t="s">
        <v>74</v>
      </c>
      <c r="C43" s="63"/>
      <c r="D43" s="18">
        <f>19*5.55+19*3.7</f>
        <v>175.75</v>
      </c>
      <c r="E43" s="44">
        <f t="shared" si="2"/>
        <v>474.57999999999993</v>
      </c>
      <c r="F43" s="59"/>
      <c r="G43" s="59">
        <f t="shared" si="0"/>
        <v>19.898676038850702</v>
      </c>
      <c r="H43" s="64"/>
      <c r="I43" s="60">
        <f t="shared" si="1"/>
        <v>3497.1923138280108</v>
      </c>
      <c r="J43" s="61">
        <f t="shared" si="3"/>
        <v>9443.5136745177642</v>
      </c>
      <c r="K43" s="15"/>
    </row>
    <row r="44" spans="1:13" s="20" customFormat="1">
      <c r="A44" s="79">
        <v>41655</v>
      </c>
      <c r="B44" s="18" t="s">
        <v>76</v>
      </c>
      <c r="C44" s="63"/>
      <c r="D44" s="18">
        <f>12*4.6</f>
        <v>55.199999999999996</v>
      </c>
      <c r="E44" s="44">
        <f t="shared" si="2"/>
        <v>419.37999999999994</v>
      </c>
      <c r="F44" s="59"/>
      <c r="G44" s="59">
        <f t="shared" si="0"/>
        <v>19.898676038850702</v>
      </c>
      <c r="H44" s="64"/>
      <c r="I44" s="60">
        <f t="shared" si="1"/>
        <v>1098.4069173445587</v>
      </c>
      <c r="J44" s="61">
        <f t="shared" si="3"/>
        <v>8345.1067571732056</v>
      </c>
      <c r="K44" s="15"/>
    </row>
    <row r="45" spans="1:13" s="20" customFormat="1">
      <c r="A45" s="79">
        <v>41656</v>
      </c>
      <c r="B45" s="18" t="s">
        <v>77</v>
      </c>
      <c r="C45" s="63"/>
      <c r="D45" s="18">
        <f>2*2.3</f>
        <v>4.5999999999999996</v>
      </c>
      <c r="E45" s="44">
        <f t="shared" si="2"/>
        <v>414.77999999999992</v>
      </c>
      <c r="F45" s="59"/>
      <c r="G45" s="59">
        <f t="shared" si="0"/>
        <v>19.898676038850702</v>
      </c>
      <c r="H45" s="64"/>
      <c r="I45" s="60">
        <f t="shared" si="1"/>
        <v>91.533909778713223</v>
      </c>
      <c r="J45" s="61">
        <f t="shared" si="3"/>
        <v>8253.5728473944928</v>
      </c>
      <c r="K45" s="15"/>
    </row>
    <row r="46" spans="1:13" s="20" customFormat="1">
      <c r="A46" s="79">
        <v>41657</v>
      </c>
      <c r="B46" s="18" t="s">
        <v>80</v>
      </c>
      <c r="C46" s="63"/>
      <c r="D46" s="18">
        <f>6*5</f>
        <v>30</v>
      </c>
      <c r="E46" s="44">
        <f t="shared" si="2"/>
        <v>384.77999999999992</v>
      </c>
      <c r="F46" s="59"/>
      <c r="G46" s="59">
        <f t="shared" si="0"/>
        <v>19.898676038850702</v>
      </c>
      <c r="H46" s="64"/>
      <c r="I46" s="60">
        <f t="shared" si="1"/>
        <v>596.96028116552111</v>
      </c>
      <c r="J46" s="61">
        <f t="shared" si="3"/>
        <v>7656.6125662289714</v>
      </c>
      <c r="K46" s="15"/>
    </row>
    <row r="47" spans="1:13" s="20" customFormat="1">
      <c r="A47" s="79">
        <v>41657</v>
      </c>
      <c r="B47" s="18" t="s">
        <v>81</v>
      </c>
      <c r="C47" s="63"/>
      <c r="D47" s="18">
        <f>19*6+12*4.4</f>
        <v>166.8</v>
      </c>
      <c r="E47" s="44">
        <f t="shared" si="2"/>
        <v>217.9799999999999</v>
      </c>
      <c r="F47" s="59"/>
      <c r="G47" s="59">
        <f t="shared" si="0"/>
        <v>19.898676038850702</v>
      </c>
      <c r="H47" s="64"/>
      <c r="I47" s="60">
        <f t="shared" si="1"/>
        <v>3319.0991632802975</v>
      </c>
      <c r="J47" s="61">
        <f t="shared" si="3"/>
        <v>4337.5134029486744</v>
      </c>
      <c r="K47" s="15"/>
    </row>
    <row r="48" spans="1:13" s="20" customFormat="1">
      <c r="A48" s="79">
        <v>41657</v>
      </c>
      <c r="B48" s="18" t="s">
        <v>82</v>
      </c>
      <c r="C48" s="63"/>
      <c r="D48" s="18">
        <f>17*6</f>
        <v>102</v>
      </c>
      <c r="E48" s="44">
        <f t="shared" si="2"/>
        <v>115.9799999999999</v>
      </c>
      <c r="F48" s="59"/>
      <c r="G48" s="59">
        <f t="shared" si="0"/>
        <v>19.898676038850702</v>
      </c>
      <c r="H48" s="64"/>
      <c r="I48" s="60">
        <f t="shared" si="1"/>
        <v>2029.6649559627717</v>
      </c>
      <c r="J48" s="61">
        <f t="shared" si="3"/>
        <v>2307.8484469859027</v>
      </c>
      <c r="K48" s="15"/>
      <c r="L48" s="145">
        <v>41659</v>
      </c>
      <c r="M48" s="123">
        <f>SUM(I18:I48)</f>
        <v>59827.757351929293</v>
      </c>
    </row>
    <row r="49" spans="1:14" s="20" customFormat="1">
      <c r="A49" s="79">
        <v>41660</v>
      </c>
      <c r="B49" s="18" t="s">
        <v>85</v>
      </c>
      <c r="C49" s="63"/>
      <c r="D49" s="18">
        <v>0</v>
      </c>
      <c r="E49" s="44">
        <f t="shared" si="2"/>
        <v>115.9799999999999</v>
      </c>
      <c r="F49" s="59"/>
      <c r="G49" s="59">
        <f t="shared" si="0"/>
        <v>19.898676038850702</v>
      </c>
      <c r="H49" s="64"/>
      <c r="I49" s="60">
        <f t="shared" si="1"/>
        <v>0</v>
      </c>
      <c r="J49" s="61">
        <f t="shared" si="3"/>
        <v>2307.8484469859027</v>
      </c>
      <c r="K49" s="15"/>
    </row>
    <row r="50" spans="1:14" s="20" customFormat="1">
      <c r="A50" s="79">
        <v>41660</v>
      </c>
      <c r="B50" s="18" t="s">
        <v>86</v>
      </c>
      <c r="C50" s="63"/>
      <c r="D50" s="18">
        <f>5*4.5+5*3.8+4*5.2</f>
        <v>62.3</v>
      </c>
      <c r="E50" s="44">
        <f t="shared" si="2"/>
        <v>53.679999999999907</v>
      </c>
      <c r="F50" s="59"/>
      <c r="G50" s="59">
        <f t="shared" si="0"/>
        <v>19.898676038850702</v>
      </c>
      <c r="H50" s="64"/>
      <c r="I50" s="60">
        <f t="shared" si="1"/>
        <v>1239.6875172203986</v>
      </c>
      <c r="J50" s="61">
        <f t="shared" si="3"/>
        <v>1068.1609297655041</v>
      </c>
      <c r="K50" s="15"/>
    </row>
    <row r="51" spans="1:14" s="20" customFormat="1">
      <c r="A51" s="79">
        <v>41660</v>
      </c>
      <c r="B51" s="18" t="s">
        <v>87</v>
      </c>
      <c r="C51" s="63"/>
      <c r="D51" s="18">
        <v>4.5999999999999996</v>
      </c>
      <c r="E51" s="44">
        <f t="shared" si="2"/>
        <v>49.079999999999906</v>
      </c>
      <c r="F51" s="59"/>
      <c r="G51" s="59">
        <f>J50/E50</f>
        <v>19.898676038850706</v>
      </c>
      <c r="H51" s="64"/>
      <c r="I51" s="60">
        <f t="shared" ref="I51:I117" si="4">D51*G51</f>
        <v>91.533909778713237</v>
      </c>
      <c r="J51" s="61">
        <f t="shared" si="3"/>
        <v>976.62701998679086</v>
      </c>
      <c r="K51" s="111">
        <f>SUM(I10:I51)</f>
        <v>79477.102980013151</v>
      </c>
      <c r="L51" s="145">
        <v>41670</v>
      </c>
      <c r="M51" s="123">
        <f>SUM(I49:I51)</f>
        <v>1331.2214269991118</v>
      </c>
      <c r="N51" s="55">
        <f>SUM(M7:M51)</f>
        <v>79477.10298001318</v>
      </c>
    </row>
    <row r="52" spans="1:14" s="20" customFormat="1">
      <c r="A52" s="79">
        <v>41689</v>
      </c>
      <c r="B52" s="18" t="s">
        <v>429</v>
      </c>
      <c r="C52" s="63"/>
      <c r="D52" s="18">
        <f>6*0.5</f>
        <v>3</v>
      </c>
      <c r="E52" s="44">
        <f>+E51-D52</f>
        <v>46.079999999999906</v>
      </c>
      <c r="F52" s="59"/>
      <c r="G52" s="59">
        <f>J51/E51</f>
        <v>19.898676038850709</v>
      </c>
      <c r="H52" s="64"/>
      <c r="I52" s="60">
        <f t="shared" si="4"/>
        <v>59.696028116552128</v>
      </c>
      <c r="J52" s="61">
        <f t="shared" si="3"/>
        <v>916.9309918702387</v>
      </c>
      <c r="K52" s="111">
        <f>SUM(I52)</f>
        <v>59.696028116552128</v>
      </c>
      <c r="L52" s="145">
        <v>41683</v>
      </c>
      <c r="M52" s="123">
        <f>+K52</f>
        <v>59.696028116552128</v>
      </c>
      <c r="N52" s="123">
        <f>+M52</f>
        <v>59.696028116552128</v>
      </c>
    </row>
    <row r="53" spans="1:14" s="20" customFormat="1">
      <c r="A53" s="79">
        <v>41715</v>
      </c>
      <c r="B53" s="18" t="s">
        <v>430</v>
      </c>
      <c r="C53" s="63"/>
      <c r="D53" s="18">
        <v>0</v>
      </c>
      <c r="E53" s="44">
        <f>+E52-D53</f>
        <v>46.079999999999906</v>
      </c>
      <c r="F53" s="59"/>
      <c r="G53" s="59">
        <f t="shared" ref="G53:G116" si="5">J52/E52</f>
        <v>19.898676038850706</v>
      </c>
      <c r="H53" s="64"/>
      <c r="I53" s="60">
        <f t="shared" si="4"/>
        <v>0</v>
      </c>
      <c r="J53" s="61">
        <f t="shared" si="3"/>
        <v>916.9309918702387</v>
      </c>
      <c r="K53" s="15"/>
      <c r="L53" s="77"/>
    </row>
    <row r="54" spans="1:14" s="20" customFormat="1">
      <c r="A54" s="79">
        <v>41715</v>
      </c>
      <c r="B54" s="18" t="s">
        <v>252</v>
      </c>
      <c r="C54" s="63"/>
      <c r="D54" s="18">
        <f>11*2.5</f>
        <v>27.5</v>
      </c>
      <c r="E54" s="44">
        <f>+E53-D54</f>
        <v>18.579999999999906</v>
      </c>
      <c r="F54" s="59"/>
      <c r="G54" s="59">
        <f t="shared" si="5"/>
        <v>19.898676038850706</v>
      </c>
      <c r="H54" s="64"/>
      <c r="I54" s="60">
        <f t="shared" si="4"/>
        <v>547.21359106839441</v>
      </c>
      <c r="J54" s="61">
        <f t="shared" si="3"/>
        <v>369.71740080184429</v>
      </c>
      <c r="K54" s="15"/>
      <c r="L54" s="145">
        <v>41715</v>
      </c>
      <c r="M54" s="123">
        <f>SUM(I53:I54)</f>
        <v>547.21359106839441</v>
      </c>
    </row>
    <row r="55" spans="1:14" s="20" customFormat="1">
      <c r="A55" s="79">
        <v>41716</v>
      </c>
      <c r="B55" s="18" t="s">
        <v>884</v>
      </c>
      <c r="C55" s="133">
        <v>16026</v>
      </c>
      <c r="D55" s="18"/>
      <c r="E55" s="44">
        <f>+E54+C55</f>
        <v>16044.58</v>
      </c>
      <c r="F55" s="59">
        <f>+H55/C55</f>
        <v>20.771679146387122</v>
      </c>
      <c r="G55" s="59"/>
      <c r="H55" s="64">
        <v>332886.93</v>
      </c>
      <c r="I55" s="60"/>
      <c r="J55" s="61">
        <f>+J54+H55</f>
        <v>333256.64740080183</v>
      </c>
      <c r="K55" s="15"/>
    </row>
    <row r="56" spans="1:14" s="20" customFormat="1">
      <c r="A56" s="79">
        <v>41718</v>
      </c>
      <c r="B56" s="18" t="s">
        <v>253</v>
      </c>
      <c r="C56" s="67"/>
      <c r="D56" s="44">
        <f>18*3.85+13*3.75+3*2.75+3+3.5+2.5</f>
        <v>135.30000000000001</v>
      </c>
      <c r="E56" s="44">
        <f>+E55-D56</f>
        <v>15909.28</v>
      </c>
      <c r="F56" s="67"/>
      <c r="G56" s="59">
        <f>J55/E55</f>
        <v>20.770668188310434</v>
      </c>
      <c r="H56" s="64"/>
      <c r="I56" s="60">
        <f t="shared" si="4"/>
        <v>2810.2714058784022</v>
      </c>
      <c r="J56" s="61">
        <f>+J55-I56</f>
        <v>330446.37599492341</v>
      </c>
      <c r="K56" s="15"/>
      <c r="M56" s="123"/>
    </row>
    <row r="57" spans="1:14" s="20" customFormat="1">
      <c r="A57" s="79">
        <v>41719</v>
      </c>
      <c r="B57" s="18" t="s">
        <v>254</v>
      </c>
      <c r="C57" s="67"/>
      <c r="D57" s="44">
        <f>6*4+3*2.6</f>
        <v>31.8</v>
      </c>
      <c r="E57" s="44">
        <f t="shared" ref="E57:E68" si="6">+E56-D57</f>
        <v>15877.480000000001</v>
      </c>
      <c r="F57" s="67"/>
      <c r="G57" s="59">
        <f t="shared" si="5"/>
        <v>20.770668188310431</v>
      </c>
      <c r="H57" s="64"/>
      <c r="I57" s="60">
        <f t="shared" ref="I57:I68" si="7">D57*G57</f>
        <v>660.50724838827171</v>
      </c>
      <c r="J57" s="61">
        <f t="shared" ref="J57:J68" si="8">+J56-I57</f>
        <v>329785.86874653515</v>
      </c>
      <c r="K57" s="15"/>
    </row>
    <row r="58" spans="1:14" s="20" customFormat="1">
      <c r="A58" s="79">
        <v>41720</v>
      </c>
      <c r="B58" s="18" t="s">
        <v>255</v>
      </c>
      <c r="C58" s="67"/>
      <c r="D58" s="44">
        <f>11*4</f>
        <v>44</v>
      </c>
      <c r="E58" s="44">
        <f t="shared" si="6"/>
        <v>15833.480000000001</v>
      </c>
      <c r="F58" s="67"/>
      <c r="G58" s="59">
        <f t="shared" si="5"/>
        <v>20.770668188310431</v>
      </c>
      <c r="H58" s="64"/>
      <c r="I58" s="60">
        <f t="shared" si="7"/>
        <v>913.90940028565899</v>
      </c>
      <c r="J58" s="61">
        <f t="shared" si="8"/>
        <v>328871.95934624947</v>
      </c>
      <c r="K58" s="15"/>
    </row>
    <row r="59" spans="1:14" s="20" customFormat="1">
      <c r="A59" s="79">
        <v>41720</v>
      </c>
      <c r="B59" s="18" t="s">
        <v>256</v>
      </c>
      <c r="C59" s="67"/>
      <c r="D59" s="44">
        <f>4*2.5+3.2+4+2*3.5+3.3+2</f>
        <v>29.5</v>
      </c>
      <c r="E59" s="44">
        <f t="shared" si="6"/>
        <v>15803.980000000001</v>
      </c>
      <c r="F59" s="67"/>
      <c r="G59" s="59">
        <f t="shared" si="5"/>
        <v>20.770668188310431</v>
      </c>
      <c r="H59" s="64"/>
      <c r="I59" s="60">
        <f t="shared" si="7"/>
        <v>612.73471155515767</v>
      </c>
      <c r="J59" s="61">
        <f t="shared" si="8"/>
        <v>328259.22463469428</v>
      </c>
      <c r="K59" s="15"/>
    </row>
    <row r="60" spans="1:14" s="20" customFormat="1">
      <c r="A60" s="79">
        <v>41725</v>
      </c>
      <c r="B60" s="18" t="s">
        <v>260</v>
      </c>
      <c r="C60" s="63"/>
      <c r="D60" s="18">
        <f>20*7.8</f>
        <v>156</v>
      </c>
      <c r="E60" s="44">
        <f t="shared" si="6"/>
        <v>15647.980000000001</v>
      </c>
      <c r="F60" s="59"/>
      <c r="G60" s="59">
        <f t="shared" si="5"/>
        <v>20.770668188310427</v>
      </c>
      <c r="H60" s="64"/>
      <c r="I60" s="60">
        <f t="shared" si="7"/>
        <v>3240.2242373764266</v>
      </c>
      <c r="J60" s="61">
        <f t="shared" si="8"/>
        <v>325019.00039731787</v>
      </c>
      <c r="K60" s="111">
        <f>SUM(I53:I60)</f>
        <v>8784.8605945523123</v>
      </c>
      <c r="L60" s="145">
        <v>41728</v>
      </c>
      <c r="M60" s="123">
        <f>SUM(I56:I60)</f>
        <v>8237.6470034839167</v>
      </c>
      <c r="N60" s="123">
        <f>SUM(M54:M60)</f>
        <v>8784.8605945523104</v>
      </c>
    </row>
    <row r="61" spans="1:14" s="20" customFormat="1">
      <c r="A61" s="79">
        <v>41730</v>
      </c>
      <c r="B61" s="18" t="s">
        <v>264</v>
      </c>
      <c r="C61" s="67"/>
      <c r="D61" s="44">
        <f>2*6+4*5+4*4</f>
        <v>48</v>
      </c>
      <c r="E61" s="44">
        <f t="shared" si="6"/>
        <v>15599.980000000001</v>
      </c>
      <c r="F61" s="67"/>
      <c r="G61" s="59">
        <f t="shared" si="5"/>
        <v>20.770668188310431</v>
      </c>
      <c r="H61" s="64"/>
      <c r="I61" s="60">
        <f t="shared" si="7"/>
        <v>996.99207303890068</v>
      </c>
      <c r="J61" s="61">
        <f t="shared" si="8"/>
        <v>324022.00832427898</v>
      </c>
      <c r="K61" s="15"/>
    </row>
    <row r="62" spans="1:14" s="20" customFormat="1">
      <c r="A62" s="79">
        <v>41732</v>
      </c>
      <c r="B62" s="18" t="s">
        <v>265</v>
      </c>
      <c r="C62" s="67"/>
      <c r="D62" s="44">
        <f>8*3.87</f>
        <v>30.96</v>
      </c>
      <c r="E62" s="44">
        <f t="shared" si="6"/>
        <v>15569.020000000002</v>
      </c>
      <c r="F62" s="67"/>
      <c r="G62" s="59">
        <f t="shared" si="5"/>
        <v>20.770668188310431</v>
      </c>
      <c r="H62" s="64"/>
      <c r="I62" s="60">
        <f t="shared" si="7"/>
        <v>643.05988711009093</v>
      </c>
      <c r="J62" s="61">
        <f t="shared" si="8"/>
        <v>323378.9484371689</v>
      </c>
      <c r="K62" s="15"/>
    </row>
    <row r="63" spans="1:14" s="20" customFormat="1">
      <c r="A63" s="79">
        <v>41732</v>
      </c>
      <c r="B63" s="18" t="s">
        <v>266</v>
      </c>
      <c r="C63" s="67"/>
      <c r="D63" s="44">
        <f>2*6</f>
        <v>12</v>
      </c>
      <c r="E63" s="44">
        <f t="shared" si="6"/>
        <v>15557.020000000002</v>
      </c>
      <c r="F63" s="67"/>
      <c r="G63" s="59">
        <f t="shared" si="5"/>
        <v>20.770668188310431</v>
      </c>
      <c r="H63" s="64"/>
      <c r="I63" s="60">
        <f t="shared" si="7"/>
        <v>249.24801825972517</v>
      </c>
      <c r="J63" s="61">
        <f t="shared" si="8"/>
        <v>323129.7004189092</v>
      </c>
      <c r="K63" s="15"/>
    </row>
    <row r="64" spans="1:14" s="20" customFormat="1">
      <c r="A64" s="79">
        <v>41732</v>
      </c>
      <c r="B64" s="18" t="s">
        <v>268</v>
      </c>
      <c r="C64" s="67"/>
      <c r="D64" s="44">
        <f>11*2.5+2*2</f>
        <v>31.5</v>
      </c>
      <c r="E64" s="44">
        <f t="shared" si="6"/>
        <v>15525.520000000002</v>
      </c>
      <c r="F64" s="67"/>
      <c r="G64" s="59">
        <f t="shared" si="5"/>
        <v>20.770668188310431</v>
      </c>
      <c r="H64" s="64"/>
      <c r="I64" s="60">
        <f t="shared" si="7"/>
        <v>654.27604793177852</v>
      </c>
      <c r="J64" s="61">
        <f t="shared" si="8"/>
        <v>322475.42437097745</v>
      </c>
      <c r="K64" s="15"/>
    </row>
    <row r="65" spans="1:13" s="20" customFormat="1">
      <c r="A65" s="79">
        <v>41737</v>
      </c>
      <c r="B65" s="18" t="s">
        <v>272</v>
      </c>
      <c r="C65" s="67"/>
      <c r="D65" s="44">
        <f>5*4</f>
        <v>20</v>
      </c>
      <c r="E65" s="44">
        <f t="shared" si="6"/>
        <v>15505.520000000002</v>
      </c>
      <c r="F65" s="67"/>
      <c r="G65" s="59">
        <f t="shared" si="5"/>
        <v>20.770668188310434</v>
      </c>
      <c r="H65" s="64"/>
      <c r="I65" s="60">
        <f t="shared" si="7"/>
        <v>415.4133637662087</v>
      </c>
      <c r="J65" s="61">
        <f t="shared" si="8"/>
        <v>322060.01100721123</v>
      </c>
      <c r="K65" s="15"/>
    </row>
    <row r="66" spans="1:13" s="20" customFormat="1">
      <c r="A66" s="79">
        <v>41739</v>
      </c>
      <c r="B66" s="18" t="s">
        <v>278</v>
      </c>
      <c r="C66" s="67"/>
      <c r="D66" s="44">
        <f>25*6.81+25*3.67</f>
        <v>262</v>
      </c>
      <c r="E66" s="44">
        <f t="shared" si="6"/>
        <v>15243.520000000002</v>
      </c>
      <c r="F66" s="67"/>
      <c r="G66" s="59">
        <f t="shared" si="5"/>
        <v>20.770668188310434</v>
      </c>
      <c r="H66" s="64"/>
      <c r="I66" s="60">
        <f t="shared" si="7"/>
        <v>5441.9150653373335</v>
      </c>
      <c r="J66" s="61">
        <f t="shared" si="8"/>
        <v>316618.09594187391</v>
      </c>
      <c r="K66" s="15"/>
    </row>
    <row r="67" spans="1:13" s="20" customFormat="1">
      <c r="A67" s="79">
        <v>41739</v>
      </c>
      <c r="B67" s="18" t="s">
        <v>280</v>
      </c>
      <c r="C67" s="67"/>
      <c r="D67" s="44">
        <f>5+4.5+4</f>
        <v>13.5</v>
      </c>
      <c r="E67" s="44">
        <f t="shared" si="6"/>
        <v>15230.020000000002</v>
      </c>
      <c r="F67" s="67"/>
      <c r="G67" s="59">
        <f t="shared" si="5"/>
        <v>20.770668188310434</v>
      </c>
      <c r="H67" s="64"/>
      <c r="I67" s="60">
        <f t="shared" si="7"/>
        <v>280.40402054219089</v>
      </c>
      <c r="J67" s="61">
        <f t="shared" si="8"/>
        <v>316337.69192133175</v>
      </c>
      <c r="K67" s="15"/>
    </row>
    <row r="68" spans="1:13" s="20" customFormat="1">
      <c r="A68" s="79">
        <v>41741</v>
      </c>
      <c r="B68" s="18" t="s">
        <v>282</v>
      </c>
      <c r="C68" s="67"/>
      <c r="D68" s="44">
        <f>17*4.5</f>
        <v>76.5</v>
      </c>
      <c r="E68" s="44">
        <f t="shared" si="6"/>
        <v>15153.520000000002</v>
      </c>
      <c r="F68" s="67"/>
      <c r="G68" s="59">
        <f t="shared" si="5"/>
        <v>20.770668188310434</v>
      </c>
      <c r="H68" s="64"/>
      <c r="I68" s="60">
        <f t="shared" si="7"/>
        <v>1588.9561164057482</v>
      </c>
      <c r="J68" s="61">
        <f t="shared" si="8"/>
        <v>314748.73580492602</v>
      </c>
      <c r="K68" s="15"/>
    </row>
    <row r="69" spans="1:13" s="20" customFormat="1">
      <c r="A69" s="79">
        <v>41743</v>
      </c>
      <c r="B69" s="18" t="s">
        <v>885</v>
      </c>
      <c r="C69" s="133">
        <v>15039</v>
      </c>
      <c r="D69" s="18"/>
      <c r="E69" s="44">
        <f>+E68+C69</f>
        <v>30192.520000000004</v>
      </c>
      <c r="F69" s="59">
        <f>+H69/C69</f>
        <v>19.627362856572908</v>
      </c>
      <c r="G69" s="59"/>
      <c r="H69" s="64">
        <v>295175.90999999997</v>
      </c>
      <c r="I69" s="60"/>
      <c r="J69" s="61">
        <f>+J68+H69</f>
        <v>609924.64580492605</v>
      </c>
      <c r="K69" s="15"/>
    </row>
    <row r="70" spans="1:13" s="20" customFormat="1">
      <c r="A70" s="79">
        <v>41744</v>
      </c>
      <c r="B70" s="18" t="s">
        <v>285</v>
      </c>
      <c r="C70" s="67"/>
      <c r="D70" s="44">
        <f>17*3.85</f>
        <v>65.45</v>
      </c>
      <c r="E70" s="44">
        <f>+E69-D70</f>
        <v>30127.070000000003</v>
      </c>
      <c r="F70" s="67"/>
      <c r="G70" s="59">
        <f t="shared" si="5"/>
        <v>20.20118379667964</v>
      </c>
      <c r="H70" s="64"/>
      <c r="I70" s="60">
        <f t="shared" si="4"/>
        <v>1322.1674794926826</v>
      </c>
      <c r="J70" s="61">
        <f>+J69-I70</f>
        <v>608602.47832543333</v>
      </c>
      <c r="K70" s="15"/>
    </row>
    <row r="71" spans="1:13" s="20" customFormat="1">
      <c r="A71" s="79">
        <v>41744</v>
      </c>
      <c r="B71" s="18" t="s">
        <v>286</v>
      </c>
      <c r="C71" s="67"/>
      <c r="D71" s="44">
        <f>2.5</f>
        <v>2.5</v>
      </c>
      <c r="E71" s="44">
        <f t="shared" ref="E71:E134" si="9">+E70-D71</f>
        <v>30124.570000000003</v>
      </c>
      <c r="F71" s="67"/>
      <c r="G71" s="59">
        <f t="shared" si="5"/>
        <v>20.20118379667964</v>
      </c>
      <c r="H71" s="64"/>
      <c r="I71" s="60">
        <f t="shared" si="4"/>
        <v>50.502959491699102</v>
      </c>
      <c r="J71" s="61">
        <f t="shared" ref="J71:J134" si="10">+J70-I71</f>
        <v>608551.97536594165</v>
      </c>
      <c r="K71" s="15"/>
    </row>
    <row r="72" spans="1:13" s="20" customFormat="1">
      <c r="A72" s="79">
        <v>41744</v>
      </c>
      <c r="B72" s="18" t="s">
        <v>287</v>
      </c>
      <c r="C72" s="67"/>
      <c r="D72" s="44">
        <f>8</f>
        <v>8</v>
      </c>
      <c r="E72" s="44">
        <f t="shared" si="9"/>
        <v>30116.570000000003</v>
      </c>
      <c r="F72" s="67"/>
      <c r="G72" s="59">
        <f t="shared" si="5"/>
        <v>20.20118379667964</v>
      </c>
      <c r="H72" s="64"/>
      <c r="I72" s="60">
        <f t="shared" si="4"/>
        <v>161.60947037343712</v>
      </c>
      <c r="J72" s="61">
        <f t="shared" si="10"/>
        <v>608390.36589556816</v>
      </c>
      <c r="K72" s="15"/>
      <c r="L72" s="145">
        <v>41744</v>
      </c>
      <c r="M72" s="123">
        <f>SUM(I61:I72)</f>
        <v>11804.544501749797</v>
      </c>
    </row>
    <row r="73" spans="1:13" s="20" customFormat="1">
      <c r="A73" s="79">
        <v>41746</v>
      </c>
      <c r="B73" s="18" t="s">
        <v>288</v>
      </c>
      <c r="C73" s="67"/>
      <c r="D73" s="44">
        <f>18*2.9</f>
        <v>52.199999999999996</v>
      </c>
      <c r="E73" s="44">
        <f t="shared" si="9"/>
        <v>30064.370000000003</v>
      </c>
      <c r="F73" s="67"/>
      <c r="G73" s="59">
        <f t="shared" si="5"/>
        <v>20.20118379667964</v>
      </c>
      <c r="H73" s="64"/>
      <c r="I73" s="60">
        <f t="shared" si="4"/>
        <v>1054.5017941866772</v>
      </c>
      <c r="J73" s="61">
        <f t="shared" si="10"/>
        <v>607335.86410138151</v>
      </c>
      <c r="K73" s="15"/>
    </row>
    <row r="74" spans="1:13" s="20" customFormat="1">
      <c r="A74" s="79">
        <v>41746</v>
      </c>
      <c r="B74" s="18" t="s">
        <v>289</v>
      </c>
      <c r="C74" s="67"/>
      <c r="D74" s="44">
        <f>7*4.8+8*5.7+10*3.5</f>
        <v>114.2</v>
      </c>
      <c r="E74" s="44">
        <f t="shared" si="9"/>
        <v>29950.170000000002</v>
      </c>
      <c r="F74" s="67"/>
      <c r="G74" s="59">
        <f t="shared" si="5"/>
        <v>20.20118379667964</v>
      </c>
      <c r="H74" s="64"/>
      <c r="I74" s="60">
        <f t="shared" si="4"/>
        <v>2306.9751895808149</v>
      </c>
      <c r="J74" s="61">
        <f t="shared" si="10"/>
        <v>605028.88891180069</v>
      </c>
      <c r="K74" s="15"/>
    </row>
    <row r="75" spans="1:13" s="20" customFormat="1">
      <c r="A75" s="79">
        <v>41748</v>
      </c>
      <c r="B75" s="18" t="s">
        <v>290</v>
      </c>
      <c r="C75" s="63"/>
      <c r="D75" s="18">
        <f>5*0.5</f>
        <v>2.5</v>
      </c>
      <c r="E75" s="44">
        <f t="shared" si="9"/>
        <v>29947.670000000002</v>
      </c>
      <c r="F75" s="59"/>
      <c r="G75" s="59">
        <f t="shared" si="5"/>
        <v>20.20118379667964</v>
      </c>
      <c r="H75" s="64"/>
      <c r="I75" s="60">
        <f>D75*G75</f>
        <v>50.502959491699102</v>
      </c>
      <c r="J75" s="61">
        <f t="shared" si="10"/>
        <v>604978.38595230901</v>
      </c>
      <c r="K75" s="15"/>
    </row>
    <row r="76" spans="1:13" s="20" customFormat="1">
      <c r="A76" s="79">
        <v>41748</v>
      </c>
      <c r="B76" s="18" t="s">
        <v>291</v>
      </c>
      <c r="C76" s="67"/>
      <c r="D76" s="44">
        <f>5*3.2</f>
        <v>16</v>
      </c>
      <c r="E76" s="44">
        <f t="shared" si="9"/>
        <v>29931.670000000002</v>
      </c>
      <c r="F76" s="67"/>
      <c r="G76" s="59">
        <f t="shared" si="5"/>
        <v>20.20118379667964</v>
      </c>
      <c r="H76" s="64"/>
      <c r="I76" s="60">
        <f t="shared" si="4"/>
        <v>323.21894074687424</v>
      </c>
      <c r="J76" s="61">
        <f t="shared" si="10"/>
        <v>604655.16701156215</v>
      </c>
      <c r="K76" s="15"/>
    </row>
    <row r="77" spans="1:13" s="20" customFormat="1">
      <c r="A77" s="79">
        <v>41750</v>
      </c>
      <c r="B77" s="18" t="s">
        <v>292</v>
      </c>
      <c r="C77" s="67"/>
      <c r="D77" s="44">
        <f>11*5.6</f>
        <v>61.599999999999994</v>
      </c>
      <c r="E77" s="44">
        <f t="shared" si="9"/>
        <v>29870.070000000003</v>
      </c>
      <c r="F77" s="67"/>
      <c r="G77" s="59">
        <f t="shared" si="5"/>
        <v>20.20118379667964</v>
      </c>
      <c r="H77" s="64"/>
      <c r="I77" s="60">
        <f t="shared" si="4"/>
        <v>1244.3929218754656</v>
      </c>
      <c r="J77" s="61">
        <f t="shared" si="10"/>
        <v>603410.77408968669</v>
      </c>
      <c r="K77" s="15"/>
    </row>
    <row r="78" spans="1:13" s="20" customFormat="1">
      <c r="A78" s="79">
        <v>41751</v>
      </c>
      <c r="B78" s="18" t="s">
        <v>294</v>
      </c>
      <c r="C78" s="67"/>
      <c r="D78" s="44">
        <f>3.8+3.6+3.4+3.2+3+2.9</f>
        <v>19.899999999999999</v>
      </c>
      <c r="E78" s="44">
        <f t="shared" si="9"/>
        <v>29850.170000000002</v>
      </c>
      <c r="F78" s="67"/>
      <c r="G78" s="59">
        <f t="shared" si="5"/>
        <v>20.20118379667964</v>
      </c>
      <c r="H78" s="64"/>
      <c r="I78" s="60">
        <f t="shared" si="4"/>
        <v>402.00355755392479</v>
      </c>
      <c r="J78" s="61">
        <f t="shared" si="10"/>
        <v>603008.77053213271</v>
      </c>
      <c r="K78" s="15"/>
    </row>
    <row r="79" spans="1:13" s="20" customFormat="1">
      <c r="A79" s="79">
        <v>41751</v>
      </c>
      <c r="B79" s="18" t="s">
        <v>297</v>
      </c>
      <c r="C79" s="67"/>
      <c r="D79" s="44">
        <f>3*4.7</f>
        <v>14.100000000000001</v>
      </c>
      <c r="E79" s="44">
        <f t="shared" si="9"/>
        <v>29836.070000000003</v>
      </c>
      <c r="F79" s="67"/>
      <c r="G79" s="59">
        <f t="shared" si="5"/>
        <v>20.20118379667964</v>
      </c>
      <c r="H79" s="64"/>
      <c r="I79" s="60">
        <f t="shared" si="4"/>
        <v>284.83669153318294</v>
      </c>
      <c r="J79" s="61">
        <f t="shared" si="10"/>
        <v>602723.93384059949</v>
      </c>
      <c r="K79" s="15"/>
    </row>
    <row r="80" spans="1:13" s="20" customFormat="1">
      <c r="A80" s="79">
        <v>41758</v>
      </c>
      <c r="B80" s="18" t="s">
        <v>298</v>
      </c>
      <c r="C80" s="67"/>
      <c r="D80" s="44">
        <f>12</f>
        <v>12</v>
      </c>
      <c r="E80" s="44">
        <f t="shared" si="9"/>
        <v>29824.070000000003</v>
      </c>
      <c r="F80" s="67"/>
      <c r="G80" s="59">
        <f t="shared" si="5"/>
        <v>20.201183796679636</v>
      </c>
      <c r="H80" s="64"/>
      <c r="I80" s="60">
        <f t="shared" si="4"/>
        <v>242.41420556015564</v>
      </c>
      <c r="J80" s="61">
        <f t="shared" si="10"/>
        <v>602481.51963503938</v>
      </c>
      <c r="K80" s="15"/>
    </row>
    <row r="81" spans="1:14" s="20" customFormat="1">
      <c r="A81" s="79">
        <v>41759</v>
      </c>
      <c r="B81" s="18" t="s">
        <v>299</v>
      </c>
      <c r="C81" s="67"/>
      <c r="D81" s="44">
        <v>0</v>
      </c>
      <c r="E81" s="44">
        <f t="shared" si="9"/>
        <v>29824.070000000003</v>
      </c>
      <c r="F81" s="67"/>
      <c r="G81" s="59">
        <f t="shared" si="5"/>
        <v>20.20118379667964</v>
      </c>
      <c r="H81" s="64"/>
      <c r="I81" s="60">
        <f t="shared" si="4"/>
        <v>0</v>
      </c>
      <c r="J81" s="61">
        <f t="shared" si="10"/>
        <v>602481.51963503938</v>
      </c>
      <c r="K81" s="15"/>
    </row>
    <row r="82" spans="1:14" s="20" customFormat="1">
      <c r="A82" s="79">
        <v>41759</v>
      </c>
      <c r="B82" s="18" t="s">
        <v>300</v>
      </c>
      <c r="C82" s="67"/>
      <c r="D82" s="44">
        <v>0</v>
      </c>
      <c r="E82" s="44">
        <f t="shared" si="9"/>
        <v>29824.070000000003</v>
      </c>
      <c r="F82" s="67"/>
      <c r="G82" s="59">
        <f t="shared" si="5"/>
        <v>20.20118379667964</v>
      </c>
      <c r="H82" s="64"/>
      <c r="I82" s="60">
        <f t="shared" si="4"/>
        <v>0</v>
      </c>
      <c r="J82" s="61">
        <f t="shared" si="10"/>
        <v>602481.51963503938</v>
      </c>
      <c r="K82" s="15"/>
    </row>
    <row r="83" spans="1:14" s="20" customFormat="1">
      <c r="A83" s="79">
        <v>41759</v>
      </c>
      <c r="B83" s="18" t="s">
        <v>301</v>
      </c>
      <c r="C83" s="67"/>
      <c r="D83" s="44">
        <f>22*4.45+9*4.3+4*4.1+8*2.9</f>
        <v>176.2</v>
      </c>
      <c r="E83" s="44">
        <f t="shared" si="9"/>
        <v>29647.870000000003</v>
      </c>
      <c r="F83" s="67"/>
      <c r="G83" s="59">
        <f t="shared" si="5"/>
        <v>20.20118379667964</v>
      </c>
      <c r="H83" s="64"/>
      <c r="I83" s="60">
        <f t="shared" si="4"/>
        <v>3559.4485849749522</v>
      </c>
      <c r="J83" s="61">
        <f t="shared" si="10"/>
        <v>598922.07105006441</v>
      </c>
      <c r="K83" s="111">
        <f>SUM(I61:I83)</f>
        <v>21272.839347253543</v>
      </c>
      <c r="L83" s="145">
        <v>41759</v>
      </c>
      <c r="M83" s="123">
        <f>SUM(I73:I83)</f>
        <v>9468.2948455037476</v>
      </c>
      <c r="N83" s="123">
        <f>SUM(M72:M83)</f>
        <v>21272.839347253546</v>
      </c>
    </row>
    <row r="84" spans="1:14" s="20" customFormat="1">
      <c r="A84" s="79">
        <v>41764</v>
      </c>
      <c r="B84" s="18" t="s">
        <v>304</v>
      </c>
      <c r="C84" s="67"/>
      <c r="D84" s="44">
        <f>4*2</f>
        <v>8</v>
      </c>
      <c r="E84" s="44">
        <f t="shared" si="9"/>
        <v>29639.870000000003</v>
      </c>
      <c r="F84" s="67"/>
      <c r="G84" s="59">
        <f t="shared" si="5"/>
        <v>20.20118379667964</v>
      </c>
      <c r="H84" s="64"/>
      <c r="I84" s="60">
        <f t="shared" si="4"/>
        <v>161.60947037343712</v>
      </c>
      <c r="J84" s="61">
        <f t="shared" si="10"/>
        <v>598760.46157969092</v>
      </c>
      <c r="K84" s="15"/>
    </row>
    <row r="85" spans="1:14" s="20" customFormat="1">
      <c r="A85" s="79">
        <v>41765</v>
      </c>
      <c r="B85" s="18" t="s">
        <v>306</v>
      </c>
      <c r="C85" s="67"/>
      <c r="D85" s="44">
        <f>2*3.3</f>
        <v>6.6</v>
      </c>
      <c r="E85" s="44">
        <f t="shared" si="9"/>
        <v>29633.270000000004</v>
      </c>
      <c r="F85" s="67"/>
      <c r="G85" s="59">
        <f t="shared" si="5"/>
        <v>20.201183796679636</v>
      </c>
      <c r="H85" s="64"/>
      <c r="I85" s="60">
        <f t="shared" si="4"/>
        <v>133.32781305808558</v>
      </c>
      <c r="J85" s="61">
        <f t="shared" si="10"/>
        <v>598627.13376663288</v>
      </c>
      <c r="K85" s="15"/>
    </row>
    <row r="86" spans="1:14" s="20" customFormat="1">
      <c r="A86" s="79">
        <v>41766</v>
      </c>
      <c r="B86" s="18" t="s">
        <v>309</v>
      </c>
      <c r="C86" s="67"/>
      <c r="D86" s="44">
        <f>10*4.7</f>
        <v>47</v>
      </c>
      <c r="E86" s="44">
        <f t="shared" si="9"/>
        <v>29586.270000000004</v>
      </c>
      <c r="F86" s="67"/>
      <c r="G86" s="59">
        <f t="shared" si="5"/>
        <v>20.201183796679636</v>
      </c>
      <c r="H86" s="64"/>
      <c r="I86" s="60">
        <f t="shared" si="4"/>
        <v>949.45563844394292</v>
      </c>
      <c r="J86" s="61">
        <f t="shared" si="10"/>
        <v>597677.67812818894</v>
      </c>
      <c r="K86" s="15"/>
    </row>
    <row r="87" spans="1:14" s="20" customFormat="1">
      <c r="A87" s="79">
        <v>41766</v>
      </c>
      <c r="B87" s="18" t="s">
        <v>311</v>
      </c>
      <c r="C87" s="67"/>
      <c r="D87" s="44">
        <v>0</v>
      </c>
      <c r="E87" s="44">
        <f t="shared" si="9"/>
        <v>29586.270000000004</v>
      </c>
      <c r="F87" s="67"/>
      <c r="G87" s="59">
        <f t="shared" si="5"/>
        <v>20.201183796679636</v>
      </c>
      <c r="H87" s="64"/>
      <c r="I87" s="60">
        <f t="shared" si="4"/>
        <v>0</v>
      </c>
      <c r="J87" s="61">
        <f t="shared" si="10"/>
        <v>597677.67812818894</v>
      </c>
      <c r="K87" s="15"/>
    </row>
    <row r="88" spans="1:14" s="20" customFormat="1">
      <c r="A88" s="79">
        <v>41766</v>
      </c>
      <c r="B88" s="18" t="s">
        <v>312</v>
      </c>
      <c r="C88" s="67"/>
      <c r="D88" s="44">
        <f>26*4.2+10*4.5</f>
        <v>154.19999999999999</v>
      </c>
      <c r="E88" s="44">
        <f t="shared" si="9"/>
        <v>29432.070000000003</v>
      </c>
      <c r="F88" s="67"/>
      <c r="G88" s="59">
        <f t="shared" si="5"/>
        <v>20.201183796679636</v>
      </c>
      <c r="H88" s="64"/>
      <c r="I88" s="60">
        <f t="shared" si="4"/>
        <v>3115.0225414479996</v>
      </c>
      <c r="J88" s="61">
        <f t="shared" si="10"/>
        <v>594562.65558674093</v>
      </c>
      <c r="K88" s="15"/>
    </row>
    <row r="89" spans="1:14" s="20" customFormat="1">
      <c r="A89" s="79">
        <v>41768</v>
      </c>
      <c r="B89" s="18" t="s">
        <v>313</v>
      </c>
      <c r="C89" s="67"/>
      <c r="D89" s="44">
        <f>32*3.2+14*2</f>
        <v>130.4</v>
      </c>
      <c r="E89" s="44">
        <f t="shared" si="9"/>
        <v>29301.670000000002</v>
      </c>
      <c r="F89" s="67"/>
      <c r="G89" s="59">
        <f t="shared" si="5"/>
        <v>20.201183796679636</v>
      </c>
      <c r="H89" s="64"/>
      <c r="I89" s="60">
        <f t="shared" si="4"/>
        <v>2634.2343670870246</v>
      </c>
      <c r="J89" s="61">
        <f t="shared" si="10"/>
        <v>591928.42121965392</v>
      </c>
      <c r="K89" s="15"/>
    </row>
    <row r="90" spans="1:14" s="20" customFormat="1">
      <c r="A90" s="79">
        <v>41768</v>
      </c>
      <c r="B90" s="18" t="s">
        <v>314</v>
      </c>
      <c r="C90" s="67"/>
      <c r="D90" s="44">
        <f>2*2.45</f>
        <v>4.9000000000000004</v>
      </c>
      <c r="E90" s="44">
        <f t="shared" si="9"/>
        <v>29296.77</v>
      </c>
      <c r="F90" s="67"/>
      <c r="G90" s="59">
        <f t="shared" si="5"/>
        <v>20.20118379667964</v>
      </c>
      <c r="H90" s="64"/>
      <c r="I90" s="60">
        <f t="shared" si="4"/>
        <v>98.98580060373024</v>
      </c>
      <c r="J90" s="61">
        <f t="shared" si="10"/>
        <v>591829.43541905016</v>
      </c>
      <c r="K90" s="15"/>
    </row>
    <row r="91" spans="1:14" s="20" customFormat="1">
      <c r="A91" s="79">
        <v>41769</v>
      </c>
      <c r="B91" s="18" t="s">
        <v>315</v>
      </c>
      <c r="C91" s="67"/>
      <c r="D91" s="44">
        <f>14*2.5+11*2.6+4*3.2</f>
        <v>76.400000000000006</v>
      </c>
      <c r="E91" s="44">
        <f t="shared" si="9"/>
        <v>29220.37</v>
      </c>
      <c r="F91" s="67"/>
      <c r="G91" s="59">
        <f t="shared" si="5"/>
        <v>20.20118379667964</v>
      </c>
      <c r="H91" s="64"/>
      <c r="I91" s="60">
        <f t="shared" si="4"/>
        <v>1543.3704420663246</v>
      </c>
      <c r="J91" s="61">
        <f t="shared" si="10"/>
        <v>590286.06497698382</v>
      </c>
      <c r="K91" s="15"/>
    </row>
    <row r="92" spans="1:14" s="20" customFormat="1">
      <c r="A92" s="79">
        <v>41771</v>
      </c>
      <c r="B92" s="18" t="s">
        <v>318</v>
      </c>
      <c r="C92" s="67"/>
      <c r="D92" s="44">
        <f>30*4.7</f>
        <v>141</v>
      </c>
      <c r="E92" s="44">
        <f t="shared" si="9"/>
        <v>29079.37</v>
      </c>
      <c r="F92" s="67"/>
      <c r="G92" s="59">
        <f t="shared" si="5"/>
        <v>20.20118379667964</v>
      </c>
      <c r="H92" s="64"/>
      <c r="I92" s="60">
        <f t="shared" si="4"/>
        <v>2848.3669153318292</v>
      </c>
      <c r="J92" s="61">
        <f t="shared" si="10"/>
        <v>587437.69806165202</v>
      </c>
      <c r="K92" s="15"/>
    </row>
    <row r="93" spans="1:14" s="20" customFormat="1">
      <c r="A93" s="79">
        <v>41772</v>
      </c>
      <c r="B93" s="18" t="s">
        <v>319</v>
      </c>
      <c r="C93" s="67"/>
      <c r="D93" s="44">
        <f>5*4.1</f>
        <v>20.5</v>
      </c>
      <c r="E93" s="44">
        <f t="shared" si="9"/>
        <v>29058.87</v>
      </c>
      <c r="F93" s="67"/>
      <c r="G93" s="59">
        <f t="shared" si="5"/>
        <v>20.20118379667964</v>
      </c>
      <c r="H93" s="64"/>
      <c r="I93" s="60">
        <f t="shared" si="4"/>
        <v>414.12426783193263</v>
      </c>
      <c r="J93" s="61">
        <f t="shared" si="10"/>
        <v>587023.57379382011</v>
      </c>
      <c r="K93" s="15"/>
    </row>
    <row r="94" spans="1:14" s="20" customFormat="1">
      <c r="A94" s="79">
        <v>41774</v>
      </c>
      <c r="B94" s="18" t="s">
        <v>320</v>
      </c>
      <c r="C94" s="67"/>
      <c r="D94" s="44">
        <f>17*2</f>
        <v>34</v>
      </c>
      <c r="E94" s="44">
        <f t="shared" si="9"/>
        <v>29024.87</v>
      </c>
      <c r="F94" s="67"/>
      <c r="G94" s="59">
        <f t="shared" si="5"/>
        <v>20.20118379667964</v>
      </c>
      <c r="H94" s="64"/>
      <c r="I94" s="60">
        <f t="shared" si="4"/>
        <v>686.84024908710774</v>
      </c>
      <c r="J94" s="61">
        <f t="shared" si="10"/>
        <v>586336.73354473303</v>
      </c>
      <c r="K94" s="15"/>
    </row>
    <row r="95" spans="1:14">
      <c r="A95" s="79">
        <v>41774</v>
      </c>
      <c r="B95" s="18" t="s">
        <v>322</v>
      </c>
      <c r="C95" s="67"/>
      <c r="D95" s="44">
        <f>37*8+4</f>
        <v>300</v>
      </c>
      <c r="E95" s="44">
        <f t="shared" si="9"/>
        <v>28724.87</v>
      </c>
      <c r="F95" s="67"/>
      <c r="G95" s="59">
        <f t="shared" si="5"/>
        <v>20.201183796679643</v>
      </c>
      <c r="H95" s="67"/>
      <c r="I95" s="60">
        <f t="shared" si="4"/>
        <v>6060.3551390038929</v>
      </c>
      <c r="J95" s="61">
        <f t="shared" si="10"/>
        <v>580276.37840572908</v>
      </c>
      <c r="K95" s="50"/>
      <c r="L95" s="145">
        <v>41774</v>
      </c>
      <c r="M95" s="123">
        <f>SUM(I84:I95)</f>
        <v>18645.692644335308</v>
      </c>
    </row>
    <row r="96" spans="1:14">
      <c r="A96" s="79">
        <v>41779</v>
      </c>
      <c r="B96" s="18" t="s">
        <v>329</v>
      </c>
      <c r="C96" s="67"/>
      <c r="D96" s="44">
        <f>10*4.87+9*4.09</f>
        <v>85.51</v>
      </c>
      <c r="E96" s="44">
        <f t="shared" si="9"/>
        <v>28639.360000000001</v>
      </c>
      <c r="F96" s="67"/>
      <c r="G96" s="59">
        <f t="shared" si="5"/>
        <v>20.20118379667964</v>
      </c>
      <c r="H96" s="67"/>
      <c r="I96" s="60">
        <f t="shared" si="4"/>
        <v>1727.403226454076</v>
      </c>
      <c r="J96" s="61">
        <f t="shared" si="10"/>
        <v>578548.97517927503</v>
      </c>
      <c r="K96" s="50"/>
    </row>
    <row r="97" spans="1:14">
      <c r="A97" s="79">
        <v>41780</v>
      </c>
      <c r="B97" s="18" t="s">
        <v>330</v>
      </c>
      <c r="C97" s="67"/>
      <c r="D97" s="44">
        <f>31*7+31*5.2</f>
        <v>378.20000000000005</v>
      </c>
      <c r="E97" s="44">
        <f t="shared" si="9"/>
        <v>28261.16</v>
      </c>
      <c r="F97" s="67"/>
      <c r="G97" s="59">
        <f t="shared" si="5"/>
        <v>20.20118379667964</v>
      </c>
      <c r="H97" s="67"/>
      <c r="I97" s="60">
        <f t="shared" si="4"/>
        <v>7640.0877119042407</v>
      </c>
      <c r="J97" s="61">
        <f t="shared" si="10"/>
        <v>570908.88746737083</v>
      </c>
      <c r="K97" s="50"/>
    </row>
    <row r="98" spans="1:14">
      <c r="A98" s="79">
        <v>41782</v>
      </c>
      <c r="B98" s="18" t="s">
        <v>333</v>
      </c>
      <c r="C98" s="67"/>
      <c r="D98" s="44">
        <f>5*5.6+8*3.6</f>
        <v>56.8</v>
      </c>
      <c r="E98" s="44">
        <f t="shared" si="9"/>
        <v>28204.36</v>
      </c>
      <c r="F98" s="67"/>
      <c r="G98" s="59">
        <f t="shared" si="5"/>
        <v>20.201183796679643</v>
      </c>
      <c r="H98" s="67"/>
      <c r="I98" s="60">
        <f t="shared" si="4"/>
        <v>1147.4272396514036</v>
      </c>
      <c r="J98" s="61">
        <f t="shared" si="10"/>
        <v>569761.46022771939</v>
      </c>
      <c r="K98" s="50"/>
    </row>
    <row r="99" spans="1:14">
      <c r="A99" s="79">
        <v>41782</v>
      </c>
      <c r="B99" s="18" t="s">
        <v>334</v>
      </c>
      <c r="C99" s="67"/>
      <c r="D99" s="44">
        <f>25*6.7</f>
        <v>167.5</v>
      </c>
      <c r="E99" s="44">
        <f t="shared" si="9"/>
        <v>28036.86</v>
      </c>
      <c r="F99" s="67"/>
      <c r="G99" s="59">
        <f t="shared" si="5"/>
        <v>20.20118379667964</v>
      </c>
      <c r="H99" s="67"/>
      <c r="I99" s="60">
        <f t="shared" si="4"/>
        <v>3383.6982859438399</v>
      </c>
      <c r="J99" s="61">
        <f t="shared" si="10"/>
        <v>566377.76194177556</v>
      </c>
      <c r="K99" s="50"/>
    </row>
    <row r="100" spans="1:14">
      <c r="A100" s="79">
        <v>41786</v>
      </c>
      <c r="B100" s="18" t="s">
        <v>336</v>
      </c>
      <c r="C100" s="67"/>
      <c r="D100" s="44">
        <f>4</f>
        <v>4</v>
      </c>
      <c r="E100" s="44">
        <f t="shared" si="9"/>
        <v>28032.86</v>
      </c>
      <c r="F100" s="67"/>
      <c r="G100" s="59">
        <f t="shared" si="5"/>
        <v>20.20118379667964</v>
      </c>
      <c r="H100" s="67"/>
      <c r="I100" s="60">
        <f t="shared" si="4"/>
        <v>80.80473518671856</v>
      </c>
      <c r="J100" s="61">
        <f t="shared" si="10"/>
        <v>566296.95720658882</v>
      </c>
      <c r="K100" s="50"/>
    </row>
    <row r="101" spans="1:14" s="20" customFormat="1">
      <c r="A101" s="79">
        <v>41788</v>
      </c>
      <c r="B101" s="18" t="s">
        <v>338</v>
      </c>
      <c r="C101" s="63"/>
      <c r="D101" s="18">
        <f>9.5</f>
        <v>9.5</v>
      </c>
      <c r="E101" s="44">
        <f t="shared" si="9"/>
        <v>28023.360000000001</v>
      </c>
      <c r="F101" s="59"/>
      <c r="G101" s="59">
        <f t="shared" si="5"/>
        <v>20.20118379667964</v>
      </c>
      <c r="H101" s="64"/>
      <c r="I101" s="60">
        <f>D101*G101</f>
        <v>191.91124606845659</v>
      </c>
      <c r="J101" s="61">
        <f t="shared" si="10"/>
        <v>566105.04596052039</v>
      </c>
      <c r="K101" s="15"/>
    </row>
    <row r="102" spans="1:14">
      <c r="A102" s="79">
        <v>41788</v>
      </c>
      <c r="B102" s="18" t="s">
        <v>339</v>
      </c>
      <c r="C102" s="67"/>
      <c r="D102" s="44">
        <f>26*7.2+4*2.33+4*1.33+4*1.88+4*2.13+4*2.5</f>
        <v>227.88000000000002</v>
      </c>
      <c r="E102" s="44">
        <f t="shared" si="9"/>
        <v>27795.48</v>
      </c>
      <c r="F102" s="67"/>
      <c r="G102" s="59">
        <f t="shared" si="5"/>
        <v>20.20118379667964</v>
      </c>
      <c r="H102" s="67"/>
      <c r="I102" s="60">
        <f t="shared" si="4"/>
        <v>4603.4457635873569</v>
      </c>
      <c r="J102" s="61">
        <f t="shared" si="10"/>
        <v>561501.60019693302</v>
      </c>
      <c r="K102" s="50"/>
    </row>
    <row r="103" spans="1:14">
      <c r="A103" s="79">
        <v>41789</v>
      </c>
      <c r="B103" s="18" t="s">
        <v>340</v>
      </c>
      <c r="C103" s="67"/>
      <c r="D103" s="44">
        <f>4*2.6+10*1.4+10*1.15+4*2</f>
        <v>43.9</v>
      </c>
      <c r="E103" s="44">
        <f t="shared" si="9"/>
        <v>27751.579999999998</v>
      </c>
      <c r="F103" s="67"/>
      <c r="G103" s="59">
        <f t="shared" si="5"/>
        <v>20.20118379667964</v>
      </c>
      <c r="H103" s="67"/>
      <c r="I103" s="60">
        <f t="shared" si="4"/>
        <v>886.83196867423612</v>
      </c>
      <c r="J103" s="61">
        <f t="shared" si="10"/>
        <v>560614.76822825882</v>
      </c>
      <c r="K103" s="50"/>
    </row>
    <row r="104" spans="1:14" s="20" customFormat="1">
      <c r="A104" s="79">
        <v>41789</v>
      </c>
      <c r="B104" s="18" t="s">
        <v>432</v>
      </c>
      <c r="C104" s="67"/>
      <c r="D104" s="44">
        <f>8*6</f>
        <v>48</v>
      </c>
      <c r="E104" s="44">
        <f t="shared" si="9"/>
        <v>27703.579999999998</v>
      </c>
      <c r="F104" s="67"/>
      <c r="G104" s="59">
        <f t="shared" si="5"/>
        <v>20.201183796679643</v>
      </c>
      <c r="H104" s="67"/>
      <c r="I104" s="60">
        <f>D104*G104</f>
        <v>969.65682224062289</v>
      </c>
      <c r="J104" s="61">
        <f t="shared" si="10"/>
        <v>559645.11140601814</v>
      </c>
      <c r="K104" s="111">
        <f>SUM(I84:I104)</f>
        <v>39276.959644046248</v>
      </c>
      <c r="L104" s="145">
        <v>41790</v>
      </c>
      <c r="M104" s="123">
        <f>SUM(I96:I104)</f>
        <v>20631.266999710955</v>
      </c>
      <c r="N104" s="123">
        <f>SUM(M95:M104)</f>
        <v>39276.959644046263</v>
      </c>
    </row>
    <row r="105" spans="1:14">
      <c r="A105" s="79">
        <v>41792</v>
      </c>
      <c r="B105" s="18" t="s">
        <v>345</v>
      </c>
      <c r="C105" s="67"/>
      <c r="D105" s="44">
        <f>78*6.4+78*6+16</f>
        <v>983.2</v>
      </c>
      <c r="E105" s="44">
        <f t="shared" si="9"/>
        <v>26720.379999999997</v>
      </c>
      <c r="F105" s="67"/>
      <c r="G105" s="59">
        <f t="shared" si="5"/>
        <v>20.20118379667964</v>
      </c>
      <c r="H105" s="67"/>
      <c r="I105" s="60">
        <f>D105*G105</f>
        <v>19861.803908895425</v>
      </c>
      <c r="J105" s="61">
        <f t="shared" si="10"/>
        <v>539783.30749712267</v>
      </c>
      <c r="K105" s="50"/>
    </row>
    <row r="106" spans="1:14">
      <c r="A106" s="79">
        <v>41792</v>
      </c>
      <c r="B106" s="18" t="s">
        <v>346</v>
      </c>
      <c r="C106" s="67"/>
      <c r="D106" s="44">
        <v>0</v>
      </c>
      <c r="E106" s="44">
        <f t="shared" si="9"/>
        <v>26720.379999999997</v>
      </c>
      <c r="F106" s="67"/>
      <c r="G106" s="59">
        <f t="shared" si="5"/>
        <v>20.20118379667964</v>
      </c>
      <c r="H106" s="67"/>
      <c r="I106" s="60">
        <f t="shared" si="4"/>
        <v>0</v>
      </c>
      <c r="J106" s="61">
        <f t="shared" si="10"/>
        <v>539783.30749712267</v>
      </c>
      <c r="K106" s="50"/>
    </row>
    <row r="107" spans="1:14">
      <c r="A107" s="79">
        <v>41792</v>
      </c>
      <c r="B107" s="18" t="s">
        <v>347</v>
      </c>
      <c r="C107" s="67"/>
      <c r="D107" s="44">
        <f>3</f>
        <v>3</v>
      </c>
      <c r="E107" s="44">
        <f t="shared" si="9"/>
        <v>26717.379999999997</v>
      </c>
      <c r="F107" s="67"/>
      <c r="G107" s="59">
        <f t="shared" si="5"/>
        <v>20.20118379667964</v>
      </c>
      <c r="H107" s="67"/>
      <c r="I107" s="60">
        <f t="shared" si="4"/>
        <v>60.603551390038916</v>
      </c>
      <c r="J107" s="61">
        <f t="shared" si="10"/>
        <v>539722.70394573268</v>
      </c>
      <c r="K107" s="50"/>
    </row>
    <row r="108" spans="1:14">
      <c r="A108" s="79">
        <v>41793</v>
      </c>
      <c r="B108" s="18" t="s">
        <v>348</v>
      </c>
      <c r="C108" s="67"/>
      <c r="D108" s="44">
        <f>12*2.15</f>
        <v>25.799999999999997</v>
      </c>
      <c r="E108" s="44">
        <f t="shared" si="9"/>
        <v>26691.579999999998</v>
      </c>
      <c r="F108" s="67"/>
      <c r="G108" s="59">
        <f t="shared" si="5"/>
        <v>20.201183796679643</v>
      </c>
      <c r="H108" s="67"/>
      <c r="I108" s="60">
        <f t="shared" si="4"/>
        <v>521.19054195433478</v>
      </c>
      <c r="J108" s="61">
        <f t="shared" si="10"/>
        <v>539201.51340377831</v>
      </c>
      <c r="K108" s="50"/>
    </row>
    <row r="109" spans="1:14">
      <c r="A109" s="79">
        <v>41795</v>
      </c>
      <c r="B109" s="18" t="s">
        <v>355</v>
      </c>
      <c r="C109" s="67"/>
      <c r="D109" s="44">
        <f>7*2.6</f>
        <v>18.2</v>
      </c>
      <c r="E109" s="44">
        <f t="shared" si="9"/>
        <v>26673.379999999997</v>
      </c>
      <c r="F109" s="67"/>
      <c r="G109" s="59">
        <f t="shared" si="5"/>
        <v>20.20118379667964</v>
      </c>
      <c r="H109" s="67"/>
      <c r="I109" s="60">
        <f t="shared" si="4"/>
        <v>367.66154509956942</v>
      </c>
      <c r="J109" s="61">
        <f t="shared" si="10"/>
        <v>538833.85185867874</v>
      </c>
      <c r="K109" s="50"/>
    </row>
    <row r="110" spans="1:14">
      <c r="A110" s="79">
        <v>41796</v>
      </c>
      <c r="B110" s="18" t="s">
        <v>357</v>
      </c>
      <c r="C110" s="67"/>
      <c r="D110" s="44">
        <f>16</f>
        <v>16</v>
      </c>
      <c r="E110" s="44">
        <f t="shared" si="9"/>
        <v>26657.379999999997</v>
      </c>
      <c r="F110" s="67"/>
      <c r="G110" s="59">
        <f t="shared" si="5"/>
        <v>20.20118379667964</v>
      </c>
      <c r="H110" s="67"/>
      <c r="I110" s="60">
        <f t="shared" si="4"/>
        <v>323.21894074687424</v>
      </c>
      <c r="J110" s="61">
        <f t="shared" si="10"/>
        <v>538510.63291793189</v>
      </c>
      <c r="K110" s="50"/>
    </row>
    <row r="111" spans="1:14">
      <c r="A111" s="79">
        <v>41799</v>
      </c>
      <c r="B111" s="18" t="s">
        <v>359</v>
      </c>
      <c r="C111" s="67"/>
      <c r="D111" s="44">
        <f>28*4.9+15*1.9</f>
        <v>165.70000000000002</v>
      </c>
      <c r="E111" s="44">
        <f t="shared" si="9"/>
        <v>26491.679999999997</v>
      </c>
      <c r="F111" s="67"/>
      <c r="G111" s="59">
        <f t="shared" si="5"/>
        <v>20.20118379667964</v>
      </c>
      <c r="H111" s="67"/>
      <c r="I111" s="60">
        <f t="shared" si="4"/>
        <v>3347.3361551098169</v>
      </c>
      <c r="J111" s="61">
        <f t="shared" si="10"/>
        <v>535163.29676282208</v>
      </c>
      <c r="K111" s="50"/>
    </row>
    <row r="112" spans="1:14">
      <c r="A112" s="79">
        <v>41801</v>
      </c>
      <c r="B112" s="18" t="s">
        <v>362</v>
      </c>
      <c r="C112" s="67"/>
      <c r="D112" s="44">
        <f>6*2</f>
        <v>12</v>
      </c>
      <c r="E112" s="44">
        <f t="shared" si="9"/>
        <v>26479.679999999997</v>
      </c>
      <c r="F112" s="67"/>
      <c r="G112" s="59">
        <f t="shared" si="5"/>
        <v>20.201183796679643</v>
      </c>
      <c r="H112" s="67"/>
      <c r="I112" s="60">
        <f t="shared" si="4"/>
        <v>242.41420556015572</v>
      </c>
      <c r="J112" s="61">
        <f t="shared" si="10"/>
        <v>534920.88255726197</v>
      </c>
      <c r="K112" s="50"/>
    </row>
    <row r="113" spans="1:13">
      <c r="A113" s="79">
        <v>41801</v>
      </c>
      <c r="B113" s="18" t="s">
        <v>365</v>
      </c>
      <c r="C113" s="67"/>
      <c r="D113" s="44">
        <f>47</f>
        <v>47</v>
      </c>
      <c r="E113" s="44">
        <f t="shared" si="9"/>
        <v>26432.679999999997</v>
      </c>
      <c r="F113" s="67"/>
      <c r="G113" s="59">
        <f t="shared" si="5"/>
        <v>20.201183796679643</v>
      </c>
      <c r="H113" s="67"/>
      <c r="I113" s="60">
        <f t="shared" si="4"/>
        <v>949.45563844394326</v>
      </c>
      <c r="J113" s="61">
        <f t="shared" si="10"/>
        <v>533971.42691881803</v>
      </c>
      <c r="K113" s="50"/>
    </row>
    <row r="114" spans="1:13">
      <c r="A114" s="79">
        <v>41802</v>
      </c>
      <c r="B114" s="18" t="s">
        <v>366</v>
      </c>
      <c r="C114" s="67"/>
      <c r="D114" s="44">
        <f>6*2.5</f>
        <v>15</v>
      </c>
      <c r="E114" s="44">
        <f t="shared" si="9"/>
        <v>26417.679999999997</v>
      </c>
      <c r="F114" s="67"/>
      <c r="G114" s="59">
        <f t="shared" si="5"/>
        <v>20.201183796679643</v>
      </c>
      <c r="H114" s="67"/>
      <c r="I114" s="60">
        <f t="shared" si="4"/>
        <v>303.01775695019467</v>
      </c>
      <c r="J114" s="61">
        <f t="shared" si="10"/>
        <v>533668.40916186781</v>
      </c>
      <c r="K114" s="50"/>
    </row>
    <row r="115" spans="1:13">
      <c r="A115" s="79">
        <v>41802</v>
      </c>
      <c r="B115" s="18" t="s">
        <v>368</v>
      </c>
      <c r="C115" s="67"/>
      <c r="D115" s="44">
        <f>9*4.62</f>
        <v>41.58</v>
      </c>
      <c r="E115" s="44">
        <f t="shared" si="9"/>
        <v>26376.099999999995</v>
      </c>
      <c r="F115" s="67"/>
      <c r="G115" s="59">
        <f t="shared" si="5"/>
        <v>20.201183796679643</v>
      </c>
      <c r="H115" s="67"/>
      <c r="I115" s="60">
        <f t="shared" si="4"/>
        <v>839.96522226593959</v>
      </c>
      <c r="J115" s="61">
        <f t="shared" si="10"/>
        <v>532828.44393960189</v>
      </c>
      <c r="K115" s="50"/>
    </row>
    <row r="116" spans="1:13">
      <c r="A116" s="79">
        <v>41802</v>
      </c>
      <c r="B116" s="18" t="s">
        <v>369</v>
      </c>
      <c r="C116" s="67"/>
      <c r="D116" s="44">
        <f>79*7.49+79*8.68+17</f>
        <v>1294.43</v>
      </c>
      <c r="E116" s="44">
        <f t="shared" si="9"/>
        <v>25081.669999999995</v>
      </c>
      <c r="F116" s="67"/>
      <c r="G116" s="59">
        <f t="shared" si="5"/>
        <v>20.201183796679643</v>
      </c>
      <c r="H116" s="67"/>
      <c r="I116" s="60">
        <f t="shared" si="4"/>
        <v>26149.018341936033</v>
      </c>
      <c r="J116" s="61">
        <f t="shared" si="10"/>
        <v>506679.42559766583</v>
      </c>
      <c r="K116" s="50"/>
    </row>
    <row r="117" spans="1:13">
      <c r="A117" s="79">
        <v>41803</v>
      </c>
      <c r="B117" s="18" t="s">
        <v>370</v>
      </c>
      <c r="C117" s="67"/>
      <c r="D117" s="44">
        <f>13*8.3</f>
        <v>107.9</v>
      </c>
      <c r="E117" s="44">
        <f t="shared" si="9"/>
        <v>24973.769999999993</v>
      </c>
      <c r="F117" s="67"/>
      <c r="G117" s="59">
        <f t="shared" ref="G117:G180" si="11">J116/E116</f>
        <v>20.201183796679643</v>
      </c>
      <c r="H117" s="67"/>
      <c r="I117" s="60">
        <f t="shared" si="4"/>
        <v>2179.7077316617338</v>
      </c>
      <c r="J117" s="61">
        <f t="shared" si="10"/>
        <v>504499.7178660041</v>
      </c>
      <c r="K117" s="50"/>
      <c r="L117" s="145">
        <v>41804</v>
      </c>
      <c r="M117" s="123">
        <f>SUM(I105:I117)</f>
        <v>55145.393540014062</v>
      </c>
    </row>
    <row r="118" spans="1:13">
      <c r="A118" s="79">
        <v>41806</v>
      </c>
      <c r="B118" s="18" t="s">
        <v>375</v>
      </c>
      <c r="C118" s="67"/>
      <c r="D118" s="44">
        <f>10*4.3</f>
        <v>43</v>
      </c>
      <c r="E118" s="44">
        <f t="shared" si="9"/>
        <v>24930.769999999993</v>
      </c>
      <c r="F118" s="67"/>
      <c r="G118" s="59">
        <f t="shared" si="11"/>
        <v>20.201183796679647</v>
      </c>
      <c r="H118" s="67"/>
      <c r="I118" s="60">
        <f t="shared" ref="I118:I127" si="12">D118*G118</f>
        <v>868.65090325722485</v>
      </c>
      <c r="J118" s="61">
        <f t="shared" si="10"/>
        <v>503631.06696274685</v>
      </c>
      <c r="K118" s="50"/>
    </row>
    <row r="119" spans="1:13">
      <c r="A119" s="79">
        <v>41806</v>
      </c>
      <c r="B119" s="18" t="s">
        <v>376</v>
      </c>
      <c r="C119" s="67"/>
      <c r="D119" s="44">
        <f>6.7+7*6.3</f>
        <v>50.800000000000004</v>
      </c>
      <c r="E119" s="44">
        <f t="shared" si="9"/>
        <v>24879.969999999994</v>
      </c>
      <c r="F119" s="67"/>
      <c r="G119" s="59">
        <f t="shared" si="11"/>
        <v>20.201183796679643</v>
      </c>
      <c r="H119" s="67"/>
      <c r="I119" s="60">
        <f t="shared" si="12"/>
        <v>1026.2201368713261</v>
      </c>
      <c r="J119" s="61">
        <f t="shared" si="10"/>
        <v>502604.84682587552</v>
      </c>
      <c r="K119" s="50"/>
    </row>
    <row r="120" spans="1:13">
      <c r="A120" s="79">
        <v>41807</v>
      </c>
      <c r="B120" s="18" t="s">
        <v>378</v>
      </c>
      <c r="C120" s="67"/>
      <c r="D120" s="44">
        <f>4.62</f>
        <v>4.62</v>
      </c>
      <c r="E120" s="44">
        <f t="shared" si="9"/>
        <v>24875.349999999995</v>
      </c>
      <c r="F120" s="67"/>
      <c r="G120" s="59">
        <f t="shared" si="11"/>
        <v>20.201183796679643</v>
      </c>
      <c r="H120" s="67"/>
      <c r="I120" s="60">
        <f t="shared" si="12"/>
        <v>93.329469140659953</v>
      </c>
      <c r="J120" s="61">
        <f t="shared" si="10"/>
        <v>502511.51735673484</v>
      </c>
      <c r="K120" s="50"/>
    </row>
    <row r="121" spans="1:13">
      <c r="A121" s="79">
        <v>41808</v>
      </c>
      <c r="B121" s="18" t="s">
        <v>379</v>
      </c>
      <c r="C121" s="67"/>
      <c r="D121" s="44">
        <f>5.5+4.1+3.5</f>
        <v>13.1</v>
      </c>
      <c r="E121" s="44">
        <f t="shared" si="9"/>
        <v>24862.249999999996</v>
      </c>
      <c r="F121" s="67"/>
      <c r="G121" s="59">
        <f t="shared" si="11"/>
        <v>20.201183796679643</v>
      </c>
      <c r="H121" s="67"/>
      <c r="I121" s="60">
        <f t="shared" si="12"/>
        <v>264.63550773650331</v>
      </c>
      <c r="J121" s="61">
        <f t="shared" si="10"/>
        <v>502246.88184899831</v>
      </c>
      <c r="K121" s="50"/>
    </row>
    <row r="122" spans="1:13">
      <c r="A122" s="79">
        <v>41810</v>
      </c>
      <c r="B122" s="18" t="s">
        <v>381</v>
      </c>
      <c r="C122" s="67"/>
      <c r="D122" s="44">
        <f>11*4.5</f>
        <v>49.5</v>
      </c>
      <c r="E122" s="44">
        <f t="shared" si="9"/>
        <v>24812.749999999996</v>
      </c>
      <c r="F122" s="67"/>
      <c r="G122" s="59">
        <f t="shared" si="11"/>
        <v>20.20118379667964</v>
      </c>
      <c r="H122" s="67"/>
      <c r="I122" s="60">
        <f t="shared" si="12"/>
        <v>999.95859793564216</v>
      </c>
      <c r="J122" s="61">
        <f t="shared" si="10"/>
        <v>501246.92325106269</v>
      </c>
      <c r="K122" s="50"/>
    </row>
    <row r="123" spans="1:13">
      <c r="A123" s="79">
        <v>41810</v>
      </c>
      <c r="B123" s="18" t="s">
        <v>384</v>
      </c>
      <c r="C123" s="67"/>
      <c r="D123" s="44">
        <f>15*6.15</f>
        <v>92.25</v>
      </c>
      <c r="E123" s="44">
        <f t="shared" si="9"/>
        <v>24720.499999999996</v>
      </c>
      <c r="F123" s="67"/>
      <c r="G123" s="59">
        <f t="shared" si="11"/>
        <v>20.20118379667964</v>
      </c>
      <c r="H123" s="67"/>
      <c r="I123" s="60">
        <f t="shared" si="12"/>
        <v>1863.5592052436969</v>
      </c>
      <c r="J123" s="61">
        <f t="shared" si="10"/>
        <v>499383.36404581898</v>
      </c>
      <c r="K123" s="50"/>
    </row>
    <row r="124" spans="1:13">
      <c r="A124" s="79">
        <v>41814</v>
      </c>
      <c r="B124" s="18" t="s">
        <v>388</v>
      </c>
      <c r="C124" s="67"/>
      <c r="D124" s="44">
        <f>2.1</f>
        <v>2.1</v>
      </c>
      <c r="E124" s="44">
        <f t="shared" si="9"/>
        <v>24718.399999999998</v>
      </c>
      <c r="F124" s="67"/>
      <c r="G124" s="59">
        <f t="shared" si="11"/>
        <v>20.20118379667964</v>
      </c>
      <c r="H124" s="67"/>
      <c r="I124" s="60">
        <f t="shared" si="12"/>
        <v>42.422485973027243</v>
      </c>
      <c r="J124" s="61">
        <f t="shared" si="10"/>
        <v>499340.94155984593</v>
      </c>
      <c r="K124" s="50"/>
    </row>
    <row r="125" spans="1:13">
      <c r="A125" s="79">
        <v>41815</v>
      </c>
      <c r="B125" s="18" t="s">
        <v>391</v>
      </c>
      <c r="C125" s="67"/>
      <c r="D125" s="44">
        <v>1</v>
      </c>
      <c r="E125" s="44">
        <f t="shared" si="9"/>
        <v>24717.399999999998</v>
      </c>
      <c r="F125" s="67"/>
      <c r="G125" s="59">
        <f t="shared" si="11"/>
        <v>20.20118379667964</v>
      </c>
      <c r="H125" s="67"/>
      <c r="I125" s="60">
        <f t="shared" si="12"/>
        <v>20.20118379667964</v>
      </c>
      <c r="J125" s="61">
        <f t="shared" si="10"/>
        <v>499320.74037604925</v>
      </c>
      <c r="K125" s="50"/>
    </row>
    <row r="126" spans="1:13">
      <c r="A126" s="79">
        <v>41815</v>
      </c>
      <c r="B126" s="18" t="s">
        <v>392</v>
      </c>
      <c r="C126" s="67"/>
      <c r="D126" s="44">
        <f>2*5</f>
        <v>10</v>
      </c>
      <c r="E126" s="44">
        <f t="shared" si="9"/>
        <v>24707.399999999998</v>
      </c>
      <c r="F126" s="67"/>
      <c r="G126" s="59">
        <f t="shared" si="11"/>
        <v>20.20118379667964</v>
      </c>
      <c r="H126" s="67"/>
      <c r="I126" s="60">
        <f t="shared" si="12"/>
        <v>202.01183796679641</v>
      </c>
      <c r="J126" s="61">
        <f t="shared" si="10"/>
        <v>499118.72853808245</v>
      </c>
      <c r="K126" s="50"/>
    </row>
    <row r="127" spans="1:13">
      <c r="A127" s="79">
        <v>41816</v>
      </c>
      <c r="B127" s="18" t="s">
        <v>393</v>
      </c>
      <c r="C127" s="67"/>
      <c r="D127" s="44">
        <f>6*5.2+4*6.2+2*5+3*4.1</f>
        <v>78.3</v>
      </c>
      <c r="E127" s="44">
        <f t="shared" si="9"/>
        <v>24629.1</v>
      </c>
      <c r="F127" s="67"/>
      <c r="G127" s="59">
        <f t="shared" si="11"/>
        <v>20.201183796679636</v>
      </c>
      <c r="H127" s="67"/>
      <c r="I127" s="60">
        <f t="shared" si="12"/>
        <v>1581.7526912800154</v>
      </c>
      <c r="J127" s="61">
        <f t="shared" si="10"/>
        <v>497536.97584680241</v>
      </c>
      <c r="K127" s="50"/>
    </row>
    <row r="128" spans="1:13" s="20" customFormat="1">
      <c r="A128" s="79">
        <v>41817</v>
      </c>
      <c r="B128" s="18" t="s">
        <v>433</v>
      </c>
      <c r="C128" s="67"/>
      <c r="D128" s="44">
        <f>38*5.35+7.6</f>
        <v>210.89999999999998</v>
      </c>
      <c r="E128" s="44">
        <f t="shared" si="9"/>
        <v>24418.199999999997</v>
      </c>
      <c r="F128" s="67"/>
      <c r="G128" s="59">
        <f t="shared" si="11"/>
        <v>20.201183796679636</v>
      </c>
      <c r="H128" s="67"/>
      <c r="I128" s="60">
        <f>D128*G128</f>
        <v>4260.4296627197346</v>
      </c>
      <c r="J128" s="61">
        <f t="shared" si="10"/>
        <v>493276.54618408269</v>
      </c>
      <c r="K128" s="50"/>
    </row>
    <row r="129" spans="1:14">
      <c r="A129" s="79">
        <v>41818</v>
      </c>
      <c r="B129" s="18" t="s">
        <v>399</v>
      </c>
      <c r="C129" s="67"/>
      <c r="D129" s="44">
        <f>11*4.55+12*5.8+12*5.95+14*5.75+3*2+5*6</f>
        <v>307.55</v>
      </c>
      <c r="E129" s="44">
        <f t="shared" si="9"/>
        <v>24110.649999999998</v>
      </c>
      <c r="F129" s="67"/>
      <c r="G129" s="59">
        <f t="shared" si="11"/>
        <v>20.20118379667964</v>
      </c>
      <c r="H129" s="67"/>
      <c r="I129" s="60">
        <f t="shared" ref="I129:I165" si="13">D129*G129</f>
        <v>6212.8740766688234</v>
      </c>
      <c r="J129" s="61">
        <f t="shared" si="10"/>
        <v>487063.67210741388</v>
      </c>
      <c r="K129" s="111">
        <f>SUM(I105:I129)</f>
        <v>72581.439298604193</v>
      </c>
      <c r="L129" s="145">
        <v>41820</v>
      </c>
      <c r="M129" s="123">
        <f>SUM(I118:I129)</f>
        <v>17436.045758590131</v>
      </c>
      <c r="N129" s="123">
        <f>SUM(M117:M129)</f>
        <v>72581.439298604193</v>
      </c>
    </row>
    <row r="130" spans="1:14">
      <c r="A130" s="79">
        <v>41822</v>
      </c>
      <c r="B130" s="18" t="s">
        <v>403</v>
      </c>
      <c r="C130" s="67"/>
      <c r="D130" s="44">
        <f>20*3</f>
        <v>60</v>
      </c>
      <c r="E130" s="44">
        <f t="shared" si="9"/>
        <v>24050.649999999998</v>
      </c>
      <c r="F130" s="67"/>
      <c r="G130" s="59">
        <f t="shared" si="11"/>
        <v>20.20118379667964</v>
      </c>
      <c r="H130" s="67"/>
      <c r="I130" s="60">
        <f t="shared" si="13"/>
        <v>1212.0710278007784</v>
      </c>
      <c r="J130" s="61">
        <f t="shared" si="10"/>
        <v>485851.60107961309</v>
      </c>
      <c r="K130" s="50"/>
    </row>
    <row r="131" spans="1:14">
      <c r="A131" s="79">
        <v>41822</v>
      </c>
      <c r="B131" s="18" t="s">
        <v>404</v>
      </c>
      <c r="C131" s="67"/>
      <c r="D131" s="44">
        <f>6*4.3</f>
        <v>25.799999999999997</v>
      </c>
      <c r="E131" s="44">
        <f t="shared" si="9"/>
        <v>24024.85</v>
      </c>
      <c r="F131" s="67"/>
      <c r="G131" s="59">
        <f t="shared" si="11"/>
        <v>20.201183796679636</v>
      </c>
      <c r="H131" s="67"/>
      <c r="I131" s="60">
        <f t="shared" si="13"/>
        <v>521.19054195433455</v>
      </c>
      <c r="J131" s="61">
        <f t="shared" si="10"/>
        <v>485330.41053765872</v>
      </c>
      <c r="K131" s="50"/>
    </row>
    <row r="132" spans="1:14">
      <c r="A132" s="79">
        <v>41822</v>
      </c>
      <c r="B132" s="18" t="s">
        <v>406</v>
      </c>
      <c r="C132" s="67"/>
      <c r="D132" s="44">
        <f>20</f>
        <v>20</v>
      </c>
      <c r="E132" s="44">
        <f t="shared" si="9"/>
        <v>24004.85</v>
      </c>
      <c r="F132" s="67"/>
      <c r="G132" s="59">
        <f t="shared" si="11"/>
        <v>20.201183796679636</v>
      </c>
      <c r="H132" s="67"/>
      <c r="I132" s="60">
        <f t="shared" si="13"/>
        <v>404.0236759335927</v>
      </c>
      <c r="J132" s="61">
        <f t="shared" si="10"/>
        <v>484926.38686172513</v>
      </c>
      <c r="K132" s="50"/>
    </row>
    <row r="133" spans="1:14">
      <c r="A133" s="79">
        <v>41824</v>
      </c>
      <c r="B133" s="18" t="s">
        <v>407</v>
      </c>
      <c r="C133" s="67"/>
      <c r="D133" s="44">
        <f>11*6.7</f>
        <v>73.7</v>
      </c>
      <c r="E133" s="44">
        <f t="shared" si="9"/>
        <v>23931.149999999998</v>
      </c>
      <c r="F133" s="67"/>
      <c r="G133" s="59">
        <f t="shared" si="11"/>
        <v>20.201183796679636</v>
      </c>
      <c r="H133" s="67"/>
      <c r="I133" s="60">
        <f t="shared" si="13"/>
        <v>1488.8272458152892</v>
      </c>
      <c r="J133" s="61">
        <f t="shared" si="10"/>
        <v>483437.55961590982</v>
      </c>
      <c r="K133" s="50"/>
    </row>
    <row r="134" spans="1:14">
      <c r="A134" s="79">
        <v>41824</v>
      </c>
      <c r="B134" s="18" t="s">
        <v>410</v>
      </c>
      <c r="C134" s="67"/>
      <c r="D134" s="44">
        <f>12*1.5+2*3</f>
        <v>24</v>
      </c>
      <c r="E134" s="44">
        <f t="shared" si="9"/>
        <v>23907.149999999998</v>
      </c>
      <c r="F134" s="67"/>
      <c r="G134" s="59">
        <f t="shared" si="11"/>
        <v>20.201183796679636</v>
      </c>
      <c r="H134" s="67"/>
      <c r="I134" s="60">
        <f t="shared" si="13"/>
        <v>484.82841112031127</v>
      </c>
      <c r="J134" s="61">
        <f t="shared" si="10"/>
        <v>482952.73120478948</v>
      </c>
      <c r="K134" s="50"/>
    </row>
    <row r="135" spans="1:14">
      <c r="A135" s="79">
        <v>41827</v>
      </c>
      <c r="B135" s="18" t="s">
        <v>413</v>
      </c>
      <c r="C135" s="67"/>
      <c r="D135" s="44">
        <f>11*6.25</f>
        <v>68.75</v>
      </c>
      <c r="E135" s="44">
        <f t="shared" ref="E135:E198" si="14">+E134-D135</f>
        <v>23838.399999999998</v>
      </c>
      <c r="F135" s="67"/>
      <c r="G135" s="59">
        <f t="shared" si="11"/>
        <v>20.201183796679633</v>
      </c>
      <c r="H135" s="67"/>
      <c r="I135" s="60">
        <f t="shared" si="13"/>
        <v>1388.8313860217247</v>
      </c>
      <c r="J135" s="61">
        <f t="shared" ref="J135:J198" si="15">+J134-I135</f>
        <v>481563.89981876774</v>
      </c>
      <c r="K135" s="50"/>
    </row>
    <row r="136" spans="1:14">
      <c r="A136" s="79">
        <v>41827</v>
      </c>
      <c r="B136" s="18" t="s">
        <v>414</v>
      </c>
      <c r="C136" s="67"/>
      <c r="D136" s="44">
        <f>1.78+0.99+0.92+0.6</f>
        <v>4.29</v>
      </c>
      <c r="E136" s="44">
        <f t="shared" si="14"/>
        <v>23834.109999999997</v>
      </c>
      <c r="F136" s="67"/>
      <c r="G136" s="59">
        <f t="shared" si="11"/>
        <v>20.201183796679633</v>
      </c>
      <c r="H136" s="67"/>
      <c r="I136" s="60">
        <f t="shared" si="13"/>
        <v>86.663078487755627</v>
      </c>
      <c r="J136" s="61">
        <f t="shared" si="15"/>
        <v>481477.23674028</v>
      </c>
      <c r="K136" s="50"/>
    </row>
    <row r="137" spans="1:14">
      <c r="A137" s="79">
        <v>41827</v>
      </c>
      <c r="B137" s="18" t="s">
        <v>416</v>
      </c>
      <c r="C137" s="67"/>
      <c r="D137" s="44">
        <f>8*2.7</f>
        <v>21.6</v>
      </c>
      <c r="E137" s="44">
        <f t="shared" si="14"/>
        <v>23812.51</v>
      </c>
      <c r="F137" s="67"/>
      <c r="G137" s="59">
        <f t="shared" si="11"/>
        <v>20.201183796679636</v>
      </c>
      <c r="H137" s="67"/>
      <c r="I137" s="60">
        <f t="shared" si="13"/>
        <v>436.34557000828016</v>
      </c>
      <c r="J137" s="61">
        <f t="shared" si="15"/>
        <v>481040.89117027173</v>
      </c>
      <c r="K137" s="50"/>
    </row>
    <row r="138" spans="1:14">
      <c r="A138" s="79">
        <v>41830</v>
      </c>
      <c r="B138" s="18" t="s">
        <v>435</v>
      </c>
      <c r="C138" s="63"/>
      <c r="D138" s="44">
        <f>2*5.4+2*5.2+2*4.9+2*4.4+2*3.8+2*3.1</f>
        <v>53.600000000000009</v>
      </c>
      <c r="E138" s="44">
        <f t="shared" si="14"/>
        <v>23758.91</v>
      </c>
      <c r="F138" s="67"/>
      <c r="G138" s="59">
        <f t="shared" si="11"/>
        <v>20.201183796679633</v>
      </c>
      <c r="H138" s="67"/>
      <c r="I138" s="60">
        <f t="shared" si="13"/>
        <v>1082.7834515020286</v>
      </c>
      <c r="J138" s="61">
        <f t="shared" si="15"/>
        <v>479958.10771876969</v>
      </c>
      <c r="K138" s="50"/>
    </row>
    <row r="139" spans="1:14">
      <c r="A139" s="79">
        <v>41830</v>
      </c>
      <c r="B139" s="18" t="s">
        <v>436</v>
      </c>
      <c r="C139" s="63"/>
      <c r="D139" s="44">
        <f>11*3.57+6*3.4+5*3+4.6</f>
        <v>79.269999999999982</v>
      </c>
      <c r="E139" s="44">
        <f t="shared" si="14"/>
        <v>23679.64</v>
      </c>
      <c r="F139" s="67"/>
      <c r="G139" s="59">
        <f t="shared" si="11"/>
        <v>20.201183796679633</v>
      </c>
      <c r="H139" s="67"/>
      <c r="I139" s="60">
        <f t="shared" si="13"/>
        <v>1601.3478395627942</v>
      </c>
      <c r="J139" s="61">
        <f t="shared" si="15"/>
        <v>478356.75987920689</v>
      </c>
      <c r="K139" s="50"/>
    </row>
    <row r="140" spans="1:14">
      <c r="A140" s="79">
        <v>41831</v>
      </c>
      <c r="B140" s="18" t="s">
        <v>438</v>
      </c>
      <c r="C140" s="63"/>
      <c r="D140" s="44">
        <f>7*5.05</f>
        <v>35.35</v>
      </c>
      <c r="E140" s="44">
        <f t="shared" si="14"/>
        <v>23644.29</v>
      </c>
      <c r="F140" s="67"/>
      <c r="G140" s="59">
        <f t="shared" si="11"/>
        <v>20.201183796679633</v>
      </c>
      <c r="H140" s="67"/>
      <c r="I140" s="60">
        <f t="shared" si="13"/>
        <v>714.11184721262509</v>
      </c>
      <c r="J140" s="61">
        <f t="shared" si="15"/>
        <v>477642.64803199429</v>
      </c>
      <c r="K140" s="50"/>
    </row>
    <row r="141" spans="1:14">
      <c r="A141" s="79">
        <v>41832</v>
      </c>
      <c r="B141" s="18" t="s">
        <v>442</v>
      </c>
      <c r="C141" s="63"/>
      <c r="D141" s="44">
        <f>5*3+5*0.93+5*2</f>
        <v>29.65</v>
      </c>
      <c r="E141" s="44">
        <f t="shared" si="14"/>
        <v>23614.639999999999</v>
      </c>
      <c r="F141" s="67"/>
      <c r="G141" s="59">
        <f t="shared" si="11"/>
        <v>20.201183796679633</v>
      </c>
      <c r="H141" s="67"/>
      <c r="I141" s="60">
        <f t="shared" si="13"/>
        <v>598.96509957155104</v>
      </c>
      <c r="J141" s="61">
        <f t="shared" si="15"/>
        <v>477043.68293242273</v>
      </c>
      <c r="K141" s="50"/>
    </row>
    <row r="142" spans="1:14">
      <c r="A142" s="79">
        <v>41834</v>
      </c>
      <c r="B142" s="18" t="s">
        <v>443</v>
      </c>
      <c r="C142" s="63"/>
      <c r="D142" s="44">
        <f>18*5.5</f>
        <v>99</v>
      </c>
      <c r="E142" s="44">
        <f t="shared" si="14"/>
        <v>23515.64</v>
      </c>
      <c r="F142" s="67"/>
      <c r="G142" s="59">
        <f t="shared" si="11"/>
        <v>20.201183796679633</v>
      </c>
      <c r="H142" s="67"/>
      <c r="I142" s="60">
        <f t="shared" si="13"/>
        <v>1999.9171958712836</v>
      </c>
      <c r="J142" s="61">
        <f t="shared" si="15"/>
        <v>475043.76573655143</v>
      </c>
      <c r="K142" s="50"/>
    </row>
    <row r="143" spans="1:14">
      <c r="A143" s="79">
        <v>41835</v>
      </c>
      <c r="B143" s="18" t="s">
        <v>446</v>
      </c>
      <c r="C143" s="63"/>
      <c r="D143" s="44">
        <f>61*7</f>
        <v>427</v>
      </c>
      <c r="E143" s="44">
        <f t="shared" si="14"/>
        <v>23088.639999999999</v>
      </c>
      <c r="F143" s="67"/>
      <c r="G143" s="59">
        <f t="shared" si="11"/>
        <v>20.201183796679633</v>
      </c>
      <c r="H143" s="67"/>
      <c r="I143" s="60">
        <f t="shared" si="13"/>
        <v>8625.9054811822025</v>
      </c>
      <c r="J143" s="61">
        <f t="shared" si="15"/>
        <v>466417.86025536922</v>
      </c>
      <c r="K143" s="50"/>
      <c r="L143" s="145">
        <v>41835</v>
      </c>
      <c r="M143" s="123">
        <f>SUM(I130:I143)</f>
        <v>20645.81185204455</v>
      </c>
    </row>
    <row r="144" spans="1:14">
      <c r="A144" s="79">
        <v>41836</v>
      </c>
      <c r="B144" s="18" t="s">
        <v>448</v>
      </c>
      <c r="C144" s="63"/>
      <c r="D144" s="44">
        <f>2*5.3</f>
        <v>10.6</v>
      </c>
      <c r="E144" s="44">
        <f t="shared" si="14"/>
        <v>23078.04</v>
      </c>
      <c r="F144" s="67"/>
      <c r="G144" s="59">
        <f t="shared" si="11"/>
        <v>20.201183796679633</v>
      </c>
      <c r="H144" s="67"/>
      <c r="I144" s="60">
        <f t="shared" si="13"/>
        <v>214.1325482448041</v>
      </c>
      <c r="J144" s="61">
        <f t="shared" si="15"/>
        <v>466203.72770712443</v>
      </c>
      <c r="K144" s="50"/>
    </row>
    <row r="145" spans="1:14">
      <c r="A145" s="79">
        <v>41836</v>
      </c>
      <c r="B145" s="18" t="s">
        <v>449</v>
      </c>
      <c r="C145" s="63"/>
      <c r="D145" s="44">
        <f>16*6.2</f>
        <v>99.2</v>
      </c>
      <c r="E145" s="44">
        <f t="shared" si="14"/>
        <v>22978.84</v>
      </c>
      <c r="F145" s="67"/>
      <c r="G145" s="59">
        <f t="shared" si="11"/>
        <v>20.201183796679633</v>
      </c>
      <c r="H145" s="67"/>
      <c r="I145" s="60">
        <f t="shared" si="13"/>
        <v>2003.9574326306197</v>
      </c>
      <c r="J145" s="61">
        <f t="shared" si="15"/>
        <v>464199.77027449379</v>
      </c>
      <c r="K145" s="50"/>
    </row>
    <row r="146" spans="1:14">
      <c r="A146" s="79">
        <v>41836</v>
      </c>
      <c r="B146" s="18" t="s">
        <v>451</v>
      </c>
      <c r="C146" s="63"/>
      <c r="D146" s="44">
        <f>20*3.6+5.4</f>
        <v>77.400000000000006</v>
      </c>
      <c r="E146" s="44">
        <f t="shared" si="14"/>
        <v>22901.439999999999</v>
      </c>
      <c r="F146" s="67"/>
      <c r="G146" s="59">
        <f t="shared" si="11"/>
        <v>20.201183796679633</v>
      </c>
      <c r="H146" s="67"/>
      <c r="I146" s="60">
        <f t="shared" si="13"/>
        <v>1563.5716258630036</v>
      </c>
      <c r="J146" s="61">
        <f t="shared" si="15"/>
        <v>462636.19864863076</v>
      </c>
      <c r="K146" s="50"/>
    </row>
    <row r="147" spans="1:14">
      <c r="A147" s="79">
        <v>41837</v>
      </c>
      <c r="B147" s="18" t="s">
        <v>458</v>
      </c>
      <c r="C147" s="63"/>
      <c r="D147" s="44">
        <f>5.5+6+2*6.3+6.2+5.7+5.2+4.6+4.2+3.6</f>
        <v>53.600000000000009</v>
      </c>
      <c r="E147" s="44">
        <f t="shared" si="14"/>
        <v>22847.84</v>
      </c>
      <c r="F147" s="67"/>
      <c r="G147" s="59">
        <f t="shared" si="11"/>
        <v>20.201183796679633</v>
      </c>
      <c r="H147" s="67"/>
      <c r="I147" s="60">
        <f t="shared" si="13"/>
        <v>1082.7834515020286</v>
      </c>
      <c r="J147" s="61">
        <f t="shared" si="15"/>
        <v>461553.41519712872</v>
      </c>
      <c r="K147" s="50"/>
    </row>
    <row r="148" spans="1:14">
      <c r="A148" s="79">
        <v>41838</v>
      </c>
      <c r="B148" s="18" t="s">
        <v>459</v>
      </c>
      <c r="C148" s="63"/>
      <c r="D148" s="44">
        <f>5*5</f>
        <v>25</v>
      </c>
      <c r="E148" s="44">
        <f t="shared" si="14"/>
        <v>22822.84</v>
      </c>
      <c r="F148" s="67"/>
      <c r="G148" s="59">
        <f t="shared" si="11"/>
        <v>20.201183796679629</v>
      </c>
      <c r="H148" s="67"/>
      <c r="I148" s="60">
        <f t="shared" si="13"/>
        <v>505.02959491699073</v>
      </c>
      <c r="J148" s="61">
        <f t="shared" si="15"/>
        <v>461048.38560221175</v>
      </c>
      <c r="K148" s="50"/>
    </row>
    <row r="149" spans="1:14">
      <c r="A149" s="79">
        <v>41839</v>
      </c>
      <c r="B149" s="18" t="s">
        <v>464</v>
      </c>
      <c r="C149" s="63"/>
      <c r="D149" s="44">
        <v>0</v>
      </c>
      <c r="E149" s="44">
        <f t="shared" si="14"/>
        <v>22822.84</v>
      </c>
      <c r="F149" s="67"/>
      <c r="G149" s="59">
        <f t="shared" si="11"/>
        <v>20.201183796679633</v>
      </c>
      <c r="H149" s="67"/>
      <c r="I149" s="60">
        <f t="shared" si="13"/>
        <v>0</v>
      </c>
      <c r="J149" s="61">
        <f t="shared" si="15"/>
        <v>461048.38560221175</v>
      </c>
      <c r="K149" s="50"/>
    </row>
    <row r="150" spans="1:14">
      <c r="A150" s="79">
        <v>41841</v>
      </c>
      <c r="B150" s="18" t="s">
        <v>465</v>
      </c>
      <c r="C150" s="63"/>
      <c r="D150" s="44">
        <f>7*6.6</f>
        <v>46.199999999999996</v>
      </c>
      <c r="E150" s="44">
        <f t="shared" si="14"/>
        <v>22776.639999999999</v>
      </c>
      <c r="F150" s="67"/>
      <c r="G150" s="59">
        <f t="shared" si="11"/>
        <v>20.201183796679633</v>
      </c>
      <c r="H150" s="67"/>
      <c r="I150" s="60">
        <f t="shared" si="13"/>
        <v>933.29469140659899</v>
      </c>
      <c r="J150" s="61">
        <f t="shared" si="15"/>
        <v>460115.09091080516</v>
      </c>
      <c r="K150" s="50"/>
    </row>
    <row r="151" spans="1:14">
      <c r="A151" s="79">
        <v>41841</v>
      </c>
      <c r="B151" s="18" t="s">
        <v>468</v>
      </c>
      <c r="C151" s="63"/>
      <c r="D151" s="44">
        <f>6*1.5</f>
        <v>9</v>
      </c>
      <c r="E151" s="44">
        <f t="shared" si="14"/>
        <v>22767.64</v>
      </c>
      <c r="F151" s="67"/>
      <c r="G151" s="59">
        <f t="shared" si="11"/>
        <v>20.201183796679633</v>
      </c>
      <c r="H151" s="67"/>
      <c r="I151" s="60">
        <f t="shared" si="13"/>
        <v>181.81065417011669</v>
      </c>
      <c r="J151" s="61">
        <f t="shared" si="15"/>
        <v>459933.28025663504</v>
      </c>
      <c r="K151" s="50"/>
    </row>
    <row r="152" spans="1:14">
      <c r="A152" s="79">
        <v>41841</v>
      </c>
      <c r="B152" s="18" t="s">
        <v>469</v>
      </c>
      <c r="C152" s="63"/>
      <c r="D152" s="44">
        <f>8*6.38</f>
        <v>51.04</v>
      </c>
      <c r="E152" s="44">
        <f t="shared" si="14"/>
        <v>22716.6</v>
      </c>
      <c r="F152" s="67"/>
      <c r="G152" s="59">
        <f t="shared" si="11"/>
        <v>20.201183796679633</v>
      </c>
      <c r="H152" s="67"/>
      <c r="I152" s="60">
        <f t="shared" si="13"/>
        <v>1031.0684209825286</v>
      </c>
      <c r="J152" s="61">
        <f t="shared" si="15"/>
        <v>458902.21183565253</v>
      </c>
      <c r="K152" s="50"/>
    </row>
    <row r="153" spans="1:14">
      <c r="A153" s="79">
        <v>41845</v>
      </c>
      <c r="B153" s="18" t="s">
        <v>471</v>
      </c>
      <c r="C153" s="63"/>
      <c r="D153" s="44">
        <f>2*3</f>
        <v>6</v>
      </c>
      <c r="E153" s="44">
        <f t="shared" si="14"/>
        <v>22710.6</v>
      </c>
      <c r="F153" s="67"/>
      <c r="G153" s="59">
        <f t="shared" si="11"/>
        <v>20.201183796679633</v>
      </c>
      <c r="H153" s="67"/>
      <c r="I153" s="60">
        <f t="shared" si="13"/>
        <v>121.2071027800778</v>
      </c>
      <c r="J153" s="61">
        <f t="shared" si="15"/>
        <v>458781.00473287248</v>
      </c>
      <c r="K153" s="50"/>
    </row>
    <row r="154" spans="1:14">
      <c r="A154" s="79">
        <v>41845</v>
      </c>
      <c r="B154" s="18" t="s">
        <v>474</v>
      </c>
      <c r="C154" s="63"/>
      <c r="D154" s="44">
        <f>4.77+5.25+5.28+5.5+5.71+5.94+6.15+6.4+6.57+6.8+7.02</f>
        <v>65.39</v>
      </c>
      <c r="E154" s="44">
        <f t="shared" si="14"/>
        <v>22645.21</v>
      </c>
      <c r="F154" s="67"/>
      <c r="G154" s="59">
        <f t="shared" si="11"/>
        <v>20.201183796679633</v>
      </c>
      <c r="H154" s="67"/>
      <c r="I154" s="60">
        <f t="shared" si="13"/>
        <v>1320.9554084648812</v>
      </c>
      <c r="J154" s="61">
        <f t="shared" si="15"/>
        <v>457460.04932440759</v>
      </c>
      <c r="K154" s="50"/>
    </row>
    <row r="155" spans="1:14">
      <c r="A155" s="79">
        <v>41848</v>
      </c>
      <c r="B155" s="18" t="s">
        <v>475</v>
      </c>
      <c r="C155" s="63"/>
      <c r="D155" s="44">
        <f>4.6+2*4+7*3.9</f>
        <v>39.9</v>
      </c>
      <c r="E155" s="44">
        <f t="shared" si="14"/>
        <v>22605.309999999998</v>
      </c>
      <c r="F155" s="67"/>
      <c r="G155" s="59">
        <f t="shared" si="11"/>
        <v>20.201183796679633</v>
      </c>
      <c r="H155" s="67"/>
      <c r="I155" s="60">
        <f t="shared" si="13"/>
        <v>806.02723348751726</v>
      </c>
      <c r="J155" s="61">
        <f t="shared" si="15"/>
        <v>456654.02209092007</v>
      </c>
      <c r="K155" s="50"/>
    </row>
    <row r="156" spans="1:14">
      <c r="A156" s="79">
        <v>41849</v>
      </c>
      <c r="B156" s="18" t="s">
        <v>477</v>
      </c>
      <c r="C156" s="63"/>
      <c r="D156" s="44">
        <f>2*3</f>
        <v>6</v>
      </c>
      <c r="E156" s="44">
        <f t="shared" si="14"/>
        <v>22599.309999999998</v>
      </c>
      <c r="F156" s="67"/>
      <c r="G156" s="59">
        <f t="shared" si="11"/>
        <v>20.201183796679636</v>
      </c>
      <c r="H156" s="67"/>
      <c r="I156" s="60">
        <f t="shared" si="13"/>
        <v>121.20710278007782</v>
      </c>
      <c r="J156" s="61">
        <f t="shared" si="15"/>
        <v>456532.81498814002</v>
      </c>
      <c r="K156" s="50"/>
    </row>
    <row r="157" spans="1:14">
      <c r="A157" s="79">
        <v>41849</v>
      </c>
      <c r="B157" s="18" t="s">
        <v>479</v>
      </c>
      <c r="C157" s="63"/>
      <c r="D157" s="44">
        <f>3*5.3+5*3.35+2.8+2.3+1.5+1.1+4+3+2+1</f>
        <v>50.349999999999994</v>
      </c>
      <c r="E157" s="44">
        <f t="shared" si="14"/>
        <v>22548.959999999999</v>
      </c>
      <c r="F157" s="67"/>
      <c r="G157" s="59">
        <f t="shared" si="11"/>
        <v>20.201183796679636</v>
      </c>
      <c r="H157" s="67"/>
      <c r="I157" s="60">
        <f t="shared" si="13"/>
        <v>1017.1296041628195</v>
      </c>
      <c r="J157" s="61">
        <f t="shared" si="15"/>
        <v>455515.68538397719</v>
      </c>
      <c r="K157" s="50"/>
    </row>
    <row r="158" spans="1:14">
      <c r="A158" s="79">
        <v>41849</v>
      </c>
      <c r="B158" s="18" t="s">
        <v>480</v>
      </c>
      <c r="C158" s="63"/>
      <c r="D158" s="44">
        <f>12*2.44</f>
        <v>29.28</v>
      </c>
      <c r="E158" s="44">
        <f t="shared" si="14"/>
        <v>22519.68</v>
      </c>
      <c r="F158" s="67"/>
      <c r="G158" s="59">
        <f t="shared" si="11"/>
        <v>20.201183796679633</v>
      </c>
      <c r="H158" s="67"/>
      <c r="I158" s="60">
        <f t="shared" si="13"/>
        <v>591.49066156677964</v>
      </c>
      <c r="J158" s="61">
        <f t="shared" si="15"/>
        <v>454924.19472241041</v>
      </c>
      <c r="K158" s="50"/>
    </row>
    <row r="159" spans="1:14">
      <c r="A159" s="79">
        <v>41850</v>
      </c>
      <c r="B159" s="18" t="s">
        <v>482</v>
      </c>
      <c r="C159" s="63"/>
      <c r="D159" s="44">
        <f>92*5.1+9.2</f>
        <v>478.4</v>
      </c>
      <c r="E159" s="44">
        <f t="shared" si="14"/>
        <v>22041.279999999999</v>
      </c>
      <c r="F159" s="67"/>
      <c r="G159" s="59">
        <f t="shared" si="11"/>
        <v>20.201183796679633</v>
      </c>
      <c r="H159" s="67"/>
      <c r="I159" s="60">
        <f t="shared" si="13"/>
        <v>9664.2463283315356</v>
      </c>
      <c r="J159" s="61">
        <f t="shared" si="15"/>
        <v>445259.94839407888</v>
      </c>
      <c r="K159" s="50"/>
    </row>
    <row r="160" spans="1:14">
      <c r="A160" s="79">
        <v>41851</v>
      </c>
      <c r="B160" s="18" t="s">
        <v>485</v>
      </c>
      <c r="C160" s="18"/>
      <c r="D160" s="44">
        <f>8*6.5+4*0.5</f>
        <v>54</v>
      </c>
      <c r="E160" s="44">
        <f t="shared" si="14"/>
        <v>21987.279999999999</v>
      </c>
      <c r="F160" s="94"/>
      <c r="G160" s="59">
        <f t="shared" si="11"/>
        <v>20.201183796679636</v>
      </c>
      <c r="H160" s="94"/>
      <c r="I160" s="60">
        <f t="shared" si="13"/>
        <v>1090.8639250207004</v>
      </c>
      <c r="J160" s="60">
        <f t="shared" si="15"/>
        <v>444169.0844690582</v>
      </c>
      <c r="K160" s="111">
        <f>SUM(I130:I160)</f>
        <v>42894.587638355631</v>
      </c>
      <c r="L160" s="145">
        <v>41850</v>
      </c>
      <c r="M160" s="123">
        <f>SUM(I144:I160)</f>
        <v>22248.775786311078</v>
      </c>
      <c r="N160" s="123">
        <f>SUM(M143:M160)</f>
        <v>42894.587638355631</v>
      </c>
    </row>
    <row r="161" spans="1:11">
      <c r="A161" s="79">
        <v>41855</v>
      </c>
      <c r="B161" s="18" t="s">
        <v>486</v>
      </c>
      <c r="C161" s="63"/>
      <c r="D161" s="18">
        <f>4*5+6*3.38</f>
        <v>40.28</v>
      </c>
      <c r="E161" s="44">
        <f t="shared" si="14"/>
        <v>21947</v>
      </c>
      <c r="F161" s="67"/>
      <c r="G161" s="59">
        <f t="shared" si="11"/>
        <v>20.201183796679636</v>
      </c>
      <c r="H161" s="67"/>
      <c r="I161" s="60">
        <f t="shared" si="13"/>
        <v>813.70368333025579</v>
      </c>
      <c r="J161" s="61">
        <f t="shared" si="15"/>
        <v>443355.38078572793</v>
      </c>
      <c r="K161" s="50"/>
    </row>
    <row r="162" spans="1:11">
      <c r="A162" s="79">
        <v>41856</v>
      </c>
      <c r="B162" s="18" t="s">
        <v>487</v>
      </c>
      <c r="C162" s="63"/>
      <c r="D162" s="18">
        <f>26*6.74+26*6.24+25*5+10.5</f>
        <v>472.98</v>
      </c>
      <c r="E162" s="44">
        <f t="shared" si="14"/>
        <v>21474.02</v>
      </c>
      <c r="F162" s="67"/>
      <c r="G162" s="59">
        <f t="shared" si="11"/>
        <v>20.201183796679633</v>
      </c>
      <c r="H162" s="67"/>
      <c r="I162" s="60">
        <f t="shared" si="13"/>
        <v>9554.7559121535323</v>
      </c>
      <c r="J162" s="61">
        <f t="shared" si="15"/>
        <v>433800.62487357442</v>
      </c>
      <c r="K162" s="50"/>
    </row>
    <row r="163" spans="1:11">
      <c r="A163" s="79">
        <v>41858</v>
      </c>
      <c r="B163" s="18" t="s">
        <v>488</v>
      </c>
      <c r="C163" s="63"/>
      <c r="D163" s="18">
        <f>12*5</f>
        <v>60</v>
      </c>
      <c r="E163" s="44">
        <f t="shared" si="14"/>
        <v>21414.02</v>
      </c>
      <c r="F163" s="67"/>
      <c r="G163" s="59">
        <f t="shared" si="11"/>
        <v>20.201183796679633</v>
      </c>
      <c r="H163" s="67"/>
      <c r="I163" s="60">
        <f t="shared" si="13"/>
        <v>1212.071027800778</v>
      </c>
      <c r="J163" s="61">
        <f t="shared" si="15"/>
        <v>432588.55384577363</v>
      </c>
      <c r="K163" s="50"/>
    </row>
    <row r="164" spans="1:11">
      <c r="A164" s="79">
        <v>41858</v>
      </c>
      <c r="B164" s="18" t="s">
        <v>489</v>
      </c>
      <c r="C164" s="63"/>
      <c r="D164" s="18">
        <f>10*2.8</f>
        <v>28</v>
      </c>
      <c r="E164" s="44">
        <f t="shared" si="14"/>
        <v>21386.02</v>
      </c>
      <c r="F164" s="67"/>
      <c r="G164" s="59">
        <f t="shared" si="11"/>
        <v>20.201183796679633</v>
      </c>
      <c r="H164" s="67"/>
      <c r="I164" s="60">
        <f t="shared" si="13"/>
        <v>565.63314630702973</v>
      </c>
      <c r="J164" s="61">
        <f t="shared" si="15"/>
        <v>432022.9206994666</v>
      </c>
      <c r="K164" s="50"/>
    </row>
    <row r="165" spans="1:11">
      <c r="A165" s="79">
        <v>41859</v>
      </c>
      <c r="B165" s="18" t="s">
        <v>490</v>
      </c>
      <c r="C165" s="63"/>
      <c r="D165" s="18">
        <f>11*5.8</f>
        <v>63.8</v>
      </c>
      <c r="E165" s="44">
        <f t="shared" si="14"/>
        <v>21322.22</v>
      </c>
      <c r="F165" s="67"/>
      <c r="G165" s="59">
        <f t="shared" si="11"/>
        <v>20.201183796679633</v>
      </c>
      <c r="H165" s="67"/>
      <c r="I165" s="60">
        <f t="shared" si="13"/>
        <v>1288.8355262281605</v>
      </c>
      <c r="J165" s="61">
        <f t="shared" si="15"/>
        <v>430734.08517323842</v>
      </c>
      <c r="K165" s="50"/>
    </row>
    <row r="166" spans="1:11" s="20" customFormat="1">
      <c r="A166" s="79">
        <v>41859</v>
      </c>
      <c r="B166" s="18" t="s">
        <v>586</v>
      </c>
      <c r="C166" s="63"/>
      <c r="D166" s="18">
        <f>2*4.4</f>
        <v>8.8000000000000007</v>
      </c>
      <c r="E166" s="44">
        <f t="shared" si="14"/>
        <v>21313.420000000002</v>
      </c>
      <c r="F166" s="67"/>
      <c r="G166" s="59">
        <f t="shared" si="11"/>
        <v>20.201183796679633</v>
      </c>
      <c r="H166" s="67"/>
      <c r="I166" s="60">
        <f t="shared" ref="I166:I213" si="16">D166*G166</f>
        <v>177.77041741078079</v>
      </c>
      <c r="J166" s="61">
        <f t="shared" si="15"/>
        <v>430556.31475582765</v>
      </c>
      <c r="K166" s="50"/>
    </row>
    <row r="167" spans="1:11">
      <c r="A167" s="79">
        <v>41859</v>
      </c>
      <c r="B167" s="18" t="s">
        <v>491</v>
      </c>
      <c r="C167" s="63"/>
      <c r="D167" s="18">
        <f>2*4.4</f>
        <v>8.8000000000000007</v>
      </c>
      <c r="E167" s="44">
        <f t="shared" si="14"/>
        <v>21304.620000000003</v>
      </c>
      <c r="F167" s="67"/>
      <c r="G167" s="59">
        <f t="shared" si="11"/>
        <v>20.201183796679633</v>
      </c>
      <c r="H167" s="67"/>
      <c r="I167" s="60">
        <f t="shared" si="16"/>
        <v>177.77041741078079</v>
      </c>
      <c r="J167" s="61">
        <f t="shared" si="15"/>
        <v>430378.54433841689</v>
      </c>
      <c r="K167" s="50"/>
    </row>
    <row r="168" spans="1:11">
      <c r="A168" s="79">
        <v>41859</v>
      </c>
      <c r="B168" s="18" t="s">
        <v>492</v>
      </c>
      <c r="C168" s="63"/>
      <c r="D168" s="18">
        <v>8.8800000000000008</v>
      </c>
      <c r="E168" s="44">
        <f t="shared" si="14"/>
        <v>21295.74</v>
      </c>
      <c r="F168" s="67"/>
      <c r="G168" s="59">
        <f t="shared" si="11"/>
        <v>20.201183796679633</v>
      </c>
      <c r="H168" s="67"/>
      <c r="I168" s="60">
        <f t="shared" si="16"/>
        <v>179.38651211451514</v>
      </c>
      <c r="J168" s="61">
        <f t="shared" si="15"/>
        <v>430199.1578263024</v>
      </c>
      <c r="K168" s="50"/>
    </row>
    <row r="169" spans="1:11">
      <c r="A169" s="79">
        <v>41860</v>
      </c>
      <c r="B169" s="18" t="s">
        <v>493</v>
      </c>
      <c r="C169" s="63"/>
      <c r="D169" s="18">
        <f>5*4.4</f>
        <v>22</v>
      </c>
      <c r="E169" s="44">
        <f t="shared" si="14"/>
        <v>21273.74</v>
      </c>
      <c r="F169" s="67"/>
      <c r="G169" s="59">
        <f t="shared" si="11"/>
        <v>20.201183796679636</v>
      </c>
      <c r="H169" s="67"/>
      <c r="I169" s="60">
        <f t="shared" si="16"/>
        <v>444.42604352695201</v>
      </c>
      <c r="J169" s="61">
        <f t="shared" si="15"/>
        <v>429754.73178277543</v>
      </c>
      <c r="K169" s="50"/>
    </row>
    <row r="170" spans="1:11">
      <c r="A170" s="79">
        <v>41860</v>
      </c>
      <c r="B170" s="18" t="s">
        <v>494</v>
      </c>
      <c r="C170" s="63"/>
      <c r="D170" s="18">
        <f>10*2</f>
        <v>20</v>
      </c>
      <c r="E170" s="44">
        <f t="shared" si="14"/>
        <v>21253.74</v>
      </c>
      <c r="F170" s="67"/>
      <c r="G170" s="59">
        <f t="shared" si="11"/>
        <v>20.201183796679633</v>
      </c>
      <c r="H170" s="67"/>
      <c r="I170" s="60">
        <f t="shared" si="16"/>
        <v>404.02367593359264</v>
      </c>
      <c r="J170" s="61">
        <f t="shared" si="15"/>
        <v>429350.70810684183</v>
      </c>
      <c r="K170" s="50"/>
    </row>
    <row r="171" spans="1:11">
      <c r="A171" s="79">
        <v>41863</v>
      </c>
      <c r="B171" s="18" t="s">
        <v>495</v>
      </c>
      <c r="C171" s="63"/>
      <c r="D171" s="18">
        <f>16*5</f>
        <v>80</v>
      </c>
      <c r="E171" s="44">
        <f t="shared" si="14"/>
        <v>21173.74</v>
      </c>
      <c r="F171" s="67"/>
      <c r="G171" s="59">
        <f t="shared" si="11"/>
        <v>20.201183796679633</v>
      </c>
      <c r="H171" s="67"/>
      <c r="I171" s="60">
        <f t="shared" si="16"/>
        <v>1616.0947037343706</v>
      </c>
      <c r="J171" s="61">
        <f t="shared" si="15"/>
        <v>427734.61340310745</v>
      </c>
      <c r="K171" s="50"/>
    </row>
    <row r="172" spans="1:11">
      <c r="A172" s="79">
        <v>41863</v>
      </c>
      <c r="B172" s="18" t="s">
        <v>496</v>
      </c>
      <c r="C172" s="63"/>
      <c r="D172" s="18">
        <f>2.5</f>
        <v>2.5</v>
      </c>
      <c r="E172" s="44">
        <f t="shared" si="14"/>
        <v>21171.24</v>
      </c>
      <c r="F172" s="67"/>
      <c r="G172" s="59">
        <f t="shared" si="11"/>
        <v>20.201183796679633</v>
      </c>
      <c r="H172" s="67"/>
      <c r="I172" s="60">
        <f t="shared" si="16"/>
        <v>50.50295949169908</v>
      </c>
      <c r="J172" s="61">
        <f t="shared" si="15"/>
        <v>427684.11044361576</v>
      </c>
      <c r="K172" s="50"/>
    </row>
    <row r="173" spans="1:11">
      <c r="A173" s="79">
        <v>41864</v>
      </c>
      <c r="B173" s="18" t="s">
        <v>497</v>
      </c>
      <c r="C173" s="63"/>
      <c r="D173" s="18">
        <f>17*7.16+17*4.32+6.2+4+2.1</f>
        <v>207.45999999999998</v>
      </c>
      <c r="E173" s="44">
        <f t="shared" si="14"/>
        <v>20963.780000000002</v>
      </c>
      <c r="F173" s="67"/>
      <c r="G173" s="59">
        <f t="shared" si="11"/>
        <v>20.201183796679633</v>
      </c>
      <c r="H173" s="67"/>
      <c r="I173" s="60">
        <f t="shared" si="16"/>
        <v>4190.9375904591561</v>
      </c>
      <c r="J173" s="61">
        <f t="shared" si="15"/>
        <v>423493.17285315663</v>
      </c>
      <c r="K173" s="50"/>
    </row>
    <row r="174" spans="1:11">
      <c r="A174" s="79">
        <v>41865</v>
      </c>
      <c r="B174" s="18" t="s">
        <v>498</v>
      </c>
      <c r="C174" s="63"/>
      <c r="D174" s="18">
        <f>6*5</f>
        <v>30</v>
      </c>
      <c r="E174" s="44">
        <f t="shared" si="14"/>
        <v>20933.780000000002</v>
      </c>
      <c r="F174" s="67"/>
      <c r="G174" s="59">
        <f t="shared" si="11"/>
        <v>20.201183796679633</v>
      </c>
      <c r="H174" s="67"/>
      <c r="I174" s="60">
        <f t="shared" si="16"/>
        <v>606.03551390038899</v>
      </c>
      <c r="J174" s="61">
        <f t="shared" si="15"/>
        <v>422887.13733925624</v>
      </c>
      <c r="K174" s="50"/>
    </row>
    <row r="175" spans="1:11">
      <c r="A175" s="79">
        <v>41865</v>
      </c>
      <c r="B175" s="18" t="s">
        <v>499</v>
      </c>
      <c r="C175" s="63"/>
      <c r="D175" s="18">
        <f>15*6.3+5*3</f>
        <v>109.5</v>
      </c>
      <c r="E175" s="44">
        <f t="shared" si="14"/>
        <v>20824.280000000002</v>
      </c>
      <c r="F175" s="67"/>
      <c r="G175" s="59">
        <f t="shared" si="11"/>
        <v>20.201183796679633</v>
      </c>
      <c r="H175" s="67"/>
      <c r="I175" s="60">
        <f t="shared" si="16"/>
        <v>2212.0296257364198</v>
      </c>
      <c r="J175" s="61">
        <f t="shared" si="15"/>
        <v>420675.10771351983</v>
      </c>
      <c r="K175" s="50"/>
    </row>
    <row r="176" spans="1:11">
      <c r="A176" s="79">
        <v>41865</v>
      </c>
      <c r="B176" s="18" t="s">
        <v>500</v>
      </c>
      <c r="C176" s="63"/>
      <c r="D176" s="18">
        <f>6*4</f>
        <v>24</v>
      </c>
      <c r="E176" s="44">
        <f t="shared" si="14"/>
        <v>20800.280000000002</v>
      </c>
      <c r="F176" s="67"/>
      <c r="G176" s="59">
        <f t="shared" si="11"/>
        <v>20.201183796679633</v>
      </c>
      <c r="H176" s="67"/>
      <c r="I176" s="60">
        <f t="shared" si="16"/>
        <v>484.82841112031122</v>
      </c>
      <c r="J176" s="61">
        <f t="shared" si="15"/>
        <v>420190.27930239949</v>
      </c>
      <c r="K176" s="50"/>
    </row>
    <row r="177" spans="1:13">
      <c r="A177" s="79">
        <v>41866</v>
      </c>
      <c r="B177" s="18" t="s">
        <v>501</v>
      </c>
      <c r="C177" s="63"/>
      <c r="D177" s="18">
        <f>4*6</f>
        <v>24</v>
      </c>
      <c r="E177" s="44">
        <f t="shared" si="14"/>
        <v>20776.280000000002</v>
      </c>
      <c r="F177" s="67"/>
      <c r="G177" s="59">
        <f t="shared" si="11"/>
        <v>20.201183796679633</v>
      </c>
      <c r="H177" s="67"/>
      <c r="I177" s="60">
        <f t="shared" si="16"/>
        <v>484.82841112031122</v>
      </c>
      <c r="J177" s="61">
        <f t="shared" si="15"/>
        <v>419705.45089127915</v>
      </c>
      <c r="K177" s="50"/>
    </row>
    <row r="178" spans="1:13">
      <c r="A178" s="79">
        <v>41866</v>
      </c>
      <c r="B178" s="18" t="s">
        <v>502</v>
      </c>
      <c r="C178" s="63"/>
      <c r="D178" s="18">
        <f>8*0.6</f>
        <v>4.8</v>
      </c>
      <c r="E178" s="44">
        <f t="shared" si="14"/>
        <v>20771.480000000003</v>
      </c>
      <c r="F178" s="67"/>
      <c r="G178" s="59">
        <f t="shared" si="11"/>
        <v>20.201183796679633</v>
      </c>
      <c r="H178" s="67"/>
      <c r="I178" s="60">
        <f t="shared" si="16"/>
        <v>96.965682224062235</v>
      </c>
      <c r="J178" s="61">
        <f t="shared" si="15"/>
        <v>419608.48520905507</v>
      </c>
      <c r="K178" s="50"/>
    </row>
    <row r="179" spans="1:13">
      <c r="A179" s="79">
        <v>41866</v>
      </c>
      <c r="B179" s="18" t="s">
        <v>503</v>
      </c>
      <c r="C179" s="63"/>
      <c r="D179" s="18">
        <f>3*2+3+12</f>
        <v>21</v>
      </c>
      <c r="E179" s="44">
        <f t="shared" si="14"/>
        <v>20750.480000000003</v>
      </c>
      <c r="F179" s="67"/>
      <c r="G179" s="59">
        <f t="shared" si="11"/>
        <v>20.201183796679629</v>
      </c>
      <c r="H179" s="67"/>
      <c r="I179" s="60">
        <f t="shared" si="16"/>
        <v>424.22485973027221</v>
      </c>
      <c r="J179" s="61">
        <f t="shared" si="15"/>
        <v>419184.26034932479</v>
      </c>
      <c r="K179" s="50"/>
      <c r="L179" s="145">
        <v>41866</v>
      </c>
      <c r="M179" s="123">
        <f>SUM(I161:I179)</f>
        <v>24984.824119733366</v>
      </c>
    </row>
    <row r="180" spans="1:13">
      <c r="A180" s="79">
        <v>41869</v>
      </c>
      <c r="B180" s="18" t="s">
        <v>504</v>
      </c>
      <c r="C180" s="63"/>
      <c r="D180" s="18">
        <v>1.5</v>
      </c>
      <c r="E180" s="44">
        <f t="shared" si="14"/>
        <v>20748.980000000003</v>
      </c>
      <c r="F180" s="67"/>
      <c r="G180" s="59">
        <f t="shared" si="11"/>
        <v>20.201183796679629</v>
      </c>
      <c r="H180" s="67"/>
      <c r="I180" s="60">
        <f t="shared" si="16"/>
        <v>30.301775695019444</v>
      </c>
      <c r="J180" s="61">
        <f t="shared" si="15"/>
        <v>419153.95857362979</v>
      </c>
      <c r="K180" s="50"/>
    </row>
    <row r="181" spans="1:13">
      <c r="A181" s="79">
        <v>41869</v>
      </c>
      <c r="B181" s="18" t="s">
        <v>505</v>
      </c>
      <c r="C181" s="63"/>
      <c r="D181" s="18">
        <f>11*5.5+5*5</f>
        <v>85.5</v>
      </c>
      <c r="E181" s="44">
        <f t="shared" si="14"/>
        <v>20663.480000000003</v>
      </c>
      <c r="F181" s="67"/>
      <c r="G181" s="59">
        <f t="shared" ref="G181:G202" si="17">J180/E180</f>
        <v>20.201183796679629</v>
      </c>
      <c r="H181" s="67"/>
      <c r="I181" s="60">
        <f t="shared" si="16"/>
        <v>1727.2012146161082</v>
      </c>
      <c r="J181" s="61">
        <f t="shared" si="15"/>
        <v>417426.75735901366</v>
      </c>
      <c r="K181" s="50"/>
    </row>
    <row r="182" spans="1:13">
      <c r="A182" s="79">
        <v>41870</v>
      </c>
      <c r="B182" s="18" t="s">
        <v>506</v>
      </c>
      <c r="C182" s="63"/>
      <c r="D182" s="18">
        <f>20*3.15</f>
        <v>63</v>
      </c>
      <c r="E182" s="44">
        <f t="shared" si="14"/>
        <v>20600.480000000003</v>
      </c>
      <c r="F182" s="67"/>
      <c r="G182" s="59">
        <f t="shared" si="17"/>
        <v>20.201183796679629</v>
      </c>
      <c r="H182" s="67"/>
      <c r="I182" s="60">
        <f t="shared" si="16"/>
        <v>1272.6745791908165</v>
      </c>
      <c r="J182" s="61">
        <f t="shared" si="15"/>
        <v>416154.08277982287</v>
      </c>
      <c r="K182" s="50"/>
    </row>
    <row r="183" spans="1:13">
      <c r="A183" s="79">
        <v>41870</v>
      </c>
      <c r="B183" s="18" t="s">
        <v>507</v>
      </c>
      <c r="C183" s="63"/>
      <c r="D183" s="18">
        <f>7*6</f>
        <v>42</v>
      </c>
      <c r="E183" s="44">
        <f t="shared" si="14"/>
        <v>20558.480000000003</v>
      </c>
      <c r="F183" s="67"/>
      <c r="G183" s="59">
        <f t="shared" si="17"/>
        <v>20.201183796679633</v>
      </c>
      <c r="H183" s="67"/>
      <c r="I183" s="60">
        <f t="shared" si="16"/>
        <v>848.44971946054454</v>
      </c>
      <c r="J183" s="61">
        <f t="shared" si="15"/>
        <v>415305.63306036231</v>
      </c>
      <c r="K183" s="50"/>
    </row>
    <row r="184" spans="1:13">
      <c r="A184" s="79">
        <v>41871</v>
      </c>
      <c r="B184" s="18" t="s">
        <v>508</v>
      </c>
      <c r="C184" s="63"/>
      <c r="D184" s="18">
        <f>10*0.5</f>
        <v>5</v>
      </c>
      <c r="E184" s="44">
        <f t="shared" si="14"/>
        <v>20553.480000000003</v>
      </c>
      <c r="F184" s="67"/>
      <c r="G184" s="59">
        <f t="shared" si="17"/>
        <v>20.201183796679629</v>
      </c>
      <c r="H184" s="67"/>
      <c r="I184" s="60">
        <f t="shared" si="16"/>
        <v>101.00591898339815</v>
      </c>
      <c r="J184" s="61">
        <f t="shared" si="15"/>
        <v>415204.62714137894</v>
      </c>
      <c r="K184" s="50"/>
    </row>
    <row r="185" spans="1:13">
      <c r="A185" s="79">
        <v>41871</v>
      </c>
      <c r="B185" s="18" t="s">
        <v>509</v>
      </c>
      <c r="C185" s="63"/>
      <c r="D185" s="18">
        <f>6*1.8</f>
        <v>10.8</v>
      </c>
      <c r="E185" s="44">
        <f t="shared" si="14"/>
        <v>20542.680000000004</v>
      </c>
      <c r="F185" s="67"/>
      <c r="G185" s="59">
        <f t="shared" si="17"/>
        <v>20.201183796679633</v>
      </c>
      <c r="H185" s="67"/>
      <c r="I185" s="60">
        <f t="shared" si="16"/>
        <v>218.17278500414005</v>
      </c>
      <c r="J185" s="61">
        <f t="shared" si="15"/>
        <v>414986.4543563748</v>
      </c>
      <c r="K185" s="50"/>
    </row>
    <row r="186" spans="1:13">
      <c r="A186" s="79">
        <v>41872</v>
      </c>
      <c r="B186" s="18" t="s">
        <v>510</v>
      </c>
      <c r="C186" s="63"/>
      <c r="D186" s="18">
        <f>7*4.5</f>
        <v>31.5</v>
      </c>
      <c r="E186" s="44">
        <f t="shared" si="14"/>
        <v>20511.180000000004</v>
      </c>
      <c r="F186" s="67"/>
      <c r="G186" s="59">
        <f t="shared" si="17"/>
        <v>20.201183796679629</v>
      </c>
      <c r="H186" s="67"/>
      <c r="I186" s="60">
        <f t="shared" si="16"/>
        <v>636.33728959540827</v>
      </c>
      <c r="J186" s="61">
        <f t="shared" si="15"/>
        <v>414350.11706677941</v>
      </c>
      <c r="K186" s="50"/>
    </row>
    <row r="187" spans="1:13">
      <c r="A187" s="79">
        <v>41872</v>
      </c>
      <c r="B187" s="18" t="s">
        <v>511</v>
      </c>
      <c r="C187" s="63"/>
      <c r="D187" s="18">
        <v>8</v>
      </c>
      <c r="E187" s="44">
        <f t="shared" si="14"/>
        <v>20503.180000000004</v>
      </c>
      <c r="F187" s="67"/>
      <c r="G187" s="59">
        <f t="shared" si="17"/>
        <v>20.201183796679633</v>
      </c>
      <c r="H187" s="67"/>
      <c r="I187" s="60">
        <f t="shared" si="16"/>
        <v>161.60947037343706</v>
      </c>
      <c r="J187" s="61">
        <f t="shared" si="15"/>
        <v>414188.50759640598</v>
      </c>
      <c r="K187" s="50"/>
    </row>
    <row r="188" spans="1:13">
      <c r="A188" s="79">
        <v>41872</v>
      </c>
      <c r="B188" s="18" t="s">
        <v>512</v>
      </c>
      <c r="C188" s="63"/>
      <c r="D188" s="18">
        <v>9</v>
      </c>
      <c r="E188" s="44">
        <f t="shared" si="14"/>
        <v>20494.180000000004</v>
      </c>
      <c r="F188" s="67"/>
      <c r="G188" s="59">
        <f t="shared" si="17"/>
        <v>20.201183796679633</v>
      </c>
      <c r="H188" s="67"/>
      <c r="I188" s="60">
        <f t="shared" si="16"/>
        <v>181.81065417011669</v>
      </c>
      <c r="J188" s="61">
        <f t="shared" si="15"/>
        <v>414006.69694223587</v>
      </c>
      <c r="K188" s="50"/>
    </row>
    <row r="189" spans="1:13">
      <c r="A189" s="79">
        <v>41872</v>
      </c>
      <c r="B189" s="18" t="s">
        <v>513</v>
      </c>
      <c r="C189" s="63"/>
      <c r="D189" s="18">
        <f>8*2</f>
        <v>16</v>
      </c>
      <c r="E189" s="44">
        <f t="shared" si="14"/>
        <v>20478.180000000004</v>
      </c>
      <c r="F189" s="67"/>
      <c r="G189" s="59">
        <f t="shared" si="17"/>
        <v>20.201183796679633</v>
      </c>
      <c r="H189" s="67"/>
      <c r="I189" s="60">
        <f t="shared" si="16"/>
        <v>323.21894074687413</v>
      </c>
      <c r="J189" s="61">
        <f t="shared" si="15"/>
        <v>413683.47800148901</v>
      </c>
      <c r="K189" s="50"/>
    </row>
    <row r="190" spans="1:13">
      <c r="A190" s="79">
        <v>41872</v>
      </c>
      <c r="B190" s="18" t="s">
        <v>514</v>
      </c>
      <c r="C190" s="63"/>
      <c r="D190" s="18">
        <f>26*4</f>
        <v>104</v>
      </c>
      <c r="E190" s="44">
        <f t="shared" si="14"/>
        <v>20374.180000000004</v>
      </c>
      <c r="F190" s="67"/>
      <c r="G190" s="59">
        <f t="shared" si="17"/>
        <v>20.201183796679633</v>
      </c>
      <c r="H190" s="67"/>
      <c r="I190" s="60">
        <f t="shared" si="16"/>
        <v>2100.9231148546819</v>
      </c>
      <c r="J190" s="61">
        <f t="shared" si="15"/>
        <v>411582.55488663435</v>
      </c>
      <c r="K190" s="50"/>
    </row>
    <row r="191" spans="1:13">
      <c r="A191" s="79">
        <v>41873</v>
      </c>
      <c r="B191" s="18" t="s">
        <v>515</v>
      </c>
      <c r="C191" s="63"/>
      <c r="D191" s="18">
        <f>25*3.25</f>
        <v>81.25</v>
      </c>
      <c r="E191" s="44">
        <f t="shared" si="14"/>
        <v>20292.930000000004</v>
      </c>
      <c r="F191" s="67"/>
      <c r="G191" s="59">
        <f t="shared" si="17"/>
        <v>20.201183796679633</v>
      </c>
      <c r="H191" s="67"/>
      <c r="I191" s="60">
        <f t="shared" si="16"/>
        <v>1641.3461834802201</v>
      </c>
      <c r="J191" s="61">
        <f t="shared" si="15"/>
        <v>409941.20870315412</v>
      </c>
      <c r="K191" s="50"/>
    </row>
    <row r="192" spans="1:13">
      <c r="A192" s="79">
        <v>41873</v>
      </c>
      <c r="B192" s="18" t="s">
        <v>516</v>
      </c>
      <c r="C192" s="63"/>
      <c r="D192" s="18">
        <f>3.77+3.72+3.67+3.52+3.48+3.29+3.19</f>
        <v>24.64</v>
      </c>
      <c r="E192" s="44">
        <f t="shared" si="14"/>
        <v>20268.290000000005</v>
      </c>
      <c r="F192" s="67"/>
      <c r="G192" s="59">
        <f t="shared" si="17"/>
        <v>20.201183796679633</v>
      </c>
      <c r="H192" s="67"/>
      <c r="I192" s="60">
        <f t="shared" si="16"/>
        <v>497.75716875018617</v>
      </c>
      <c r="J192" s="61">
        <f t="shared" si="15"/>
        <v>409443.45153440395</v>
      </c>
      <c r="K192" s="50"/>
    </row>
    <row r="193" spans="1:14">
      <c r="A193" s="79">
        <v>41876</v>
      </c>
      <c r="B193" s="18" t="s">
        <v>517</v>
      </c>
      <c r="C193" s="63"/>
      <c r="D193" s="18">
        <f>6*4.15</f>
        <v>24.900000000000002</v>
      </c>
      <c r="E193" s="44">
        <f t="shared" si="14"/>
        <v>20243.390000000003</v>
      </c>
      <c r="F193" s="67"/>
      <c r="G193" s="59">
        <f t="shared" si="17"/>
        <v>20.201183796679633</v>
      </c>
      <c r="H193" s="67"/>
      <c r="I193" s="60">
        <f t="shared" si="16"/>
        <v>503.00947653732288</v>
      </c>
      <c r="J193" s="61">
        <f t="shared" si="15"/>
        <v>408940.4420578666</v>
      </c>
      <c r="K193" s="50"/>
    </row>
    <row r="194" spans="1:14">
      <c r="A194" s="79">
        <v>41876</v>
      </c>
      <c r="B194" s="18" t="s">
        <v>518</v>
      </c>
      <c r="C194" s="63"/>
      <c r="D194" s="18">
        <f>15*2</f>
        <v>30</v>
      </c>
      <c r="E194" s="44">
        <f t="shared" si="14"/>
        <v>20213.390000000003</v>
      </c>
      <c r="F194" s="67"/>
      <c r="G194" s="59">
        <f t="shared" si="17"/>
        <v>20.201183796679633</v>
      </c>
      <c r="H194" s="67"/>
      <c r="I194" s="60">
        <f t="shared" si="16"/>
        <v>606.03551390038899</v>
      </c>
      <c r="J194" s="61">
        <f t="shared" si="15"/>
        <v>408334.40654396621</v>
      </c>
      <c r="K194" s="50"/>
    </row>
    <row r="195" spans="1:14">
      <c r="A195" s="79">
        <v>41877</v>
      </c>
      <c r="B195" s="18" t="s">
        <v>519</v>
      </c>
      <c r="C195" s="63"/>
      <c r="D195" s="18">
        <f>5*6</f>
        <v>30</v>
      </c>
      <c r="E195" s="44">
        <f t="shared" si="14"/>
        <v>20183.390000000003</v>
      </c>
      <c r="F195" s="67"/>
      <c r="G195" s="59">
        <f t="shared" si="17"/>
        <v>20.201183796679633</v>
      </c>
      <c r="H195" s="67"/>
      <c r="I195" s="60">
        <f t="shared" si="16"/>
        <v>606.03551390038899</v>
      </c>
      <c r="J195" s="61">
        <f t="shared" si="15"/>
        <v>407728.37103006581</v>
      </c>
      <c r="K195" s="50"/>
    </row>
    <row r="196" spans="1:14">
      <c r="A196" s="79">
        <v>41879</v>
      </c>
      <c r="B196" s="18" t="s">
        <v>520</v>
      </c>
      <c r="C196" s="63"/>
      <c r="D196" s="18">
        <v>2</v>
      </c>
      <c r="E196" s="44">
        <f t="shared" si="14"/>
        <v>20181.390000000003</v>
      </c>
      <c r="F196" s="67"/>
      <c r="G196" s="59">
        <f t="shared" si="17"/>
        <v>20.201183796679633</v>
      </c>
      <c r="H196" s="67"/>
      <c r="I196" s="60">
        <f t="shared" si="16"/>
        <v>40.402367593359266</v>
      </c>
      <c r="J196" s="61">
        <f t="shared" si="15"/>
        <v>407687.96866247244</v>
      </c>
      <c r="K196" s="50"/>
    </row>
    <row r="197" spans="1:14">
      <c r="A197" s="79">
        <v>41879</v>
      </c>
      <c r="B197" s="18" t="s">
        <v>521</v>
      </c>
      <c r="C197" s="63"/>
      <c r="D197" s="18">
        <v>4.0999999999999996</v>
      </c>
      <c r="E197" s="44">
        <f t="shared" si="14"/>
        <v>20177.290000000005</v>
      </c>
      <c r="F197" s="67"/>
      <c r="G197" s="59">
        <f t="shared" si="17"/>
        <v>20.201183796679633</v>
      </c>
      <c r="H197" s="67"/>
      <c r="I197" s="60">
        <f t="shared" si="16"/>
        <v>82.824853566386494</v>
      </c>
      <c r="J197" s="61">
        <f t="shared" si="15"/>
        <v>407605.14380890608</v>
      </c>
      <c r="K197" s="50"/>
    </row>
    <row r="198" spans="1:14">
      <c r="A198" s="79">
        <v>41879</v>
      </c>
      <c r="B198" s="18" t="s">
        <v>522</v>
      </c>
      <c r="C198" s="63"/>
      <c r="D198" s="18">
        <f>10*4.1</f>
        <v>41</v>
      </c>
      <c r="E198" s="44">
        <f t="shared" si="14"/>
        <v>20136.290000000005</v>
      </c>
      <c r="F198" s="67"/>
      <c r="G198" s="59">
        <f t="shared" si="17"/>
        <v>20.201183796679633</v>
      </c>
      <c r="H198" s="67"/>
      <c r="I198" s="60">
        <f t="shared" si="16"/>
        <v>828.24853566386491</v>
      </c>
      <c r="J198" s="61">
        <f t="shared" si="15"/>
        <v>406776.8952732422</v>
      </c>
      <c r="K198" s="50"/>
    </row>
    <row r="199" spans="1:14">
      <c r="A199" s="79">
        <v>41881</v>
      </c>
      <c r="B199" s="18" t="s">
        <v>523</v>
      </c>
      <c r="C199" s="63"/>
      <c r="D199" s="18">
        <f>4*3+4*2.5</f>
        <v>22</v>
      </c>
      <c r="E199" s="44">
        <f>+E198-D199</f>
        <v>20114.290000000005</v>
      </c>
      <c r="F199" s="67"/>
      <c r="G199" s="59">
        <f t="shared" si="17"/>
        <v>20.201183796679633</v>
      </c>
      <c r="H199" s="67"/>
      <c r="I199" s="60">
        <f t="shared" si="16"/>
        <v>444.4260435269519</v>
      </c>
      <c r="J199" s="61">
        <f>+J198-I199</f>
        <v>406332.46922971524</v>
      </c>
      <c r="K199" s="50"/>
    </row>
    <row r="200" spans="1:14">
      <c r="A200" s="79">
        <v>41881</v>
      </c>
      <c r="B200" s="18" t="s">
        <v>524</v>
      </c>
      <c r="C200" s="63"/>
      <c r="D200" s="18">
        <f>3*3.6</f>
        <v>10.8</v>
      </c>
      <c r="E200" s="44">
        <f>+E199-D200</f>
        <v>20103.490000000005</v>
      </c>
      <c r="F200" s="67"/>
      <c r="G200" s="59">
        <f t="shared" si="17"/>
        <v>20.201183796679633</v>
      </c>
      <c r="H200" s="67"/>
      <c r="I200" s="60">
        <f t="shared" si="16"/>
        <v>218.17278500414005</v>
      </c>
      <c r="J200" s="61">
        <f>+J199-I200</f>
        <v>406114.2964447111</v>
      </c>
      <c r="K200" s="80">
        <f>SUM(I161:I200)</f>
        <v>38054.788024347123</v>
      </c>
      <c r="L200" s="145">
        <v>41881</v>
      </c>
      <c r="M200" s="123">
        <f>SUM(I180:I200)</f>
        <v>13069.963904613754</v>
      </c>
      <c r="N200" s="123">
        <f>SUM(M179:M200)</f>
        <v>38054.788024347123</v>
      </c>
    </row>
    <row r="201" spans="1:14">
      <c r="A201" s="79">
        <v>41883</v>
      </c>
      <c r="B201" s="18" t="s">
        <v>525</v>
      </c>
      <c r="C201" s="63"/>
      <c r="D201" s="18">
        <f>12*4.5</f>
        <v>54</v>
      </c>
      <c r="E201" s="44">
        <f>+E200-D201</f>
        <v>20049.490000000005</v>
      </c>
      <c r="F201" s="67"/>
      <c r="G201" s="59">
        <f t="shared" si="17"/>
        <v>20.201183796679629</v>
      </c>
      <c r="H201" s="67"/>
      <c r="I201" s="60">
        <f t="shared" si="16"/>
        <v>1090.8639250207</v>
      </c>
      <c r="J201" s="61">
        <f>+J200-I201</f>
        <v>405023.43251969042</v>
      </c>
      <c r="K201" s="50"/>
    </row>
    <row r="202" spans="1:14">
      <c r="A202" s="79">
        <v>41884</v>
      </c>
      <c r="B202" s="18" t="s">
        <v>526</v>
      </c>
      <c r="C202" s="63"/>
      <c r="D202" s="18">
        <v>7</v>
      </c>
      <c r="E202" s="44">
        <f>+E201-D202</f>
        <v>20042.490000000005</v>
      </c>
      <c r="F202" s="67"/>
      <c r="G202" s="59">
        <f t="shared" si="17"/>
        <v>20.201183796679633</v>
      </c>
      <c r="H202" s="67"/>
      <c r="I202" s="60">
        <f t="shared" si="16"/>
        <v>141.40828657675743</v>
      </c>
      <c r="J202" s="61">
        <f>+J201-I202</f>
        <v>404882.02423311368</v>
      </c>
      <c r="K202" s="50"/>
    </row>
    <row r="203" spans="1:14">
      <c r="A203" s="79">
        <v>41886</v>
      </c>
      <c r="B203" s="18" t="s">
        <v>587</v>
      </c>
      <c r="C203" s="63"/>
      <c r="D203" s="18">
        <f>4*2.84</f>
        <v>11.36</v>
      </c>
      <c r="E203" s="44">
        <f t="shared" ref="E203:E213" si="18">E202-D203</f>
        <v>20031.130000000005</v>
      </c>
      <c r="F203" s="67"/>
      <c r="G203" s="59">
        <f t="shared" ref="G203:G213" si="19">J202/E202</f>
        <v>20.201183796679633</v>
      </c>
      <c r="H203" s="67"/>
      <c r="I203" s="60">
        <f t="shared" si="16"/>
        <v>229.48544793028063</v>
      </c>
      <c r="J203" s="61">
        <f t="shared" ref="J203:J213" si="20">J202-I203</f>
        <v>404652.53878518339</v>
      </c>
      <c r="K203" s="50"/>
    </row>
    <row r="204" spans="1:14">
      <c r="A204" s="79">
        <v>41887</v>
      </c>
      <c r="B204" s="18" t="s">
        <v>589</v>
      </c>
      <c r="C204" s="63"/>
      <c r="D204" s="18">
        <f>2*6</f>
        <v>12</v>
      </c>
      <c r="E204" s="44">
        <f t="shared" si="18"/>
        <v>20019.130000000005</v>
      </c>
      <c r="F204" s="67"/>
      <c r="G204" s="59">
        <f t="shared" si="19"/>
        <v>20.201183796679633</v>
      </c>
      <c r="H204" s="67"/>
      <c r="I204" s="60">
        <f t="shared" si="16"/>
        <v>242.41420556015561</v>
      </c>
      <c r="J204" s="61">
        <f t="shared" si="20"/>
        <v>404410.12457962323</v>
      </c>
      <c r="K204" s="50"/>
    </row>
    <row r="205" spans="1:14">
      <c r="A205" s="79">
        <v>41887</v>
      </c>
      <c r="B205" s="18" t="s">
        <v>590</v>
      </c>
      <c r="C205" s="63"/>
      <c r="D205" s="18">
        <f>1</f>
        <v>1</v>
      </c>
      <c r="E205" s="44">
        <f t="shared" si="18"/>
        <v>20018.130000000005</v>
      </c>
      <c r="F205" s="67"/>
      <c r="G205" s="59">
        <f t="shared" si="19"/>
        <v>20.201183796679633</v>
      </c>
      <c r="H205" s="67"/>
      <c r="I205" s="60">
        <f t="shared" si="16"/>
        <v>20.201183796679633</v>
      </c>
      <c r="J205" s="61">
        <f t="shared" si="20"/>
        <v>404389.92339582654</v>
      </c>
      <c r="K205" s="50"/>
    </row>
    <row r="206" spans="1:14">
      <c r="A206" s="79">
        <v>41888</v>
      </c>
      <c r="B206" s="18" t="s">
        <v>593</v>
      </c>
      <c r="C206" s="63"/>
      <c r="D206" s="18">
        <f>4.3+4.2+4.05+4+3.95+3.73+3.55+3.45</f>
        <v>31.23</v>
      </c>
      <c r="E206" s="44">
        <f t="shared" si="18"/>
        <v>19986.900000000005</v>
      </c>
      <c r="F206" s="67"/>
      <c r="G206" s="59">
        <f t="shared" si="19"/>
        <v>20.201183796679633</v>
      </c>
      <c r="H206" s="67"/>
      <c r="I206" s="60">
        <f t="shared" si="16"/>
        <v>630.882969970305</v>
      </c>
      <c r="J206" s="61">
        <f t="shared" si="20"/>
        <v>403759.04042585625</v>
      </c>
      <c r="K206" s="50"/>
    </row>
    <row r="207" spans="1:14">
      <c r="A207" s="79">
        <v>41888</v>
      </c>
      <c r="B207" s="18" t="s">
        <v>594</v>
      </c>
      <c r="C207" s="63"/>
      <c r="D207" s="18">
        <f>15*4.2+15*6.8</f>
        <v>165</v>
      </c>
      <c r="E207" s="44">
        <f t="shared" si="18"/>
        <v>19821.900000000005</v>
      </c>
      <c r="F207" s="67"/>
      <c r="G207" s="59">
        <f t="shared" si="19"/>
        <v>20.201183796679633</v>
      </c>
      <c r="H207" s="67"/>
      <c r="I207" s="60">
        <f t="shared" si="16"/>
        <v>3333.1953264521394</v>
      </c>
      <c r="J207" s="61">
        <f t="shared" si="20"/>
        <v>400425.8450994041</v>
      </c>
      <c r="K207" s="50"/>
    </row>
    <row r="208" spans="1:14">
      <c r="A208" s="79">
        <v>41890</v>
      </c>
      <c r="B208" s="18" t="s">
        <v>595</v>
      </c>
      <c r="C208" s="63"/>
      <c r="D208" s="18">
        <f>3*3.6</f>
        <v>10.8</v>
      </c>
      <c r="E208" s="44">
        <f t="shared" si="18"/>
        <v>19811.100000000006</v>
      </c>
      <c r="F208" s="67"/>
      <c r="G208" s="59">
        <f t="shared" si="19"/>
        <v>20.201183796679633</v>
      </c>
      <c r="H208" s="67"/>
      <c r="I208" s="60">
        <f t="shared" si="16"/>
        <v>218.17278500414005</v>
      </c>
      <c r="J208" s="61">
        <f t="shared" si="20"/>
        <v>400207.67231439997</v>
      </c>
      <c r="K208" s="50"/>
    </row>
    <row r="209" spans="1:13">
      <c r="A209" s="79">
        <v>41890</v>
      </c>
      <c r="B209" s="18" t="s">
        <v>596</v>
      </c>
      <c r="C209" s="63"/>
      <c r="D209" s="18">
        <f>78*7.2+78*7</f>
        <v>1107.5999999999999</v>
      </c>
      <c r="E209" s="44">
        <f t="shared" si="18"/>
        <v>18703.500000000007</v>
      </c>
      <c r="F209" s="67"/>
      <c r="G209" s="59">
        <f t="shared" si="19"/>
        <v>20.201183796679633</v>
      </c>
      <c r="H209" s="67"/>
      <c r="I209" s="60">
        <f t="shared" si="16"/>
        <v>22374.831173202361</v>
      </c>
      <c r="J209" s="61">
        <f t="shared" si="20"/>
        <v>377832.8411411976</v>
      </c>
      <c r="K209" s="50"/>
    </row>
    <row r="210" spans="1:13">
      <c r="A210" s="79">
        <v>41892</v>
      </c>
      <c r="B210" s="18" t="s">
        <v>598</v>
      </c>
      <c r="C210" s="63"/>
      <c r="D210" s="18">
        <f>22*3+28*2.45+6*1.85</f>
        <v>145.70000000000002</v>
      </c>
      <c r="E210" s="44">
        <f t="shared" si="18"/>
        <v>18557.800000000007</v>
      </c>
      <c r="F210" s="67"/>
      <c r="G210" s="59">
        <f t="shared" si="19"/>
        <v>20.201183796679629</v>
      </c>
      <c r="H210" s="67"/>
      <c r="I210" s="60">
        <f t="shared" si="16"/>
        <v>2943.3124791762225</v>
      </c>
      <c r="J210" s="61">
        <f t="shared" si="20"/>
        <v>374889.52866202139</v>
      </c>
      <c r="K210" s="50"/>
    </row>
    <row r="211" spans="1:13">
      <c r="A211" s="79">
        <v>41892</v>
      </c>
      <c r="B211" s="18" t="s">
        <v>599</v>
      </c>
      <c r="C211" s="63"/>
      <c r="D211" s="18">
        <f>26*6</f>
        <v>156</v>
      </c>
      <c r="E211" s="44">
        <f t="shared" si="18"/>
        <v>18401.800000000007</v>
      </c>
      <c r="F211" s="67"/>
      <c r="G211" s="59">
        <f t="shared" si="19"/>
        <v>20.201183796679629</v>
      </c>
      <c r="H211" s="67"/>
      <c r="I211" s="60">
        <f t="shared" si="16"/>
        <v>3151.3846722820222</v>
      </c>
      <c r="J211" s="61">
        <f t="shared" si="20"/>
        <v>371738.14398973936</v>
      </c>
      <c r="K211" s="50"/>
    </row>
    <row r="212" spans="1:13">
      <c r="A212" s="79">
        <v>41892</v>
      </c>
      <c r="B212" s="18" t="s">
        <v>600</v>
      </c>
      <c r="C212" s="63"/>
      <c r="D212" s="18">
        <f>5.52</f>
        <v>5.52</v>
      </c>
      <c r="E212" s="44">
        <f t="shared" si="18"/>
        <v>18396.280000000006</v>
      </c>
      <c r="F212" s="67"/>
      <c r="G212" s="59">
        <f t="shared" si="19"/>
        <v>20.201183796679629</v>
      </c>
      <c r="H212" s="67"/>
      <c r="I212" s="60">
        <f t="shared" si="16"/>
        <v>111.51053455767155</v>
      </c>
      <c r="J212" s="61">
        <f t="shared" si="20"/>
        <v>371626.63345518167</v>
      </c>
      <c r="K212" s="50"/>
    </row>
    <row r="213" spans="1:13">
      <c r="A213" s="79">
        <v>41893</v>
      </c>
      <c r="B213" s="18" t="s">
        <v>601</v>
      </c>
      <c r="C213" s="63"/>
      <c r="D213" s="18">
        <f>5*5.8</f>
        <v>29</v>
      </c>
      <c r="E213" s="44">
        <f t="shared" si="18"/>
        <v>18367.280000000006</v>
      </c>
      <c r="F213" s="67"/>
      <c r="G213" s="59">
        <f t="shared" si="19"/>
        <v>20.201183796679629</v>
      </c>
      <c r="H213" s="67"/>
      <c r="I213" s="60">
        <f t="shared" si="16"/>
        <v>585.83433010370925</v>
      </c>
      <c r="J213" s="61">
        <f t="shared" si="20"/>
        <v>371040.79912507796</v>
      </c>
      <c r="K213" s="50"/>
    </row>
    <row r="214" spans="1:13">
      <c r="A214" s="79">
        <v>41895</v>
      </c>
      <c r="B214" s="18" t="s">
        <v>602</v>
      </c>
      <c r="C214" s="63"/>
      <c r="D214" s="18">
        <f>10*3+13*3.35</f>
        <v>73.550000000000011</v>
      </c>
      <c r="E214" s="44">
        <f t="shared" ref="E214:E235" si="21">E213-D214</f>
        <v>18293.730000000007</v>
      </c>
      <c r="F214" s="67"/>
      <c r="G214" s="59">
        <f t="shared" ref="G214:G234" si="22">J213/E213</f>
        <v>20.201183796679629</v>
      </c>
      <c r="H214" s="67"/>
      <c r="I214" s="60">
        <f t="shared" ref="I214:I234" si="23">D214*G214</f>
        <v>1485.7970682457869</v>
      </c>
      <c r="J214" s="61">
        <f t="shared" ref="J214:J234" si="24">J213-I214</f>
        <v>369555.00205683219</v>
      </c>
      <c r="K214" s="50"/>
    </row>
    <row r="215" spans="1:13">
      <c r="A215" s="79">
        <v>41899</v>
      </c>
      <c r="B215" s="18" t="s">
        <v>605</v>
      </c>
      <c r="C215" s="63"/>
      <c r="D215" s="18">
        <f>2.08</f>
        <v>2.08</v>
      </c>
      <c r="E215" s="44">
        <f t="shared" si="21"/>
        <v>18291.650000000005</v>
      </c>
      <c r="F215" s="67"/>
      <c r="G215" s="59">
        <f t="shared" si="22"/>
        <v>20.201183796679629</v>
      </c>
      <c r="H215" s="67"/>
      <c r="I215" s="60">
        <f t="shared" si="23"/>
        <v>42.018462297093627</v>
      </c>
      <c r="J215" s="61">
        <f t="shared" si="24"/>
        <v>369512.98359453509</v>
      </c>
      <c r="K215" s="50"/>
    </row>
    <row r="216" spans="1:13">
      <c r="A216" s="79">
        <v>41899</v>
      </c>
      <c r="B216" s="18" t="s">
        <v>606</v>
      </c>
      <c r="C216" s="63"/>
      <c r="D216" s="18">
        <f>8*4.15+4*4.4+6*3+2*2.4</f>
        <v>73.600000000000009</v>
      </c>
      <c r="E216" s="44">
        <f t="shared" si="21"/>
        <v>18218.050000000007</v>
      </c>
      <c r="F216" s="67"/>
      <c r="G216" s="59">
        <f t="shared" si="22"/>
        <v>20.201183796679633</v>
      </c>
      <c r="H216" s="67"/>
      <c r="I216" s="60">
        <f t="shared" si="23"/>
        <v>1486.8071274356212</v>
      </c>
      <c r="J216" s="61">
        <f t="shared" si="24"/>
        <v>368026.17646709946</v>
      </c>
      <c r="K216" s="50"/>
    </row>
    <row r="217" spans="1:13">
      <c r="A217" s="79">
        <v>41899</v>
      </c>
      <c r="B217" s="18" t="s">
        <v>607</v>
      </c>
      <c r="C217" s="63"/>
      <c r="D217" s="18">
        <f>10*7.3</f>
        <v>73</v>
      </c>
      <c r="E217" s="44">
        <f t="shared" si="21"/>
        <v>18145.050000000007</v>
      </c>
      <c r="F217" s="67"/>
      <c r="G217" s="59">
        <f t="shared" si="22"/>
        <v>20.201183796679629</v>
      </c>
      <c r="H217" s="67"/>
      <c r="I217" s="60">
        <f t="shared" si="23"/>
        <v>1474.6864171576131</v>
      </c>
      <c r="J217" s="61">
        <f t="shared" si="24"/>
        <v>366551.49004994187</v>
      </c>
      <c r="K217" s="50"/>
    </row>
    <row r="218" spans="1:13">
      <c r="A218" s="79">
        <v>41900</v>
      </c>
      <c r="B218" s="18" t="s">
        <v>608</v>
      </c>
      <c r="C218" s="63"/>
      <c r="D218" s="18">
        <f>26*5.8</f>
        <v>150.79999999999998</v>
      </c>
      <c r="E218" s="44">
        <f t="shared" si="21"/>
        <v>17994.250000000007</v>
      </c>
      <c r="F218" s="67"/>
      <c r="G218" s="59">
        <f t="shared" si="22"/>
        <v>20.201183796679633</v>
      </c>
      <c r="H218" s="67"/>
      <c r="I218" s="60">
        <f t="shared" si="23"/>
        <v>3046.3385165392883</v>
      </c>
      <c r="J218" s="61">
        <f t="shared" si="24"/>
        <v>363505.15153340256</v>
      </c>
      <c r="K218" s="50"/>
    </row>
    <row r="219" spans="1:13">
      <c r="A219" s="79">
        <v>41900</v>
      </c>
      <c r="B219" s="18" t="s">
        <v>610</v>
      </c>
      <c r="C219" s="63"/>
      <c r="D219" s="18">
        <f>4*3</f>
        <v>12</v>
      </c>
      <c r="E219" s="44">
        <f t="shared" si="21"/>
        <v>17982.250000000007</v>
      </c>
      <c r="F219" s="67"/>
      <c r="G219" s="59">
        <f t="shared" si="22"/>
        <v>20.201183796679629</v>
      </c>
      <c r="H219" s="67"/>
      <c r="I219" s="60">
        <f t="shared" si="23"/>
        <v>242.41420556015555</v>
      </c>
      <c r="J219" s="61">
        <f t="shared" si="24"/>
        <v>363262.73732784239</v>
      </c>
      <c r="K219" s="50"/>
    </row>
    <row r="220" spans="1:13">
      <c r="A220" s="79">
        <v>41902</v>
      </c>
      <c r="B220" s="18" t="s">
        <v>612</v>
      </c>
      <c r="C220" s="63"/>
      <c r="D220" s="18">
        <f>9*1</f>
        <v>9</v>
      </c>
      <c r="E220" s="44">
        <f t="shared" si="21"/>
        <v>17973.250000000007</v>
      </c>
      <c r="F220" s="67"/>
      <c r="G220" s="59">
        <f t="shared" si="22"/>
        <v>20.201183796679629</v>
      </c>
      <c r="H220" s="67"/>
      <c r="I220" s="60">
        <f t="shared" si="23"/>
        <v>181.81065417011666</v>
      </c>
      <c r="J220" s="61">
        <f t="shared" si="24"/>
        <v>363080.92667367228</v>
      </c>
      <c r="K220" s="50"/>
      <c r="L220" s="145">
        <v>41902</v>
      </c>
      <c r="M220" s="123">
        <f>SUM(I201:I220)</f>
        <v>43033.36977103883</v>
      </c>
    </row>
    <row r="221" spans="1:13">
      <c r="A221" s="79">
        <v>41904</v>
      </c>
      <c r="B221" s="18" t="s">
        <v>613</v>
      </c>
      <c r="C221" s="63"/>
      <c r="D221" s="18">
        <f>27*6</f>
        <v>162</v>
      </c>
      <c r="E221" s="44">
        <f t="shared" si="21"/>
        <v>17811.250000000007</v>
      </c>
      <c r="F221" s="67"/>
      <c r="G221" s="59">
        <f t="shared" si="22"/>
        <v>20.201183796679629</v>
      </c>
      <c r="H221" s="67"/>
      <c r="I221" s="60">
        <f t="shared" si="23"/>
        <v>3272.5917750621002</v>
      </c>
      <c r="J221" s="61">
        <f t="shared" si="24"/>
        <v>359808.33489861019</v>
      </c>
      <c r="K221" s="50"/>
    </row>
    <row r="222" spans="1:13">
      <c r="A222" s="79">
        <v>41904</v>
      </c>
      <c r="B222" s="18" t="s">
        <v>615</v>
      </c>
      <c r="C222" s="63"/>
      <c r="D222" s="18">
        <f>6*6.1+6*4.65</f>
        <v>64.5</v>
      </c>
      <c r="E222" s="44">
        <f t="shared" si="21"/>
        <v>17746.750000000007</v>
      </c>
      <c r="F222" s="67"/>
      <c r="G222" s="59">
        <f t="shared" si="22"/>
        <v>20.201183796679629</v>
      </c>
      <c r="H222" s="67"/>
      <c r="I222" s="60">
        <f t="shared" si="23"/>
        <v>1302.9763548858361</v>
      </c>
      <c r="J222" s="61">
        <f t="shared" si="24"/>
        <v>358505.35854372435</v>
      </c>
      <c r="K222" s="50"/>
    </row>
    <row r="223" spans="1:13">
      <c r="A223" s="79">
        <v>41906</v>
      </c>
      <c r="B223" s="18" t="s">
        <v>617</v>
      </c>
      <c r="C223" s="63"/>
      <c r="D223" s="18">
        <f>9*5.5</f>
        <v>49.5</v>
      </c>
      <c r="E223" s="44">
        <f t="shared" si="21"/>
        <v>17697.250000000007</v>
      </c>
      <c r="F223" s="67"/>
      <c r="G223" s="59">
        <f t="shared" si="22"/>
        <v>20.201183796679629</v>
      </c>
      <c r="H223" s="67"/>
      <c r="I223" s="60">
        <f t="shared" si="23"/>
        <v>999.95859793564159</v>
      </c>
      <c r="J223" s="61">
        <f t="shared" si="24"/>
        <v>357505.39994578873</v>
      </c>
      <c r="K223" s="50"/>
    </row>
    <row r="224" spans="1:13">
      <c r="A224" s="79">
        <v>41909</v>
      </c>
      <c r="B224" s="18" t="s">
        <v>621</v>
      </c>
      <c r="C224" s="63"/>
      <c r="D224" s="18">
        <f>8*2</f>
        <v>16</v>
      </c>
      <c r="E224" s="44">
        <f t="shared" si="21"/>
        <v>17681.250000000007</v>
      </c>
      <c r="F224" s="67"/>
      <c r="G224" s="59">
        <f t="shared" si="22"/>
        <v>20.201183796679629</v>
      </c>
      <c r="H224" s="67"/>
      <c r="I224" s="60">
        <f t="shared" si="23"/>
        <v>323.21894074687407</v>
      </c>
      <c r="J224" s="61">
        <f t="shared" si="24"/>
        <v>357182.18100504187</v>
      </c>
      <c r="K224" s="50"/>
    </row>
    <row r="225" spans="1:14">
      <c r="A225" s="79">
        <v>41911</v>
      </c>
      <c r="B225" s="18" t="s">
        <v>624</v>
      </c>
      <c r="C225" s="63"/>
      <c r="D225" s="18">
        <f>4*4.7</f>
        <v>18.8</v>
      </c>
      <c r="E225" s="44">
        <f t="shared" si="21"/>
        <v>17662.450000000008</v>
      </c>
      <c r="F225" s="67"/>
      <c r="G225" s="59">
        <f t="shared" si="22"/>
        <v>20.201183796679629</v>
      </c>
      <c r="H225" s="67"/>
      <c r="I225" s="60">
        <f t="shared" si="23"/>
        <v>379.78225537757703</v>
      </c>
      <c r="J225" s="61">
        <f t="shared" si="24"/>
        <v>356802.39874966431</v>
      </c>
      <c r="K225" s="50"/>
    </row>
    <row r="226" spans="1:14">
      <c r="A226" s="79">
        <v>41912</v>
      </c>
      <c r="B226" s="18" t="s">
        <v>626</v>
      </c>
      <c r="C226" s="63"/>
      <c r="D226" s="18">
        <f>15*7.6</f>
        <v>114</v>
      </c>
      <c r="E226" s="44">
        <f t="shared" si="21"/>
        <v>17548.450000000008</v>
      </c>
      <c r="F226" s="67"/>
      <c r="G226" s="59">
        <f t="shared" si="22"/>
        <v>20.201183796679629</v>
      </c>
      <c r="H226" s="67"/>
      <c r="I226" s="60">
        <f t="shared" si="23"/>
        <v>2302.934952821478</v>
      </c>
      <c r="J226" s="61">
        <f t="shared" si="24"/>
        <v>354499.46379684284</v>
      </c>
      <c r="K226" s="50"/>
    </row>
    <row r="227" spans="1:14" s="62" customFormat="1">
      <c r="A227" s="79">
        <v>41912</v>
      </c>
      <c r="B227" s="18" t="s">
        <v>627</v>
      </c>
      <c r="C227" s="63"/>
      <c r="D227" s="18">
        <f>27*4.65+4+3.4+2.6+1.9+1.15+5.1+4.2+3.2+2.25+1.2</f>
        <v>154.54999999999998</v>
      </c>
      <c r="E227" s="44">
        <f t="shared" si="21"/>
        <v>17393.900000000009</v>
      </c>
      <c r="F227" s="67"/>
      <c r="G227" s="59">
        <f t="shared" si="22"/>
        <v>20.201183796679633</v>
      </c>
      <c r="H227" s="67"/>
      <c r="I227" s="60">
        <f t="shared" si="23"/>
        <v>3122.0929557768368</v>
      </c>
      <c r="J227" s="61">
        <f t="shared" si="24"/>
        <v>351377.370841066</v>
      </c>
      <c r="K227" s="81">
        <f>SUM(I201:I227)</f>
        <v>54736.925603645184</v>
      </c>
      <c r="L227" s="147">
        <v>41912</v>
      </c>
      <c r="M227" s="146">
        <f>SUM(I221:I227)</f>
        <v>11703.555832606344</v>
      </c>
      <c r="N227" s="146">
        <f>SUM(M220:M227)</f>
        <v>54736.92560364517</v>
      </c>
    </row>
    <row r="228" spans="1:14">
      <c r="A228" s="79">
        <v>41914</v>
      </c>
      <c r="B228" s="18" t="s">
        <v>629</v>
      </c>
      <c r="C228" s="63"/>
      <c r="D228" s="18">
        <f>30*2.15</f>
        <v>64.5</v>
      </c>
      <c r="E228" s="44">
        <f t="shared" si="21"/>
        <v>17329.400000000009</v>
      </c>
      <c r="F228" s="67"/>
      <c r="G228" s="59">
        <f>J227/E227</f>
        <v>20.201183796679629</v>
      </c>
      <c r="H228" s="67"/>
      <c r="I228" s="60">
        <f>D228*G228</f>
        <v>1302.9763548858361</v>
      </c>
      <c r="J228" s="61">
        <f>J227-I228</f>
        <v>350074.39448618016</v>
      </c>
      <c r="K228" s="50"/>
    </row>
    <row r="229" spans="1:14">
      <c r="A229" s="79">
        <v>41914</v>
      </c>
      <c r="B229" s="18" t="s">
        <v>630</v>
      </c>
      <c r="C229" s="63"/>
      <c r="D229" s="18">
        <f>5*2.65+3*1.3</f>
        <v>17.149999999999999</v>
      </c>
      <c r="E229" s="44">
        <f t="shared" si="21"/>
        <v>17312.250000000007</v>
      </c>
      <c r="F229" s="67"/>
      <c r="G229" s="59">
        <f>J228/E228</f>
        <v>20.201183796679629</v>
      </c>
      <c r="H229" s="67"/>
      <c r="I229" s="60">
        <f>D229*G229</f>
        <v>346.45030211305561</v>
      </c>
      <c r="J229" s="61">
        <f>J228-I229</f>
        <v>349727.94418406708</v>
      </c>
      <c r="K229" s="50"/>
    </row>
    <row r="230" spans="1:14">
      <c r="A230" s="79">
        <v>41914</v>
      </c>
      <c r="B230" s="18" t="s">
        <v>631</v>
      </c>
      <c r="C230" s="63"/>
      <c r="D230" s="18">
        <f>2*5.5</f>
        <v>11</v>
      </c>
      <c r="E230" s="44">
        <f t="shared" si="21"/>
        <v>17301.250000000007</v>
      </c>
      <c r="F230" s="67"/>
      <c r="G230" s="59">
        <f t="shared" si="22"/>
        <v>20.201183796679629</v>
      </c>
      <c r="H230" s="67"/>
      <c r="I230" s="60">
        <f t="shared" si="23"/>
        <v>222.21302176347592</v>
      </c>
      <c r="J230" s="61">
        <f t="shared" si="24"/>
        <v>349505.73116230359</v>
      </c>
      <c r="K230" s="50"/>
    </row>
    <row r="231" spans="1:14">
      <c r="A231" s="79">
        <v>41914</v>
      </c>
      <c r="B231" s="18" t="s">
        <v>632</v>
      </c>
      <c r="C231" s="63"/>
      <c r="D231" s="18">
        <v>4.6500000000000004</v>
      </c>
      <c r="E231" s="44">
        <f t="shared" si="21"/>
        <v>17296.600000000006</v>
      </c>
      <c r="F231" s="67"/>
      <c r="G231" s="59">
        <f t="shared" si="22"/>
        <v>20.201183796679629</v>
      </c>
      <c r="H231" s="67"/>
      <c r="I231" s="60">
        <f t="shared" si="23"/>
        <v>93.93550465456029</v>
      </c>
      <c r="J231" s="61">
        <f t="shared" si="24"/>
        <v>349411.79565764905</v>
      </c>
      <c r="K231" s="50"/>
    </row>
    <row r="232" spans="1:14">
      <c r="A232" s="79">
        <v>41914</v>
      </c>
      <c r="B232" s="18" t="s">
        <v>633</v>
      </c>
      <c r="C232" s="63"/>
      <c r="D232" s="18">
        <f>5*4.75</f>
        <v>23.75</v>
      </c>
      <c r="E232" s="44">
        <f t="shared" si="21"/>
        <v>17272.850000000006</v>
      </c>
      <c r="F232" s="67"/>
      <c r="G232" s="59">
        <f t="shared" si="22"/>
        <v>20.201183796679633</v>
      </c>
      <c r="H232" s="67"/>
      <c r="I232" s="60">
        <f t="shared" si="23"/>
        <v>479.77811517114128</v>
      </c>
      <c r="J232" s="61">
        <f t="shared" si="24"/>
        <v>348932.01754247793</v>
      </c>
      <c r="K232" s="50"/>
    </row>
    <row r="233" spans="1:14">
      <c r="A233" s="79">
        <v>41914</v>
      </c>
      <c r="B233" s="18" t="s">
        <v>634</v>
      </c>
      <c r="C233" s="63"/>
      <c r="D233" s="18">
        <f>6*6.5</f>
        <v>39</v>
      </c>
      <c r="E233" s="44">
        <f t="shared" si="21"/>
        <v>17233.850000000006</v>
      </c>
      <c r="F233" s="67"/>
      <c r="G233" s="59">
        <f t="shared" si="22"/>
        <v>20.201183796679633</v>
      </c>
      <c r="H233" s="67"/>
      <c r="I233" s="60">
        <f t="shared" si="23"/>
        <v>787.84616807050566</v>
      </c>
      <c r="J233" s="61">
        <f t="shared" si="24"/>
        <v>348144.17137440742</v>
      </c>
      <c r="K233" s="50"/>
    </row>
    <row r="234" spans="1:14">
      <c r="A234" s="79">
        <v>41915</v>
      </c>
      <c r="B234" s="18" t="s">
        <v>635</v>
      </c>
      <c r="C234" s="63"/>
      <c r="D234" s="18">
        <f>5*4.2</f>
        <v>21</v>
      </c>
      <c r="E234" s="44">
        <f t="shared" si="21"/>
        <v>17212.850000000006</v>
      </c>
      <c r="F234" s="67"/>
      <c r="G234" s="59">
        <f t="shared" si="22"/>
        <v>20.201183796679633</v>
      </c>
      <c r="H234" s="67"/>
      <c r="I234" s="60">
        <f t="shared" si="23"/>
        <v>424.22485973027227</v>
      </c>
      <c r="J234" s="61">
        <f t="shared" si="24"/>
        <v>347719.94651467714</v>
      </c>
      <c r="K234" s="50"/>
    </row>
    <row r="235" spans="1:14">
      <c r="A235" s="79">
        <v>41915</v>
      </c>
      <c r="B235" s="18" t="s">
        <v>636</v>
      </c>
      <c r="C235" s="63"/>
      <c r="D235" s="18">
        <f>5*2.6+15*3</f>
        <v>58</v>
      </c>
      <c r="E235" s="44">
        <f t="shared" si="21"/>
        <v>17154.850000000006</v>
      </c>
      <c r="F235" s="67"/>
      <c r="G235" s="59">
        <f t="shared" ref="G235:G282" si="25">J234/E234</f>
        <v>20.201183796679633</v>
      </c>
      <c r="H235" s="67"/>
      <c r="I235" s="60">
        <f t="shared" ref="I235:I269" si="26">D235*G235</f>
        <v>1171.6686602074187</v>
      </c>
      <c r="J235" s="61">
        <f t="shared" ref="J235:J269" si="27">J234-I235</f>
        <v>346548.27785446972</v>
      </c>
      <c r="K235" s="50"/>
    </row>
    <row r="236" spans="1:14">
      <c r="A236" s="79">
        <v>41918</v>
      </c>
      <c r="B236" s="18" t="s">
        <v>637</v>
      </c>
      <c r="C236" s="63"/>
      <c r="D236" s="18">
        <f>2*1.71</f>
        <v>3.42</v>
      </c>
      <c r="E236" s="44">
        <f t="shared" ref="E236:E282" si="28">E235-D236</f>
        <v>17151.430000000008</v>
      </c>
      <c r="F236" s="67"/>
      <c r="G236" s="59">
        <f t="shared" si="25"/>
        <v>20.201183796679633</v>
      </c>
      <c r="H236" s="67"/>
      <c r="I236" s="60">
        <f t="shared" si="26"/>
        <v>69.088048584644341</v>
      </c>
      <c r="J236" s="61">
        <f t="shared" si="27"/>
        <v>346479.18980588508</v>
      </c>
      <c r="K236" s="50"/>
    </row>
    <row r="237" spans="1:14">
      <c r="A237" s="79">
        <v>41920</v>
      </c>
      <c r="B237" s="18" t="s">
        <v>638</v>
      </c>
      <c r="C237" s="63"/>
      <c r="D237" s="18">
        <f>5*3.65</f>
        <v>18.25</v>
      </c>
      <c r="E237" s="44">
        <f t="shared" si="28"/>
        <v>17133.180000000008</v>
      </c>
      <c r="F237" s="67"/>
      <c r="G237" s="59">
        <f t="shared" si="25"/>
        <v>20.201183796679633</v>
      </c>
      <c r="H237" s="67"/>
      <c r="I237" s="60">
        <f t="shared" si="26"/>
        <v>368.67160428940332</v>
      </c>
      <c r="J237" s="61">
        <f t="shared" si="27"/>
        <v>346110.5182015957</v>
      </c>
      <c r="K237" s="50"/>
    </row>
    <row r="238" spans="1:14">
      <c r="A238" s="79">
        <v>41920</v>
      </c>
      <c r="B238" s="18" t="s">
        <v>639</v>
      </c>
      <c r="C238" s="63"/>
      <c r="D238" s="18">
        <f>6</f>
        <v>6</v>
      </c>
      <c r="E238" s="44">
        <f t="shared" si="28"/>
        <v>17127.180000000008</v>
      </c>
      <c r="F238" s="67"/>
      <c r="G238" s="59">
        <f t="shared" si="25"/>
        <v>20.201183796679633</v>
      </c>
      <c r="H238" s="67"/>
      <c r="I238" s="60">
        <f t="shared" si="26"/>
        <v>121.2071027800778</v>
      </c>
      <c r="J238" s="61">
        <f t="shared" si="27"/>
        <v>345989.31109881564</v>
      </c>
      <c r="K238" s="50"/>
    </row>
    <row r="239" spans="1:14">
      <c r="A239" s="79">
        <v>41920</v>
      </c>
      <c r="B239" s="18" t="s">
        <v>640</v>
      </c>
      <c r="C239" s="63"/>
      <c r="D239" s="18">
        <f>6*4</f>
        <v>24</v>
      </c>
      <c r="E239" s="44">
        <f t="shared" si="28"/>
        <v>17103.180000000008</v>
      </c>
      <c r="F239" s="67"/>
      <c r="G239" s="59">
        <f t="shared" si="25"/>
        <v>20.201183796679633</v>
      </c>
      <c r="H239" s="67"/>
      <c r="I239" s="60">
        <f t="shared" si="26"/>
        <v>484.82841112031122</v>
      </c>
      <c r="J239" s="61">
        <f t="shared" si="27"/>
        <v>345504.4826876953</v>
      </c>
      <c r="K239" s="50"/>
    </row>
    <row r="240" spans="1:14">
      <c r="A240" s="79">
        <v>41920</v>
      </c>
      <c r="B240" s="18" t="s">
        <v>641</v>
      </c>
      <c r="C240" s="63"/>
      <c r="D240" s="18">
        <f>18*3.3</f>
        <v>59.4</v>
      </c>
      <c r="E240" s="44">
        <f t="shared" si="28"/>
        <v>17043.780000000006</v>
      </c>
      <c r="F240" s="67"/>
      <c r="G240" s="59">
        <f t="shared" si="25"/>
        <v>20.201183796679633</v>
      </c>
      <c r="H240" s="67"/>
      <c r="I240" s="60">
        <f t="shared" si="26"/>
        <v>1199.9503175227701</v>
      </c>
      <c r="J240" s="61">
        <f t="shared" si="27"/>
        <v>344304.53237017256</v>
      </c>
      <c r="K240" s="50"/>
    </row>
    <row r="241" spans="1:11">
      <c r="A241" s="79">
        <v>41920</v>
      </c>
      <c r="B241" s="18" t="s">
        <v>642</v>
      </c>
      <c r="C241" s="63"/>
      <c r="D241" s="18">
        <f>5*3.5</f>
        <v>17.5</v>
      </c>
      <c r="E241" s="44">
        <f t="shared" si="28"/>
        <v>17026.280000000006</v>
      </c>
      <c r="F241" s="67"/>
      <c r="G241" s="59">
        <f t="shared" si="25"/>
        <v>20.201183796679636</v>
      </c>
      <c r="H241" s="67"/>
      <c r="I241" s="60">
        <f t="shared" si="26"/>
        <v>353.52071644189363</v>
      </c>
      <c r="J241" s="61">
        <f t="shared" si="27"/>
        <v>343951.01165373065</v>
      </c>
      <c r="K241" s="50"/>
    </row>
    <row r="242" spans="1:11">
      <c r="A242" s="79">
        <v>41921</v>
      </c>
      <c r="B242" s="18" t="s">
        <v>643</v>
      </c>
      <c r="C242" s="63"/>
      <c r="D242" s="18">
        <f>2*8.07</f>
        <v>16.14</v>
      </c>
      <c r="E242" s="44">
        <f t="shared" si="28"/>
        <v>17010.140000000007</v>
      </c>
      <c r="F242" s="67"/>
      <c r="G242" s="59">
        <f t="shared" si="25"/>
        <v>20.201183796679633</v>
      </c>
      <c r="H242" s="67"/>
      <c r="I242" s="60">
        <f t="shared" si="26"/>
        <v>326.04710647840926</v>
      </c>
      <c r="J242" s="61">
        <f t="shared" si="27"/>
        <v>343624.96454725222</v>
      </c>
      <c r="K242" s="50"/>
    </row>
    <row r="243" spans="1:11">
      <c r="A243" s="79">
        <v>41922</v>
      </c>
      <c r="B243" s="18" t="s">
        <v>644</v>
      </c>
      <c r="C243" s="63"/>
      <c r="D243" s="18">
        <v>0</v>
      </c>
      <c r="E243" s="44">
        <f t="shared" si="28"/>
        <v>17010.140000000007</v>
      </c>
      <c r="F243" s="67"/>
      <c r="G243" s="59">
        <f t="shared" si="25"/>
        <v>20.201183796679633</v>
      </c>
      <c r="H243" s="67"/>
      <c r="I243" s="60">
        <f t="shared" si="26"/>
        <v>0</v>
      </c>
      <c r="J243" s="61">
        <f t="shared" si="27"/>
        <v>343624.96454725222</v>
      </c>
      <c r="K243" s="50"/>
    </row>
    <row r="244" spans="1:11">
      <c r="A244" s="79">
        <v>41922</v>
      </c>
      <c r="B244" s="18" t="s">
        <v>645</v>
      </c>
      <c r="C244" s="63"/>
      <c r="D244" s="18">
        <f>4*3.3</f>
        <v>13.2</v>
      </c>
      <c r="E244" s="44">
        <f t="shared" si="28"/>
        <v>16996.940000000006</v>
      </c>
      <c r="F244" s="67"/>
      <c r="G244" s="59">
        <f t="shared" si="25"/>
        <v>20.201183796679633</v>
      </c>
      <c r="H244" s="67"/>
      <c r="I244" s="60">
        <f t="shared" si="26"/>
        <v>266.65562611617116</v>
      </c>
      <c r="J244" s="61">
        <f t="shared" si="27"/>
        <v>343358.30892113608</v>
      </c>
      <c r="K244" s="50"/>
    </row>
    <row r="245" spans="1:11">
      <c r="A245" s="79">
        <v>41922</v>
      </c>
      <c r="B245" s="18" t="s">
        <v>646</v>
      </c>
      <c r="C245" s="63"/>
      <c r="D245" s="18">
        <f>25*5+4*2</f>
        <v>133</v>
      </c>
      <c r="E245" s="44">
        <f t="shared" si="28"/>
        <v>16863.940000000006</v>
      </c>
      <c r="F245" s="67"/>
      <c r="G245" s="59">
        <f t="shared" si="25"/>
        <v>20.201183796679636</v>
      </c>
      <c r="H245" s="67"/>
      <c r="I245" s="60">
        <f t="shared" si="26"/>
        <v>2686.7574449583917</v>
      </c>
      <c r="J245" s="61">
        <f t="shared" si="27"/>
        <v>340671.5514761777</v>
      </c>
      <c r="K245" s="50"/>
    </row>
    <row r="246" spans="1:11">
      <c r="A246" s="79">
        <v>41922</v>
      </c>
      <c r="B246" s="18" t="s">
        <v>647</v>
      </c>
      <c r="C246" s="63"/>
      <c r="D246" s="18">
        <f>9*3+2.93+1.68</f>
        <v>31.61</v>
      </c>
      <c r="E246" s="44">
        <f t="shared" si="28"/>
        <v>16832.330000000005</v>
      </c>
      <c r="F246" s="67"/>
      <c r="G246" s="59">
        <f t="shared" si="25"/>
        <v>20.201183796679636</v>
      </c>
      <c r="H246" s="67"/>
      <c r="I246" s="60">
        <f t="shared" si="26"/>
        <v>638.55941981304329</v>
      </c>
      <c r="J246" s="61">
        <f t="shared" si="27"/>
        <v>340032.99205636466</v>
      </c>
      <c r="K246" s="50"/>
    </row>
    <row r="247" spans="1:11">
      <c r="A247" s="79">
        <v>41923</v>
      </c>
      <c r="B247" s="18" t="s">
        <v>648</v>
      </c>
      <c r="C247" s="63"/>
      <c r="D247" s="18">
        <f>9.5</f>
        <v>9.5</v>
      </c>
      <c r="E247" s="44">
        <f t="shared" si="28"/>
        <v>16822.830000000005</v>
      </c>
      <c r="F247" s="67"/>
      <c r="G247" s="59">
        <f t="shared" si="25"/>
        <v>20.201183796679636</v>
      </c>
      <c r="H247" s="67"/>
      <c r="I247" s="60">
        <f t="shared" si="26"/>
        <v>191.91124606845653</v>
      </c>
      <c r="J247" s="61">
        <f t="shared" si="27"/>
        <v>339841.08081029617</v>
      </c>
      <c r="K247" s="50"/>
    </row>
    <row r="248" spans="1:11" s="20" customFormat="1">
      <c r="A248" s="79">
        <v>41923</v>
      </c>
      <c r="B248" s="18" t="s">
        <v>703</v>
      </c>
      <c r="C248" s="63"/>
      <c r="D248" s="18">
        <v>9.5</v>
      </c>
      <c r="E248" s="44">
        <f t="shared" si="28"/>
        <v>16813.330000000005</v>
      </c>
      <c r="F248" s="67"/>
      <c r="G248" s="59">
        <f>J247/E247</f>
        <v>20.201183796679636</v>
      </c>
      <c r="H248" s="67"/>
      <c r="I248" s="60">
        <f>D248*G248</f>
        <v>191.91124606845653</v>
      </c>
      <c r="J248" s="61">
        <f>J247-I248</f>
        <v>339649.16956422769</v>
      </c>
      <c r="K248" s="50"/>
    </row>
    <row r="249" spans="1:11">
      <c r="A249" s="79">
        <v>41923</v>
      </c>
      <c r="B249" s="18" t="s">
        <v>649</v>
      </c>
      <c r="C249" s="63"/>
      <c r="D249" s="18">
        <v>0</v>
      </c>
      <c r="E249" s="44">
        <f t="shared" si="28"/>
        <v>16813.330000000005</v>
      </c>
      <c r="F249" s="67"/>
      <c r="G249" s="59">
        <f>J248/E248</f>
        <v>20.201183796679633</v>
      </c>
      <c r="H249" s="67"/>
      <c r="I249" s="60">
        <f>D249*G249</f>
        <v>0</v>
      </c>
      <c r="J249" s="61">
        <f>J248-I249</f>
        <v>339649.16956422769</v>
      </c>
      <c r="K249" s="50"/>
    </row>
    <row r="250" spans="1:11">
      <c r="A250" s="79">
        <v>41923</v>
      </c>
      <c r="B250" s="18" t="s">
        <v>650</v>
      </c>
      <c r="C250" s="63"/>
      <c r="D250" s="18">
        <f>18*3+18*2.4</f>
        <v>97.199999999999989</v>
      </c>
      <c r="E250" s="44">
        <f t="shared" si="28"/>
        <v>16716.130000000005</v>
      </c>
      <c r="F250" s="67"/>
      <c r="G250" s="59">
        <f t="shared" si="25"/>
        <v>20.201183796679633</v>
      </c>
      <c r="H250" s="67"/>
      <c r="I250" s="60">
        <f t="shared" si="26"/>
        <v>1963.5550650372602</v>
      </c>
      <c r="J250" s="61">
        <f t="shared" si="27"/>
        <v>337685.61449919041</v>
      </c>
      <c r="K250" s="50"/>
    </row>
    <row r="251" spans="1:11">
      <c r="A251" s="79">
        <v>41925</v>
      </c>
      <c r="B251" s="18" t="s">
        <v>651</v>
      </c>
      <c r="C251" s="63"/>
      <c r="D251" s="18">
        <f>6*3.75+6*3.25</f>
        <v>42</v>
      </c>
      <c r="E251" s="44">
        <f t="shared" si="28"/>
        <v>16674.130000000005</v>
      </c>
      <c r="F251" s="67"/>
      <c r="G251" s="59">
        <f t="shared" si="25"/>
        <v>20.201183796679633</v>
      </c>
      <c r="H251" s="67"/>
      <c r="I251" s="60">
        <f t="shared" si="26"/>
        <v>848.44971946054454</v>
      </c>
      <c r="J251" s="61">
        <f t="shared" si="27"/>
        <v>336837.16477972985</v>
      </c>
      <c r="K251" s="50"/>
    </row>
    <row r="252" spans="1:11">
      <c r="A252" s="79">
        <v>41925</v>
      </c>
      <c r="B252" s="18" t="s">
        <v>652</v>
      </c>
      <c r="C252" s="63"/>
      <c r="D252" s="18">
        <f>12*5</f>
        <v>60</v>
      </c>
      <c r="E252" s="44">
        <f t="shared" si="28"/>
        <v>16614.130000000005</v>
      </c>
      <c r="F252" s="67"/>
      <c r="G252" s="59">
        <f t="shared" si="25"/>
        <v>20.201183796679633</v>
      </c>
      <c r="H252" s="67"/>
      <c r="I252" s="60">
        <f t="shared" si="26"/>
        <v>1212.071027800778</v>
      </c>
      <c r="J252" s="61">
        <f t="shared" si="27"/>
        <v>335625.09375192906</v>
      </c>
      <c r="K252" s="50"/>
    </row>
    <row r="253" spans="1:11" s="20" customFormat="1">
      <c r="A253" s="79">
        <v>41926</v>
      </c>
      <c r="B253" s="18" t="s">
        <v>704</v>
      </c>
      <c r="C253" s="63"/>
      <c r="D253" s="18">
        <f>5*3+5*3.5</f>
        <v>32.5</v>
      </c>
      <c r="E253" s="44">
        <f t="shared" si="28"/>
        <v>16581.630000000005</v>
      </c>
      <c r="F253" s="67"/>
      <c r="G253" s="59">
        <f t="shared" si="25"/>
        <v>20.201183796679633</v>
      </c>
      <c r="H253" s="67"/>
      <c r="I253" s="60">
        <f t="shared" si="26"/>
        <v>656.53847339208812</v>
      </c>
      <c r="J253" s="61">
        <f t="shared" si="27"/>
        <v>334968.55527853698</v>
      </c>
      <c r="K253" s="50"/>
    </row>
    <row r="254" spans="1:11">
      <c r="A254" s="79">
        <v>41926</v>
      </c>
      <c r="B254" s="18" t="s">
        <v>653</v>
      </c>
      <c r="C254" s="63"/>
      <c r="D254" s="18">
        <f>3*4+4.8</f>
        <v>16.8</v>
      </c>
      <c r="E254" s="44">
        <f t="shared" si="28"/>
        <v>16564.830000000005</v>
      </c>
      <c r="F254" s="67"/>
      <c r="G254" s="59">
        <f t="shared" si="25"/>
        <v>20.201183796679633</v>
      </c>
      <c r="H254" s="67"/>
      <c r="I254" s="60">
        <f t="shared" si="26"/>
        <v>339.37988778421783</v>
      </c>
      <c r="J254" s="61">
        <f t="shared" si="27"/>
        <v>334629.17539075279</v>
      </c>
      <c r="K254" s="50"/>
    </row>
    <row r="255" spans="1:11">
      <c r="A255" s="79">
        <v>41926</v>
      </c>
      <c r="B255" s="18" t="s">
        <v>654</v>
      </c>
      <c r="C255" s="63"/>
      <c r="D255" s="18">
        <f>24*6+14*6.5</f>
        <v>235</v>
      </c>
      <c r="E255" s="44">
        <f t="shared" si="28"/>
        <v>16329.830000000005</v>
      </c>
      <c r="F255" s="67"/>
      <c r="G255" s="59">
        <f t="shared" si="25"/>
        <v>20.201183796679633</v>
      </c>
      <c r="H255" s="67"/>
      <c r="I255" s="60">
        <f t="shared" si="26"/>
        <v>4747.2781922197137</v>
      </c>
      <c r="J255" s="61">
        <f t="shared" si="27"/>
        <v>329881.89719853306</v>
      </c>
      <c r="K255" s="50"/>
    </row>
    <row r="256" spans="1:11">
      <c r="A256" s="79">
        <v>41926</v>
      </c>
      <c r="B256" s="18" t="s">
        <v>655</v>
      </c>
      <c r="C256" s="63"/>
      <c r="D256" s="18">
        <f>2*1.5</f>
        <v>3</v>
      </c>
      <c r="E256" s="44">
        <f t="shared" si="28"/>
        <v>16326.830000000005</v>
      </c>
      <c r="F256" s="67"/>
      <c r="G256" s="59">
        <f t="shared" si="25"/>
        <v>20.201183796679633</v>
      </c>
      <c r="H256" s="67"/>
      <c r="I256" s="60">
        <f t="shared" si="26"/>
        <v>60.603551390038902</v>
      </c>
      <c r="J256" s="61">
        <f t="shared" si="27"/>
        <v>329821.293647143</v>
      </c>
      <c r="K256" s="50"/>
    </row>
    <row r="257" spans="1:11">
      <c r="A257" s="79">
        <v>41926</v>
      </c>
      <c r="B257" s="18" t="s">
        <v>656</v>
      </c>
      <c r="C257" s="63"/>
      <c r="D257" s="18">
        <f>10*2.4+3*3</f>
        <v>33</v>
      </c>
      <c r="E257" s="44">
        <f t="shared" si="28"/>
        <v>16293.830000000005</v>
      </c>
      <c r="F257" s="67"/>
      <c r="G257" s="59">
        <f t="shared" si="25"/>
        <v>20.201183796679629</v>
      </c>
      <c r="H257" s="67"/>
      <c r="I257" s="60">
        <f t="shared" si="26"/>
        <v>666.63906529042777</v>
      </c>
      <c r="J257" s="61">
        <f t="shared" si="27"/>
        <v>329154.65458185255</v>
      </c>
      <c r="K257" s="50"/>
    </row>
    <row r="258" spans="1:11">
      <c r="A258" s="79">
        <v>41926</v>
      </c>
      <c r="B258" s="18" t="s">
        <v>657</v>
      </c>
      <c r="C258" s="63"/>
      <c r="D258" s="18">
        <f>15*5.75</f>
        <v>86.25</v>
      </c>
      <c r="E258" s="44">
        <f t="shared" si="28"/>
        <v>16207.580000000005</v>
      </c>
      <c r="F258" s="67"/>
      <c r="G258" s="59">
        <f t="shared" si="25"/>
        <v>20.201183796679629</v>
      </c>
      <c r="H258" s="67"/>
      <c r="I258" s="60">
        <f t="shared" si="26"/>
        <v>1742.3521024636179</v>
      </c>
      <c r="J258" s="61">
        <f t="shared" si="27"/>
        <v>327412.30247938895</v>
      </c>
      <c r="K258" s="50"/>
    </row>
    <row r="259" spans="1:11">
      <c r="A259" s="79">
        <v>41927</v>
      </c>
      <c r="B259" s="18" t="s">
        <v>658</v>
      </c>
      <c r="C259" s="63"/>
      <c r="D259" s="18">
        <f>3.5</f>
        <v>3.5</v>
      </c>
      <c r="E259" s="44">
        <f t="shared" si="28"/>
        <v>16204.080000000005</v>
      </c>
      <c r="F259" s="67"/>
      <c r="G259" s="59">
        <f t="shared" si="25"/>
        <v>20.201183796679629</v>
      </c>
      <c r="H259" s="67"/>
      <c r="I259" s="60">
        <f t="shared" si="26"/>
        <v>70.704143288378702</v>
      </c>
      <c r="J259" s="61">
        <f t="shared" si="27"/>
        <v>327341.59833610058</v>
      </c>
      <c r="K259" s="50"/>
    </row>
    <row r="260" spans="1:11">
      <c r="A260" s="79">
        <v>41927</v>
      </c>
      <c r="B260" s="18" t="s">
        <v>659</v>
      </c>
      <c r="C260" s="63"/>
      <c r="D260" s="18">
        <f>3*2</f>
        <v>6</v>
      </c>
      <c r="E260" s="44">
        <f t="shared" si="28"/>
        <v>16198.080000000005</v>
      </c>
      <c r="F260" s="67"/>
      <c r="G260" s="59">
        <f t="shared" si="25"/>
        <v>20.201183796679629</v>
      </c>
      <c r="H260" s="67"/>
      <c r="I260" s="60">
        <f t="shared" si="26"/>
        <v>121.20710278007778</v>
      </c>
      <c r="J260" s="61">
        <f t="shared" si="27"/>
        <v>327220.39123332052</v>
      </c>
      <c r="K260" s="50"/>
    </row>
    <row r="261" spans="1:11">
      <c r="A261" s="79">
        <v>41929</v>
      </c>
      <c r="B261" s="18" t="s">
        <v>660</v>
      </c>
      <c r="C261" s="63"/>
      <c r="D261" s="19">
        <f>9*4.5+5*5.71+6*3.52+5*4.4+6*5.06+3.95</f>
        <v>146.47999999999999</v>
      </c>
      <c r="E261" s="44">
        <f t="shared" si="28"/>
        <v>16051.600000000006</v>
      </c>
      <c r="F261" s="67"/>
      <c r="G261" s="59">
        <f t="shared" si="25"/>
        <v>20.201183796679633</v>
      </c>
      <c r="H261" s="67"/>
      <c r="I261" s="60">
        <f t="shared" si="26"/>
        <v>2959.0694025376324</v>
      </c>
      <c r="J261" s="61">
        <f t="shared" si="27"/>
        <v>324261.32183078286</v>
      </c>
      <c r="K261" s="50"/>
    </row>
    <row r="262" spans="1:11">
      <c r="A262" s="79">
        <v>41932</v>
      </c>
      <c r="B262" s="18" t="s">
        <v>661</v>
      </c>
      <c r="C262" s="63"/>
      <c r="D262" s="18">
        <f>19*8.85+10*5.38</f>
        <v>221.95</v>
      </c>
      <c r="E262" s="44">
        <f t="shared" si="28"/>
        <v>15829.650000000005</v>
      </c>
      <c r="F262" s="67"/>
      <c r="G262" s="59">
        <f t="shared" si="25"/>
        <v>20.201183796679629</v>
      </c>
      <c r="H262" s="67"/>
      <c r="I262" s="60">
        <f t="shared" si="26"/>
        <v>4483.6527436730439</v>
      </c>
      <c r="J262" s="61">
        <f t="shared" si="27"/>
        <v>319777.6690871098</v>
      </c>
      <c r="K262" s="50"/>
    </row>
    <row r="263" spans="1:11">
      <c r="A263" s="79">
        <v>41932</v>
      </c>
      <c r="B263" s="18" t="s">
        <v>662</v>
      </c>
      <c r="C263" s="63"/>
      <c r="D263" s="18">
        <f>6*3.5+5</f>
        <v>26</v>
      </c>
      <c r="E263" s="44">
        <f t="shared" si="28"/>
        <v>15803.650000000005</v>
      </c>
      <c r="F263" s="67"/>
      <c r="G263" s="59">
        <f t="shared" si="25"/>
        <v>20.201183796679629</v>
      </c>
      <c r="H263" s="67"/>
      <c r="I263" s="60">
        <f t="shared" si="26"/>
        <v>525.23077871367036</v>
      </c>
      <c r="J263" s="61">
        <f t="shared" si="27"/>
        <v>319252.43830839614</v>
      </c>
      <c r="K263" s="50"/>
    </row>
    <row r="264" spans="1:11">
      <c r="A264" s="79">
        <v>41932</v>
      </c>
      <c r="B264" s="18" t="s">
        <v>663</v>
      </c>
      <c r="C264" s="63"/>
      <c r="D264" s="18">
        <v>0.9</v>
      </c>
      <c r="E264" s="44">
        <f t="shared" si="28"/>
        <v>15802.750000000005</v>
      </c>
      <c r="F264" s="67"/>
      <c r="G264" s="59">
        <f t="shared" si="25"/>
        <v>20.201183796679629</v>
      </c>
      <c r="H264" s="67"/>
      <c r="I264" s="60">
        <f t="shared" si="26"/>
        <v>18.181065417011666</v>
      </c>
      <c r="J264" s="61">
        <f t="shared" si="27"/>
        <v>319234.25724297913</v>
      </c>
      <c r="K264" s="50"/>
    </row>
    <row r="265" spans="1:11">
      <c r="A265" s="79">
        <v>41933</v>
      </c>
      <c r="B265" s="18" t="s">
        <v>664</v>
      </c>
      <c r="C265" s="63"/>
      <c r="D265" s="18">
        <f>41*6.12+5*5+5</f>
        <v>280.92</v>
      </c>
      <c r="E265" s="44">
        <f t="shared" si="28"/>
        <v>15521.830000000005</v>
      </c>
      <c r="F265" s="67"/>
      <c r="G265" s="59">
        <f t="shared" si="25"/>
        <v>20.201183796679629</v>
      </c>
      <c r="H265" s="67"/>
      <c r="I265" s="60">
        <f t="shared" si="26"/>
        <v>5674.9165521632422</v>
      </c>
      <c r="J265" s="61">
        <f t="shared" si="27"/>
        <v>313559.34069081588</v>
      </c>
      <c r="K265" s="50"/>
    </row>
    <row r="266" spans="1:11">
      <c r="A266" s="79">
        <v>41933</v>
      </c>
      <c r="B266" s="18" t="s">
        <v>665</v>
      </c>
      <c r="C266" s="63"/>
      <c r="D266" s="18">
        <f>12*4</f>
        <v>48</v>
      </c>
      <c r="E266" s="44">
        <f t="shared" si="28"/>
        <v>15473.830000000005</v>
      </c>
      <c r="F266" s="67"/>
      <c r="G266" s="59">
        <f t="shared" si="25"/>
        <v>20.201183796679629</v>
      </c>
      <c r="H266" s="67"/>
      <c r="I266" s="60">
        <f t="shared" si="26"/>
        <v>969.6568222406222</v>
      </c>
      <c r="J266" s="61">
        <f t="shared" si="27"/>
        <v>312589.68386857526</v>
      </c>
      <c r="K266" s="50"/>
    </row>
    <row r="267" spans="1:11">
      <c r="A267" s="79">
        <v>41933</v>
      </c>
      <c r="B267" s="18" t="s">
        <v>666</v>
      </c>
      <c r="C267" s="63"/>
      <c r="D267" s="18">
        <f>15*2.45</f>
        <v>36.75</v>
      </c>
      <c r="E267" s="44">
        <f t="shared" si="28"/>
        <v>15437.080000000005</v>
      </c>
      <c r="F267" s="67"/>
      <c r="G267" s="59">
        <f t="shared" si="25"/>
        <v>20.201183796679629</v>
      </c>
      <c r="H267" s="67"/>
      <c r="I267" s="60">
        <f t="shared" si="26"/>
        <v>742.39350452797635</v>
      </c>
      <c r="J267" s="61">
        <f t="shared" si="27"/>
        <v>311847.29036404728</v>
      </c>
      <c r="K267" s="50"/>
    </row>
    <row r="268" spans="1:11">
      <c r="A268" s="79">
        <v>41933</v>
      </c>
      <c r="B268" s="18" t="s">
        <v>667</v>
      </c>
      <c r="C268" s="63"/>
      <c r="D268" s="18">
        <f>2*3.1</f>
        <v>6.2</v>
      </c>
      <c r="E268" s="44">
        <f t="shared" si="28"/>
        <v>15430.880000000005</v>
      </c>
      <c r="F268" s="67"/>
      <c r="G268" s="59">
        <f t="shared" si="25"/>
        <v>20.201183796679629</v>
      </c>
      <c r="H268" s="67"/>
      <c r="I268" s="60">
        <f t="shared" si="26"/>
        <v>125.2473395394137</v>
      </c>
      <c r="J268" s="61">
        <f t="shared" si="27"/>
        <v>311722.04302450788</v>
      </c>
      <c r="K268" s="50"/>
    </row>
    <row r="269" spans="1:11">
      <c r="A269" s="79">
        <v>41934</v>
      </c>
      <c r="B269" s="18" t="s">
        <v>706</v>
      </c>
      <c r="C269" s="63"/>
      <c r="D269" s="18">
        <f>4*1.21+3*1.29+1*1.31</f>
        <v>10.020000000000001</v>
      </c>
      <c r="E269" s="44">
        <f t="shared" si="28"/>
        <v>15420.860000000004</v>
      </c>
      <c r="F269" s="67"/>
      <c r="G269" s="59">
        <f t="shared" si="25"/>
        <v>20.201183796679629</v>
      </c>
      <c r="H269" s="67"/>
      <c r="I269" s="60">
        <f t="shared" si="26"/>
        <v>202.41586164272991</v>
      </c>
      <c r="J269" s="61">
        <f t="shared" si="27"/>
        <v>311519.62716286513</v>
      </c>
      <c r="K269" s="50"/>
    </row>
    <row r="270" spans="1:11">
      <c r="A270" s="134">
        <v>41935</v>
      </c>
      <c r="B270" s="18" t="s">
        <v>707</v>
      </c>
      <c r="C270" s="67"/>
      <c r="D270" s="67">
        <f>2*2.5</f>
        <v>5</v>
      </c>
      <c r="E270" s="44">
        <f t="shared" si="28"/>
        <v>15415.860000000004</v>
      </c>
      <c r="F270" s="67"/>
      <c r="G270" s="59">
        <f t="shared" si="25"/>
        <v>20.201183796679629</v>
      </c>
      <c r="H270" s="67"/>
      <c r="I270" s="60">
        <f t="shared" ref="I270:I282" si="29">D270*G270</f>
        <v>101.00591898339815</v>
      </c>
      <c r="J270" s="61">
        <f t="shared" ref="J270:J282" si="30">J269-I270</f>
        <v>311418.62124388176</v>
      </c>
      <c r="K270" s="50"/>
    </row>
    <row r="271" spans="1:11">
      <c r="A271" s="134">
        <v>41936</v>
      </c>
      <c r="B271" s="18" t="s">
        <v>708</v>
      </c>
      <c r="C271" s="67"/>
      <c r="D271" s="74">
        <f>2*3.8+2*4.5</f>
        <v>16.600000000000001</v>
      </c>
      <c r="E271" s="44">
        <f t="shared" si="28"/>
        <v>15399.260000000004</v>
      </c>
      <c r="F271" s="67"/>
      <c r="G271" s="59">
        <f t="shared" si="25"/>
        <v>20.201183796679633</v>
      </c>
      <c r="H271" s="67"/>
      <c r="I271" s="60">
        <f t="shared" si="29"/>
        <v>335.33965102488196</v>
      </c>
      <c r="J271" s="61">
        <f t="shared" si="30"/>
        <v>311083.28159285686</v>
      </c>
      <c r="K271" s="50"/>
    </row>
    <row r="272" spans="1:11">
      <c r="A272" s="134">
        <v>41936</v>
      </c>
      <c r="B272" s="18" t="s">
        <v>709</v>
      </c>
      <c r="C272" s="67"/>
      <c r="D272" s="74">
        <f>3*2.5</f>
        <v>7.5</v>
      </c>
      <c r="E272" s="44">
        <f t="shared" si="28"/>
        <v>15391.760000000004</v>
      </c>
      <c r="F272" s="67"/>
      <c r="G272" s="59">
        <f t="shared" si="25"/>
        <v>20.201183796679633</v>
      </c>
      <c r="H272" s="67"/>
      <c r="I272" s="60">
        <f t="shared" si="29"/>
        <v>151.50887847509725</v>
      </c>
      <c r="J272" s="61">
        <f t="shared" si="30"/>
        <v>310931.77271438175</v>
      </c>
      <c r="K272" s="50"/>
    </row>
    <row r="273" spans="1:14">
      <c r="A273" s="134">
        <v>41936</v>
      </c>
      <c r="B273" s="18" t="s">
        <v>710</v>
      </c>
      <c r="C273" s="67"/>
      <c r="D273" s="74">
        <f>17*3.05</f>
        <v>51.849999999999994</v>
      </c>
      <c r="E273" s="44">
        <f t="shared" si="28"/>
        <v>15339.910000000003</v>
      </c>
      <c r="F273" s="67"/>
      <c r="G273" s="59">
        <f t="shared" si="25"/>
        <v>20.201183796679629</v>
      </c>
      <c r="H273" s="67"/>
      <c r="I273" s="60">
        <f t="shared" si="29"/>
        <v>1047.4313798578387</v>
      </c>
      <c r="J273" s="61">
        <f t="shared" si="30"/>
        <v>309884.34133452392</v>
      </c>
      <c r="K273" s="50"/>
    </row>
    <row r="274" spans="1:14">
      <c r="A274" s="134">
        <v>41937</v>
      </c>
      <c r="B274" s="18" t="s">
        <v>711</v>
      </c>
      <c r="C274" s="67"/>
      <c r="D274" s="74">
        <f>5*3.5</f>
        <v>17.5</v>
      </c>
      <c r="E274" s="44">
        <f t="shared" si="28"/>
        <v>15322.410000000003</v>
      </c>
      <c r="F274" s="67"/>
      <c r="G274" s="59">
        <f t="shared" si="25"/>
        <v>20.201183796679633</v>
      </c>
      <c r="H274" s="67"/>
      <c r="I274" s="60">
        <f t="shared" si="29"/>
        <v>353.52071644189357</v>
      </c>
      <c r="J274" s="61">
        <f t="shared" si="30"/>
        <v>309530.82061808201</v>
      </c>
      <c r="K274" s="50"/>
    </row>
    <row r="275" spans="1:14">
      <c r="A275" s="134">
        <v>41939</v>
      </c>
      <c r="B275" s="18" t="s">
        <v>712</v>
      </c>
      <c r="C275" s="67"/>
      <c r="D275" s="74">
        <f>4*5.5</f>
        <v>22</v>
      </c>
      <c r="E275" s="44">
        <f t="shared" si="28"/>
        <v>15300.410000000003</v>
      </c>
      <c r="F275" s="67"/>
      <c r="G275" s="59">
        <f t="shared" si="25"/>
        <v>20.201183796679629</v>
      </c>
      <c r="H275" s="67"/>
      <c r="I275" s="60">
        <f t="shared" si="29"/>
        <v>444.42604352695184</v>
      </c>
      <c r="J275" s="61">
        <f t="shared" si="30"/>
        <v>309086.39457455504</v>
      </c>
      <c r="K275" s="50"/>
    </row>
    <row r="276" spans="1:14">
      <c r="A276" s="134">
        <v>41940</v>
      </c>
      <c r="B276" s="18" t="s">
        <v>713</v>
      </c>
      <c r="C276" s="67"/>
      <c r="D276" s="74">
        <f>15*6.2</f>
        <v>93</v>
      </c>
      <c r="E276" s="44">
        <f t="shared" si="28"/>
        <v>15207.410000000003</v>
      </c>
      <c r="F276" s="67"/>
      <c r="G276" s="59">
        <f t="shared" si="25"/>
        <v>20.201183796679629</v>
      </c>
      <c r="H276" s="67"/>
      <c r="I276" s="60">
        <f t="shared" si="29"/>
        <v>1878.7100930912056</v>
      </c>
      <c r="J276" s="61">
        <f t="shared" si="30"/>
        <v>307207.68448146386</v>
      </c>
      <c r="K276" s="50"/>
    </row>
    <row r="277" spans="1:14">
      <c r="A277" s="134">
        <v>41940</v>
      </c>
      <c r="B277" s="18" t="s">
        <v>715</v>
      </c>
      <c r="C277" s="67"/>
      <c r="D277" s="74">
        <f>1*4.5+2*1.58</f>
        <v>7.66</v>
      </c>
      <c r="E277" s="44">
        <f t="shared" si="28"/>
        <v>15199.750000000004</v>
      </c>
      <c r="F277" s="67"/>
      <c r="G277" s="59">
        <f t="shared" si="25"/>
        <v>20.201183796679633</v>
      </c>
      <c r="H277" s="67"/>
      <c r="I277" s="60">
        <f t="shared" si="29"/>
        <v>154.741067882566</v>
      </c>
      <c r="J277" s="61">
        <f t="shared" si="30"/>
        <v>307052.94341358129</v>
      </c>
      <c r="K277" s="50"/>
    </row>
    <row r="278" spans="1:14">
      <c r="A278" s="134">
        <v>41941</v>
      </c>
      <c r="B278" s="18" t="s">
        <v>718</v>
      </c>
      <c r="C278" s="67"/>
      <c r="D278" s="74">
        <f>8*3</f>
        <v>24</v>
      </c>
      <c r="E278" s="44">
        <f t="shared" si="28"/>
        <v>15175.750000000004</v>
      </c>
      <c r="F278" s="67"/>
      <c r="G278" s="59">
        <f t="shared" si="25"/>
        <v>20.201183796679629</v>
      </c>
      <c r="H278" s="67"/>
      <c r="I278" s="60">
        <f t="shared" si="29"/>
        <v>484.8284111203111</v>
      </c>
      <c r="J278" s="61">
        <f t="shared" si="30"/>
        <v>306568.11500246095</v>
      </c>
      <c r="K278" s="50"/>
    </row>
    <row r="279" spans="1:14">
      <c r="A279" s="134">
        <v>41942</v>
      </c>
      <c r="B279" s="18" t="s">
        <v>719</v>
      </c>
      <c r="C279" s="67"/>
      <c r="D279" s="74">
        <f>2*4.4+4*2.3</f>
        <v>18</v>
      </c>
      <c r="E279" s="44">
        <f t="shared" si="28"/>
        <v>15157.750000000004</v>
      </c>
      <c r="F279" s="67"/>
      <c r="G279" s="59">
        <f t="shared" si="25"/>
        <v>20.201183796679629</v>
      </c>
      <c r="H279" s="67"/>
      <c r="I279" s="60">
        <f t="shared" si="29"/>
        <v>363.62130834023333</v>
      </c>
      <c r="J279" s="61">
        <f t="shared" si="30"/>
        <v>306204.49369412073</v>
      </c>
      <c r="K279" s="50"/>
    </row>
    <row r="280" spans="1:14">
      <c r="A280" s="134">
        <v>41942</v>
      </c>
      <c r="B280" s="18" t="s">
        <v>720</v>
      </c>
      <c r="C280" s="67"/>
      <c r="D280" s="74">
        <f>8*3</f>
        <v>24</v>
      </c>
      <c r="E280" s="44">
        <f t="shared" si="28"/>
        <v>15133.750000000004</v>
      </c>
      <c r="F280" s="67"/>
      <c r="G280" s="59">
        <f t="shared" si="25"/>
        <v>20.201183796679629</v>
      </c>
      <c r="H280" s="67"/>
      <c r="I280" s="60">
        <f t="shared" si="29"/>
        <v>484.8284111203111</v>
      </c>
      <c r="J280" s="61">
        <f t="shared" si="30"/>
        <v>305719.66528300039</v>
      </c>
      <c r="K280" s="50"/>
    </row>
    <row r="281" spans="1:14">
      <c r="A281" s="134">
        <v>41943</v>
      </c>
      <c r="B281" s="18" t="s">
        <v>722</v>
      </c>
      <c r="C281" s="67"/>
      <c r="D281" s="74">
        <f>4*2.5</f>
        <v>10</v>
      </c>
      <c r="E281" s="44">
        <f t="shared" si="28"/>
        <v>15123.750000000004</v>
      </c>
      <c r="F281" s="67"/>
      <c r="G281" s="59">
        <f t="shared" si="25"/>
        <v>20.201183796679629</v>
      </c>
      <c r="H281" s="67"/>
      <c r="I281" s="60">
        <f t="shared" si="29"/>
        <v>202.01183796679629</v>
      </c>
      <c r="J281" s="61">
        <f t="shared" si="30"/>
        <v>305517.65344503359</v>
      </c>
      <c r="K281" s="50"/>
    </row>
    <row r="282" spans="1:14" s="62" customFormat="1">
      <c r="A282" s="134">
        <v>41943</v>
      </c>
      <c r="B282" s="18" t="s">
        <v>723</v>
      </c>
      <c r="C282" s="67"/>
      <c r="D282" s="74">
        <f>20*5.2+40*3.4</f>
        <v>240</v>
      </c>
      <c r="E282" s="44">
        <f t="shared" si="28"/>
        <v>14883.750000000004</v>
      </c>
      <c r="F282" s="67"/>
      <c r="G282" s="59">
        <f t="shared" si="25"/>
        <v>20.201183796679626</v>
      </c>
      <c r="H282" s="67"/>
      <c r="I282" s="60">
        <f t="shared" si="29"/>
        <v>4848.2841112031101</v>
      </c>
      <c r="J282" s="61">
        <f t="shared" si="30"/>
        <v>300669.36933383049</v>
      </c>
      <c r="K282" s="81">
        <f>SUM(I228:I282)</f>
        <v>50708.001507235378</v>
      </c>
      <c r="N282" s="146">
        <f>+K282</f>
        <v>50708.001507235378</v>
      </c>
    </row>
    <row r="283" spans="1:14">
      <c r="A283" s="134">
        <v>41944</v>
      </c>
      <c r="B283" s="18" t="s">
        <v>725</v>
      </c>
      <c r="C283" s="67"/>
      <c r="D283" s="67">
        <f>17*5.1</f>
        <v>86.699999999999989</v>
      </c>
      <c r="E283" s="44">
        <f t="shared" ref="E283:E289" si="31">E282-D283</f>
        <v>14797.050000000003</v>
      </c>
      <c r="F283" s="67"/>
      <c r="G283" s="59">
        <f t="shared" ref="G283:G289" si="32">J282/E282</f>
        <v>20.201183796679629</v>
      </c>
      <c r="H283" s="67"/>
      <c r="I283" s="60">
        <f t="shared" ref="I283:I289" si="33">D283*G283</f>
        <v>1751.4426351721236</v>
      </c>
      <c r="J283" s="61">
        <f t="shared" ref="J283:J289" si="34">J282-I283</f>
        <v>298917.92669865838</v>
      </c>
      <c r="K283" s="50"/>
    </row>
    <row r="284" spans="1:14" s="20" customFormat="1">
      <c r="A284" s="134">
        <v>41947</v>
      </c>
      <c r="B284" s="18" t="s">
        <v>727</v>
      </c>
      <c r="C284" s="67"/>
      <c r="D284" s="67">
        <f>5.2+2*3.4</f>
        <v>12</v>
      </c>
      <c r="E284" s="44">
        <f t="shared" si="31"/>
        <v>14785.050000000003</v>
      </c>
      <c r="F284" s="67"/>
      <c r="G284" s="59">
        <f t="shared" si="32"/>
        <v>20.201183796679629</v>
      </c>
      <c r="H284" s="67"/>
      <c r="I284" s="60">
        <f t="shared" si="33"/>
        <v>242.41420556015555</v>
      </c>
      <c r="J284" s="61">
        <f t="shared" si="34"/>
        <v>298675.51249309821</v>
      </c>
      <c r="K284" s="50"/>
    </row>
    <row r="285" spans="1:14" s="20" customFormat="1">
      <c r="A285" s="134">
        <v>41949</v>
      </c>
      <c r="B285" s="18" t="s">
        <v>729</v>
      </c>
      <c r="C285" s="67"/>
      <c r="D285" s="67">
        <f>0.4</f>
        <v>0.4</v>
      </c>
      <c r="E285" s="44">
        <f t="shared" si="31"/>
        <v>14784.650000000003</v>
      </c>
      <c r="F285" s="67"/>
      <c r="G285" s="59">
        <f t="shared" si="32"/>
        <v>20.201183796679629</v>
      </c>
      <c r="H285" s="67"/>
      <c r="I285" s="60">
        <f t="shared" si="33"/>
        <v>8.0804735186718517</v>
      </c>
      <c r="J285" s="61">
        <f t="shared" si="34"/>
        <v>298667.43201957952</v>
      </c>
      <c r="K285" s="50"/>
    </row>
    <row r="286" spans="1:14" s="20" customFormat="1">
      <c r="A286" s="134">
        <v>41949</v>
      </c>
      <c r="B286" s="18" t="s">
        <v>730</v>
      </c>
      <c r="C286" s="67"/>
      <c r="D286" s="67">
        <f>4.5+4.3+4+3.8+3.5+3.2+3+6.2</f>
        <v>32.5</v>
      </c>
      <c r="E286" s="44">
        <f t="shared" si="31"/>
        <v>14752.150000000003</v>
      </c>
      <c r="F286" s="67"/>
      <c r="G286" s="59">
        <f t="shared" si="32"/>
        <v>20.201183796679626</v>
      </c>
      <c r="H286" s="67"/>
      <c r="I286" s="60">
        <f t="shared" si="33"/>
        <v>656.53847339208778</v>
      </c>
      <c r="J286" s="61">
        <f t="shared" si="34"/>
        <v>298010.89354618744</v>
      </c>
      <c r="K286" s="50"/>
    </row>
    <row r="287" spans="1:14" s="20" customFormat="1">
      <c r="A287" s="134">
        <v>41950</v>
      </c>
      <c r="B287" s="18" t="s">
        <v>731</v>
      </c>
      <c r="C287" s="67"/>
      <c r="D287" s="67">
        <v>5</v>
      </c>
      <c r="E287" s="44">
        <f t="shared" si="31"/>
        <v>14747.150000000003</v>
      </c>
      <c r="F287" s="67"/>
      <c r="G287" s="59">
        <f t="shared" si="32"/>
        <v>20.201183796679629</v>
      </c>
      <c r="H287" s="67"/>
      <c r="I287" s="60">
        <f t="shared" si="33"/>
        <v>101.00591898339815</v>
      </c>
      <c r="J287" s="61">
        <f t="shared" si="34"/>
        <v>297909.88762720407</v>
      </c>
      <c r="K287" s="50"/>
    </row>
    <row r="288" spans="1:14" s="20" customFormat="1">
      <c r="A288" s="134">
        <v>41950</v>
      </c>
      <c r="B288" s="18" t="s">
        <v>732</v>
      </c>
      <c r="C288" s="67"/>
      <c r="D288" s="67">
        <f>26*3.45</f>
        <v>89.7</v>
      </c>
      <c r="E288" s="44">
        <f t="shared" si="31"/>
        <v>14657.450000000003</v>
      </c>
      <c r="F288" s="67"/>
      <c r="G288" s="59">
        <f t="shared" si="32"/>
        <v>20.201183796679629</v>
      </c>
      <c r="H288" s="67"/>
      <c r="I288" s="60">
        <f t="shared" si="33"/>
        <v>1812.0461865621628</v>
      </c>
      <c r="J288" s="61">
        <f t="shared" si="34"/>
        <v>296097.8414406419</v>
      </c>
      <c r="K288" s="50"/>
    </row>
    <row r="289" spans="1:11" s="20" customFormat="1">
      <c r="A289" s="134">
        <v>41953</v>
      </c>
      <c r="B289" s="18" t="s">
        <v>734</v>
      </c>
      <c r="C289" s="67"/>
      <c r="D289" s="67">
        <f>5*1.8</f>
        <v>9</v>
      </c>
      <c r="E289" s="44">
        <f t="shared" si="31"/>
        <v>14648.450000000003</v>
      </c>
      <c r="F289" s="67"/>
      <c r="G289" s="59">
        <f t="shared" si="32"/>
        <v>20.201183796679629</v>
      </c>
      <c r="H289" s="67"/>
      <c r="I289" s="60">
        <f t="shared" si="33"/>
        <v>181.81065417011666</v>
      </c>
      <c r="J289" s="61">
        <f t="shared" si="34"/>
        <v>295916.03078647179</v>
      </c>
      <c r="K289" s="50"/>
    </row>
    <row r="290" spans="1:11" s="20" customFormat="1">
      <c r="A290" s="134">
        <v>41953</v>
      </c>
      <c r="B290" s="18" t="s">
        <v>735</v>
      </c>
      <c r="C290" s="67"/>
      <c r="D290" s="67">
        <f>12*3.65</f>
        <v>43.8</v>
      </c>
      <c r="E290" s="44">
        <f t="shared" ref="E290:E353" si="35">E289-D290</f>
        <v>14604.650000000003</v>
      </c>
      <c r="F290" s="67"/>
      <c r="G290" s="59">
        <f t="shared" ref="G290:G353" si="36">J289/E289</f>
        <v>20.201183796679629</v>
      </c>
      <c r="H290" s="67"/>
      <c r="I290" s="60">
        <f t="shared" ref="I290:I353" si="37">D290*G290</f>
        <v>884.81185029456765</v>
      </c>
      <c r="J290" s="61">
        <f t="shared" ref="J290:J353" si="38">J289-I290</f>
        <v>295031.2189361772</v>
      </c>
      <c r="K290" s="50"/>
    </row>
    <row r="291" spans="1:11" s="20" customFormat="1">
      <c r="A291" s="134">
        <v>41953</v>
      </c>
      <c r="B291" s="18" t="s">
        <v>738</v>
      </c>
      <c r="C291" s="67"/>
      <c r="D291" s="67">
        <f>12*3.65</f>
        <v>43.8</v>
      </c>
      <c r="E291" s="44">
        <f t="shared" si="35"/>
        <v>14560.850000000004</v>
      </c>
      <c r="F291" s="67"/>
      <c r="G291" s="59">
        <f t="shared" si="36"/>
        <v>20.201183796679629</v>
      </c>
      <c r="H291" s="67"/>
      <c r="I291" s="60">
        <f t="shared" si="37"/>
        <v>884.81185029456765</v>
      </c>
      <c r="J291" s="61">
        <f t="shared" si="38"/>
        <v>294146.40708588262</v>
      </c>
      <c r="K291" s="50"/>
    </row>
    <row r="292" spans="1:11" s="20" customFormat="1">
      <c r="A292" s="134">
        <v>41954</v>
      </c>
      <c r="B292" s="18" t="s">
        <v>739</v>
      </c>
      <c r="C292" s="67"/>
      <c r="D292" s="67">
        <f>7*2.15</f>
        <v>15.049999999999999</v>
      </c>
      <c r="E292" s="44">
        <f t="shared" si="35"/>
        <v>14545.800000000005</v>
      </c>
      <c r="F292" s="67"/>
      <c r="G292" s="59">
        <f t="shared" si="36"/>
        <v>20.201183796679626</v>
      </c>
      <c r="H292" s="67"/>
      <c r="I292" s="60">
        <f t="shared" si="37"/>
        <v>304.02781614002834</v>
      </c>
      <c r="J292" s="61">
        <f t="shared" si="38"/>
        <v>293842.37926974258</v>
      </c>
      <c r="K292" s="50"/>
    </row>
    <row r="293" spans="1:11" s="20" customFormat="1">
      <c r="A293" s="134">
        <v>41954</v>
      </c>
      <c r="B293" s="18" t="s">
        <v>740</v>
      </c>
      <c r="C293" s="67"/>
      <c r="D293" s="67">
        <f>2*3.5</f>
        <v>7</v>
      </c>
      <c r="E293" s="44">
        <f t="shared" si="35"/>
        <v>14538.800000000005</v>
      </c>
      <c r="F293" s="67"/>
      <c r="G293" s="59">
        <f t="shared" si="36"/>
        <v>20.201183796679626</v>
      </c>
      <c r="H293" s="67"/>
      <c r="I293" s="60">
        <f t="shared" si="37"/>
        <v>141.40828657675738</v>
      </c>
      <c r="J293" s="61">
        <f t="shared" si="38"/>
        <v>293700.97098316584</v>
      </c>
      <c r="K293" s="50"/>
    </row>
    <row r="294" spans="1:11" s="20" customFormat="1">
      <c r="A294" s="134">
        <v>41954</v>
      </c>
      <c r="B294" s="18" t="s">
        <v>742</v>
      </c>
      <c r="C294" s="67"/>
      <c r="D294" s="67">
        <f>5*7</f>
        <v>35</v>
      </c>
      <c r="E294" s="44">
        <f t="shared" si="35"/>
        <v>14503.800000000005</v>
      </c>
      <c r="F294" s="67"/>
      <c r="G294" s="59">
        <f t="shared" si="36"/>
        <v>20.201183796679626</v>
      </c>
      <c r="H294" s="67"/>
      <c r="I294" s="60">
        <f t="shared" si="37"/>
        <v>707.04143288378691</v>
      </c>
      <c r="J294" s="61">
        <f t="shared" si="38"/>
        <v>292993.92955028208</v>
      </c>
      <c r="K294" s="50"/>
    </row>
    <row r="295" spans="1:11" s="20" customFormat="1">
      <c r="A295" s="134">
        <v>41590</v>
      </c>
      <c r="B295" s="18" t="s">
        <v>743</v>
      </c>
      <c r="C295" s="67"/>
      <c r="D295" s="67">
        <f>5*1.7</f>
        <v>8.5</v>
      </c>
      <c r="E295" s="44">
        <f t="shared" si="35"/>
        <v>14495.300000000005</v>
      </c>
      <c r="F295" s="67"/>
      <c r="G295" s="59">
        <f t="shared" si="36"/>
        <v>20.201183796679626</v>
      </c>
      <c r="H295" s="67"/>
      <c r="I295" s="60">
        <f t="shared" si="37"/>
        <v>171.71006227177682</v>
      </c>
      <c r="J295" s="61">
        <f t="shared" si="38"/>
        <v>292822.21948801028</v>
      </c>
      <c r="K295" s="50"/>
    </row>
    <row r="296" spans="1:11" s="20" customFormat="1">
      <c r="A296" s="134">
        <v>41590</v>
      </c>
      <c r="B296" s="18" t="s">
        <v>744</v>
      </c>
      <c r="C296" s="67"/>
      <c r="D296" s="67">
        <f>6*4.45+3*2.15</f>
        <v>33.150000000000006</v>
      </c>
      <c r="E296" s="44">
        <f t="shared" si="35"/>
        <v>14462.150000000005</v>
      </c>
      <c r="F296" s="67"/>
      <c r="G296" s="59">
        <f t="shared" si="36"/>
        <v>20.201183796679626</v>
      </c>
      <c r="H296" s="67"/>
      <c r="I296" s="60">
        <f t="shared" si="37"/>
        <v>669.66924285992968</v>
      </c>
      <c r="J296" s="61">
        <f t="shared" si="38"/>
        <v>292152.55024515034</v>
      </c>
      <c r="K296" s="50"/>
    </row>
    <row r="297" spans="1:11" s="20" customFormat="1">
      <c r="A297" s="134">
        <v>41590</v>
      </c>
      <c r="B297" s="18" t="s">
        <v>745</v>
      </c>
      <c r="C297" s="67"/>
      <c r="D297" s="67">
        <f>5*7+5*5</f>
        <v>60</v>
      </c>
      <c r="E297" s="44">
        <f t="shared" si="35"/>
        <v>14402.150000000005</v>
      </c>
      <c r="F297" s="67"/>
      <c r="G297" s="59">
        <f t="shared" si="36"/>
        <v>20.201183796679626</v>
      </c>
      <c r="H297" s="67"/>
      <c r="I297" s="60">
        <f t="shared" si="37"/>
        <v>1212.0710278007775</v>
      </c>
      <c r="J297" s="61">
        <f t="shared" si="38"/>
        <v>290940.47921734955</v>
      </c>
      <c r="K297" s="50"/>
    </row>
    <row r="298" spans="1:11" s="20" customFormat="1">
      <c r="A298" s="134">
        <v>41956</v>
      </c>
      <c r="B298" s="18" t="s">
        <v>746</v>
      </c>
      <c r="C298" s="67"/>
      <c r="D298" s="67">
        <f>5*3.4</f>
        <v>17</v>
      </c>
      <c r="E298" s="44">
        <f t="shared" si="35"/>
        <v>14385.150000000005</v>
      </c>
      <c r="F298" s="67"/>
      <c r="G298" s="59">
        <f t="shared" si="36"/>
        <v>20.201183796679626</v>
      </c>
      <c r="H298" s="67"/>
      <c r="I298" s="60">
        <f t="shared" si="37"/>
        <v>343.42012454355364</v>
      </c>
      <c r="J298" s="61">
        <f t="shared" si="38"/>
        <v>290597.05909280601</v>
      </c>
      <c r="K298" s="50"/>
    </row>
    <row r="299" spans="1:11" s="20" customFormat="1">
      <c r="A299" s="134">
        <v>41956</v>
      </c>
      <c r="B299" s="18" t="s">
        <v>747</v>
      </c>
      <c r="C299" s="67"/>
      <c r="D299" s="67">
        <f>7*5.5</f>
        <v>38.5</v>
      </c>
      <c r="E299" s="44">
        <f t="shared" si="35"/>
        <v>14346.650000000005</v>
      </c>
      <c r="F299" s="67"/>
      <c r="G299" s="59">
        <f t="shared" si="36"/>
        <v>20.201183796679626</v>
      </c>
      <c r="H299" s="67"/>
      <c r="I299" s="60">
        <f t="shared" si="37"/>
        <v>777.74557617216556</v>
      </c>
      <c r="J299" s="61">
        <f t="shared" si="38"/>
        <v>289819.31351663382</v>
      </c>
      <c r="K299" s="50"/>
    </row>
    <row r="300" spans="1:11" s="20" customFormat="1">
      <c r="A300" s="134">
        <v>41956</v>
      </c>
      <c r="B300" s="18" t="s">
        <v>748</v>
      </c>
      <c r="C300" s="67"/>
      <c r="D300" s="67">
        <f>4*2.45</f>
        <v>9.8000000000000007</v>
      </c>
      <c r="E300" s="44">
        <f t="shared" si="35"/>
        <v>14336.850000000006</v>
      </c>
      <c r="F300" s="67"/>
      <c r="G300" s="59">
        <f t="shared" si="36"/>
        <v>20.201183796679622</v>
      </c>
      <c r="H300" s="67"/>
      <c r="I300" s="60">
        <f t="shared" si="37"/>
        <v>197.97160120746031</v>
      </c>
      <c r="J300" s="61">
        <f t="shared" si="38"/>
        <v>289621.34191542637</v>
      </c>
      <c r="K300" s="50"/>
    </row>
    <row r="301" spans="1:11" s="20" customFormat="1">
      <c r="A301" s="134">
        <v>41956</v>
      </c>
      <c r="B301" s="18" t="s">
        <v>749</v>
      </c>
      <c r="C301" s="67"/>
      <c r="D301" s="67">
        <f>7*2.5</f>
        <v>17.5</v>
      </c>
      <c r="E301" s="44">
        <f t="shared" si="35"/>
        <v>14319.350000000006</v>
      </c>
      <c r="F301" s="67"/>
      <c r="G301" s="59">
        <f t="shared" si="36"/>
        <v>20.201183796679622</v>
      </c>
      <c r="H301" s="67"/>
      <c r="I301" s="60">
        <f t="shared" si="37"/>
        <v>353.5207164418934</v>
      </c>
      <c r="J301" s="61">
        <f t="shared" si="38"/>
        <v>289267.82119898446</v>
      </c>
      <c r="K301" s="50"/>
    </row>
    <row r="302" spans="1:11" s="20" customFormat="1">
      <c r="A302" s="134">
        <v>41957</v>
      </c>
      <c r="B302" s="18" t="s">
        <v>750</v>
      </c>
      <c r="C302" s="67"/>
      <c r="D302" s="67">
        <f>3</f>
        <v>3</v>
      </c>
      <c r="E302" s="44">
        <f t="shared" si="35"/>
        <v>14316.350000000006</v>
      </c>
      <c r="F302" s="67"/>
      <c r="G302" s="59">
        <f t="shared" si="36"/>
        <v>20.201183796679622</v>
      </c>
      <c r="H302" s="67"/>
      <c r="I302" s="60">
        <f t="shared" si="37"/>
        <v>60.603551390038866</v>
      </c>
      <c r="J302" s="61">
        <f t="shared" si="38"/>
        <v>289207.2176475944</v>
      </c>
      <c r="K302" s="50"/>
    </row>
    <row r="303" spans="1:11" s="20" customFormat="1">
      <c r="A303" s="134">
        <v>41958</v>
      </c>
      <c r="B303" s="18" t="s">
        <v>751</v>
      </c>
      <c r="C303" s="67"/>
      <c r="D303" s="67">
        <f>15*6.15</f>
        <v>92.25</v>
      </c>
      <c r="E303" s="44">
        <f t="shared" si="35"/>
        <v>14224.100000000006</v>
      </c>
      <c r="F303" s="67"/>
      <c r="G303" s="59">
        <f t="shared" si="36"/>
        <v>20.201183796679619</v>
      </c>
      <c r="H303" s="67"/>
      <c r="I303" s="60">
        <f t="shared" si="37"/>
        <v>1863.5592052436948</v>
      </c>
      <c r="J303" s="61">
        <f t="shared" si="38"/>
        <v>287343.65844235069</v>
      </c>
      <c r="K303" s="50"/>
    </row>
    <row r="304" spans="1:11" s="20" customFormat="1">
      <c r="A304" s="134">
        <v>41958</v>
      </c>
      <c r="B304" s="18" t="s">
        <v>753</v>
      </c>
      <c r="C304" s="67"/>
      <c r="D304" s="67">
        <f>8*6</f>
        <v>48</v>
      </c>
      <c r="E304" s="44">
        <f t="shared" si="35"/>
        <v>14176.100000000006</v>
      </c>
      <c r="F304" s="67"/>
      <c r="G304" s="59">
        <f t="shared" si="36"/>
        <v>20.201183796679619</v>
      </c>
      <c r="H304" s="67"/>
      <c r="I304" s="60">
        <f t="shared" si="37"/>
        <v>969.65682224062175</v>
      </c>
      <c r="J304" s="61">
        <f t="shared" si="38"/>
        <v>286374.00162011007</v>
      </c>
      <c r="K304" s="50"/>
    </row>
    <row r="305" spans="1:11" s="20" customFormat="1">
      <c r="A305" s="134">
        <v>41958</v>
      </c>
      <c r="B305" s="18" t="s">
        <v>754</v>
      </c>
      <c r="C305" s="67"/>
      <c r="D305" s="67">
        <f>4*4.2</f>
        <v>16.8</v>
      </c>
      <c r="E305" s="44">
        <f t="shared" si="35"/>
        <v>14159.300000000007</v>
      </c>
      <c r="F305" s="67"/>
      <c r="G305" s="59">
        <f t="shared" si="36"/>
        <v>20.201183796679619</v>
      </c>
      <c r="H305" s="67"/>
      <c r="I305" s="60">
        <f t="shared" si="37"/>
        <v>339.3798877842176</v>
      </c>
      <c r="J305" s="61">
        <f t="shared" si="38"/>
        <v>286034.62173232588</v>
      </c>
      <c r="K305" s="50"/>
    </row>
    <row r="306" spans="1:11" s="20" customFormat="1">
      <c r="A306" s="134">
        <v>41960</v>
      </c>
      <c r="B306" s="18" t="s">
        <v>755</v>
      </c>
      <c r="C306" s="67"/>
      <c r="D306" s="67">
        <f>4*4.1</f>
        <v>16.399999999999999</v>
      </c>
      <c r="E306" s="44">
        <f t="shared" si="35"/>
        <v>14142.900000000007</v>
      </c>
      <c r="F306" s="67"/>
      <c r="G306" s="59">
        <f t="shared" si="36"/>
        <v>20.201183796679619</v>
      </c>
      <c r="H306" s="67"/>
      <c r="I306" s="60">
        <f t="shared" si="37"/>
        <v>331.29941426554569</v>
      </c>
      <c r="J306" s="61">
        <f t="shared" si="38"/>
        <v>285703.32231806032</v>
      </c>
      <c r="K306" s="50"/>
    </row>
    <row r="307" spans="1:11" s="20" customFormat="1">
      <c r="A307" s="134">
        <v>41961</v>
      </c>
      <c r="B307" s="18" t="s">
        <v>757</v>
      </c>
      <c r="C307" s="67"/>
      <c r="D307" s="67">
        <f>10*3.3</f>
        <v>33</v>
      </c>
      <c r="E307" s="44">
        <f t="shared" si="35"/>
        <v>14109.900000000007</v>
      </c>
      <c r="F307" s="67"/>
      <c r="G307" s="59">
        <f t="shared" si="36"/>
        <v>20.201183796679619</v>
      </c>
      <c r="H307" s="67"/>
      <c r="I307" s="60">
        <f t="shared" si="37"/>
        <v>666.63906529042742</v>
      </c>
      <c r="J307" s="61">
        <f t="shared" si="38"/>
        <v>285036.68325276987</v>
      </c>
      <c r="K307" s="50"/>
    </row>
    <row r="308" spans="1:11" s="20" customFormat="1">
      <c r="A308" s="134">
        <v>41962</v>
      </c>
      <c r="B308" s="18" t="s">
        <v>758</v>
      </c>
      <c r="C308" s="67"/>
      <c r="D308" s="67">
        <v>7</v>
      </c>
      <c r="E308" s="44">
        <f t="shared" si="35"/>
        <v>14102.900000000007</v>
      </c>
      <c r="F308" s="67"/>
      <c r="G308" s="59">
        <f t="shared" si="36"/>
        <v>20.201183796679619</v>
      </c>
      <c r="H308" s="67"/>
      <c r="I308" s="60">
        <f t="shared" si="37"/>
        <v>141.40828657675732</v>
      </c>
      <c r="J308" s="61">
        <f t="shared" si="38"/>
        <v>284895.27496619313</v>
      </c>
      <c r="K308" s="50"/>
    </row>
    <row r="309" spans="1:11" s="20" customFormat="1">
      <c r="A309" s="134">
        <v>41963</v>
      </c>
      <c r="B309" s="18" t="s">
        <v>760</v>
      </c>
      <c r="C309" s="67"/>
      <c r="D309" s="67">
        <f>7*1</f>
        <v>7</v>
      </c>
      <c r="E309" s="44">
        <f t="shared" si="35"/>
        <v>14095.900000000007</v>
      </c>
      <c r="F309" s="67"/>
      <c r="G309" s="59">
        <f t="shared" si="36"/>
        <v>20.201183796679619</v>
      </c>
      <c r="H309" s="67"/>
      <c r="I309" s="60">
        <f t="shared" si="37"/>
        <v>141.40828657675732</v>
      </c>
      <c r="J309" s="61">
        <f t="shared" si="38"/>
        <v>284753.86667961639</v>
      </c>
      <c r="K309" s="50"/>
    </row>
    <row r="310" spans="1:11" s="20" customFormat="1">
      <c r="A310" s="134">
        <v>41964</v>
      </c>
      <c r="B310" s="18" t="s">
        <v>761</v>
      </c>
      <c r="C310" s="67"/>
      <c r="D310" s="67">
        <f>11*5</f>
        <v>55</v>
      </c>
      <c r="E310" s="44">
        <f t="shared" si="35"/>
        <v>14040.900000000007</v>
      </c>
      <c r="F310" s="67"/>
      <c r="G310" s="59">
        <f t="shared" si="36"/>
        <v>20.201183796679619</v>
      </c>
      <c r="H310" s="67"/>
      <c r="I310" s="60">
        <f t="shared" si="37"/>
        <v>1111.065108817379</v>
      </c>
      <c r="J310" s="61">
        <f t="shared" si="38"/>
        <v>283642.80157079903</v>
      </c>
      <c r="K310" s="50"/>
    </row>
    <row r="311" spans="1:11" s="20" customFormat="1">
      <c r="A311" s="134">
        <v>41965</v>
      </c>
      <c r="B311" s="18" t="s">
        <v>762</v>
      </c>
      <c r="C311" s="67"/>
      <c r="D311" s="67">
        <f>3*3+1*2.5</f>
        <v>11.5</v>
      </c>
      <c r="E311" s="44">
        <f t="shared" si="35"/>
        <v>14029.400000000007</v>
      </c>
      <c r="F311" s="67"/>
      <c r="G311" s="59">
        <f t="shared" si="36"/>
        <v>20.201183796679622</v>
      </c>
      <c r="H311" s="67"/>
      <c r="I311" s="60">
        <f t="shared" si="37"/>
        <v>232.31361366181565</v>
      </c>
      <c r="J311" s="61">
        <f t="shared" si="38"/>
        <v>283410.48795713723</v>
      </c>
      <c r="K311" s="50"/>
    </row>
    <row r="312" spans="1:11" s="20" customFormat="1">
      <c r="A312" s="134">
        <v>41965</v>
      </c>
      <c r="B312" s="18" t="s">
        <v>763</v>
      </c>
      <c r="C312" s="67"/>
      <c r="D312" s="67">
        <f>2.6+3.3</f>
        <v>5.9</v>
      </c>
      <c r="E312" s="44">
        <f t="shared" si="35"/>
        <v>14023.500000000007</v>
      </c>
      <c r="F312" s="67"/>
      <c r="G312" s="59">
        <f t="shared" si="36"/>
        <v>20.201183796679622</v>
      </c>
      <c r="H312" s="67"/>
      <c r="I312" s="60">
        <f t="shared" si="37"/>
        <v>119.18698440040978</v>
      </c>
      <c r="J312" s="61">
        <f t="shared" si="38"/>
        <v>283291.30097273685</v>
      </c>
      <c r="K312" s="50"/>
    </row>
    <row r="313" spans="1:11" s="20" customFormat="1">
      <c r="A313" s="134">
        <v>41965</v>
      </c>
      <c r="B313" s="18" t="s">
        <v>764</v>
      </c>
      <c r="C313" s="67"/>
      <c r="D313" s="67">
        <f>6*3.5</f>
        <v>21</v>
      </c>
      <c r="E313" s="44">
        <f t="shared" si="35"/>
        <v>14002.500000000007</v>
      </c>
      <c r="F313" s="67"/>
      <c r="G313" s="59">
        <f t="shared" si="36"/>
        <v>20.201183796679622</v>
      </c>
      <c r="H313" s="67"/>
      <c r="I313" s="60">
        <f t="shared" si="37"/>
        <v>424.22485973027204</v>
      </c>
      <c r="J313" s="61">
        <f t="shared" si="38"/>
        <v>282867.07611300657</v>
      </c>
      <c r="K313" s="50"/>
    </row>
    <row r="314" spans="1:11" s="20" customFormat="1">
      <c r="A314" s="134">
        <v>41965</v>
      </c>
      <c r="B314" s="18" t="s">
        <v>765</v>
      </c>
      <c r="C314" s="67"/>
      <c r="D314" s="67">
        <f>26*4.2</f>
        <v>109.2</v>
      </c>
      <c r="E314" s="44">
        <f t="shared" si="35"/>
        <v>13893.300000000007</v>
      </c>
      <c r="F314" s="67"/>
      <c r="G314" s="59">
        <f t="shared" si="36"/>
        <v>20.201183796679622</v>
      </c>
      <c r="H314" s="67"/>
      <c r="I314" s="60">
        <f t="shared" si="37"/>
        <v>2205.9692705974148</v>
      </c>
      <c r="J314" s="61">
        <f t="shared" si="38"/>
        <v>280661.10684240918</v>
      </c>
      <c r="K314" s="50"/>
    </row>
    <row r="315" spans="1:11" s="20" customFormat="1">
      <c r="A315" s="134">
        <v>41967</v>
      </c>
      <c r="B315" s="18" t="s">
        <v>768</v>
      </c>
      <c r="C315" s="67"/>
      <c r="D315" s="67">
        <f>2*5.5+2*5.2+4.8</f>
        <v>26.2</v>
      </c>
      <c r="E315" s="44">
        <f t="shared" si="35"/>
        <v>13867.100000000006</v>
      </c>
      <c r="F315" s="67"/>
      <c r="G315" s="59">
        <f t="shared" si="36"/>
        <v>20.201183796679626</v>
      </c>
      <c r="H315" s="67"/>
      <c r="I315" s="60">
        <f t="shared" si="37"/>
        <v>529.27101547300617</v>
      </c>
      <c r="J315" s="61">
        <f t="shared" si="38"/>
        <v>280131.83582693618</v>
      </c>
      <c r="K315" s="50"/>
    </row>
    <row r="316" spans="1:11" s="95" customFormat="1">
      <c r="A316" s="93">
        <v>41967</v>
      </c>
      <c r="B316" s="18" t="s">
        <v>770</v>
      </c>
      <c r="C316" s="94"/>
      <c r="D316" s="94">
        <f>33*5.4</f>
        <v>178.20000000000002</v>
      </c>
      <c r="E316" s="44">
        <f t="shared" si="35"/>
        <v>13688.900000000005</v>
      </c>
      <c r="F316" s="94"/>
      <c r="G316" s="59">
        <f t="shared" si="36"/>
        <v>20.201183796679626</v>
      </c>
      <c r="H316" s="94"/>
      <c r="I316" s="60">
        <f t="shared" si="37"/>
        <v>3599.8509525683098</v>
      </c>
      <c r="J316" s="60">
        <f t="shared" si="38"/>
        <v>276531.98487436789</v>
      </c>
      <c r="K316" s="94"/>
    </row>
    <row r="317" spans="1:11" s="20" customFormat="1">
      <c r="A317" s="134">
        <v>41969</v>
      </c>
      <c r="B317" s="18" t="s">
        <v>775</v>
      </c>
      <c r="C317" s="67"/>
      <c r="D317" s="67">
        <f>4*2.5</f>
        <v>10</v>
      </c>
      <c r="E317" s="44">
        <f t="shared" si="35"/>
        <v>13678.900000000005</v>
      </c>
      <c r="F317" s="67"/>
      <c r="G317" s="59">
        <f t="shared" si="36"/>
        <v>20.201183796679629</v>
      </c>
      <c r="H317" s="67"/>
      <c r="I317" s="60">
        <f t="shared" si="37"/>
        <v>202.01183796679629</v>
      </c>
      <c r="J317" s="61">
        <f t="shared" si="38"/>
        <v>276329.97303640109</v>
      </c>
      <c r="K317" s="50"/>
    </row>
    <row r="318" spans="1:11" s="20" customFormat="1">
      <c r="A318" s="134">
        <v>41969</v>
      </c>
      <c r="B318" s="18" t="s">
        <v>776</v>
      </c>
      <c r="C318" s="67"/>
      <c r="D318" s="67">
        <f>16*2.5</f>
        <v>40</v>
      </c>
      <c r="E318" s="44">
        <f t="shared" si="35"/>
        <v>13638.900000000005</v>
      </c>
      <c r="F318" s="67"/>
      <c r="G318" s="59">
        <f t="shared" si="36"/>
        <v>20.201183796679629</v>
      </c>
      <c r="H318" s="67"/>
      <c r="I318" s="60">
        <f t="shared" si="37"/>
        <v>808.04735186718517</v>
      </c>
      <c r="J318" s="61">
        <f t="shared" si="38"/>
        <v>275521.9256845339</v>
      </c>
      <c r="K318" s="50"/>
    </row>
    <row r="319" spans="1:11" s="20" customFormat="1">
      <c r="A319" s="134">
        <v>41971</v>
      </c>
      <c r="B319" s="18" t="s">
        <v>777</v>
      </c>
      <c r="C319" s="67"/>
      <c r="D319" s="67">
        <f>4*3.2</f>
        <v>12.8</v>
      </c>
      <c r="E319" s="44">
        <f t="shared" si="35"/>
        <v>13626.100000000006</v>
      </c>
      <c r="F319" s="67"/>
      <c r="G319" s="59">
        <f t="shared" si="36"/>
        <v>20.201183796679629</v>
      </c>
      <c r="H319" s="67"/>
      <c r="I319" s="60">
        <f t="shared" si="37"/>
        <v>258.57515259749925</v>
      </c>
      <c r="J319" s="61">
        <f t="shared" si="38"/>
        <v>275263.35053193639</v>
      </c>
      <c r="K319" s="50"/>
    </row>
    <row r="320" spans="1:11" s="20" customFormat="1">
      <c r="A320" s="134">
        <v>41971</v>
      </c>
      <c r="B320" s="18" t="s">
        <v>778</v>
      </c>
      <c r="C320" s="67"/>
      <c r="D320" s="67">
        <v>0</v>
      </c>
      <c r="E320" s="44">
        <f t="shared" si="35"/>
        <v>13626.100000000006</v>
      </c>
      <c r="F320" s="67"/>
      <c r="G320" s="59">
        <f t="shared" si="36"/>
        <v>20.201183796679629</v>
      </c>
      <c r="H320" s="67"/>
      <c r="I320" s="60">
        <f t="shared" si="37"/>
        <v>0</v>
      </c>
      <c r="J320" s="61">
        <f t="shared" si="38"/>
        <v>275263.35053193639</v>
      </c>
      <c r="K320" s="50"/>
    </row>
    <row r="321" spans="1:14" s="20" customFormat="1">
      <c r="A321" s="134">
        <v>41972</v>
      </c>
      <c r="B321" s="18" t="s">
        <v>779</v>
      </c>
      <c r="C321" s="67"/>
      <c r="D321" s="67">
        <f>4*5.8</f>
        <v>23.2</v>
      </c>
      <c r="E321" s="44">
        <f t="shared" si="35"/>
        <v>13602.900000000005</v>
      </c>
      <c r="F321" s="67"/>
      <c r="G321" s="59">
        <f t="shared" si="36"/>
        <v>20.201183796679629</v>
      </c>
      <c r="H321" s="67"/>
      <c r="I321" s="60">
        <f t="shared" si="37"/>
        <v>468.6674640829674</v>
      </c>
      <c r="J321" s="61">
        <f t="shared" si="38"/>
        <v>274794.68306785345</v>
      </c>
      <c r="K321" s="50"/>
    </row>
    <row r="322" spans="1:14" s="20" customFormat="1">
      <c r="A322" s="134">
        <v>41972</v>
      </c>
      <c r="B322" s="18" t="s">
        <v>780</v>
      </c>
      <c r="C322" s="67"/>
      <c r="D322" s="67">
        <f>16*2.3</f>
        <v>36.799999999999997</v>
      </c>
      <c r="E322" s="44">
        <f t="shared" si="35"/>
        <v>13566.100000000006</v>
      </c>
      <c r="F322" s="67"/>
      <c r="G322" s="59">
        <f t="shared" si="36"/>
        <v>20.201183796679629</v>
      </c>
      <c r="H322" s="67"/>
      <c r="I322" s="60">
        <f t="shared" si="37"/>
        <v>743.40356371781024</v>
      </c>
      <c r="J322" s="61">
        <f t="shared" si="38"/>
        <v>274051.27950413566</v>
      </c>
      <c r="K322" s="80">
        <f>SUM(I283:I322)</f>
        <v>26618.089829694909</v>
      </c>
      <c r="N322" s="123">
        <f>+K322</f>
        <v>26618.089829694909</v>
      </c>
    </row>
    <row r="323" spans="1:14" s="20" customFormat="1">
      <c r="A323" s="134">
        <v>41975</v>
      </c>
      <c r="B323" s="18" t="s">
        <v>781</v>
      </c>
      <c r="C323" s="67"/>
      <c r="D323" s="67">
        <f>12*7.3</f>
        <v>87.6</v>
      </c>
      <c r="E323" s="44">
        <f t="shared" si="35"/>
        <v>13478.500000000005</v>
      </c>
      <c r="F323" s="67"/>
      <c r="G323" s="59">
        <f t="shared" si="36"/>
        <v>20.201183796679629</v>
      </c>
      <c r="H323" s="67"/>
      <c r="I323" s="60">
        <f t="shared" si="37"/>
        <v>1769.6237005891353</v>
      </c>
      <c r="J323" s="61">
        <f t="shared" si="38"/>
        <v>272281.65580354654</v>
      </c>
      <c r="K323" s="50"/>
    </row>
    <row r="324" spans="1:14" s="20" customFormat="1">
      <c r="A324" s="134">
        <v>41975</v>
      </c>
      <c r="B324" s="18" t="s">
        <v>782</v>
      </c>
      <c r="C324" s="67"/>
      <c r="D324" s="67">
        <f>2</f>
        <v>2</v>
      </c>
      <c r="E324" s="44">
        <f t="shared" si="35"/>
        <v>13476.500000000005</v>
      </c>
      <c r="F324" s="67"/>
      <c r="G324" s="59">
        <f t="shared" si="36"/>
        <v>20.201183796679633</v>
      </c>
      <c r="H324" s="67"/>
      <c r="I324" s="60">
        <f t="shared" si="37"/>
        <v>40.402367593359266</v>
      </c>
      <c r="J324" s="61">
        <f t="shared" si="38"/>
        <v>272241.25343595317</v>
      </c>
      <c r="K324" s="50"/>
    </row>
    <row r="325" spans="1:14" s="20" customFormat="1">
      <c r="A325" s="134">
        <v>41976</v>
      </c>
      <c r="B325" s="18" t="s">
        <v>783</v>
      </c>
      <c r="C325" s="67"/>
      <c r="D325" s="67">
        <f>5*4.65</f>
        <v>23.25</v>
      </c>
      <c r="E325" s="44">
        <f t="shared" si="35"/>
        <v>13453.250000000005</v>
      </c>
      <c r="F325" s="67"/>
      <c r="G325" s="59">
        <f t="shared" si="36"/>
        <v>20.201183796679633</v>
      </c>
      <c r="H325" s="67"/>
      <c r="I325" s="60">
        <f t="shared" si="37"/>
        <v>469.67752327280147</v>
      </c>
      <c r="J325" s="61">
        <f t="shared" si="38"/>
        <v>271771.57591268036</v>
      </c>
      <c r="K325" s="50"/>
    </row>
    <row r="326" spans="1:14" s="20" customFormat="1">
      <c r="A326" s="134">
        <v>41976</v>
      </c>
      <c r="B326" s="18" t="s">
        <v>784</v>
      </c>
      <c r="C326" s="67"/>
      <c r="D326" s="67">
        <f>2*4.17</f>
        <v>8.34</v>
      </c>
      <c r="E326" s="44">
        <f t="shared" si="35"/>
        <v>13444.910000000005</v>
      </c>
      <c r="F326" s="67"/>
      <c r="G326" s="59">
        <f t="shared" si="36"/>
        <v>20.201183796679633</v>
      </c>
      <c r="H326" s="67"/>
      <c r="I326" s="60">
        <f t="shared" si="37"/>
        <v>168.47787286430813</v>
      </c>
      <c r="J326" s="61">
        <f t="shared" si="38"/>
        <v>271603.09803981608</v>
      </c>
      <c r="K326" s="50"/>
    </row>
    <row r="327" spans="1:14" s="20" customFormat="1">
      <c r="A327" s="134">
        <v>41977</v>
      </c>
      <c r="B327" s="18" t="s">
        <v>785</v>
      </c>
      <c r="C327" s="67"/>
      <c r="D327" s="67">
        <f>3*1.8</f>
        <v>5.4</v>
      </c>
      <c r="E327" s="44">
        <f t="shared" si="35"/>
        <v>13439.510000000006</v>
      </c>
      <c r="F327" s="67"/>
      <c r="G327" s="59">
        <f t="shared" si="36"/>
        <v>20.201183796679633</v>
      </c>
      <c r="H327" s="67"/>
      <c r="I327" s="60">
        <f t="shared" si="37"/>
        <v>109.08639250207003</v>
      </c>
      <c r="J327" s="61">
        <f t="shared" si="38"/>
        <v>271494.01164731401</v>
      </c>
      <c r="K327" s="50"/>
    </row>
    <row r="328" spans="1:14" s="20" customFormat="1">
      <c r="A328" s="134">
        <v>41977</v>
      </c>
      <c r="B328" s="18" t="s">
        <v>786</v>
      </c>
      <c r="C328" s="67"/>
      <c r="D328" s="67">
        <f>3*2.6</f>
        <v>7.8000000000000007</v>
      </c>
      <c r="E328" s="44">
        <f t="shared" si="35"/>
        <v>13431.710000000006</v>
      </c>
      <c r="F328" s="67"/>
      <c r="G328" s="59">
        <f t="shared" si="36"/>
        <v>20.201183796679633</v>
      </c>
      <c r="H328" s="67"/>
      <c r="I328" s="60">
        <f t="shared" si="37"/>
        <v>157.56923361410114</v>
      </c>
      <c r="J328" s="61">
        <f t="shared" si="38"/>
        <v>271336.44241369993</v>
      </c>
      <c r="K328" s="50"/>
    </row>
    <row r="329" spans="1:14" s="20" customFormat="1">
      <c r="A329" s="134">
        <v>41977</v>
      </c>
      <c r="B329" s="18" t="s">
        <v>787</v>
      </c>
      <c r="C329" s="67"/>
      <c r="D329" s="67">
        <f>14*2</f>
        <v>28</v>
      </c>
      <c r="E329" s="44">
        <f t="shared" si="35"/>
        <v>13403.710000000006</v>
      </c>
      <c r="F329" s="67"/>
      <c r="G329" s="59">
        <f t="shared" si="36"/>
        <v>20.201183796679633</v>
      </c>
      <c r="H329" s="67"/>
      <c r="I329" s="60">
        <f t="shared" si="37"/>
        <v>565.63314630702973</v>
      </c>
      <c r="J329" s="61">
        <f t="shared" si="38"/>
        <v>270770.80926739291</v>
      </c>
      <c r="K329" s="50"/>
    </row>
    <row r="330" spans="1:14" s="20" customFormat="1">
      <c r="A330" s="134">
        <v>41977</v>
      </c>
      <c r="B330" s="18" t="s">
        <v>788</v>
      </c>
      <c r="C330" s="67"/>
      <c r="D330" s="67">
        <f>2*3</f>
        <v>6</v>
      </c>
      <c r="E330" s="44">
        <f t="shared" si="35"/>
        <v>13397.710000000006</v>
      </c>
      <c r="F330" s="67"/>
      <c r="G330" s="59">
        <f t="shared" si="36"/>
        <v>20.201183796679633</v>
      </c>
      <c r="H330" s="67"/>
      <c r="I330" s="60">
        <f t="shared" si="37"/>
        <v>121.2071027800778</v>
      </c>
      <c r="J330" s="61">
        <f t="shared" si="38"/>
        <v>270649.60216461285</v>
      </c>
      <c r="K330" s="50"/>
    </row>
    <row r="331" spans="1:14" s="20" customFormat="1">
      <c r="A331" s="134">
        <v>41977</v>
      </c>
      <c r="B331" s="18" t="s">
        <v>789</v>
      </c>
      <c r="C331" s="67"/>
      <c r="D331" s="67">
        <f>10*4.8+4*3.1</f>
        <v>60.4</v>
      </c>
      <c r="E331" s="44">
        <f t="shared" si="35"/>
        <v>13337.310000000007</v>
      </c>
      <c r="F331" s="67"/>
      <c r="G331" s="59">
        <f t="shared" si="36"/>
        <v>20.201183796679636</v>
      </c>
      <c r="H331" s="67"/>
      <c r="I331" s="60">
        <f t="shared" si="37"/>
        <v>1220.1515013194501</v>
      </c>
      <c r="J331" s="61">
        <f t="shared" si="38"/>
        <v>269429.45066329342</v>
      </c>
      <c r="K331" s="50"/>
    </row>
    <row r="332" spans="1:14" s="20" customFormat="1">
      <c r="A332" s="134">
        <v>41978</v>
      </c>
      <c r="B332" s="18" t="s">
        <v>790</v>
      </c>
      <c r="C332" s="67"/>
      <c r="D332" s="67">
        <f>7*4.8+2*5.2+4</f>
        <v>48</v>
      </c>
      <c r="E332" s="44">
        <f t="shared" si="35"/>
        <v>13289.310000000007</v>
      </c>
      <c r="F332" s="67"/>
      <c r="G332" s="59">
        <f t="shared" si="36"/>
        <v>20.201183796679636</v>
      </c>
      <c r="H332" s="67"/>
      <c r="I332" s="60">
        <f t="shared" si="37"/>
        <v>969.65682224062255</v>
      </c>
      <c r="J332" s="61">
        <f t="shared" si="38"/>
        <v>268459.7938410528</v>
      </c>
      <c r="K332" s="50"/>
    </row>
    <row r="333" spans="1:14" s="20" customFormat="1">
      <c r="A333" s="134">
        <v>41981</v>
      </c>
      <c r="B333" s="18" t="s">
        <v>791</v>
      </c>
      <c r="C333" s="67"/>
      <c r="D333" s="67">
        <f>26*5.35</f>
        <v>139.1</v>
      </c>
      <c r="E333" s="44">
        <f t="shared" si="35"/>
        <v>13150.210000000006</v>
      </c>
      <c r="F333" s="67"/>
      <c r="G333" s="59">
        <f t="shared" si="36"/>
        <v>20.201183796679636</v>
      </c>
      <c r="H333" s="67"/>
      <c r="I333" s="60">
        <f t="shared" si="37"/>
        <v>2809.9846661181373</v>
      </c>
      <c r="J333" s="61">
        <f t="shared" si="38"/>
        <v>265649.80917493463</v>
      </c>
      <c r="K333" s="50"/>
    </row>
    <row r="334" spans="1:14" s="20" customFormat="1">
      <c r="A334" s="134">
        <v>41982</v>
      </c>
      <c r="B334" s="18" t="s">
        <v>792</v>
      </c>
      <c r="C334" s="67"/>
      <c r="D334" s="67">
        <v>6</v>
      </c>
      <c r="E334" s="44">
        <f t="shared" si="35"/>
        <v>13144.210000000006</v>
      </c>
      <c r="F334" s="67"/>
      <c r="G334" s="59">
        <f t="shared" si="36"/>
        <v>20.201183796679636</v>
      </c>
      <c r="H334" s="67"/>
      <c r="I334" s="60">
        <f t="shared" si="37"/>
        <v>121.20710278007782</v>
      </c>
      <c r="J334" s="61">
        <f t="shared" si="38"/>
        <v>265528.60207215458</v>
      </c>
      <c r="K334" s="50"/>
    </row>
    <row r="335" spans="1:14" s="20" customFormat="1">
      <c r="A335" s="134">
        <v>41982</v>
      </c>
      <c r="B335" s="18" t="s">
        <v>793</v>
      </c>
      <c r="C335" s="67"/>
      <c r="D335" s="67">
        <f>3*3.5+3*3</f>
        <v>19.5</v>
      </c>
      <c r="E335" s="44">
        <f t="shared" si="35"/>
        <v>13124.710000000006</v>
      </c>
      <c r="F335" s="67"/>
      <c r="G335" s="59">
        <f t="shared" si="36"/>
        <v>20.201183796679636</v>
      </c>
      <c r="H335" s="67"/>
      <c r="I335" s="60">
        <f t="shared" si="37"/>
        <v>393.92308403525288</v>
      </c>
      <c r="J335" s="61">
        <f t="shared" si="38"/>
        <v>265134.67898811935</v>
      </c>
      <c r="K335" s="50"/>
    </row>
    <row r="336" spans="1:14" s="20" customFormat="1">
      <c r="A336" s="134">
        <v>41982</v>
      </c>
      <c r="B336" s="18" t="s">
        <v>794</v>
      </c>
      <c r="C336" s="67"/>
      <c r="D336" s="67">
        <f>7*6.3</f>
        <v>44.1</v>
      </c>
      <c r="E336" s="44">
        <f t="shared" si="35"/>
        <v>13080.610000000006</v>
      </c>
      <c r="F336" s="67"/>
      <c r="G336" s="59">
        <f t="shared" si="36"/>
        <v>20.20118379667964</v>
      </c>
      <c r="H336" s="67"/>
      <c r="I336" s="60">
        <f t="shared" si="37"/>
        <v>890.87220543357216</v>
      </c>
      <c r="J336" s="61">
        <f t="shared" si="38"/>
        <v>264243.8067826858</v>
      </c>
      <c r="K336" s="50"/>
    </row>
    <row r="337" spans="1:11" s="20" customFormat="1">
      <c r="A337" s="134">
        <v>41982</v>
      </c>
      <c r="B337" s="18" t="s">
        <v>795</v>
      </c>
      <c r="C337" s="67"/>
      <c r="D337" s="67">
        <f>3*2.5+2*4.85+5.08+2*5.2</f>
        <v>32.68</v>
      </c>
      <c r="E337" s="44">
        <f t="shared" si="35"/>
        <v>13047.930000000006</v>
      </c>
      <c r="F337" s="67"/>
      <c r="G337" s="59">
        <f t="shared" si="36"/>
        <v>20.20118379667964</v>
      </c>
      <c r="H337" s="67"/>
      <c r="I337" s="60">
        <f t="shared" si="37"/>
        <v>660.1746864754906</v>
      </c>
      <c r="J337" s="61">
        <f t="shared" si="38"/>
        <v>263583.63209621032</v>
      </c>
      <c r="K337" s="50"/>
    </row>
    <row r="338" spans="1:11" s="20" customFormat="1">
      <c r="A338" s="134">
        <v>41983</v>
      </c>
      <c r="B338" s="18" t="s">
        <v>796</v>
      </c>
      <c r="C338" s="67"/>
      <c r="D338" s="67">
        <v>0</v>
      </c>
      <c r="E338" s="44">
        <f t="shared" si="35"/>
        <v>13047.930000000006</v>
      </c>
      <c r="F338" s="67"/>
      <c r="G338" s="59">
        <f t="shared" si="36"/>
        <v>20.201183796679643</v>
      </c>
      <c r="H338" s="67"/>
      <c r="I338" s="60">
        <f t="shared" si="37"/>
        <v>0</v>
      </c>
      <c r="J338" s="61">
        <f t="shared" si="38"/>
        <v>263583.63209621032</v>
      </c>
      <c r="K338" s="50"/>
    </row>
    <row r="339" spans="1:11" s="20" customFormat="1">
      <c r="A339" s="134">
        <v>41983</v>
      </c>
      <c r="B339" s="18" t="s">
        <v>797</v>
      </c>
      <c r="C339" s="67"/>
      <c r="D339" s="67">
        <f>4*5.5+4</f>
        <v>26</v>
      </c>
      <c r="E339" s="44">
        <f t="shared" si="35"/>
        <v>13021.930000000006</v>
      </c>
      <c r="F339" s="67"/>
      <c r="G339" s="59">
        <f t="shared" si="36"/>
        <v>20.201183796679643</v>
      </c>
      <c r="H339" s="67"/>
      <c r="I339" s="60">
        <f t="shared" si="37"/>
        <v>525.2307787136707</v>
      </c>
      <c r="J339" s="61">
        <f t="shared" si="38"/>
        <v>263058.40131749667</v>
      </c>
      <c r="K339" s="50"/>
    </row>
    <row r="340" spans="1:11" s="20" customFormat="1">
      <c r="A340" s="134">
        <v>41983</v>
      </c>
      <c r="B340" s="18" t="s">
        <v>798</v>
      </c>
      <c r="C340" s="67"/>
      <c r="D340" s="67">
        <f>6*4.3</f>
        <v>25.799999999999997</v>
      </c>
      <c r="E340" s="44">
        <f t="shared" si="35"/>
        <v>12996.130000000006</v>
      </c>
      <c r="F340" s="67"/>
      <c r="G340" s="59">
        <f t="shared" si="36"/>
        <v>20.201183796679643</v>
      </c>
      <c r="H340" s="67"/>
      <c r="I340" s="60">
        <f t="shared" si="37"/>
        <v>521.19054195433478</v>
      </c>
      <c r="J340" s="61">
        <f t="shared" si="38"/>
        <v>262537.21077554231</v>
      </c>
      <c r="K340" s="50"/>
    </row>
    <row r="341" spans="1:11" s="20" customFormat="1">
      <c r="A341" s="134">
        <v>41984</v>
      </c>
      <c r="B341" s="18" t="s">
        <v>799</v>
      </c>
      <c r="C341" s="67"/>
      <c r="D341" s="67">
        <f>20*2.2</f>
        <v>44</v>
      </c>
      <c r="E341" s="44">
        <f t="shared" si="35"/>
        <v>12952.130000000006</v>
      </c>
      <c r="F341" s="67"/>
      <c r="G341" s="59">
        <f t="shared" si="36"/>
        <v>20.20118379667964</v>
      </c>
      <c r="H341" s="67"/>
      <c r="I341" s="60">
        <f t="shared" si="37"/>
        <v>888.85208705390414</v>
      </c>
      <c r="J341" s="61">
        <f t="shared" si="38"/>
        <v>261648.3586884884</v>
      </c>
      <c r="K341" s="50"/>
    </row>
    <row r="342" spans="1:11" s="20" customFormat="1">
      <c r="A342" s="134">
        <v>41984</v>
      </c>
      <c r="B342" s="18" t="s">
        <v>800</v>
      </c>
      <c r="C342" s="67"/>
      <c r="D342" s="67">
        <f>17*5.1</f>
        <v>86.699999999999989</v>
      </c>
      <c r="E342" s="44">
        <f t="shared" si="35"/>
        <v>12865.430000000006</v>
      </c>
      <c r="F342" s="67"/>
      <c r="G342" s="59">
        <f t="shared" si="36"/>
        <v>20.20118379667964</v>
      </c>
      <c r="H342" s="67"/>
      <c r="I342" s="60">
        <f t="shared" si="37"/>
        <v>1751.4426351721245</v>
      </c>
      <c r="J342" s="61">
        <f t="shared" si="38"/>
        <v>259896.91605331626</v>
      </c>
      <c r="K342" s="50"/>
    </row>
    <row r="343" spans="1:11" s="20" customFormat="1">
      <c r="A343" s="134">
        <v>41984</v>
      </c>
      <c r="B343" s="18" t="s">
        <v>801</v>
      </c>
      <c r="C343" s="67"/>
      <c r="D343" s="67">
        <f>6*4.2</f>
        <v>25.200000000000003</v>
      </c>
      <c r="E343" s="44">
        <f t="shared" si="35"/>
        <v>12840.230000000005</v>
      </c>
      <c r="F343" s="67"/>
      <c r="G343" s="59">
        <f t="shared" si="36"/>
        <v>20.20118379667964</v>
      </c>
      <c r="H343" s="67"/>
      <c r="I343" s="60">
        <f t="shared" si="37"/>
        <v>509.069831676327</v>
      </c>
      <c r="J343" s="61">
        <f t="shared" si="38"/>
        <v>259387.84622163995</v>
      </c>
      <c r="K343" s="50"/>
    </row>
    <row r="344" spans="1:11" s="20" customFormat="1">
      <c r="A344" s="134">
        <v>41984</v>
      </c>
      <c r="B344" s="18" t="s">
        <v>802</v>
      </c>
      <c r="C344" s="67"/>
      <c r="D344" s="67">
        <f>2*2</f>
        <v>4</v>
      </c>
      <c r="E344" s="44">
        <f t="shared" si="35"/>
        <v>12836.230000000005</v>
      </c>
      <c r="F344" s="67"/>
      <c r="G344" s="59">
        <f t="shared" si="36"/>
        <v>20.201183796679643</v>
      </c>
      <c r="H344" s="67"/>
      <c r="I344" s="60">
        <f t="shared" si="37"/>
        <v>80.804735186718574</v>
      </c>
      <c r="J344" s="61">
        <f t="shared" si="38"/>
        <v>259307.04148645324</v>
      </c>
      <c r="K344" s="50"/>
    </row>
    <row r="345" spans="1:11" s="20" customFormat="1">
      <c r="A345" s="134">
        <v>41984</v>
      </c>
      <c r="B345" s="18" t="s">
        <v>803</v>
      </c>
      <c r="C345" s="67"/>
      <c r="D345" s="67">
        <f>15*6</f>
        <v>90</v>
      </c>
      <c r="E345" s="44">
        <f t="shared" si="35"/>
        <v>12746.230000000005</v>
      </c>
      <c r="F345" s="67"/>
      <c r="G345" s="59">
        <f t="shared" si="36"/>
        <v>20.201183796679643</v>
      </c>
      <c r="H345" s="67"/>
      <c r="I345" s="60">
        <f t="shared" si="37"/>
        <v>1818.106541701168</v>
      </c>
      <c r="J345" s="61">
        <f t="shared" si="38"/>
        <v>257488.93494475208</v>
      </c>
      <c r="K345" s="50"/>
    </row>
    <row r="346" spans="1:11" s="20" customFormat="1">
      <c r="A346" s="134">
        <v>41985</v>
      </c>
      <c r="B346" s="18" t="s">
        <v>804</v>
      </c>
      <c r="C346" s="67"/>
      <c r="D346" s="67">
        <f>4*5.11+2*4.4+2*3.4+2*2.6+2*1.8+4.55+3*4.8+2*1.4</f>
        <v>66.59</v>
      </c>
      <c r="E346" s="44">
        <f t="shared" si="35"/>
        <v>12679.640000000005</v>
      </c>
      <c r="F346" s="67"/>
      <c r="G346" s="59">
        <f t="shared" si="36"/>
        <v>20.201183796679643</v>
      </c>
      <c r="H346" s="67"/>
      <c r="I346" s="60">
        <f t="shared" si="37"/>
        <v>1345.1968290208974</v>
      </c>
      <c r="J346" s="61">
        <f t="shared" si="38"/>
        <v>256143.73811573119</v>
      </c>
      <c r="K346" s="50"/>
    </row>
    <row r="347" spans="1:11" s="20" customFormat="1">
      <c r="A347" s="134">
        <v>41986</v>
      </c>
      <c r="B347" s="18" t="s">
        <v>805</v>
      </c>
      <c r="C347" s="67"/>
      <c r="D347" s="67">
        <f>5*6.6+7*4.85+5*5+5*2.7+5*3+8*4.3+10*3.5</f>
        <v>189.85</v>
      </c>
      <c r="E347" s="44">
        <f t="shared" si="35"/>
        <v>12489.790000000005</v>
      </c>
      <c r="F347" s="67"/>
      <c r="G347" s="59">
        <f t="shared" si="36"/>
        <v>20.201183796679643</v>
      </c>
      <c r="H347" s="67"/>
      <c r="I347" s="60">
        <f t="shared" si="37"/>
        <v>3835.19474379963</v>
      </c>
      <c r="J347" s="61">
        <f t="shared" si="38"/>
        <v>252308.54337193156</v>
      </c>
      <c r="K347" s="50"/>
    </row>
    <row r="348" spans="1:11" s="20" customFormat="1">
      <c r="A348" s="134">
        <v>41986</v>
      </c>
      <c r="B348" s="18" t="s">
        <v>806</v>
      </c>
      <c r="C348" s="67"/>
      <c r="D348" s="67">
        <f>9*1.8</f>
        <v>16.2</v>
      </c>
      <c r="E348" s="44">
        <f t="shared" si="35"/>
        <v>12473.590000000004</v>
      </c>
      <c r="F348" s="67"/>
      <c r="G348" s="59">
        <f t="shared" si="36"/>
        <v>20.201183796679647</v>
      </c>
      <c r="H348" s="67"/>
      <c r="I348" s="60">
        <f t="shared" si="37"/>
        <v>327.25917750621028</v>
      </c>
      <c r="J348" s="61">
        <f t="shared" si="38"/>
        <v>251981.28419442536</v>
      </c>
      <c r="K348" s="50"/>
    </row>
    <row r="349" spans="1:11" s="20" customFormat="1">
      <c r="A349" s="134">
        <v>41988</v>
      </c>
      <c r="B349" s="18" t="s">
        <v>807</v>
      </c>
      <c r="C349" s="67"/>
      <c r="D349" s="67">
        <f>13*5.5</f>
        <v>71.5</v>
      </c>
      <c r="E349" s="44">
        <f t="shared" si="35"/>
        <v>12402.090000000004</v>
      </c>
      <c r="F349" s="67"/>
      <c r="G349" s="59">
        <f t="shared" si="36"/>
        <v>20.201183796679647</v>
      </c>
      <c r="H349" s="67"/>
      <c r="I349" s="60">
        <f t="shared" si="37"/>
        <v>1444.3846414625948</v>
      </c>
      <c r="J349" s="61">
        <f t="shared" si="38"/>
        <v>250536.89955296277</v>
      </c>
      <c r="K349" s="50"/>
    </row>
    <row r="350" spans="1:11" s="20" customFormat="1">
      <c r="A350" s="134">
        <v>41988</v>
      </c>
      <c r="B350" s="18" t="s">
        <v>808</v>
      </c>
      <c r="C350" s="67"/>
      <c r="D350" s="67">
        <f>3*5</f>
        <v>15</v>
      </c>
      <c r="E350" s="44">
        <f t="shared" si="35"/>
        <v>12387.090000000004</v>
      </c>
      <c r="F350" s="67"/>
      <c r="G350" s="59">
        <f t="shared" si="36"/>
        <v>20.201183796679647</v>
      </c>
      <c r="H350" s="67"/>
      <c r="I350" s="60">
        <f t="shared" si="37"/>
        <v>303.01775695019472</v>
      </c>
      <c r="J350" s="61">
        <f t="shared" si="38"/>
        <v>250233.88179601257</v>
      </c>
      <c r="K350" s="50"/>
    </row>
    <row r="351" spans="1:11" s="20" customFormat="1">
      <c r="A351" s="134">
        <v>41988</v>
      </c>
      <c r="B351" s="18" t="s">
        <v>809</v>
      </c>
      <c r="C351" s="67"/>
      <c r="D351" s="67">
        <f>1.35+1.9+1.15+2</f>
        <v>6.4</v>
      </c>
      <c r="E351" s="44">
        <f t="shared" si="35"/>
        <v>12380.690000000004</v>
      </c>
      <c r="F351" s="67"/>
      <c r="G351" s="59">
        <f t="shared" si="36"/>
        <v>20.201183796679647</v>
      </c>
      <c r="H351" s="67"/>
      <c r="I351" s="60">
        <f t="shared" si="37"/>
        <v>129.28757629874974</v>
      </c>
      <c r="J351" s="61">
        <f t="shared" si="38"/>
        <v>250104.59421971382</v>
      </c>
      <c r="K351" s="50"/>
    </row>
    <row r="352" spans="1:11" s="20" customFormat="1">
      <c r="A352" s="134">
        <v>41988</v>
      </c>
      <c r="B352" s="18" t="s">
        <v>810</v>
      </c>
      <c r="C352" s="67"/>
      <c r="D352" s="67">
        <f>4*4.25</f>
        <v>17</v>
      </c>
      <c r="E352" s="44">
        <f t="shared" si="35"/>
        <v>12363.690000000004</v>
      </c>
      <c r="F352" s="67"/>
      <c r="G352" s="59">
        <f t="shared" si="36"/>
        <v>20.201183796679647</v>
      </c>
      <c r="H352" s="67"/>
      <c r="I352" s="60">
        <f t="shared" si="37"/>
        <v>343.42012454355398</v>
      </c>
      <c r="J352" s="61">
        <f t="shared" si="38"/>
        <v>249761.17409517028</v>
      </c>
      <c r="K352" s="50"/>
    </row>
    <row r="353" spans="1:11" s="20" customFormat="1">
      <c r="A353" s="134">
        <v>41989</v>
      </c>
      <c r="B353" s="18" t="s">
        <v>811</v>
      </c>
      <c r="C353" s="67"/>
      <c r="D353" s="67">
        <f>25*3.5</f>
        <v>87.5</v>
      </c>
      <c r="E353" s="44">
        <f t="shared" si="35"/>
        <v>12276.190000000004</v>
      </c>
      <c r="F353" s="67"/>
      <c r="G353" s="59">
        <f t="shared" si="36"/>
        <v>20.201183796679647</v>
      </c>
      <c r="H353" s="67"/>
      <c r="I353" s="60">
        <f t="shared" si="37"/>
        <v>1767.6035822094691</v>
      </c>
      <c r="J353" s="61">
        <f t="shared" si="38"/>
        <v>247993.57051296081</v>
      </c>
      <c r="K353" s="50"/>
    </row>
    <row r="354" spans="1:11" s="20" customFormat="1">
      <c r="A354" s="134">
        <v>41989</v>
      </c>
      <c r="B354" s="18" t="s">
        <v>812</v>
      </c>
      <c r="C354" s="67"/>
      <c r="D354" s="67">
        <f>41*6.1+12*10.4+2.5</f>
        <v>377.4</v>
      </c>
      <c r="E354" s="44">
        <f t="shared" ref="E354:E372" si="39">E353-D354</f>
        <v>11898.790000000005</v>
      </c>
      <c r="F354" s="67"/>
      <c r="G354" s="59">
        <f t="shared" ref="G354:G372" si="40">J353/E353</f>
        <v>20.201183796679647</v>
      </c>
      <c r="H354" s="67"/>
      <c r="I354" s="60">
        <f t="shared" ref="I354:I372" si="41">D354*G354</f>
        <v>7623.9267648668983</v>
      </c>
      <c r="J354" s="61">
        <f t="shared" ref="J354:J372" si="42">J353-I354</f>
        <v>240369.64374809392</v>
      </c>
      <c r="K354" s="50"/>
    </row>
    <row r="355" spans="1:11" s="20" customFormat="1">
      <c r="A355" s="134">
        <v>41989</v>
      </c>
      <c r="B355" s="18" t="s">
        <v>813</v>
      </c>
      <c r="C355" s="67"/>
      <c r="D355" s="67">
        <f>70*4.6+35*4.5+35*4</f>
        <v>619.5</v>
      </c>
      <c r="E355" s="44">
        <f t="shared" si="39"/>
        <v>11279.290000000005</v>
      </c>
      <c r="F355" s="67"/>
      <c r="G355" s="59">
        <f t="shared" si="40"/>
        <v>20.201183796679647</v>
      </c>
      <c r="H355" s="67"/>
      <c r="I355" s="60">
        <f t="shared" si="41"/>
        <v>12514.633362043041</v>
      </c>
      <c r="J355" s="61">
        <f t="shared" si="42"/>
        <v>227855.01038605088</v>
      </c>
      <c r="K355" s="50"/>
    </row>
    <row r="356" spans="1:11" s="20" customFormat="1">
      <c r="A356" s="134">
        <v>41989</v>
      </c>
      <c r="B356" s="18" t="s">
        <v>814</v>
      </c>
      <c r="C356" s="67"/>
      <c r="D356" s="67">
        <f>3*4.3+9*3+3*2.7+4*2</f>
        <v>56</v>
      </c>
      <c r="E356" s="44">
        <f t="shared" si="39"/>
        <v>11223.290000000005</v>
      </c>
      <c r="F356" s="67"/>
      <c r="G356" s="59">
        <f t="shared" si="40"/>
        <v>20.201183796679647</v>
      </c>
      <c r="H356" s="67"/>
      <c r="I356" s="60">
        <f t="shared" si="41"/>
        <v>1131.2662926140601</v>
      </c>
      <c r="J356" s="61">
        <f t="shared" si="42"/>
        <v>226723.74409343684</v>
      </c>
      <c r="K356" s="50"/>
    </row>
    <row r="357" spans="1:11" s="20" customFormat="1">
      <c r="A357" s="134">
        <v>41990</v>
      </c>
      <c r="B357" s="18" t="s">
        <v>815</v>
      </c>
      <c r="C357" s="67"/>
      <c r="D357" s="67">
        <f>3.5+2.5+3*1.5</f>
        <v>10.5</v>
      </c>
      <c r="E357" s="44">
        <f t="shared" si="39"/>
        <v>11212.790000000005</v>
      </c>
      <c r="F357" s="67"/>
      <c r="G357" s="59">
        <f t="shared" si="40"/>
        <v>20.201183796679651</v>
      </c>
      <c r="H357" s="67"/>
      <c r="I357" s="60">
        <f t="shared" si="41"/>
        <v>212.11242986513633</v>
      </c>
      <c r="J357" s="61">
        <f t="shared" si="42"/>
        <v>226511.63166357169</v>
      </c>
      <c r="K357" s="50"/>
    </row>
    <row r="358" spans="1:11" s="20" customFormat="1">
      <c r="A358" s="134">
        <v>41991</v>
      </c>
      <c r="B358" s="18" t="s">
        <v>816</v>
      </c>
      <c r="C358" s="67"/>
      <c r="D358" s="67">
        <f>5*4.7+5*2</f>
        <v>33.5</v>
      </c>
      <c r="E358" s="44">
        <f t="shared" si="39"/>
        <v>11179.290000000005</v>
      </c>
      <c r="F358" s="67"/>
      <c r="G358" s="59">
        <f t="shared" si="40"/>
        <v>20.201183796679651</v>
      </c>
      <c r="H358" s="67"/>
      <c r="I358" s="60">
        <f t="shared" si="41"/>
        <v>676.73965718876832</v>
      </c>
      <c r="J358" s="61">
        <f t="shared" si="42"/>
        <v>225834.89200638293</v>
      </c>
      <c r="K358" s="50"/>
    </row>
    <row r="359" spans="1:11" s="20" customFormat="1">
      <c r="A359" s="134">
        <v>41991</v>
      </c>
      <c r="B359" s="18" t="s">
        <v>817</v>
      </c>
      <c r="C359" s="67"/>
      <c r="D359" s="67">
        <f>9.61+1.02</f>
        <v>10.629999999999999</v>
      </c>
      <c r="E359" s="44">
        <f t="shared" si="39"/>
        <v>11168.660000000005</v>
      </c>
      <c r="F359" s="67"/>
      <c r="G359" s="59">
        <f t="shared" si="40"/>
        <v>20.201183796679651</v>
      </c>
      <c r="H359" s="67"/>
      <c r="I359" s="60">
        <f t="shared" si="41"/>
        <v>214.73858375870466</v>
      </c>
      <c r="J359" s="61">
        <f t="shared" si="42"/>
        <v>225620.15342262422</v>
      </c>
      <c r="K359" s="50"/>
    </row>
    <row r="360" spans="1:11" s="20" customFormat="1">
      <c r="A360" s="134">
        <v>41992</v>
      </c>
      <c r="B360" s="18" t="s">
        <v>818</v>
      </c>
      <c r="C360" s="67"/>
      <c r="D360" s="67">
        <f>2*3</f>
        <v>6</v>
      </c>
      <c r="E360" s="44">
        <f t="shared" si="39"/>
        <v>11162.660000000005</v>
      </c>
      <c r="F360" s="67"/>
      <c r="G360" s="59">
        <f t="shared" si="40"/>
        <v>20.201183796679647</v>
      </c>
      <c r="H360" s="67"/>
      <c r="I360" s="60">
        <f t="shared" si="41"/>
        <v>121.20710278007789</v>
      </c>
      <c r="J360" s="61">
        <f t="shared" si="42"/>
        <v>225498.94631984414</v>
      </c>
      <c r="K360" s="50"/>
    </row>
    <row r="361" spans="1:11" s="20" customFormat="1">
      <c r="A361" s="134">
        <v>41992</v>
      </c>
      <c r="B361" s="18" t="s">
        <v>819</v>
      </c>
      <c r="C361" s="67"/>
      <c r="D361" s="67">
        <f>3*2.37+1.94</f>
        <v>9.0500000000000007</v>
      </c>
      <c r="E361" s="44">
        <f t="shared" si="39"/>
        <v>11153.610000000006</v>
      </c>
      <c r="F361" s="67"/>
      <c r="G361" s="59">
        <f t="shared" si="40"/>
        <v>20.201183796679647</v>
      </c>
      <c r="H361" s="67"/>
      <c r="I361" s="60">
        <f t="shared" si="41"/>
        <v>182.82071335995082</v>
      </c>
      <c r="J361" s="61">
        <f t="shared" si="42"/>
        <v>225316.12560648419</v>
      </c>
      <c r="K361" s="50"/>
    </row>
    <row r="362" spans="1:11" s="20" customFormat="1">
      <c r="A362" s="134">
        <v>41992</v>
      </c>
      <c r="B362" s="18" t="s">
        <v>820</v>
      </c>
      <c r="C362" s="67"/>
      <c r="D362" s="67">
        <f>11*4.8</f>
        <v>52.8</v>
      </c>
      <c r="E362" s="44">
        <f t="shared" si="39"/>
        <v>11100.810000000007</v>
      </c>
      <c r="F362" s="67"/>
      <c r="G362" s="59">
        <f t="shared" si="40"/>
        <v>20.201183796679647</v>
      </c>
      <c r="H362" s="67"/>
      <c r="I362" s="60">
        <f t="shared" si="41"/>
        <v>1066.6225044646853</v>
      </c>
      <c r="J362" s="61">
        <f t="shared" si="42"/>
        <v>224249.50310201949</v>
      </c>
      <c r="K362" s="50"/>
    </row>
    <row r="363" spans="1:11" s="20" customFormat="1">
      <c r="A363" s="134">
        <v>41995</v>
      </c>
      <c r="B363" s="18" t="s">
        <v>821</v>
      </c>
      <c r="C363" s="67"/>
      <c r="D363" s="67">
        <f>6*7.7</f>
        <v>46.2</v>
      </c>
      <c r="E363" s="44">
        <f t="shared" si="39"/>
        <v>11054.610000000006</v>
      </c>
      <c r="F363" s="67"/>
      <c r="G363" s="59">
        <f t="shared" si="40"/>
        <v>20.201183796679643</v>
      </c>
      <c r="H363" s="67"/>
      <c r="I363" s="60">
        <f t="shared" si="41"/>
        <v>933.29469140659955</v>
      </c>
      <c r="J363" s="61">
        <f t="shared" si="42"/>
        <v>223316.20841061289</v>
      </c>
      <c r="K363" s="50"/>
    </row>
    <row r="364" spans="1:11" s="20" customFormat="1">
      <c r="A364" s="134">
        <v>41996</v>
      </c>
      <c r="B364" s="18" t="s">
        <v>822</v>
      </c>
      <c r="C364" s="67"/>
      <c r="D364" s="67">
        <f>8*2.5</f>
        <v>20</v>
      </c>
      <c r="E364" s="44">
        <f t="shared" si="39"/>
        <v>11034.610000000006</v>
      </c>
      <c r="F364" s="67"/>
      <c r="G364" s="59">
        <f t="shared" si="40"/>
        <v>20.201183796679643</v>
      </c>
      <c r="H364" s="67"/>
      <c r="I364" s="60">
        <f t="shared" si="41"/>
        <v>404.02367593359287</v>
      </c>
      <c r="J364" s="61">
        <f t="shared" si="42"/>
        <v>222912.18473467929</v>
      </c>
      <c r="K364" s="50"/>
    </row>
    <row r="365" spans="1:11" s="20" customFormat="1">
      <c r="A365" s="134">
        <v>41997</v>
      </c>
      <c r="B365" s="18" t="s">
        <v>823</v>
      </c>
      <c r="C365" s="67"/>
      <c r="D365" s="67">
        <f>6*2.45</f>
        <v>14.700000000000001</v>
      </c>
      <c r="E365" s="44">
        <f t="shared" si="39"/>
        <v>11019.910000000005</v>
      </c>
      <c r="F365" s="67"/>
      <c r="G365" s="59">
        <f t="shared" si="40"/>
        <v>20.201183796679643</v>
      </c>
      <c r="H365" s="67"/>
      <c r="I365" s="60">
        <f t="shared" si="41"/>
        <v>296.95740181119078</v>
      </c>
      <c r="J365" s="61">
        <f t="shared" si="42"/>
        <v>222615.22733286809</v>
      </c>
      <c r="K365" s="50"/>
    </row>
    <row r="366" spans="1:11" s="20" customFormat="1">
      <c r="A366" s="134">
        <v>41997</v>
      </c>
      <c r="B366" s="18" t="s">
        <v>824</v>
      </c>
      <c r="C366" s="67"/>
      <c r="D366" s="67">
        <v>0</v>
      </c>
      <c r="E366" s="44">
        <f t="shared" si="39"/>
        <v>11019.910000000005</v>
      </c>
      <c r="F366" s="67"/>
      <c r="G366" s="59">
        <f t="shared" si="40"/>
        <v>20.201183796679643</v>
      </c>
      <c r="H366" s="67"/>
      <c r="I366" s="60">
        <f t="shared" si="41"/>
        <v>0</v>
      </c>
      <c r="J366" s="61">
        <f t="shared" si="42"/>
        <v>222615.22733286809</v>
      </c>
      <c r="K366" s="50"/>
    </row>
    <row r="367" spans="1:11" s="20" customFormat="1">
      <c r="A367" s="134">
        <v>41997</v>
      </c>
      <c r="B367" s="18" t="s">
        <v>825</v>
      </c>
      <c r="C367" s="67"/>
      <c r="D367" s="67">
        <f>6*7.7</f>
        <v>46.2</v>
      </c>
      <c r="E367" s="44">
        <f t="shared" si="39"/>
        <v>10973.710000000005</v>
      </c>
      <c r="F367" s="67"/>
      <c r="G367" s="59">
        <f t="shared" si="40"/>
        <v>20.201183796679643</v>
      </c>
      <c r="H367" s="67"/>
      <c r="I367" s="60">
        <f t="shared" si="41"/>
        <v>933.29469140659955</v>
      </c>
      <c r="J367" s="61">
        <f t="shared" si="42"/>
        <v>221681.93264146149</v>
      </c>
      <c r="K367" s="50"/>
    </row>
    <row r="368" spans="1:11" s="20" customFormat="1">
      <c r="A368" s="134">
        <v>41999</v>
      </c>
      <c r="B368" s="18" t="s">
        <v>826</v>
      </c>
      <c r="C368" s="67"/>
      <c r="D368" s="67">
        <f>5+5*2</f>
        <v>15</v>
      </c>
      <c r="E368" s="44">
        <f t="shared" si="39"/>
        <v>10958.710000000005</v>
      </c>
      <c r="F368" s="67"/>
      <c r="G368" s="59">
        <f t="shared" si="40"/>
        <v>20.201183796679647</v>
      </c>
      <c r="H368" s="67"/>
      <c r="I368" s="60">
        <f t="shared" si="41"/>
        <v>303.01775695019472</v>
      </c>
      <c r="J368" s="61">
        <f t="shared" si="42"/>
        <v>221378.91488451129</v>
      </c>
      <c r="K368" s="50"/>
    </row>
    <row r="369" spans="1:15" s="20" customFormat="1">
      <c r="A369" s="134">
        <v>42000</v>
      </c>
      <c r="B369" s="18" t="s">
        <v>827</v>
      </c>
      <c r="C369" s="67"/>
      <c r="D369" s="67">
        <f>5</f>
        <v>5</v>
      </c>
      <c r="E369" s="44">
        <f t="shared" si="39"/>
        <v>10953.710000000005</v>
      </c>
      <c r="F369" s="67"/>
      <c r="G369" s="59">
        <f t="shared" si="40"/>
        <v>20.201183796679647</v>
      </c>
      <c r="H369" s="67"/>
      <c r="I369" s="60">
        <f t="shared" si="41"/>
        <v>101.00591898339823</v>
      </c>
      <c r="J369" s="61">
        <f t="shared" si="42"/>
        <v>221277.90896552789</v>
      </c>
      <c r="K369" s="50"/>
    </row>
    <row r="370" spans="1:15" s="20" customFormat="1">
      <c r="A370" s="134">
        <v>42004</v>
      </c>
      <c r="B370" s="18" t="s">
        <v>861</v>
      </c>
      <c r="C370" s="67"/>
      <c r="D370" s="67">
        <v>0</v>
      </c>
      <c r="E370" s="44">
        <f t="shared" si="39"/>
        <v>10953.710000000005</v>
      </c>
      <c r="F370" s="67"/>
      <c r="G370" s="59">
        <f t="shared" si="40"/>
        <v>20.201183796679647</v>
      </c>
      <c r="H370" s="67"/>
      <c r="I370" s="60">
        <f t="shared" si="41"/>
        <v>0</v>
      </c>
      <c r="J370" s="61">
        <f t="shared" si="42"/>
        <v>221277.90896552789</v>
      </c>
      <c r="K370" s="50"/>
    </row>
    <row r="371" spans="1:15" s="20" customFormat="1">
      <c r="A371" s="134">
        <v>42004</v>
      </c>
      <c r="B371" s="18" t="s">
        <v>828</v>
      </c>
      <c r="C371" s="67"/>
      <c r="D371" s="67">
        <f>6*4.3</f>
        <v>25.799999999999997</v>
      </c>
      <c r="E371" s="44">
        <f t="shared" si="39"/>
        <v>10927.910000000005</v>
      </c>
      <c r="F371" s="67"/>
      <c r="G371" s="59">
        <f t="shared" si="40"/>
        <v>20.201183796679647</v>
      </c>
      <c r="H371" s="67"/>
      <c r="I371" s="60">
        <f t="shared" si="41"/>
        <v>521.19054195433489</v>
      </c>
      <c r="J371" s="61">
        <f t="shared" si="42"/>
        <v>220756.71842357356</v>
      </c>
      <c r="K371" s="50"/>
    </row>
    <row r="372" spans="1:15" s="20" customFormat="1">
      <c r="A372" s="134">
        <v>42004</v>
      </c>
      <c r="B372" s="18" t="s">
        <v>829</v>
      </c>
      <c r="C372" s="67"/>
      <c r="D372" s="67">
        <f>11*5+0.31</f>
        <v>55.31</v>
      </c>
      <c r="E372" s="44">
        <f t="shared" si="39"/>
        <v>10872.600000000006</v>
      </c>
      <c r="F372" s="67"/>
      <c r="G372" s="59">
        <f t="shared" si="40"/>
        <v>20.201183796679643</v>
      </c>
      <c r="H372" s="67"/>
      <c r="I372" s="60">
        <f t="shared" si="41"/>
        <v>1117.3274757943511</v>
      </c>
      <c r="J372" s="61">
        <f t="shared" si="42"/>
        <v>219639.3909477792</v>
      </c>
      <c r="K372" s="80">
        <f>SUM(I323:I372)</f>
        <v>54411.8885563566</v>
      </c>
      <c r="N372" s="123">
        <f>+K372</f>
        <v>54411.8885563566</v>
      </c>
    </row>
    <row r="373" spans="1:15" s="20" customFormat="1">
      <c r="A373" s="69"/>
      <c r="K373" s="50"/>
    </row>
    <row r="374" spans="1:15" s="20" customFormat="1">
      <c r="A374" s="69"/>
      <c r="B374" s="22" t="s">
        <v>862</v>
      </c>
      <c r="C374" s="119">
        <f>SUM(C9:C372)</f>
        <v>35108.17</v>
      </c>
      <c r="D374" s="119">
        <f>SUM(D9:D372)</f>
        <v>24235.570000000003</v>
      </c>
      <c r="E374" s="119">
        <f>+C374-D374</f>
        <v>10872.599999999995</v>
      </c>
      <c r="F374" s="119"/>
      <c r="G374" s="119"/>
      <c r="H374" s="119">
        <f>SUM(H9:H372)</f>
        <v>708516.57</v>
      </c>
      <c r="I374" s="119">
        <f>SUM(I10:I372)</f>
        <v>488877.17905222066</v>
      </c>
      <c r="J374" s="119">
        <f>+H374-I374</f>
        <v>219639.39094777929</v>
      </c>
      <c r="K374" s="50"/>
      <c r="N374" s="55">
        <f>SUM(N51:N372)</f>
        <v>488877.17905222083</v>
      </c>
      <c r="O374" s="55"/>
    </row>
    <row r="375" spans="1:15" s="20" customFormat="1">
      <c r="A375" s="69"/>
      <c r="B375" s="22"/>
      <c r="C375" s="50"/>
      <c r="D375" s="50"/>
      <c r="E375" s="50"/>
      <c r="F375" s="50"/>
      <c r="G375" s="50"/>
      <c r="H375" s="50"/>
      <c r="I375" s="50"/>
      <c r="J375" s="50"/>
      <c r="K375" s="50"/>
    </row>
    <row r="376" spans="1:15" s="20" customFormat="1">
      <c r="A376" s="96"/>
      <c r="B376" s="32"/>
      <c r="C376" s="2"/>
      <c r="D376" s="2"/>
      <c r="E376" s="2"/>
      <c r="F376" s="2"/>
      <c r="G376" s="2"/>
      <c r="H376" s="2"/>
      <c r="I376" s="2"/>
      <c r="J376" s="2"/>
      <c r="K376" s="2"/>
    </row>
    <row r="377" spans="1:15" s="20" customFormat="1">
      <c r="A377" s="96"/>
      <c r="B377" s="32"/>
      <c r="C377" s="2"/>
      <c r="D377" s="2"/>
      <c r="E377" s="2"/>
      <c r="F377" s="2"/>
      <c r="G377" s="2"/>
      <c r="H377" s="2"/>
      <c r="I377" s="2"/>
      <c r="J377" s="2"/>
      <c r="K377" s="2"/>
    </row>
    <row r="378" spans="1:15" s="2" customFormat="1">
      <c r="A378" s="96" t="s">
        <v>863</v>
      </c>
      <c r="B378" s="32"/>
    </row>
    <row r="379" spans="1:15" s="2" customFormat="1">
      <c r="A379" s="96"/>
      <c r="B379" s="32"/>
    </row>
    <row r="380" spans="1:15" s="2" customFormat="1">
      <c r="A380" s="96" t="s">
        <v>864</v>
      </c>
      <c r="B380" s="32"/>
      <c r="J380" s="120">
        <f>+E374*F69</f>
        <v>213400.46539437451</v>
      </c>
    </row>
    <row r="381" spans="1:15" s="2" customFormat="1">
      <c r="A381" s="96" t="s">
        <v>865</v>
      </c>
      <c r="B381" s="32"/>
      <c r="J381" s="121">
        <f>+J374</f>
        <v>219639.39094777929</v>
      </c>
    </row>
    <row r="382" spans="1:15" s="2" customFormat="1">
      <c r="A382" s="96"/>
      <c r="B382" s="32" t="s">
        <v>866</v>
      </c>
      <c r="J382" s="120">
        <f>+J380-J381</f>
        <v>-6238.9255534047843</v>
      </c>
    </row>
    <row r="383" spans="1:15" s="2" customFormat="1">
      <c r="A383" s="96"/>
      <c r="B383" s="32"/>
    </row>
    <row r="384" spans="1:15" s="2" customFormat="1">
      <c r="A384" s="96"/>
      <c r="B384" s="32"/>
    </row>
    <row r="385" spans="1:2" s="2" customFormat="1">
      <c r="A385" s="96"/>
      <c r="B385" s="32"/>
    </row>
    <row r="386" spans="1:2" s="2" customFormat="1">
      <c r="A386" s="96"/>
      <c r="B386" s="32"/>
    </row>
    <row r="387" spans="1:2" s="2" customFormat="1">
      <c r="A387" s="96"/>
      <c r="B387" s="32"/>
    </row>
    <row r="388" spans="1:2" s="2" customFormat="1">
      <c r="A388" s="96"/>
      <c r="B388" s="32"/>
    </row>
    <row r="389" spans="1:2" s="2" customFormat="1">
      <c r="A389" s="96"/>
      <c r="B389" s="32"/>
    </row>
    <row r="390" spans="1:2" s="2" customFormat="1">
      <c r="A390" s="96"/>
      <c r="B390" s="32"/>
    </row>
    <row r="391" spans="1:2" s="2" customFormat="1">
      <c r="A391" s="96"/>
      <c r="B391" s="32"/>
    </row>
    <row r="392" spans="1:2" s="2" customFormat="1">
      <c r="A392" s="96"/>
      <c r="B392" s="32"/>
    </row>
    <row r="393" spans="1:2" s="2" customFormat="1">
      <c r="A393" s="96"/>
      <c r="B393" s="32"/>
    </row>
    <row r="394" spans="1:2" s="2" customFormat="1"/>
    <row r="395" spans="1:2" s="2" customFormat="1"/>
    <row r="396" spans="1:2" s="2" customFormat="1"/>
    <row r="397" spans="1:2" s="2" customFormat="1"/>
    <row r="398" spans="1:2" s="2" customFormat="1"/>
    <row r="399" spans="1:2" s="2" customFormat="1"/>
    <row r="400" spans="1:2" s="2" customFormat="1"/>
    <row r="401" spans="1:11" s="2" customFormat="1"/>
    <row r="402" spans="1:11" s="2" customFormat="1"/>
    <row r="403" spans="1:11" s="2" customFormat="1"/>
    <row r="404" spans="1:11" s="2" customFormat="1"/>
    <row r="405" spans="1:1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</row>
  </sheetData>
  <mergeCells count="4">
    <mergeCell ref="D4:H4"/>
    <mergeCell ref="C7:E7"/>
    <mergeCell ref="F7:G7"/>
    <mergeCell ref="H7:J7"/>
  </mergeCells>
  <pageMargins left="1.1023622047244095" right="0.70866141732283472" top="0.74803149606299213" bottom="0.74803149606299213" header="0.31496062992125984" footer="0.31496062992125984"/>
  <pageSetup scale="70" orientation="landscape" horizontalDpi="4294967293" verticalDpi="0" r:id="rId1"/>
  <ignoredErrors>
    <ignoredError sqref="D27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N49"/>
  <sheetViews>
    <sheetView workbookViewId="0">
      <selection activeCell="B10" sqref="B10"/>
    </sheetView>
  </sheetViews>
  <sheetFormatPr baseColWidth="10" defaultRowHeight="15"/>
  <cols>
    <col min="1" max="1" width="11.42578125" style="20"/>
    <col min="2" max="2" width="25.140625" style="20" customWidth="1"/>
    <col min="3" max="10" width="11.42578125" style="20"/>
    <col min="11" max="11" width="16.28515625" style="20" customWidth="1"/>
    <col min="12" max="16384" width="11.42578125" style="20"/>
  </cols>
  <sheetData>
    <row r="1" spans="1:14">
      <c r="A1" s="82" t="s">
        <v>0</v>
      </c>
      <c r="B1" s="83"/>
      <c r="C1" s="84"/>
      <c r="D1" s="84"/>
      <c r="E1" s="84"/>
      <c r="F1" s="84"/>
      <c r="G1" s="84"/>
      <c r="H1" s="85" t="s">
        <v>1</v>
      </c>
      <c r="I1" s="84"/>
      <c r="J1" s="84"/>
      <c r="K1" s="86"/>
    </row>
    <row r="2" spans="1:14">
      <c r="A2" s="87" t="s">
        <v>2</v>
      </c>
      <c r="B2" s="1"/>
      <c r="C2" s="2"/>
      <c r="D2" s="57"/>
      <c r="E2" s="57"/>
      <c r="F2" s="57"/>
      <c r="G2" s="2"/>
      <c r="H2" s="21" t="s">
        <v>875</v>
      </c>
      <c r="I2" s="2"/>
      <c r="J2" s="2"/>
      <c r="K2" s="88"/>
    </row>
    <row r="3" spans="1:14">
      <c r="A3" s="89" t="s">
        <v>4</v>
      </c>
      <c r="B3" s="3"/>
      <c r="C3" s="2"/>
      <c r="D3" s="57"/>
      <c r="E3" s="57"/>
      <c r="F3" s="57"/>
      <c r="G3" s="2"/>
      <c r="H3" s="21" t="s">
        <v>5</v>
      </c>
      <c r="I3" s="2"/>
      <c r="J3" s="2"/>
      <c r="K3" s="88"/>
    </row>
    <row r="4" spans="1:14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2"/>
      <c r="K4" s="88"/>
    </row>
    <row r="5" spans="1:14">
      <c r="A5" s="90"/>
      <c r="B5" s="4"/>
      <c r="C5" s="2"/>
      <c r="D5" s="21" t="s">
        <v>23</v>
      </c>
      <c r="E5" s="4"/>
      <c r="F5" s="4"/>
      <c r="G5" s="2"/>
      <c r="H5" s="2"/>
      <c r="I5" s="2"/>
      <c r="J5" s="2"/>
      <c r="K5" s="88"/>
    </row>
    <row r="6" spans="1:14">
      <c r="A6" s="91"/>
      <c r="B6" s="4"/>
      <c r="C6" s="2"/>
      <c r="D6" s="2" t="s">
        <v>7</v>
      </c>
      <c r="E6" s="4"/>
      <c r="F6" s="4"/>
      <c r="G6" s="2"/>
      <c r="H6" s="2"/>
      <c r="I6" s="2"/>
      <c r="J6" s="2"/>
      <c r="K6" s="88"/>
    </row>
    <row r="7" spans="1:14">
      <c r="A7" s="35" t="s">
        <v>8</v>
      </c>
      <c r="B7" s="7" t="s">
        <v>9</v>
      </c>
      <c r="C7" s="151" t="s">
        <v>10</v>
      </c>
      <c r="D7" s="151"/>
      <c r="E7" s="152"/>
      <c r="F7" s="153" t="s">
        <v>11</v>
      </c>
      <c r="G7" s="153"/>
      <c r="H7" s="154" t="s">
        <v>12</v>
      </c>
      <c r="I7" s="155"/>
      <c r="J7" s="155"/>
      <c r="K7" s="5" t="s">
        <v>13</v>
      </c>
    </row>
    <row r="8" spans="1:14">
      <c r="A8" s="37"/>
      <c r="B8" s="8"/>
      <c r="C8" s="8" t="s">
        <v>14</v>
      </c>
      <c r="D8" s="6" t="s">
        <v>15</v>
      </c>
      <c r="E8" s="9" t="s">
        <v>16</v>
      </c>
      <c r="F8" s="10" t="s">
        <v>17</v>
      </c>
      <c r="G8" s="10" t="s">
        <v>18</v>
      </c>
      <c r="H8" s="6" t="s">
        <v>19</v>
      </c>
      <c r="I8" s="11" t="s">
        <v>20</v>
      </c>
      <c r="J8" s="12" t="s">
        <v>21</v>
      </c>
      <c r="K8" s="13"/>
    </row>
    <row r="9" spans="1:14" ht="14.25" customHeight="1">
      <c r="A9" s="114">
        <v>41794</v>
      </c>
      <c r="B9" s="28" t="s">
        <v>890</v>
      </c>
      <c r="C9" s="14">
        <v>4878.4399999999996</v>
      </c>
      <c r="D9" s="15"/>
      <c r="E9" s="17">
        <f>+C9</f>
        <v>4878.4399999999996</v>
      </c>
      <c r="F9" s="29">
        <f>+H9/C9</f>
        <v>29.517372356736995</v>
      </c>
      <c r="G9" s="29"/>
      <c r="H9" s="16">
        <v>143998.73000000001</v>
      </c>
      <c r="I9" s="30"/>
      <c r="J9" s="26">
        <f>+H9</f>
        <v>143998.73000000001</v>
      </c>
      <c r="K9" s="28"/>
      <c r="L9" s="55"/>
    </row>
    <row r="10" spans="1:14">
      <c r="A10" s="58">
        <v>41845</v>
      </c>
      <c r="B10" s="22" t="s">
        <v>472</v>
      </c>
      <c r="C10" s="23"/>
      <c r="D10" s="27">
        <f>(28*4.2)*1.05</f>
        <v>123.48000000000002</v>
      </c>
      <c r="E10" s="24">
        <f>+E9-D10</f>
        <v>4754.9599999999991</v>
      </c>
      <c r="F10" s="19"/>
      <c r="G10" s="29">
        <f>+J9/E9</f>
        <v>29.517372356736995</v>
      </c>
      <c r="H10" s="18"/>
      <c r="I10" s="25">
        <f>+D10*G10</f>
        <v>3644.8051386098846</v>
      </c>
      <c r="J10" s="26">
        <f>+J9-I10</f>
        <v>140353.92486139011</v>
      </c>
      <c r="K10" s="23"/>
    </row>
    <row r="11" spans="1:14">
      <c r="A11" s="58">
        <v>41849</v>
      </c>
      <c r="B11" s="22" t="s">
        <v>481</v>
      </c>
      <c r="C11" s="23"/>
      <c r="D11" s="27">
        <f>(20*5+22*4.6)*1.05</f>
        <v>211.26</v>
      </c>
      <c r="E11" s="24">
        <f t="shared" ref="E11:E40" si="0">+E10-D11</f>
        <v>4543.6999999999989</v>
      </c>
      <c r="F11" s="19"/>
      <c r="G11" s="29">
        <f t="shared" ref="G11:G40" si="1">+J10/E10</f>
        <v>29.517372356736995</v>
      </c>
      <c r="H11" s="18"/>
      <c r="I11" s="25">
        <f t="shared" ref="I11:I40" si="2">+D11*G11</f>
        <v>6235.8400840842578</v>
      </c>
      <c r="J11" s="26">
        <f t="shared" ref="J11:J40" si="3">+J10-I11</f>
        <v>134118.08477730586</v>
      </c>
      <c r="K11" s="23"/>
    </row>
    <row r="12" spans="1:14">
      <c r="A12" s="79">
        <v>41851</v>
      </c>
      <c r="B12" s="18" t="s">
        <v>484</v>
      </c>
      <c r="C12" s="18"/>
      <c r="D12" s="18">
        <f>(14*4.8)*1.05</f>
        <v>70.56</v>
      </c>
      <c r="E12" s="44">
        <f t="shared" si="0"/>
        <v>4473.1399999999985</v>
      </c>
      <c r="F12" s="19"/>
      <c r="G12" s="59">
        <f t="shared" si="1"/>
        <v>29.517372356736999</v>
      </c>
      <c r="H12" s="18"/>
      <c r="I12" s="60">
        <f t="shared" si="2"/>
        <v>2082.7457934913627</v>
      </c>
      <c r="J12" s="60">
        <f t="shared" si="3"/>
        <v>132035.33898381449</v>
      </c>
      <c r="K12" s="80">
        <f>SUM(I10:I12)</f>
        <v>11963.391016185506</v>
      </c>
      <c r="L12" s="145">
        <v>41851</v>
      </c>
      <c r="N12" s="123">
        <f>+K12</f>
        <v>11963.391016185506</v>
      </c>
    </row>
    <row r="13" spans="1:14">
      <c r="A13" s="118">
        <v>41856</v>
      </c>
      <c r="B13" s="18" t="s">
        <v>571</v>
      </c>
      <c r="C13" s="18"/>
      <c r="D13" s="18">
        <f>(8*1.6)*1.05</f>
        <v>13.440000000000001</v>
      </c>
      <c r="E13" s="44">
        <f t="shared" si="0"/>
        <v>4459.6999999999989</v>
      </c>
      <c r="F13" s="59"/>
      <c r="G13" s="59">
        <f t="shared" si="1"/>
        <v>29.517372356736999</v>
      </c>
      <c r="H13" s="18"/>
      <c r="I13" s="60">
        <f t="shared" si="2"/>
        <v>396.71348447454528</v>
      </c>
      <c r="J13" s="60">
        <f t="shared" si="3"/>
        <v>131638.62549933995</v>
      </c>
      <c r="K13" s="50"/>
    </row>
    <row r="14" spans="1:14">
      <c r="A14" s="118">
        <v>41856</v>
      </c>
      <c r="B14" s="18" t="s">
        <v>572</v>
      </c>
      <c r="C14" s="18"/>
      <c r="D14" s="18">
        <f>(4.8+6*5+4.6+2*4.4+3.8+3.6+2.2+2*2.8)*1.05</f>
        <v>66.570000000000007</v>
      </c>
      <c r="E14" s="44">
        <f t="shared" si="0"/>
        <v>4393.1299999999992</v>
      </c>
      <c r="F14" s="59"/>
      <c r="G14" s="59">
        <f t="shared" si="1"/>
        <v>29.517372356736995</v>
      </c>
      <c r="H14" s="18"/>
      <c r="I14" s="60">
        <f t="shared" si="2"/>
        <v>1964.9714777879819</v>
      </c>
      <c r="J14" s="60">
        <f t="shared" si="3"/>
        <v>129673.65402155196</v>
      </c>
      <c r="K14" s="50"/>
    </row>
    <row r="15" spans="1:14">
      <c r="A15" s="118">
        <v>41858</v>
      </c>
      <c r="B15" s="18" t="s">
        <v>573</v>
      </c>
      <c r="C15" s="18"/>
      <c r="D15" s="18">
        <f>(4+3.2)*1.05</f>
        <v>7.5600000000000005</v>
      </c>
      <c r="E15" s="44">
        <f t="shared" si="0"/>
        <v>4385.5699999999988</v>
      </c>
      <c r="F15" s="59"/>
      <c r="G15" s="59">
        <f t="shared" si="1"/>
        <v>29.517372356736992</v>
      </c>
      <c r="H15" s="18"/>
      <c r="I15" s="60">
        <f t="shared" si="2"/>
        <v>223.15133501693168</v>
      </c>
      <c r="J15" s="60">
        <f t="shared" si="3"/>
        <v>129450.50268653504</v>
      </c>
      <c r="K15" s="50"/>
    </row>
    <row r="16" spans="1:14">
      <c r="A16" s="118">
        <v>41858</v>
      </c>
      <c r="B16" s="18" t="s">
        <v>574</v>
      </c>
      <c r="C16" s="18"/>
      <c r="D16" s="18">
        <f>(11*4.8)*1.05</f>
        <v>55.44</v>
      </c>
      <c r="E16" s="44">
        <f t="shared" si="0"/>
        <v>4330.1299999999992</v>
      </c>
      <c r="F16" s="59"/>
      <c r="G16" s="59">
        <f t="shared" si="1"/>
        <v>29.517372356736995</v>
      </c>
      <c r="H16" s="18"/>
      <c r="I16" s="60">
        <f t="shared" si="2"/>
        <v>1636.443123457499</v>
      </c>
      <c r="J16" s="60">
        <f t="shared" si="3"/>
        <v>127814.05956307754</v>
      </c>
      <c r="K16" s="50"/>
    </row>
    <row r="17" spans="1:14">
      <c r="A17" s="118">
        <v>41859</v>
      </c>
      <c r="B17" s="18" t="s">
        <v>575</v>
      </c>
      <c r="C17" s="18"/>
      <c r="D17" s="18">
        <v>0</v>
      </c>
      <c r="E17" s="44">
        <f t="shared" si="0"/>
        <v>4330.1299999999992</v>
      </c>
      <c r="F17" s="59"/>
      <c r="G17" s="59">
        <f t="shared" si="1"/>
        <v>29.517372356736995</v>
      </c>
      <c r="H17" s="18"/>
      <c r="I17" s="60">
        <f t="shared" si="2"/>
        <v>0</v>
      </c>
      <c r="J17" s="60">
        <f t="shared" si="3"/>
        <v>127814.05956307754</v>
      </c>
      <c r="K17" s="50"/>
    </row>
    <row r="18" spans="1:14">
      <c r="A18" s="118">
        <v>41859</v>
      </c>
      <c r="B18" s="18" t="s">
        <v>528</v>
      </c>
      <c r="C18" s="18"/>
      <c r="D18" s="18">
        <f>(5*5.6+3*5.2+3*4.6+2*6+2*4.2+3*3.2+2.2+1.4+3*5.4+5+2*3.8+2*2.6+4*2+3*1.2+2*1.8+13)*1.05</f>
        <v>160.85999999999999</v>
      </c>
      <c r="E18" s="44">
        <f t="shared" si="0"/>
        <v>4169.2699999999995</v>
      </c>
      <c r="F18" s="59"/>
      <c r="G18" s="59">
        <f t="shared" si="1"/>
        <v>29.517372356736995</v>
      </c>
      <c r="H18" s="18"/>
      <c r="I18" s="60">
        <f t="shared" si="2"/>
        <v>4748.1645173047127</v>
      </c>
      <c r="J18" s="60">
        <f t="shared" si="3"/>
        <v>123065.89504577282</v>
      </c>
      <c r="K18" s="50"/>
    </row>
    <row r="19" spans="1:14">
      <c r="A19" s="118">
        <v>41862</v>
      </c>
      <c r="B19" s="18" t="s">
        <v>529</v>
      </c>
      <c r="C19" s="18"/>
      <c r="D19" s="18">
        <f>(15*5.6+2*5.4+5+2*4.8+2*4.6+4*4+3*3.6+3.2+3*3+20*2.6+2*2.2+2*2+3*1.6+2*1)*1.05</f>
        <v>236.04000000000002</v>
      </c>
      <c r="E19" s="44">
        <f t="shared" si="0"/>
        <v>3933.2299999999996</v>
      </c>
      <c r="F19" s="59"/>
      <c r="G19" s="59">
        <f t="shared" si="1"/>
        <v>29.517372356736992</v>
      </c>
      <c r="H19" s="18"/>
      <c r="I19" s="60">
        <f t="shared" si="2"/>
        <v>6967.2805710842003</v>
      </c>
      <c r="J19" s="60">
        <f t="shared" si="3"/>
        <v>116098.61447468863</v>
      </c>
      <c r="K19" s="50"/>
    </row>
    <row r="20" spans="1:14">
      <c r="A20" s="118">
        <v>41863</v>
      </c>
      <c r="B20" s="18" t="s">
        <v>576</v>
      </c>
      <c r="C20" s="18"/>
      <c r="D20" s="18">
        <f>(29*9)*1.05</f>
        <v>274.05</v>
      </c>
      <c r="E20" s="44">
        <f t="shared" si="0"/>
        <v>3659.1799999999994</v>
      </c>
      <c r="F20" s="59"/>
      <c r="G20" s="59">
        <f t="shared" si="1"/>
        <v>29.517372356736992</v>
      </c>
      <c r="H20" s="18"/>
      <c r="I20" s="60">
        <f t="shared" si="2"/>
        <v>8089.2358943637728</v>
      </c>
      <c r="J20" s="60">
        <f t="shared" si="3"/>
        <v>108009.37858032486</v>
      </c>
      <c r="K20" s="50"/>
    </row>
    <row r="21" spans="1:14">
      <c r="A21" s="118">
        <v>41864</v>
      </c>
      <c r="B21" s="18" t="s">
        <v>577</v>
      </c>
      <c r="C21" s="18"/>
      <c r="D21" s="18">
        <f>72*4.2</f>
        <v>302.40000000000003</v>
      </c>
      <c r="E21" s="44">
        <f t="shared" si="0"/>
        <v>3356.7799999999993</v>
      </c>
      <c r="F21" s="59"/>
      <c r="G21" s="59">
        <f t="shared" si="1"/>
        <v>29.517372356736995</v>
      </c>
      <c r="H21" s="18"/>
      <c r="I21" s="60">
        <f t="shared" si="2"/>
        <v>8926.0534006772687</v>
      </c>
      <c r="J21" s="60">
        <f t="shared" si="3"/>
        <v>99083.325179647596</v>
      </c>
      <c r="K21" s="50"/>
    </row>
    <row r="22" spans="1:14">
      <c r="A22" s="118">
        <v>41865</v>
      </c>
      <c r="B22" s="18" t="s">
        <v>578</v>
      </c>
      <c r="C22" s="18"/>
      <c r="D22" s="18">
        <f>(12*4)*1.05</f>
        <v>50.400000000000006</v>
      </c>
      <c r="E22" s="44">
        <f t="shared" si="0"/>
        <v>3306.3799999999992</v>
      </c>
      <c r="F22" s="59"/>
      <c r="G22" s="59">
        <f t="shared" si="1"/>
        <v>29.517372356736995</v>
      </c>
      <c r="H22" s="18"/>
      <c r="I22" s="60">
        <f t="shared" si="2"/>
        <v>1487.6755667795449</v>
      </c>
      <c r="J22" s="60">
        <f t="shared" si="3"/>
        <v>97595.649612868045</v>
      </c>
      <c r="K22" s="50"/>
    </row>
    <row r="23" spans="1:14">
      <c r="A23" s="118">
        <v>41866</v>
      </c>
      <c r="B23" s="18" t="s">
        <v>531</v>
      </c>
      <c r="C23" s="18"/>
      <c r="D23" s="18">
        <f>(16*0.6)*1.05</f>
        <v>10.08</v>
      </c>
      <c r="E23" s="44">
        <f t="shared" si="0"/>
        <v>3296.2999999999993</v>
      </c>
      <c r="F23" s="59"/>
      <c r="G23" s="59">
        <f t="shared" si="1"/>
        <v>29.517372356736995</v>
      </c>
      <c r="H23" s="18"/>
      <c r="I23" s="60">
        <f t="shared" si="2"/>
        <v>297.53511335590889</v>
      </c>
      <c r="J23" s="60">
        <f t="shared" si="3"/>
        <v>97298.114499512129</v>
      </c>
      <c r="K23" s="50"/>
      <c r="L23" s="145">
        <v>41866</v>
      </c>
      <c r="M23" s="123">
        <f>SUM(I13:I23)</f>
        <v>34737.224484302365</v>
      </c>
    </row>
    <row r="24" spans="1:14">
      <c r="A24" s="118">
        <v>41869</v>
      </c>
      <c r="B24" s="18" t="s">
        <v>579</v>
      </c>
      <c r="C24" s="18"/>
      <c r="D24" s="18">
        <f>(10*4.2)*1.05</f>
        <v>44.1</v>
      </c>
      <c r="E24" s="44">
        <f t="shared" si="0"/>
        <v>3252.1999999999994</v>
      </c>
      <c r="F24" s="59"/>
      <c r="G24" s="59">
        <f t="shared" si="1"/>
        <v>29.517372356736992</v>
      </c>
      <c r="H24" s="18"/>
      <c r="I24" s="60">
        <f t="shared" si="2"/>
        <v>1301.7161209321014</v>
      </c>
      <c r="J24" s="60">
        <f t="shared" si="3"/>
        <v>95996.398378580023</v>
      </c>
      <c r="K24" s="50"/>
    </row>
    <row r="25" spans="1:14">
      <c r="A25" s="118">
        <v>41870</v>
      </c>
      <c r="B25" s="18" t="s">
        <v>580</v>
      </c>
      <c r="C25" s="18"/>
      <c r="D25" s="18">
        <f>(12*2.2)*1.05</f>
        <v>27.720000000000002</v>
      </c>
      <c r="E25" s="44">
        <f t="shared" si="0"/>
        <v>3224.4799999999996</v>
      </c>
      <c r="F25" s="59"/>
      <c r="G25" s="59">
        <f t="shared" si="1"/>
        <v>29.517372356736992</v>
      </c>
      <c r="H25" s="18"/>
      <c r="I25" s="60">
        <f t="shared" si="2"/>
        <v>818.22156172874952</v>
      </c>
      <c r="J25" s="60">
        <f t="shared" si="3"/>
        <v>95178.176816851279</v>
      </c>
      <c r="K25" s="50"/>
    </row>
    <row r="26" spans="1:14">
      <c r="A26" s="118">
        <v>41871</v>
      </c>
      <c r="B26" s="18" t="s">
        <v>581</v>
      </c>
      <c r="C26" s="18"/>
      <c r="D26" s="18">
        <f>(18*3+14*3.2+7*3.6+7*2.8+5*1+3.8+3*2.6+3*1.8+2*1.6+2*2)*1.05</f>
        <v>181.44000000000005</v>
      </c>
      <c r="E26" s="44">
        <f t="shared" si="0"/>
        <v>3043.0399999999995</v>
      </c>
      <c r="F26" s="59"/>
      <c r="G26" s="59">
        <f t="shared" si="1"/>
        <v>29.517372356736992</v>
      </c>
      <c r="H26" s="18"/>
      <c r="I26" s="60">
        <f t="shared" si="2"/>
        <v>5355.6320404063617</v>
      </c>
      <c r="J26" s="60">
        <f t="shared" si="3"/>
        <v>89822.54477644492</v>
      </c>
      <c r="K26" s="50"/>
    </row>
    <row r="27" spans="1:14">
      <c r="A27" s="118">
        <v>41872</v>
      </c>
      <c r="B27" s="18" t="s">
        <v>532</v>
      </c>
      <c r="C27" s="18"/>
      <c r="D27" s="18">
        <f>(4*6+11*5.4+15*6.4+8*1.6)*1.05</f>
        <v>201.81000000000003</v>
      </c>
      <c r="E27" s="44">
        <f t="shared" si="0"/>
        <v>2841.2299999999996</v>
      </c>
      <c r="F27" s="59"/>
      <c r="G27" s="59">
        <f t="shared" si="1"/>
        <v>29.517372356736992</v>
      </c>
      <c r="H27" s="18"/>
      <c r="I27" s="60">
        <f t="shared" si="2"/>
        <v>5956.9009153130928</v>
      </c>
      <c r="J27" s="60">
        <f t="shared" si="3"/>
        <v>83865.64386113183</v>
      </c>
      <c r="K27" s="50"/>
    </row>
    <row r="28" spans="1:14">
      <c r="A28" s="118">
        <v>41872</v>
      </c>
      <c r="B28" s="18" t="s">
        <v>582</v>
      </c>
      <c r="C28" s="18"/>
      <c r="D28" s="18">
        <f>(4.8+4.6+2*4.4+4.2+4+3.8+3.6+3.4+2*3.2+3+2+2*2+2.57+3.03)*1.05</f>
        <v>61.11</v>
      </c>
      <c r="E28" s="44">
        <f t="shared" si="0"/>
        <v>2780.1199999999994</v>
      </c>
      <c r="F28" s="59"/>
      <c r="G28" s="59">
        <f t="shared" si="1"/>
        <v>29.517372356736992</v>
      </c>
      <c r="H28" s="18"/>
      <c r="I28" s="60">
        <f t="shared" si="2"/>
        <v>1803.8066247201975</v>
      </c>
      <c r="J28" s="60">
        <f t="shared" si="3"/>
        <v>82061.837236411637</v>
      </c>
      <c r="K28" s="50"/>
    </row>
    <row r="29" spans="1:14" s="62" customFormat="1">
      <c r="A29" s="118">
        <v>41873</v>
      </c>
      <c r="B29" s="18" t="s">
        <v>583</v>
      </c>
      <c r="C29" s="18"/>
      <c r="D29" s="18">
        <f>(2*5.4+2*4.4+2*3+2*3.4+2*2.6+2*1.6+4)*1.05</f>
        <v>47.040000000000006</v>
      </c>
      <c r="E29" s="44">
        <f t="shared" si="0"/>
        <v>2733.0799999999995</v>
      </c>
      <c r="F29" s="59"/>
      <c r="G29" s="59">
        <f t="shared" si="1"/>
        <v>29.517372356736995</v>
      </c>
      <c r="H29" s="18"/>
      <c r="I29" s="60">
        <f t="shared" si="2"/>
        <v>1388.4971956609083</v>
      </c>
      <c r="J29" s="60">
        <f t="shared" si="3"/>
        <v>80673.340040750729</v>
      </c>
      <c r="K29" s="67"/>
    </row>
    <row r="30" spans="1:14">
      <c r="A30" s="118">
        <v>41874</v>
      </c>
      <c r="B30" s="18" t="s">
        <v>534</v>
      </c>
      <c r="C30" s="18"/>
      <c r="D30" s="18">
        <f>(8*5)*1.05</f>
        <v>42</v>
      </c>
      <c r="E30" s="44">
        <f>+E29-D30</f>
        <v>2691.0799999999995</v>
      </c>
      <c r="F30" s="59"/>
      <c r="G30" s="59">
        <f>+J29/E29</f>
        <v>29.517372356736995</v>
      </c>
      <c r="H30" s="18"/>
      <c r="I30" s="60">
        <f>+D30*G30</f>
        <v>1239.7296389829537</v>
      </c>
      <c r="J30" s="60">
        <f>+J29-I30</f>
        <v>79433.610401767772</v>
      </c>
      <c r="K30" s="80">
        <f>SUM(I13:I30)</f>
        <v>52601.72858204673</v>
      </c>
      <c r="L30" s="145">
        <v>41881</v>
      </c>
      <c r="M30" s="123">
        <f>SUM(I24:I30)</f>
        <v>17864.504097744364</v>
      </c>
      <c r="N30" s="123">
        <f>SUM(M23:M30)</f>
        <v>52601.72858204673</v>
      </c>
    </row>
    <row r="31" spans="1:14">
      <c r="A31" s="118">
        <v>41891</v>
      </c>
      <c r="B31" s="18" t="s">
        <v>597</v>
      </c>
      <c r="C31" s="18"/>
      <c r="D31" s="18">
        <f>(13*2.95+2*3.4+2.8+6*4.05)*1.05</f>
        <v>75.862499999999997</v>
      </c>
      <c r="E31" s="44">
        <f>+E30-D31</f>
        <v>2615.2174999999993</v>
      </c>
      <c r="F31" s="59"/>
      <c r="G31" s="59">
        <f>+J30/E30</f>
        <v>29.517372356736992</v>
      </c>
      <c r="H31" s="18"/>
      <c r="I31" s="60">
        <f>+D31*G31</f>
        <v>2239.2616604129598</v>
      </c>
      <c r="J31" s="60">
        <f>+J30-I31</f>
        <v>77194.348741354814</v>
      </c>
      <c r="K31" s="80">
        <f>SUM(I31)</f>
        <v>2239.2616604129598</v>
      </c>
      <c r="L31" s="145">
        <v>41902</v>
      </c>
      <c r="N31" s="123">
        <f>+K31</f>
        <v>2239.2616604129598</v>
      </c>
    </row>
    <row r="32" spans="1:14">
      <c r="A32" s="118">
        <v>41928</v>
      </c>
      <c r="B32" s="18" t="s">
        <v>694</v>
      </c>
      <c r="C32" s="18"/>
      <c r="D32" s="18">
        <f>(11*6.8)*1.05</f>
        <v>78.540000000000006</v>
      </c>
      <c r="E32" s="44">
        <f t="shared" si="0"/>
        <v>2536.6774999999993</v>
      </c>
      <c r="F32" s="59"/>
      <c r="G32" s="59">
        <f t="shared" si="1"/>
        <v>29.517372356736995</v>
      </c>
      <c r="H32" s="18"/>
      <c r="I32" s="60">
        <f t="shared" si="2"/>
        <v>2318.2944248981239</v>
      </c>
      <c r="J32" s="60">
        <f t="shared" si="3"/>
        <v>74876.054316456692</v>
      </c>
      <c r="K32" s="50"/>
    </row>
    <row r="33" spans="1:14">
      <c r="A33" s="118">
        <v>41929</v>
      </c>
      <c r="B33" s="18" t="s">
        <v>695</v>
      </c>
      <c r="C33" s="18"/>
      <c r="D33" s="18">
        <f>(12*8.2+12*1.8)*1.05</f>
        <v>126</v>
      </c>
      <c r="E33" s="44">
        <f t="shared" si="0"/>
        <v>2410.6774999999993</v>
      </c>
      <c r="F33" s="59"/>
      <c r="G33" s="59">
        <f t="shared" si="1"/>
        <v>29.517372356736995</v>
      </c>
      <c r="H33" s="18"/>
      <c r="I33" s="60">
        <f t="shared" si="2"/>
        <v>3719.1889169488613</v>
      </c>
      <c r="J33" s="60">
        <f t="shared" si="3"/>
        <v>71156.865399507835</v>
      </c>
      <c r="K33" s="50"/>
    </row>
    <row r="34" spans="1:14">
      <c r="A34" s="118">
        <v>41930</v>
      </c>
      <c r="B34" s="18" t="s">
        <v>696</v>
      </c>
      <c r="C34" s="18"/>
      <c r="D34" s="18">
        <f>(15*7.4+10*2.2+7*7.8+5*8.8+2*6.8+5*4)*1.05+9</f>
        <v>287.45999999999998</v>
      </c>
      <c r="E34" s="44">
        <f t="shared" si="0"/>
        <v>2123.2174999999993</v>
      </c>
      <c r="F34" s="59"/>
      <c r="G34" s="59">
        <f t="shared" si="1"/>
        <v>29.517372356736999</v>
      </c>
      <c r="H34" s="18"/>
      <c r="I34" s="60">
        <f t="shared" si="2"/>
        <v>8485.0638576676174</v>
      </c>
      <c r="J34" s="60">
        <f t="shared" si="3"/>
        <v>62671.801541840221</v>
      </c>
      <c r="K34" s="50"/>
    </row>
    <row r="35" spans="1:14">
      <c r="A35" s="118">
        <v>41930</v>
      </c>
      <c r="B35" s="18" t="s">
        <v>697</v>
      </c>
      <c r="C35" s="18"/>
      <c r="D35" s="18">
        <f>(3.6)*1.05</f>
        <v>3.7800000000000002</v>
      </c>
      <c r="E35" s="44">
        <f t="shared" si="0"/>
        <v>2119.4374999999991</v>
      </c>
      <c r="F35" s="59"/>
      <c r="G35" s="59">
        <f t="shared" si="1"/>
        <v>29.517372356736999</v>
      </c>
      <c r="H35" s="18"/>
      <c r="I35" s="60">
        <f t="shared" si="2"/>
        <v>111.57566750846587</v>
      </c>
      <c r="J35" s="60">
        <f t="shared" si="3"/>
        <v>62560.225874331758</v>
      </c>
      <c r="K35" s="50"/>
    </row>
    <row r="36" spans="1:14">
      <c r="A36" s="118">
        <v>41932</v>
      </c>
      <c r="B36" s="18" t="s">
        <v>698</v>
      </c>
      <c r="C36" s="18"/>
      <c r="D36" s="18">
        <f>(5*2.2+1.4+2*3+1.6)*1.05</f>
        <v>21</v>
      </c>
      <c r="E36" s="44">
        <f t="shared" si="0"/>
        <v>2098.4374999999991</v>
      </c>
      <c r="F36" s="59"/>
      <c r="G36" s="59">
        <f t="shared" si="1"/>
        <v>29.517372356737006</v>
      </c>
      <c r="H36" s="18"/>
      <c r="I36" s="60">
        <f t="shared" si="2"/>
        <v>619.86481949147708</v>
      </c>
      <c r="J36" s="60">
        <f t="shared" si="3"/>
        <v>61940.361054840279</v>
      </c>
      <c r="K36" s="50"/>
    </row>
    <row r="37" spans="1:14">
      <c r="A37" s="118">
        <v>41932</v>
      </c>
      <c r="B37" s="18" t="s">
        <v>699</v>
      </c>
      <c r="C37" s="18"/>
      <c r="D37" s="18">
        <f>(12*2.8+20*4+4*1.8+4*1.6+5*1.2+4*0.8+1+3.4+1.4+3.6+7*5.4)*1.05+13</f>
        <v>205.78</v>
      </c>
      <c r="E37" s="44">
        <f t="shared" si="0"/>
        <v>1892.6574999999991</v>
      </c>
      <c r="F37" s="59"/>
      <c r="G37" s="59">
        <f t="shared" si="1"/>
        <v>29.517372356737003</v>
      </c>
      <c r="H37" s="18"/>
      <c r="I37" s="60">
        <f t="shared" si="2"/>
        <v>6074.0848835693405</v>
      </c>
      <c r="J37" s="60">
        <f t="shared" si="3"/>
        <v>55866.27617127094</v>
      </c>
      <c r="K37" s="50"/>
    </row>
    <row r="38" spans="1:14">
      <c r="A38" s="118">
        <v>41933</v>
      </c>
      <c r="B38" s="18" t="s">
        <v>700</v>
      </c>
      <c r="C38" s="18"/>
      <c r="D38" s="18">
        <f>(15*4.6)*1.05</f>
        <v>72.45</v>
      </c>
      <c r="E38" s="44">
        <f t="shared" si="0"/>
        <v>1820.2074999999991</v>
      </c>
      <c r="F38" s="59"/>
      <c r="G38" s="59">
        <f t="shared" si="1"/>
        <v>29.517372356737003</v>
      </c>
      <c r="H38" s="18"/>
      <c r="I38" s="60">
        <f t="shared" si="2"/>
        <v>2138.5336272455961</v>
      </c>
      <c r="J38" s="60">
        <f t="shared" si="3"/>
        <v>53727.742544025343</v>
      </c>
      <c r="K38" s="50"/>
    </row>
    <row r="39" spans="1:14">
      <c r="A39" s="118">
        <v>41933</v>
      </c>
      <c r="B39" s="18" t="s">
        <v>701</v>
      </c>
      <c r="C39" s="18"/>
      <c r="D39" s="18">
        <f>(32*3.6+24*2.6+5*2.8+4*1.8)*1.05</f>
        <v>208.74</v>
      </c>
      <c r="E39" s="44">
        <f t="shared" si="0"/>
        <v>1611.4674999999991</v>
      </c>
      <c r="F39" s="59"/>
      <c r="G39" s="59">
        <f t="shared" si="1"/>
        <v>29.517372356737003</v>
      </c>
      <c r="H39" s="18"/>
      <c r="I39" s="60">
        <f t="shared" si="2"/>
        <v>6161.4563057452824</v>
      </c>
      <c r="J39" s="60">
        <f t="shared" si="3"/>
        <v>47566.286238280059</v>
      </c>
      <c r="K39" s="50"/>
    </row>
    <row r="40" spans="1:14" s="62" customFormat="1">
      <c r="A40" s="118">
        <v>41933</v>
      </c>
      <c r="B40" s="18" t="s">
        <v>702</v>
      </c>
      <c r="C40" s="18"/>
      <c r="D40" s="18">
        <f>(26*4.4)*1.05+5</f>
        <v>125.12</v>
      </c>
      <c r="E40" s="44">
        <f t="shared" si="0"/>
        <v>1486.3474999999989</v>
      </c>
      <c r="F40" s="59"/>
      <c r="G40" s="59">
        <f t="shared" si="1"/>
        <v>29.517372356737003</v>
      </c>
      <c r="H40" s="18"/>
      <c r="I40" s="60">
        <f t="shared" si="2"/>
        <v>3693.2136292749337</v>
      </c>
      <c r="J40" s="60">
        <f t="shared" si="3"/>
        <v>43873.072609005125</v>
      </c>
      <c r="K40" s="81">
        <f>SUM(I32:I40)</f>
        <v>33321.276132349703</v>
      </c>
      <c r="N40" s="146">
        <f>+K40</f>
        <v>33321.276132349703</v>
      </c>
    </row>
    <row r="41" spans="1:14">
      <c r="A41" s="118"/>
      <c r="B41" s="95"/>
      <c r="C41" s="18"/>
      <c r="D41" s="18"/>
      <c r="E41" s="44"/>
      <c r="F41" s="59"/>
      <c r="G41" s="59"/>
      <c r="H41" s="18"/>
      <c r="I41" s="60"/>
      <c r="J41" s="60"/>
      <c r="K41" s="50"/>
    </row>
    <row r="42" spans="1:14">
      <c r="A42" s="118"/>
      <c r="B42" s="18" t="s">
        <v>862</v>
      </c>
      <c r="C42" s="18">
        <f>SUM(C9:C41)</f>
        <v>4878.4399999999996</v>
      </c>
      <c r="D42" s="19">
        <f>SUM(D9:D41)</f>
        <v>3392.0925000000007</v>
      </c>
      <c r="E42" s="44">
        <f>+C42-D42</f>
        <v>1486.3474999999989</v>
      </c>
      <c r="F42" s="18"/>
      <c r="G42" s="18"/>
      <c r="H42" s="60">
        <f>SUM(H9:H41)</f>
        <v>143998.73000000001</v>
      </c>
      <c r="I42" s="60">
        <f>SUM(I9:I41)</f>
        <v>100125.65739099488</v>
      </c>
      <c r="J42" s="60">
        <f>+H42-I42</f>
        <v>43873.072609005132</v>
      </c>
      <c r="K42" s="50"/>
      <c r="N42" s="123">
        <f>SUM(N12:N41)</f>
        <v>100125.65739099489</v>
      </c>
    </row>
    <row r="43" spans="1:14">
      <c r="A43" s="118"/>
      <c r="B43" s="18"/>
      <c r="C43" s="18"/>
      <c r="D43" s="18"/>
      <c r="E43" s="44"/>
      <c r="F43" s="59"/>
      <c r="G43" s="59"/>
      <c r="H43" s="18"/>
      <c r="I43" s="60"/>
      <c r="J43" s="60"/>
      <c r="K43" s="50"/>
    </row>
    <row r="45" spans="1:14">
      <c r="A45" s="96" t="s">
        <v>863</v>
      </c>
      <c r="B45" s="32"/>
      <c r="C45" s="2"/>
      <c r="D45" s="2"/>
      <c r="E45" s="2"/>
      <c r="F45" s="2"/>
    </row>
    <row r="46" spans="1:14">
      <c r="A46" s="96"/>
      <c r="B46" s="32"/>
      <c r="C46" s="2"/>
      <c r="D46" s="2"/>
      <c r="E46" s="2"/>
      <c r="F46" s="2"/>
    </row>
    <row r="47" spans="1:14">
      <c r="A47" s="96" t="s">
        <v>864</v>
      </c>
      <c r="B47" s="32"/>
      <c r="C47" s="2"/>
      <c r="D47" s="2"/>
      <c r="E47" s="2"/>
      <c r="F47" s="2"/>
      <c r="J47" s="123">
        <f>+E42*F9</f>
        <v>43873.07260900511</v>
      </c>
    </row>
    <row r="48" spans="1:14">
      <c r="A48" s="96" t="s">
        <v>865</v>
      </c>
      <c r="B48" s="32"/>
      <c r="C48" s="2"/>
      <c r="D48" s="2"/>
      <c r="E48" s="2"/>
      <c r="F48" s="2"/>
      <c r="J48" s="121">
        <f>+J40</f>
        <v>43873.072609005125</v>
      </c>
    </row>
    <row r="49" spans="1:10">
      <c r="A49" s="96"/>
      <c r="B49" s="32" t="s">
        <v>866</v>
      </c>
      <c r="C49" s="2"/>
      <c r="D49" s="2"/>
      <c r="E49" s="2"/>
      <c r="F49" s="2"/>
      <c r="J49" s="123">
        <f>+J47-J48</f>
        <v>0</v>
      </c>
    </row>
  </sheetData>
  <mergeCells count="4">
    <mergeCell ref="D4:H4"/>
    <mergeCell ref="C7:E7"/>
    <mergeCell ref="F7:G7"/>
    <mergeCell ref="H7:J7"/>
  </mergeCells>
  <pageMargins left="0.94488188976377963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L15" sqref="L15"/>
    </sheetView>
  </sheetViews>
  <sheetFormatPr baseColWidth="10" defaultRowHeight="15"/>
  <cols>
    <col min="1" max="1" width="11.42578125" style="20"/>
    <col min="2" max="2" width="24.5703125" style="20" customWidth="1"/>
    <col min="3" max="3" width="13.5703125" style="20" customWidth="1"/>
    <col min="4" max="16384" width="11.42578125" style="20"/>
  </cols>
  <sheetData>
    <row r="1" spans="1:12">
      <c r="A1" s="82" t="s">
        <v>0</v>
      </c>
      <c r="B1" s="83"/>
      <c r="C1" s="84"/>
      <c r="D1" s="84"/>
      <c r="E1" s="84"/>
      <c r="F1" s="84"/>
      <c r="G1" s="84"/>
      <c r="H1" s="107" t="s">
        <v>1</v>
      </c>
      <c r="I1" s="106"/>
      <c r="J1" s="115"/>
    </row>
    <row r="2" spans="1:12">
      <c r="A2" s="87" t="s">
        <v>2</v>
      </c>
      <c r="B2" s="1"/>
      <c r="C2" s="2"/>
      <c r="D2" s="2"/>
      <c r="E2" s="2"/>
      <c r="F2" s="2"/>
      <c r="G2" s="2"/>
      <c r="H2" s="32" t="s">
        <v>879</v>
      </c>
      <c r="I2" s="31"/>
      <c r="J2" s="116"/>
    </row>
    <row r="3" spans="1:12">
      <c r="A3" s="89" t="s">
        <v>4</v>
      </c>
      <c r="B3" s="3"/>
      <c r="C3" s="2"/>
      <c r="D3" s="2"/>
      <c r="E3" s="2"/>
      <c r="F3" s="2"/>
      <c r="G3" s="2"/>
      <c r="H3" s="32" t="s">
        <v>872</v>
      </c>
      <c r="I3" s="31"/>
      <c r="J3" s="116"/>
    </row>
    <row r="4" spans="1:12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116"/>
    </row>
    <row r="5" spans="1:12">
      <c r="A5" s="90"/>
      <c r="B5" s="4"/>
      <c r="C5" s="2"/>
      <c r="D5" s="21" t="s">
        <v>27</v>
      </c>
      <c r="E5" s="4"/>
      <c r="F5" s="4"/>
      <c r="G5" s="2"/>
      <c r="H5" s="2"/>
      <c r="I5" s="2"/>
      <c r="J5" s="116"/>
    </row>
    <row r="6" spans="1:12">
      <c r="A6" s="90"/>
      <c r="B6" s="4"/>
      <c r="C6" s="2"/>
      <c r="D6" s="2" t="s">
        <v>7</v>
      </c>
      <c r="E6" s="4"/>
      <c r="F6" s="4"/>
      <c r="G6" s="2"/>
      <c r="H6" s="2"/>
      <c r="I6" s="2"/>
      <c r="J6" s="116"/>
    </row>
    <row r="7" spans="1:12">
      <c r="A7" s="90"/>
      <c r="B7" s="2"/>
      <c r="C7" s="2"/>
      <c r="D7" s="2"/>
      <c r="E7" s="2"/>
      <c r="F7" s="2"/>
      <c r="G7" s="2"/>
      <c r="H7" s="2"/>
      <c r="I7" s="2"/>
      <c r="J7" s="116"/>
    </row>
    <row r="8" spans="1:12">
      <c r="A8" s="90"/>
      <c r="B8" s="2"/>
      <c r="C8" s="2"/>
      <c r="D8" s="2"/>
      <c r="E8" s="2"/>
      <c r="F8" s="2"/>
      <c r="G8" s="2"/>
      <c r="H8" s="2"/>
      <c r="I8" s="2"/>
      <c r="J8" s="116"/>
    </row>
    <row r="9" spans="1:12">
      <c r="A9" s="117" t="s">
        <v>8</v>
      </c>
      <c r="B9" s="45" t="s">
        <v>9</v>
      </c>
      <c r="C9" s="166" t="s">
        <v>10</v>
      </c>
      <c r="D9" s="167"/>
      <c r="E9" s="168"/>
      <c r="F9" s="177" t="s">
        <v>11</v>
      </c>
      <c r="G9" s="178"/>
      <c r="H9" s="166" t="s">
        <v>12</v>
      </c>
      <c r="I9" s="167"/>
      <c r="J9" s="168"/>
    </row>
    <row r="10" spans="1:12">
      <c r="A10" s="47"/>
      <c r="B10" s="46"/>
      <c r="C10" s="47" t="s">
        <v>100</v>
      </c>
      <c r="D10" s="48" t="s">
        <v>15</v>
      </c>
      <c r="E10" s="49" t="s">
        <v>21</v>
      </c>
      <c r="F10" s="48" t="s">
        <v>17</v>
      </c>
      <c r="G10" s="48" t="s">
        <v>18</v>
      </c>
      <c r="H10" s="47" t="s">
        <v>19</v>
      </c>
      <c r="I10" s="48" t="s">
        <v>20</v>
      </c>
      <c r="J10" s="49" t="s">
        <v>21</v>
      </c>
    </row>
    <row r="11" spans="1:12">
      <c r="A11" s="66">
        <v>41873</v>
      </c>
      <c r="B11" s="50" t="s">
        <v>584</v>
      </c>
      <c r="C11" s="50">
        <v>500</v>
      </c>
      <c r="D11" s="50"/>
      <c r="E11" s="50">
        <f>+C11</f>
        <v>500</v>
      </c>
      <c r="F11" s="51">
        <f>+H11/C11</f>
        <v>0.52200000000000002</v>
      </c>
      <c r="G11" s="53"/>
      <c r="H11" s="51">
        <v>261</v>
      </c>
      <c r="I11" s="51"/>
      <c r="J11" s="51">
        <f>+H11</f>
        <v>261</v>
      </c>
    </row>
    <row r="12" spans="1:12" s="62" customFormat="1">
      <c r="A12" s="113">
        <v>41873</v>
      </c>
      <c r="B12" s="67" t="s">
        <v>585</v>
      </c>
      <c r="C12" s="67"/>
      <c r="D12" s="67">
        <v>300</v>
      </c>
      <c r="E12" s="67">
        <f>+E11-D12</f>
        <v>200</v>
      </c>
      <c r="F12" s="67"/>
      <c r="G12" s="92">
        <f>+J11/E11</f>
        <v>0.52200000000000002</v>
      </c>
      <c r="H12" s="92"/>
      <c r="I12" s="92">
        <f>D12*G12</f>
        <v>156.6</v>
      </c>
      <c r="J12" s="92">
        <f>+J11-I12</f>
        <v>104.4</v>
      </c>
      <c r="K12" s="75">
        <f>SUM(I12)</f>
        <v>156.6</v>
      </c>
      <c r="L12" s="147">
        <v>41881</v>
      </c>
    </row>
    <row r="13" spans="1:12">
      <c r="A13" s="66"/>
      <c r="B13" s="50"/>
      <c r="C13" s="50"/>
      <c r="D13" s="50"/>
      <c r="E13" s="50"/>
      <c r="F13" s="50"/>
      <c r="G13" s="51"/>
      <c r="H13" s="51"/>
      <c r="I13" s="51"/>
      <c r="J13" s="51"/>
      <c r="K13" s="52"/>
    </row>
    <row r="14" spans="1:12">
      <c r="A14" s="66"/>
      <c r="B14" s="22" t="s">
        <v>862</v>
      </c>
      <c r="C14" s="50">
        <f>SUM(C11:C13)</f>
        <v>500</v>
      </c>
      <c r="D14" s="50">
        <f>SUM(D11:D13)</f>
        <v>300</v>
      </c>
      <c r="E14" s="50">
        <f>+C14-D14</f>
        <v>200</v>
      </c>
      <c r="F14" s="50"/>
      <c r="G14" s="51"/>
      <c r="H14" s="50">
        <f>SUM(H11:H13)</f>
        <v>261</v>
      </c>
      <c r="I14" s="50">
        <f>SUM(I11:I13)</f>
        <v>156.6</v>
      </c>
      <c r="J14" s="51">
        <f>+H14-I14</f>
        <v>104.4</v>
      </c>
      <c r="K14" s="52"/>
    </row>
    <row r="15" spans="1:12">
      <c r="A15" s="66"/>
      <c r="B15" s="50"/>
      <c r="C15" s="50"/>
      <c r="D15" s="50"/>
      <c r="E15" s="50"/>
      <c r="F15" s="50"/>
      <c r="G15" s="51"/>
      <c r="H15" s="51"/>
      <c r="I15" s="51"/>
      <c r="J15" s="51"/>
      <c r="K15" s="52"/>
    </row>
    <row r="18" spans="1:10">
      <c r="A18" s="96" t="s">
        <v>863</v>
      </c>
      <c r="B18" s="32"/>
      <c r="C18" s="2"/>
      <c r="D18" s="2"/>
      <c r="E18" s="2"/>
      <c r="F18" s="2"/>
    </row>
    <row r="19" spans="1:10">
      <c r="A19" s="96"/>
      <c r="B19" s="32"/>
      <c r="C19" s="2"/>
      <c r="D19" s="2"/>
      <c r="E19" s="2"/>
      <c r="F19" s="2"/>
    </row>
    <row r="20" spans="1:10">
      <c r="A20" s="96" t="s">
        <v>864</v>
      </c>
      <c r="B20" s="32"/>
      <c r="C20" s="2"/>
      <c r="D20" s="2"/>
      <c r="E20" s="2"/>
      <c r="F20" s="2"/>
      <c r="J20" s="55">
        <f>+E14*F11</f>
        <v>104.4</v>
      </c>
    </row>
    <row r="21" spans="1:10">
      <c r="A21" s="96" t="s">
        <v>865</v>
      </c>
      <c r="B21" s="32"/>
      <c r="C21" s="2"/>
      <c r="D21" s="2"/>
      <c r="E21" s="2"/>
      <c r="F21" s="2"/>
      <c r="J21" s="122">
        <f>+J12</f>
        <v>104.4</v>
      </c>
    </row>
    <row r="22" spans="1:10">
      <c r="A22" s="96"/>
      <c r="B22" s="32" t="s">
        <v>866</v>
      </c>
      <c r="C22" s="2"/>
      <c r="D22" s="2"/>
      <c r="E22" s="2"/>
      <c r="F22" s="2"/>
      <c r="J22" s="55">
        <f>+J20-J21</f>
        <v>0</v>
      </c>
    </row>
  </sheetData>
  <mergeCells count="4">
    <mergeCell ref="D4:H4"/>
    <mergeCell ref="C9:E9"/>
    <mergeCell ref="F9:G9"/>
    <mergeCell ref="H9:J9"/>
  </mergeCells>
  <pageMargins left="1.1417322834645669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B9" sqref="B9"/>
    </sheetView>
  </sheetViews>
  <sheetFormatPr baseColWidth="10" defaultRowHeight="15"/>
  <cols>
    <col min="1" max="1" width="11.42578125" style="20"/>
    <col min="2" max="2" width="27" style="20" customWidth="1"/>
    <col min="3" max="10" width="11.42578125" style="20"/>
    <col min="11" max="11" width="12.85546875" style="20" customWidth="1"/>
    <col min="12" max="12" width="11.85546875" style="20" customWidth="1"/>
    <col min="13" max="16384" width="11.42578125" style="20"/>
  </cols>
  <sheetData>
    <row r="1" spans="1:13">
      <c r="A1" s="82" t="s">
        <v>0</v>
      </c>
      <c r="B1" s="83"/>
      <c r="C1" s="84"/>
      <c r="D1" s="84"/>
      <c r="E1" s="84"/>
      <c r="F1" s="84"/>
      <c r="G1" s="84"/>
      <c r="H1" s="85" t="s">
        <v>1</v>
      </c>
      <c r="I1" s="84"/>
      <c r="J1" s="84"/>
      <c r="K1" s="86"/>
    </row>
    <row r="2" spans="1:13">
      <c r="A2" s="87" t="s">
        <v>2</v>
      </c>
      <c r="B2" s="1"/>
      <c r="C2" s="2"/>
      <c r="D2" s="57"/>
      <c r="E2" s="57"/>
      <c r="F2" s="57"/>
      <c r="G2" s="2"/>
      <c r="H2" s="21" t="s">
        <v>867</v>
      </c>
      <c r="I2" s="2"/>
      <c r="J2" s="2"/>
      <c r="K2" s="88"/>
    </row>
    <row r="3" spans="1:13">
      <c r="A3" s="89" t="s">
        <v>4</v>
      </c>
      <c r="B3" s="3"/>
      <c r="C3" s="2"/>
      <c r="D3" s="57"/>
      <c r="E3" s="57"/>
      <c r="F3" s="57"/>
      <c r="G3" s="2"/>
      <c r="H3" s="21" t="s">
        <v>5</v>
      </c>
      <c r="I3" s="2"/>
      <c r="J3" s="2"/>
      <c r="K3" s="88"/>
    </row>
    <row r="4" spans="1:13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2"/>
      <c r="K4" s="88"/>
    </row>
    <row r="5" spans="1:13">
      <c r="A5" s="90"/>
      <c r="B5" s="4"/>
      <c r="C5" s="2"/>
      <c r="D5" s="21" t="s">
        <v>23</v>
      </c>
      <c r="E5" s="4"/>
      <c r="F5" s="4"/>
      <c r="G5" s="2"/>
      <c r="H5" s="2"/>
      <c r="I5" s="2"/>
      <c r="J5" s="2"/>
      <c r="K5" s="88"/>
    </row>
    <row r="6" spans="1:13">
      <c r="A6" s="91"/>
      <c r="B6" s="4"/>
      <c r="C6" s="2"/>
      <c r="D6" s="2" t="s">
        <v>7</v>
      </c>
      <c r="E6" s="4"/>
      <c r="F6" s="4"/>
      <c r="G6" s="2"/>
      <c r="H6" s="2"/>
      <c r="I6" s="2"/>
      <c r="J6" s="2"/>
      <c r="K6" s="88"/>
    </row>
    <row r="7" spans="1:13">
      <c r="A7" s="35" t="s">
        <v>8</v>
      </c>
      <c r="B7" s="7" t="s">
        <v>9</v>
      </c>
      <c r="C7" s="151" t="s">
        <v>10</v>
      </c>
      <c r="D7" s="151"/>
      <c r="E7" s="152"/>
      <c r="F7" s="153" t="s">
        <v>11</v>
      </c>
      <c r="G7" s="153"/>
      <c r="H7" s="154" t="s">
        <v>12</v>
      </c>
      <c r="I7" s="155"/>
      <c r="J7" s="155"/>
      <c r="K7" s="5" t="s">
        <v>13</v>
      </c>
    </row>
    <row r="8" spans="1:13">
      <c r="A8" s="37"/>
      <c r="B8" s="8"/>
      <c r="C8" s="8" t="s">
        <v>14</v>
      </c>
      <c r="D8" s="6" t="s">
        <v>15</v>
      </c>
      <c r="E8" s="9" t="s">
        <v>16</v>
      </c>
      <c r="F8" s="10" t="s">
        <v>17</v>
      </c>
      <c r="G8" s="10" t="s">
        <v>18</v>
      </c>
      <c r="H8" s="6">
        <v>156475.93</v>
      </c>
      <c r="I8" s="11" t="s">
        <v>20</v>
      </c>
      <c r="J8" s="12" t="s">
        <v>21</v>
      </c>
      <c r="K8" s="13"/>
    </row>
    <row r="9" spans="1:13" ht="14.25" customHeight="1">
      <c r="A9" s="114">
        <v>41850</v>
      </c>
      <c r="B9" s="28" t="s">
        <v>774</v>
      </c>
      <c r="C9" s="14">
        <v>6072.66</v>
      </c>
      <c r="D9" s="15"/>
      <c r="E9" s="17">
        <f>+C9</f>
        <v>6072.66</v>
      </c>
      <c r="F9" s="29">
        <f>+H9/E9</f>
        <v>25.772445682781516</v>
      </c>
      <c r="G9" s="29"/>
      <c r="H9" s="16">
        <v>156507.29999999999</v>
      </c>
      <c r="I9" s="30"/>
      <c r="J9" s="26">
        <f>+H9</f>
        <v>156507.29999999999</v>
      </c>
      <c r="K9" s="28"/>
      <c r="L9" s="55"/>
    </row>
    <row r="10" spans="1:13" s="62" customFormat="1">
      <c r="A10" s="79">
        <v>41909</v>
      </c>
      <c r="B10" s="18" t="s">
        <v>620</v>
      </c>
      <c r="C10" s="63"/>
      <c r="D10" s="18">
        <f>12*5.95+6*2.73</f>
        <v>87.78</v>
      </c>
      <c r="E10" s="44">
        <f>+E9-D10</f>
        <v>5984.88</v>
      </c>
      <c r="F10" s="19"/>
      <c r="G10" s="59">
        <f>+J9/E9</f>
        <v>25.772445682781516</v>
      </c>
      <c r="H10" s="18"/>
      <c r="I10" s="60">
        <f>+D10*G10</f>
        <v>2262.3052820345615</v>
      </c>
      <c r="J10" s="61">
        <f>+J9-I10</f>
        <v>154244.99471796543</v>
      </c>
      <c r="K10" s="63"/>
      <c r="L10" s="78">
        <f>SUM(I10)</f>
        <v>2262.3052820345615</v>
      </c>
      <c r="M10" s="147">
        <v>41912</v>
      </c>
    </row>
    <row r="11" spans="1:13">
      <c r="A11" s="79">
        <v>41947</v>
      </c>
      <c r="B11" s="22" t="s">
        <v>728</v>
      </c>
      <c r="C11" s="23"/>
      <c r="D11" s="27">
        <v>3.5</v>
      </c>
      <c r="E11" s="70">
        <f>+E10-D11</f>
        <v>5981.38</v>
      </c>
      <c r="F11" s="68"/>
      <c r="G11" s="71">
        <f>+J10/E10</f>
        <v>25.772445682781512</v>
      </c>
      <c r="H11" s="27"/>
      <c r="I11" s="72">
        <f>+D11*G11</f>
        <v>90.203559889735288</v>
      </c>
      <c r="J11" s="73">
        <f>+J10-I11</f>
        <v>154154.79115807568</v>
      </c>
      <c r="K11" s="23"/>
      <c r="L11" s="76">
        <f>SUM(I11)</f>
        <v>90.203559889735288</v>
      </c>
    </row>
    <row r="12" spans="1:13">
      <c r="A12" s="58"/>
      <c r="B12" s="22"/>
      <c r="C12" s="23"/>
      <c r="D12" s="27"/>
      <c r="E12" s="70"/>
      <c r="F12" s="68"/>
      <c r="G12" s="71"/>
      <c r="H12" s="27"/>
      <c r="I12" s="72"/>
      <c r="J12" s="73"/>
      <c r="K12" s="23"/>
    </row>
    <row r="13" spans="1:13">
      <c r="A13" s="114"/>
      <c r="B13" s="22" t="s">
        <v>862</v>
      </c>
      <c r="C13" s="23">
        <f>SUM(C9:C12)</f>
        <v>6072.66</v>
      </c>
      <c r="D13" s="23">
        <f>SUM(D9:D12)</f>
        <v>91.28</v>
      </c>
      <c r="E13" s="70">
        <f>+C13-D13</f>
        <v>5981.38</v>
      </c>
      <c r="F13" s="68"/>
      <c r="G13" s="71"/>
      <c r="H13" s="23">
        <f>SUM(H9:H12)</f>
        <v>156507.29999999999</v>
      </c>
      <c r="I13" s="56">
        <f>SUM(I9:I12)</f>
        <v>2352.5088419242966</v>
      </c>
      <c r="J13" s="73">
        <f>+H13-I13</f>
        <v>154154.79115807568</v>
      </c>
      <c r="K13" s="15"/>
      <c r="L13" s="123">
        <f>SUM(L10:L12)</f>
        <v>2352.5088419242966</v>
      </c>
    </row>
    <row r="14" spans="1:13">
      <c r="A14" s="114"/>
      <c r="B14" s="22"/>
      <c r="C14" s="23"/>
      <c r="D14" s="27"/>
      <c r="E14" s="70"/>
      <c r="F14" s="68"/>
      <c r="G14" s="71"/>
      <c r="H14" s="27"/>
      <c r="I14" s="72"/>
      <c r="J14" s="73"/>
      <c r="K14" s="15"/>
    </row>
    <row r="17" spans="1:10">
      <c r="A17" s="96" t="s">
        <v>863</v>
      </c>
      <c r="B17" s="32"/>
      <c r="C17" s="2"/>
      <c r="D17" s="2"/>
      <c r="E17" s="2"/>
      <c r="F17" s="2"/>
    </row>
    <row r="18" spans="1:10">
      <c r="A18" s="96"/>
      <c r="B18" s="32"/>
      <c r="C18" s="2"/>
      <c r="D18" s="2"/>
      <c r="E18" s="2"/>
      <c r="F18" s="2"/>
    </row>
    <row r="19" spans="1:10">
      <c r="A19" s="96" t="s">
        <v>864</v>
      </c>
      <c r="B19" s="32"/>
      <c r="C19" s="2"/>
      <c r="D19" s="2"/>
      <c r="E19" s="2"/>
      <c r="F19" s="2"/>
      <c r="J19" s="123">
        <f>+E13*F9</f>
        <v>154154.79115807571</v>
      </c>
    </row>
    <row r="20" spans="1:10">
      <c r="A20" s="96" t="s">
        <v>865</v>
      </c>
      <c r="B20" s="32"/>
      <c r="C20" s="2"/>
      <c r="D20" s="2"/>
      <c r="E20" s="2"/>
      <c r="F20" s="2"/>
      <c r="J20" s="121">
        <f>+J13</f>
        <v>154154.79115807568</v>
      </c>
    </row>
    <row r="21" spans="1:10">
      <c r="A21" s="96"/>
      <c r="B21" s="32" t="s">
        <v>866</v>
      </c>
      <c r="C21" s="2"/>
      <c r="D21" s="2"/>
      <c r="E21" s="2"/>
      <c r="F21" s="2"/>
      <c r="J21" s="123">
        <f>+J19-J20</f>
        <v>0</v>
      </c>
    </row>
  </sheetData>
  <mergeCells count="4">
    <mergeCell ref="D4:H4"/>
    <mergeCell ref="C7:E7"/>
    <mergeCell ref="F7:G7"/>
    <mergeCell ref="H7:J7"/>
  </mergeCells>
  <pageMargins left="1.0236220472440944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N206"/>
  <sheetViews>
    <sheetView tabSelected="1" topLeftCell="A104" workbookViewId="0">
      <selection activeCell="J134" sqref="J134"/>
    </sheetView>
  </sheetViews>
  <sheetFormatPr baseColWidth="10" defaultRowHeight="15"/>
  <cols>
    <col min="1" max="1" width="9.28515625" customWidth="1"/>
    <col min="2" max="2" width="24" customWidth="1"/>
    <col min="11" max="11" width="12.5703125" customWidth="1"/>
  </cols>
  <sheetData>
    <row r="1" spans="1:11" s="20" customFormat="1">
      <c r="A1" s="82" t="s">
        <v>0</v>
      </c>
      <c r="B1" s="83"/>
      <c r="C1" s="106"/>
      <c r="D1" s="106"/>
      <c r="E1" s="106"/>
      <c r="F1" s="106"/>
      <c r="G1" s="106"/>
      <c r="H1" s="107" t="s">
        <v>1</v>
      </c>
      <c r="I1" s="106"/>
      <c r="J1" s="106"/>
      <c r="K1" s="108"/>
    </row>
    <row r="2" spans="1:11" s="20" customFormat="1">
      <c r="A2" s="87" t="s">
        <v>2</v>
      </c>
      <c r="B2" s="1"/>
      <c r="C2" s="31"/>
      <c r="D2" s="31"/>
      <c r="E2" s="31"/>
      <c r="F2" s="31"/>
      <c r="G2" s="31"/>
      <c r="H2" s="32" t="s">
        <v>868</v>
      </c>
      <c r="I2" s="31"/>
      <c r="J2" s="31"/>
      <c r="K2" s="109"/>
    </row>
    <row r="3" spans="1:11" s="20" customFormat="1">
      <c r="A3" s="89" t="s">
        <v>4</v>
      </c>
      <c r="B3" s="3"/>
      <c r="C3" s="31"/>
      <c r="D3" s="31"/>
      <c r="E3" s="31"/>
      <c r="F3" s="31"/>
      <c r="G3" s="31"/>
      <c r="H3" s="32" t="s">
        <v>5</v>
      </c>
      <c r="I3" s="31"/>
      <c r="J3" s="31"/>
      <c r="K3" s="109"/>
    </row>
    <row r="4" spans="1:11" s="20" customFormat="1">
      <c r="A4" s="91"/>
      <c r="B4" s="31"/>
      <c r="C4" s="31"/>
      <c r="D4" s="156" t="s">
        <v>6</v>
      </c>
      <c r="E4" s="156"/>
      <c r="F4" s="156"/>
      <c r="G4" s="156"/>
      <c r="H4" s="156"/>
      <c r="I4" s="31"/>
      <c r="J4" s="31"/>
      <c r="K4" s="109"/>
    </row>
    <row r="5" spans="1:11" s="20" customFormat="1">
      <c r="A5" s="91"/>
      <c r="B5" s="33"/>
      <c r="C5" s="31"/>
      <c r="D5" s="32" t="s">
        <v>25</v>
      </c>
      <c r="E5" s="33"/>
      <c r="F5" s="33"/>
      <c r="G5" s="31"/>
      <c r="H5" s="31"/>
      <c r="I5" s="31"/>
      <c r="J5" s="31"/>
      <c r="K5" s="109"/>
    </row>
    <row r="6" spans="1:11" s="20" customFormat="1">
      <c r="A6" s="91"/>
      <c r="B6" s="33"/>
      <c r="C6" s="31"/>
      <c r="D6" s="31" t="s">
        <v>7</v>
      </c>
      <c r="E6" s="33"/>
      <c r="F6" s="33"/>
      <c r="G6" s="31"/>
      <c r="H6" s="31"/>
      <c r="I6" s="31"/>
      <c r="J6" s="31"/>
      <c r="K6" s="109"/>
    </row>
    <row r="7" spans="1:11" s="20" customFormat="1">
      <c r="A7" s="35" t="s">
        <v>8</v>
      </c>
      <c r="B7" s="34" t="s">
        <v>9</v>
      </c>
      <c r="C7" s="157" t="s">
        <v>10</v>
      </c>
      <c r="D7" s="157"/>
      <c r="E7" s="158"/>
      <c r="F7" s="159" t="s">
        <v>11</v>
      </c>
      <c r="G7" s="159"/>
      <c r="H7" s="160" t="s">
        <v>12</v>
      </c>
      <c r="I7" s="161"/>
      <c r="J7" s="161"/>
      <c r="K7" s="5" t="s">
        <v>13</v>
      </c>
    </row>
    <row r="8" spans="1:11" s="20" customFormat="1">
      <c r="A8" s="37"/>
      <c r="B8" s="36"/>
      <c r="C8" s="36" t="s">
        <v>14</v>
      </c>
      <c r="D8" s="37" t="s">
        <v>15</v>
      </c>
      <c r="E8" s="38" t="s">
        <v>16</v>
      </c>
      <c r="F8" s="39" t="s">
        <v>17</v>
      </c>
      <c r="G8" s="39" t="s">
        <v>18</v>
      </c>
      <c r="H8" s="37" t="s">
        <v>19</v>
      </c>
      <c r="I8" s="40" t="s">
        <v>20</v>
      </c>
      <c r="J8" s="41" t="s">
        <v>21</v>
      </c>
      <c r="K8" s="42"/>
    </row>
    <row r="9" spans="1:11" s="20" customFormat="1">
      <c r="A9" s="79">
        <v>41641</v>
      </c>
      <c r="B9" s="18" t="s">
        <v>24</v>
      </c>
      <c r="C9" s="133">
        <v>2333</v>
      </c>
      <c r="D9" s="18"/>
      <c r="E9" s="44">
        <v>2333</v>
      </c>
      <c r="F9" s="19">
        <f>+H9/C9</f>
        <v>28.802636090870127</v>
      </c>
      <c r="G9" s="57"/>
      <c r="H9" s="19">
        <v>67196.55</v>
      </c>
      <c r="I9" s="63"/>
      <c r="J9" s="60">
        <f>+H9</f>
        <v>67196.55</v>
      </c>
      <c r="K9" s="110"/>
    </row>
    <row r="10" spans="1:11" s="20" customFormat="1">
      <c r="A10" s="79">
        <v>41643</v>
      </c>
      <c r="B10" s="18" t="s">
        <v>39</v>
      </c>
      <c r="C10" s="63"/>
      <c r="D10" s="18">
        <f>(3)*1.05</f>
        <v>3.1500000000000004</v>
      </c>
      <c r="E10" s="44">
        <f>E9-D10</f>
        <v>2329.85</v>
      </c>
      <c r="F10" s="19"/>
      <c r="G10" s="19">
        <f>+J9/E9</f>
        <v>28.802636090870127</v>
      </c>
      <c r="H10" s="19"/>
      <c r="I10" s="60">
        <f>D10*F9</f>
        <v>90.728303686240906</v>
      </c>
      <c r="J10" s="61">
        <f>J9-I10</f>
        <v>67105.821696313767</v>
      </c>
      <c r="K10" s="22"/>
    </row>
    <row r="11" spans="1:11" s="20" customFormat="1">
      <c r="A11" s="79">
        <v>41643</v>
      </c>
      <c r="B11" s="18" t="s">
        <v>40</v>
      </c>
      <c r="C11" s="63"/>
      <c r="D11" s="18">
        <f>(3.2)*1.05</f>
        <v>3.3600000000000003</v>
      </c>
      <c r="E11" s="44">
        <f t="shared" ref="E11:E75" si="0">E10-D11</f>
        <v>2326.4899999999998</v>
      </c>
      <c r="F11" s="19"/>
      <c r="G11" s="19">
        <f>+J10/E10</f>
        <v>28.802636090870131</v>
      </c>
      <c r="H11" s="19"/>
      <c r="I11" s="60">
        <f t="shared" ref="I11:I75" si="1">D11*G10</f>
        <v>96.776857265323642</v>
      </c>
      <c r="J11" s="61">
        <f>J10-I11</f>
        <v>67009.044839048438</v>
      </c>
      <c r="K11" s="22"/>
    </row>
    <row r="12" spans="1:11" s="20" customFormat="1">
      <c r="A12" s="79">
        <v>41647</v>
      </c>
      <c r="B12" s="18" t="s">
        <v>887</v>
      </c>
      <c r="C12" s="63">
        <v>4754.5600000000004</v>
      </c>
      <c r="D12" s="18"/>
      <c r="E12" s="44">
        <f>+E11+C12</f>
        <v>7081.05</v>
      </c>
      <c r="F12" s="19">
        <f>+H12/C12</f>
        <v>27.150356710189794</v>
      </c>
      <c r="G12" s="19"/>
      <c r="H12" s="19">
        <v>129088</v>
      </c>
      <c r="I12" s="60"/>
      <c r="J12" s="61">
        <f>+J11+H12</f>
        <v>196097.04483904844</v>
      </c>
      <c r="K12" s="22"/>
    </row>
    <row r="13" spans="1:11" s="20" customFormat="1">
      <c r="A13" s="79">
        <v>41649</v>
      </c>
      <c r="B13" s="18" t="s">
        <v>55</v>
      </c>
      <c r="C13" s="63"/>
      <c r="D13" s="18">
        <f>(3*1.6)*1.05</f>
        <v>5.0400000000000009</v>
      </c>
      <c r="E13" s="44">
        <f>+E12-D13</f>
        <v>7076.01</v>
      </c>
      <c r="F13" s="19"/>
      <c r="G13" s="19">
        <f>+J12/E12</f>
        <v>27.693215672682502</v>
      </c>
      <c r="H13" s="19"/>
      <c r="I13" s="60">
        <f>D13*G11</f>
        <v>145.16528589798548</v>
      </c>
      <c r="J13" s="61">
        <f>+J12-I13</f>
        <v>195951.87955315044</v>
      </c>
      <c r="K13" s="22"/>
    </row>
    <row r="14" spans="1:11" s="20" customFormat="1">
      <c r="A14" s="79">
        <v>41649</v>
      </c>
      <c r="B14" s="18" t="s">
        <v>56</v>
      </c>
      <c r="C14" s="63"/>
      <c r="D14" s="18">
        <f>(3*1.6)*1.05</f>
        <v>5.0400000000000009</v>
      </c>
      <c r="E14" s="44">
        <f t="shared" si="0"/>
        <v>7070.97</v>
      </c>
      <c r="F14" s="19"/>
      <c r="G14" s="19">
        <f t="shared" ref="G14:G71" si="2">+J13/E13</f>
        <v>27.692425470448804</v>
      </c>
      <c r="H14" s="19"/>
      <c r="I14" s="60">
        <f t="shared" si="1"/>
        <v>139.57380699031984</v>
      </c>
      <c r="J14" s="61">
        <f t="shared" ref="J14:J78" si="3">+J13-I14</f>
        <v>195812.30574616013</v>
      </c>
      <c r="K14" s="22"/>
    </row>
    <row r="15" spans="1:11" s="20" customFormat="1">
      <c r="A15" s="79">
        <v>41650</v>
      </c>
      <c r="B15" s="18" t="s">
        <v>57</v>
      </c>
      <c r="C15" s="63"/>
      <c r="D15" s="18">
        <f>(24*3.4)*1.05+2.5</f>
        <v>88.179999999999993</v>
      </c>
      <c r="E15" s="44">
        <f t="shared" si="0"/>
        <v>6982.79</v>
      </c>
      <c r="F15" s="19"/>
      <c r="G15" s="19">
        <f t="shared" si="2"/>
        <v>27.692424907213596</v>
      </c>
      <c r="H15" s="19"/>
      <c r="I15" s="60">
        <f t="shared" si="1"/>
        <v>2441.9180779841754</v>
      </c>
      <c r="J15" s="61">
        <f t="shared" si="3"/>
        <v>193370.38766817594</v>
      </c>
      <c r="K15" s="22"/>
    </row>
    <row r="16" spans="1:11" s="20" customFormat="1">
      <c r="A16" s="79">
        <v>41650</v>
      </c>
      <c r="B16" s="18" t="s">
        <v>58</v>
      </c>
      <c r="C16" s="63"/>
      <c r="D16" s="18">
        <f>(8*0.8)*1.05</f>
        <v>6.7200000000000006</v>
      </c>
      <c r="E16" s="44">
        <f t="shared" si="0"/>
        <v>6976.07</v>
      </c>
      <c r="F16" s="19"/>
      <c r="G16" s="19">
        <f t="shared" si="2"/>
        <v>27.692424900100953</v>
      </c>
      <c r="H16" s="19"/>
      <c r="I16" s="60">
        <f t="shared" si="1"/>
        <v>186.09309537647539</v>
      </c>
      <c r="J16" s="61">
        <f t="shared" si="3"/>
        <v>193184.29457279947</v>
      </c>
      <c r="K16" s="22"/>
    </row>
    <row r="17" spans="1:14" s="20" customFormat="1">
      <c r="A17" s="79">
        <v>41650</v>
      </c>
      <c r="B17" s="18" t="s">
        <v>59</v>
      </c>
      <c r="C17" s="63"/>
      <c r="D17" s="18">
        <f>(5*5+4*3)*1.05</f>
        <v>38.85</v>
      </c>
      <c r="E17" s="44">
        <f t="shared" si="0"/>
        <v>6937.2199999999993</v>
      </c>
      <c r="F17" s="19"/>
      <c r="G17" s="19">
        <f t="shared" si="2"/>
        <v>27.692424900094103</v>
      </c>
      <c r="H17" s="19"/>
      <c r="I17" s="60">
        <f t="shared" si="1"/>
        <v>1075.850707368922</v>
      </c>
      <c r="J17" s="61">
        <f t="shared" si="3"/>
        <v>192108.44386543054</v>
      </c>
      <c r="K17" s="22"/>
    </row>
    <row r="18" spans="1:14" s="20" customFormat="1">
      <c r="A18" s="79">
        <v>41653</v>
      </c>
      <c r="B18" s="18" t="s">
        <v>69</v>
      </c>
      <c r="C18" s="63"/>
      <c r="D18" s="18">
        <f>(2*3+1.8)*1.05</f>
        <v>8.19</v>
      </c>
      <c r="E18" s="44">
        <f t="shared" si="0"/>
        <v>6929.03</v>
      </c>
      <c r="F18" s="19"/>
      <c r="G18" s="19">
        <f t="shared" si="2"/>
        <v>27.692424900094068</v>
      </c>
      <c r="H18" s="19"/>
      <c r="I18" s="60">
        <f t="shared" si="1"/>
        <v>226.80095993177068</v>
      </c>
      <c r="J18" s="61">
        <f t="shared" si="3"/>
        <v>191881.64290549877</v>
      </c>
      <c r="K18" s="22"/>
    </row>
    <row r="19" spans="1:14" s="20" customFormat="1">
      <c r="A19" s="79">
        <v>41654</v>
      </c>
      <c r="B19" s="18" t="s">
        <v>70</v>
      </c>
      <c r="C19" s="63"/>
      <c r="D19" s="18">
        <f>(26*5.8+7*4)*1.05</f>
        <v>187.73999999999998</v>
      </c>
      <c r="E19" s="44">
        <f t="shared" si="0"/>
        <v>6741.29</v>
      </c>
      <c r="F19" s="19"/>
      <c r="G19" s="19">
        <f t="shared" si="2"/>
        <v>27.692424900094064</v>
      </c>
      <c r="H19" s="19"/>
      <c r="I19" s="60">
        <f t="shared" si="1"/>
        <v>5198.97585074366</v>
      </c>
      <c r="J19" s="61">
        <f t="shared" si="3"/>
        <v>186682.66705475512</v>
      </c>
      <c r="K19" s="22"/>
      <c r="L19" s="145">
        <v>41659</v>
      </c>
      <c r="M19" s="123">
        <f>SUM(I10:I19)</f>
        <v>9601.8829452448736</v>
      </c>
    </row>
    <row r="20" spans="1:14" s="20" customFormat="1">
      <c r="A20" s="79">
        <v>41660</v>
      </c>
      <c r="B20" s="18" t="s">
        <v>88</v>
      </c>
      <c r="C20" s="63"/>
      <c r="D20" s="18">
        <v>0</v>
      </c>
      <c r="E20" s="44">
        <f t="shared" si="0"/>
        <v>6741.29</v>
      </c>
      <c r="F20" s="19"/>
      <c r="G20" s="19">
        <f t="shared" si="2"/>
        <v>27.692424900094064</v>
      </c>
      <c r="H20" s="19"/>
      <c r="I20" s="60">
        <f t="shared" si="1"/>
        <v>0</v>
      </c>
      <c r="J20" s="61">
        <f t="shared" si="3"/>
        <v>186682.66705475512</v>
      </c>
      <c r="K20" s="22"/>
    </row>
    <row r="21" spans="1:14" s="20" customFormat="1">
      <c r="A21" s="79">
        <v>41660</v>
      </c>
      <c r="B21" s="18" t="s">
        <v>89</v>
      </c>
      <c r="C21" s="63"/>
      <c r="D21" s="18">
        <f>(20*3.6)*1.05</f>
        <v>75.600000000000009</v>
      </c>
      <c r="E21" s="44">
        <f t="shared" si="0"/>
        <v>6665.69</v>
      </c>
      <c r="F21" s="19"/>
      <c r="G21" s="19">
        <f t="shared" si="2"/>
        <v>27.692424900094064</v>
      </c>
      <c r="H21" s="19"/>
      <c r="I21" s="60">
        <f t="shared" si="1"/>
        <v>2093.5473224471116</v>
      </c>
      <c r="J21" s="61">
        <f t="shared" si="3"/>
        <v>184589.119732308</v>
      </c>
      <c r="K21" s="22"/>
    </row>
    <row r="22" spans="1:14" s="20" customFormat="1">
      <c r="A22" s="79">
        <v>41662</v>
      </c>
      <c r="B22" s="18" t="s">
        <v>92</v>
      </c>
      <c r="C22" s="63"/>
      <c r="D22" s="18">
        <f>(5*4.8+4.4+2*4+2*3+2.4+2.2+1.2+1+1.8+5.8+3.8)*1.05</f>
        <v>63.629999999999995</v>
      </c>
      <c r="E22" s="44">
        <f t="shared" si="0"/>
        <v>6602.0599999999995</v>
      </c>
      <c r="F22" s="19"/>
      <c r="G22" s="19">
        <f t="shared" si="2"/>
        <v>27.692424900094064</v>
      </c>
      <c r="H22" s="19"/>
      <c r="I22" s="60">
        <f t="shared" si="1"/>
        <v>1762.0689963929851</v>
      </c>
      <c r="J22" s="61">
        <f t="shared" si="3"/>
        <v>182827.05073591502</v>
      </c>
      <c r="K22" s="22"/>
    </row>
    <row r="23" spans="1:14" s="20" customFormat="1">
      <c r="A23" s="79">
        <v>41663</v>
      </c>
      <c r="B23" s="18" t="s">
        <v>93</v>
      </c>
      <c r="C23" s="63"/>
      <c r="D23" s="18">
        <f>(11*5.6)*1.05</f>
        <v>64.679999999999993</v>
      </c>
      <c r="E23" s="44">
        <f t="shared" si="0"/>
        <v>6537.3799999999992</v>
      </c>
      <c r="F23" s="19"/>
      <c r="G23" s="19">
        <f t="shared" si="2"/>
        <v>27.692424900094068</v>
      </c>
      <c r="H23" s="19"/>
      <c r="I23" s="60">
        <f t="shared" si="1"/>
        <v>1791.1460425380837</v>
      </c>
      <c r="J23" s="61">
        <f t="shared" si="3"/>
        <v>181035.90469337694</v>
      </c>
      <c r="K23" s="22"/>
    </row>
    <row r="24" spans="1:14" s="20" customFormat="1">
      <c r="A24" s="79">
        <v>41668</v>
      </c>
      <c r="B24" s="18" t="s">
        <v>98</v>
      </c>
      <c r="C24" s="63"/>
      <c r="D24" s="18">
        <f>(4*3.8)*1.05</f>
        <v>15.959999999999999</v>
      </c>
      <c r="E24" s="44">
        <f t="shared" si="0"/>
        <v>6521.4199999999992</v>
      </c>
      <c r="F24" s="19"/>
      <c r="G24" s="19">
        <f t="shared" si="2"/>
        <v>27.692424900094068</v>
      </c>
      <c r="H24" s="19"/>
      <c r="I24" s="60">
        <f t="shared" si="1"/>
        <v>441.97110140550132</v>
      </c>
      <c r="J24" s="61">
        <f t="shared" si="3"/>
        <v>180593.93359197144</v>
      </c>
      <c r="K24" s="22"/>
    </row>
    <row r="25" spans="1:14" s="20" customFormat="1">
      <c r="A25" s="79">
        <v>41668</v>
      </c>
      <c r="B25" s="18" t="s">
        <v>183</v>
      </c>
      <c r="C25" s="63"/>
      <c r="D25" s="18">
        <f>(13*5.2+3*5.8+14*4.2)*1.05</f>
        <v>150.99</v>
      </c>
      <c r="E25" s="44">
        <f t="shared" si="0"/>
        <v>6370.4299999999994</v>
      </c>
      <c r="F25" s="19"/>
      <c r="G25" s="19">
        <f t="shared" si="2"/>
        <v>27.692424900094068</v>
      </c>
      <c r="H25" s="19"/>
      <c r="I25" s="60">
        <f t="shared" si="1"/>
        <v>4181.2792356652035</v>
      </c>
      <c r="J25" s="61">
        <f t="shared" si="3"/>
        <v>176412.65435630624</v>
      </c>
      <c r="K25" s="22"/>
    </row>
    <row r="26" spans="1:14" s="20" customFormat="1">
      <c r="A26" s="79">
        <v>41669</v>
      </c>
      <c r="B26" s="18" t="s">
        <v>184</v>
      </c>
      <c r="C26" s="63"/>
      <c r="D26" s="18">
        <f>(6*1.2+1*1.2)*1.05</f>
        <v>8.8199999999999985</v>
      </c>
      <c r="E26" s="44">
        <f t="shared" si="0"/>
        <v>6361.61</v>
      </c>
      <c r="F26" s="19"/>
      <c r="G26" s="19">
        <f t="shared" si="2"/>
        <v>27.692424900094068</v>
      </c>
      <c r="H26" s="19"/>
      <c r="I26" s="60">
        <f t="shared" si="1"/>
        <v>244.24718761882963</v>
      </c>
      <c r="J26" s="61">
        <f t="shared" si="3"/>
        <v>176168.40716868741</v>
      </c>
      <c r="K26" s="111">
        <f>SUM(I10:I26)</f>
        <v>20116.142831312587</v>
      </c>
      <c r="L26" s="145">
        <v>41670</v>
      </c>
      <c r="M26" s="123">
        <f>SUM(I20:I26)</f>
        <v>10514.259886067715</v>
      </c>
      <c r="N26" s="123">
        <f>SUM(M19:M26)</f>
        <v>20116.142831312587</v>
      </c>
    </row>
    <row r="27" spans="1:14" s="20" customFormat="1">
      <c r="A27" s="79">
        <v>41674</v>
      </c>
      <c r="B27" s="18" t="s">
        <v>191</v>
      </c>
      <c r="C27" s="63"/>
      <c r="D27" s="18">
        <f>(17*5+9*4.8)*1.05+6</f>
        <v>140.60999999999999</v>
      </c>
      <c r="E27" s="44">
        <f t="shared" si="0"/>
        <v>6221</v>
      </c>
      <c r="F27" s="19"/>
      <c r="G27" s="19">
        <f t="shared" si="2"/>
        <v>27.692424900094068</v>
      </c>
      <c r="H27" s="19"/>
      <c r="I27" s="60">
        <f t="shared" si="1"/>
        <v>3893.8318652022263</v>
      </c>
      <c r="J27" s="61">
        <f t="shared" si="3"/>
        <v>172274.57530348518</v>
      </c>
      <c r="K27" s="22"/>
    </row>
    <row r="28" spans="1:14" s="20" customFormat="1">
      <c r="A28" s="79">
        <v>41675</v>
      </c>
      <c r="B28" s="18" t="s">
        <v>195</v>
      </c>
      <c r="C28" s="63"/>
      <c r="D28" s="18">
        <f>(4*4.6+2*3.8+10*3.2+3+5*2.2+5*1.4+4*0.6+3*3.6+4*2.8+2*2+3*1.2+3*0.4+4*1.6+9*1.8+3*0.8+3*2.4+3*2.6+4*1+4*4.2+2*4)*1.05</f>
        <v>190.05000000000004</v>
      </c>
      <c r="E28" s="44">
        <f t="shared" si="0"/>
        <v>6030.95</v>
      </c>
      <c r="F28" s="19"/>
      <c r="G28" s="19">
        <f t="shared" si="2"/>
        <v>27.692424900094064</v>
      </c>
      <c r="H28" s="19"/>
      <c r="I28" s="60">
        <f t="shared" si="1"/>
        <v>5262.9453522628783</v>
      </c>
      <c r="J28" s="61">
        <f t="shared" si="3"/>
        <v>167011.6299512223</v>
      </c>
      <c r="K28" s="22"/>
    </row>
    <row r="29" spans="1:14" s="20" customFormat="1">
      <c r="A29" s="79">
        <v>41675</v>
      </c>
      <c r="B29" s="18" t="s">
        <v>196</v>
      </c>
      <c r="C29" s="63"/>
      <c r="D29" s="18">
        <f>(3*4.8+6+5+3.4)*1.05+17</f>
        <v>47.239999999999995</v>
      </c>
      <c r="E29" s="44">
        <f t="shared" si="0"/>
        <v>5983.71</v>
      </c>
      <c r="F29" s="19"/>
      <c r="G29" s="19">
        <f t="shared" si="2"/>
        <v>27.692424900094068</v>
      </c>
      <c r="H29" s="19"/>
      <c r="I29" s="60">
        <f t="shared" si="1"/>
        <v>1308.1901522804435</v>
      </c>
      <c r="J29" s="61">
        <f t="shared" si="3"/>
        <v>165703.43979894186</v>
      </c>
      <c r="K29" s="22"/>
    </row>
    <row r="30" spans="1:14" s="20" customFormat="1">
      <c r="A30" s="79">
        <v>41676</v>
      </c>
      <c r="B30" s="18" t="s">
        <v>198</v>
      </c>
      <c r="C30" s="63"/>
      <c r="D30" s="18">
        <f>(3.6+3+2.4+2*1.6+2.2+3.2)*1.05</f>
        <v>18.479999999999997</v>
      </c>
      <c r="E30" s="44">
        <f t="shared" si="0"/>
        <v>5965.2300000000005</v>
      </c>
      <c r="F30" s="19"/>
      <c r="G30" s="19">
        <f t="shared" si="2"/>
        <v>27.692424900094068</v>
      </c>
      <c r="H30" s="19"/>
      <c r="I30" s="60">
        <f t="shared" si="1"/>
        <v>511.75601215373831</v>
      </c>
      <c r="J30" s="61">
        <f t="shared" si="3"/>
        <v>165191.68378678814</v>
      </c>
      <c r="K30" s="22"/>
    </row>
    <row r="31" spans="1:14" s="20" customFormat="1">
      <c r="A31" s="79">
        <v>41677</v>
      </c>
      <c r="B31" s="18" t="s">
        <v>199</v>
      </c>
      <c r="C31" s="63"/>
      <c r="D31" s="18">
        <f>(6*3.6)*1.05</f>
        <v>22.680000000000003</v>
      </c>
      <c r="E31" s="44">
        <f t="shared" si="0"/>
        <v>5942.55</v>
      </c>
      <c r="F31" s="19"/>
      <c r="G31" s="19">
        <f t="shared" si="2"/>
        <v>27.692424900094068</v>
      </c>
      <c r="H31" s="19"/>
      <c r="I31" s="60">
        <f t="shared" si="1"/>
        <v>628.06419673413359</v>
      </c>
      <c r="J31" s="61">
        <f t="shared" si="3"/>
        <v>164563.619590054</v>
      </c>
      <c r="K31" s="22"/>
    </row>
    <row r="32" spans="1:14" s="20" customFormat="1">
      <c r="A32" s="79">
        <v>41677</v>
      </c>
      <c r="B32" s="18" t="s">
        <v>200</v>
      </c>
      <c r="C32" s="63"/>
      <c r="D32" s="18">
        <f>(10*2.4+10*2.6)*1.05</f>
        <v>52.5</v>
      </c>
      <c r="E32" s="44">
        <f t="shared" si="0"/>
        <v>5890.05</v>
      </c>
      <c r="F32" s="19"/>
      <c r="G32" s="19">
        <f t="shared" si="2"/>
        <v>27.692424900094068</v>
      </c>
      <c r="H32" s="19"/>
      <c r="I32" s="60">
        <f t="shared" si="1"/>
        <v>1453.8523072549385</v>
      </c>
      <c r="J32" s="61">
        <f t="shared" si="3"/>
        <v>163109.76728279906</v>
      </c>
      <c r="K32" s="22"/>
    </row>
    <row r="33" spans="1:14" s="20" customFormat="1">
      <c r="A33" s="79">
        <v>41678</v>
      </c>
      <c r="B33" s="18" t="s">
        <v>202</v>
      </c>
      <c r="C33" s="63"/>
      <c r="D33" s="18">
        <f>(8*4)*1.05</f>
        <v>33.6</v>
      </c>
      <c r="E33" s="44">
        <f t="shared" si="0"/>
        <v>5856.45</v>
      </c>
      <c r="F33" s="19"/>
      <c r="G33" s="19">
        <f t="shared" si="2"/>
        <v>27.692424900094068</v>
      </c>
      <c r="H33" s="19"/>
      <c r="I33" s="60">
        <f t="shared" si="1"/>
        <v>930.46547664316074</v>
      </c>
      <c r="J33" s="61">
        <f t="shared" si="3"/>
        <v>162179.30180615591</v>
      </c>
      <c r="K33" s="22"/>
    </row>
    <row r="34" spans="1:14" s="20" customFormat="1">
      <c r="A34" s="79">
        <v>41680</v>
      </c>
      <c r="B34" s="18" t="s">
        <v>205</v>
      </c>
      <c r="C34" s="63"/>
      <c r="D34" s="18">
        <f>(5*2.8)*1.05</f>
        <v>14.700000000000001</v>
      </c>
      <c r="E34" s="44">
        <f t="shared" si="0"/>
        <v>5841.75</v>
      </c>
      <c r="F34" s="19"/>
      <c r="G34" s="19">
        <f t="shared" si="2"/>
        <v>27.692424900094071</v>
      </c>
      <c r="H34" s="19"/>
      <c r="I34" s="60">
        <f t="shared" si="1"/>
        <v>407.07864603138285</v>
      </c>
      <c r="J34" s="61">
        <f t="shared" si="3"/>
        <v>161772.22316012453</v>
      </c>
      <c r="K34" s="22"/>
    </row>
    <row r="35" spans="1:14" s="20" customFormat="1">
      <c r="A35" s="79">
        <v>41682</v>
      </c>
      <c r="B35" s="18" t="s">
        <v>207</v>
      </c>
      <c r="C35" s="63"/>
      <c r="D35" s="18">
        <f>(4)*1.05</f>
        <v>4.2</v>
      </c>
      <c r="E35" s="44">
        <f t="shared" ref="E35:E42" si="4">E34-D35</f>
        <v>5837.55</v>
      </c>
      <c r="F35" s="19"/>
      <c r="G35" s="19">
        <f t="shared" si="2"/>
        <v>27.692424900094068</v>
      </c>
      <c r="H35" s="19"/>
      <c r="I35" s="60">
        <f t="shared" ref="I35:I42" si="5">D35*G34</f>
        <v>116.30818458039511</v>
      </c>
      <c r="J35" s="61">
        <f t="shared" si="3"/>
        <v>161655.91497554415</v>
      </c>
      <c r="K35" s="22"/>
    </row>
    <row r="36" spans="1:14" s="20" customFormat="1">
      <c r="A36" s="79">
        <v>41683</v>
      </c>
      <c r="B36" s="18" t="s">
        <v>209</v>
      </c>
      <c r="C36" s="63"/>
      <c r="D36" s="18">
        <f>(53*5+33*4+24*4.4+7*3+4*6+12*0.8+4*1)*1.05+11</f>
        <v>600.2600000000001</v>
      </c>
      <c r="E36" s="44">
        <f t="shared" si="4"/>
        <v>5237.29</v>
      </c>
      <c r="F36" s="19"/>
      <c r="G36" s="19">
        <f t="shared" si="2"/>
        <v>27.692424900094071</v>
      </c>
      <c r="H36" s="19"/>
      <c r="I36" s="60">
        <f t="shared" si="5"/>
        <v>16622.654970530468</v>
      </c>
      <c r="J36" s="61">
        <f t="shared" si="3"/>
        <v>145033.26000501367</v>
      </c>
      <c r="K36" s="22"/>
      <c r="L36" s="145">
        <v>41683</v>
      </c>
      <c r="M36" s="123">
        <f>SUM(I27:I36)</f>
        <v>31135.147163673766</v>
      </c>
    </row>
    <row r="37" spans="1:14" s="20" customFormat="1">
      <c r="A37" s="79">
        <v>41684</v>
      </c>
      <c r="B37" s="18" t="s">
        <v>213</v>
      </c>
      <c r="C37" s="63"/>
      <c r="D37" s="18">
        <f>(6*3.4)*1.05</f>
        <v>21.419999999999998</v>
      </c>
      <c r="E37" s="44">
        <f t="shared" si="4"/>
        <v>5215.87</v>
      </c>
      <c r="F37" s="19"/>
      <c r="G37" s="19">
        <f t="shared" si="2"/>
        <v>27.692424900094071</v>
      </c>
      <c r="H37" s="19"/>
      <c r="I37" s="60">
        <f t="shared" si="5"/>
        <v>593.17174136001495</v>
      </c>
      <c r="J37" s="61">
        <f t="shared" si="3"/>
        <v>144440.08826365366</v>
      </c>
      <c r="K37" s="22"/>
    </row>
    <row r="38" spans="1:14" s="20" customFormat="1">
      <c r="A38" s="79">
        <v>41685</v>
      </c>
      <c r="B38" s="18" t="s">
        <v>215</v>
      </c>
      <c r="C38" s="63"/>
      <c r="D38" s="18">
        <f>(4*3.4)*1.05</f>
        <v>14.28</v>
      </c>
      <c r="E38" s="44">
        <f t="shared" si="4"/>
        <v>5201.59</v>
      </c>
      <c r="F38" s="19"/>
      <c r="G38" s="19">
        <f t="shared" si="2"/>
        <v>27.692424900094071</v>
      </c>
      <c r="H38" s="19"/>
      <c r="I38" s="60">
        <f t="shared" si="5"/>
        <v>395.44782757334332</v>
      </c>
      <c r="J38" s="61">
        <f t="shared" si="3"/>
        <v>144044.64043608031</v>
      </c>
      <c r="K38" s="22"/>
    </row>
    <row r="39" spans="1:14" s="20" customFormat="1">
      <c r="A39" s="79">
        <v>41685</v>
      </c>
      <c r="B39" s="18" t="s">
        <v>217</v>
      </c>
      <c r="C39" s="63"/>
      <c r="D39" s="18">
        <f>(13*8.4+5*2.6)*1.05</f>
        <v>128.31</v>
      </c>
      <c r="E39" s="44">
        <f t="shared" si="4"/>
        <v>5073.28</v>
      </c>
      <c r="F39" s="19"/>
      <c r="G39" s="19">
        <f t="shared" si="2"/>
        <v>27.692424900094068</v>
      </c>
      <c r="H39" s="19"/>
      <c r="I39" s="60">
        <f t="shared" si="5"/>
        <v>3553.2150389310705</v>
      </c>
      <c r="J39" s="61">
        <f t="shared" si="3"/>
        <v>140491.42539714923</v>
      </c>
      <c r="K39" s="22"/>
    </row>
    <row r="40" spans="1:14" s="20" customFormat="1">
      <c r="A40" s="79">
        <v>41687</v>
      </c>
      <c r="B40" s="18" t="s">
        <v>218</v>
      </c>
      <c r="C40" s="63"/>
      <c r="D40" s="18">
        <f>0.5</f>
        <v>0.5</v>
      </c>
      <c r="E40" s="44">
        <f t="shared" si="4"/>
        <v>5072.78</v>
      </c>
      <c r="F40" s="19"/>
      <c r="G40" s="19">
        <f t="shared" si="2"/>
        <v>27.692424900094068</v>
      </c>
      <c r="H40" s="19"/>
      <c r="I40" s="60">
        <f t="shared" si="5"/>
        <v>13.846212450047034</v>
      </c>
      <c r="J40" s="61">
        <f t="shared" si="3"/>
        <v>140477.57918469919</v>
      </c>
      <c r="K40" s="22"/>
    </row>
    <row r="41" spans="1:14" s="20" customFormat="1">
      <c r="A41" s="79">
        <v>41688</v>
      </c>
      <c r="B41" s="18" t="s">
        <v>219</v>
      </c>
      <c r="C41" s="63"/>
      <c r="D41" s="18">
        <f>(11*5)*1.05</f>
        <v>57.75</v>
      </c>
      <c r="E41" s="44">
        <f t="shared" si="4"/>
        <v>5015.03</v>
      </c>
      <c r="F41" s="19"/>
      <c r="G41" s="19">
        <f t="shared" si="2"/>
        <v>27.692424900094071</v>
      </c>
      <c r="H41" s="19"/>
      <c r="I41" s="60">
        <f t="shared" si="5"/>
        <v>1599.2375379804323</v>
      </c>
      <c r="J41" s="61">
        <f t="shared" si="3"/>
        <v>138878.34164671876</v>
      </c>
      <c r="K41" s="22"/>
    </row>
    <row r="42" spans="1:14" s="20" customFormat="1">
      <c r="A42" s="79">
        <v>41690</v>
      </c>
      <c r="B42" s="18" t="s">
        <v>220</v>
      </c>
      <c r="C42" s="63"/>
      <c r="D42" s="18">
        <f>(16*5.4)*1.05+3.1</f>
        <v>93.820000000000007</v>
      </c>
      <c r="E42" s="44">
        <f t="shared" si="4"/>
        <v>4921.21</v>
      </c>
      <c r="F42" s="19"/>
      <c r="G42" s="19">
        <f t="shared" si="2"/>
        <v>27.692424900094071</v>
      </c>
      <c r="H42" s="19"/>
      <c r="I42" s="60">
        <f t="shared" si="5"/>
        <v>2598.1033041268261</v>
      </c>
      <c r="J42" s="61">
        <f t="shared" si="3"/>
        <v>136280.23834259194</v>
      </c>
      <c r="K42" s="22"/>
    </row>
    <row r="43" spans="1:14" s="20" customFormat="1">
      <c r="A43" s="79">
        <v>41694</v>
      </c>
      <c r="B43" s="18" t="s">
        <v>224</v>
      </c>
      <c r="C43" s="63"/>
      <c r="D43" s="18">
        <f>(3*4+2*1.6)*1.05</f>
        <v>15.959999999999999</v>
      </c>
      <c r="E43" s="44">
        <f t="shared" si="0"/>
        <v>4905.25</v>
      </c>
      <c r="F43" s="19"/>
      <c r="G43" s="19">
        <f t="shared" si="2"/>
        <v>27.692424900094071</v>
      </c>
      <c r="H43" s="19"/>
      <c r="I43" s="60">
        <f t="shared" si="1"/>
        <v>441.97110140550137</v>
      </c>
      <c r="J43" s="61">
        <f t="shared" si="3"/>
        <v>135838.26724118643</v>
      </c>
      <c r="K43" s="22"/>
    </row>
    <row r="44" spans="1:14" s="20" customFormat="1">
      <c r="A44" s="79">
        <v>41698</v>
      </c>
      <c r="B44" s="18" t="s">
        <v>226</v>
      </c>
      <c r="C44" s="63"/>
      <c r="D44" s="18">
        <f>(24*9.2)*1.05</f>
        <v>231.84</v>
      </c>
      <c r="E44" s="44">
        <f t="shared" si="0"/>
        <v>4673.41</v>
      </c>
      <c r="F44" s="19"/>
      <c r="G44" s="19">
        <f t="shared" si="2"/>
        <v>27.692424900094068</v>
      </c>
      <c r="H44" s="19"/>
      <c r="I44" s="60">
        <f t="shared" si="1"/>
        <v>6420.2117888378098</v>
      </c>
      <c r="J44" s="61">
        <f t="shared" si="3"/>
        <v>129418.05545234862</v>
      </c>
      <c r="K44" s="111">
        <f>SUM(I27:I44)</f>
        <v>46750.351716338802</v>
      </c>
      <c r="L44" s="145">
        <v>41698</v>
      </c>
      <c r="M44" s="123">
        <f>SUM(I37:I44)</f>
        <v>15615.204552665047</v>
      </c>
      <c r="N44" s="123">
        <f>SUM(M36:M44)</f>
        <v>46750.351716338817</v>
      </c>
    </row>
    <row r="45" spans="1:14" s="20" customFormat="1">
      <c r="A45" s="79">
        <v>41703</v>
      </c>
      <c r="B45" s="18" t="s">
        <v>236</v>
      </c>
      <c r="C45" s="63"/>
      <c r="D45" s="18">
        <f>(13*6)*1.05</f>
        <v>81.900000000000006</v>
      </c>
      <c r="E45" s="44">
        <f t="shared" si="0"/>
        <v>4591.51</v>
      </c>
      <c r="F45" s="19"/>
      <c r="G45" s="19">
        <f t="shared" si="2"/>
        <v>27.692424900094068</v>
      </c>
      <c r="H45" s="19"/>
      <c r="I45" s="60">
        <f t="shared" si="1"/>
        <v>2268.0095993177042</v>
      </c>
      <c r="J45" s="61">
        <f t="shared" si="3"/>
        <v>127150.04585303091</v>
      </c>
      <c r="K45" s="22"/>
    </row>
    <row r="46" spans="1:14" s="20" customFormat="1">
      <c r="A46" s="79">
        <v>41705</v>
      </c>
      <c r="B46" s="18" t="s">
        <v>237</v>
      </c>
      <c r="C46" s="63"/>
      <c r="D46" s="18">
        <f>(7*3+7*3.4)*1.05</f>
        <v>47.04</v>
      </c>
      <c r="E46" s="44">
        <f t="shared" si="0"/>
        <v>4544.47</v>
      </c>
      <c r="F46" s="19"/>
      <c r="G46" s="19">
        <f t="shared" si="2"/>
        <v>27.692424900094068</v>
      </c>
      <c r="H46" s="19"/>
      <c r="I46" s="60">
        <f t="shared" si="1"/>
        <v>1302.6516673004248</v>
      </c>
      <c r="J46" s="61">
        <f t="shared" si="3"/>
        <v>125847.39418573049</v>
      </c>
      <c r="K46" s="22"/>
    </row>
    <row r="47" spans="1:14" s="20" customFormat="1">
      <c r="A47" s="79">
        <v>41705</v>
      </c>
      <c r="B47" s="18" t="s">
        <v>238</v>
      </c>
      <c r="C47" s="63"/>
      <c r="D47" s="18">
        <f>(6*4.4+5*4.8+6*5.4+2*2.2+2*1.8+2*1.6+2*1.2+2*1+2*0.8+2*0.4+2*5.4+2*3.4+2*1.4)*1.05+7</f>
        <v>134.26</v>
      </c>
      <c r="E47" s="44">
        <f t="shared" si="0"/>
        <v>4410.21</v>
      </c>
      <c r="F47" s="19"/>
      <c r="G47" s="19">
        <f t="shared" si="2"/>
        <v>27.692424900094068</v>
      </c>
      <c r="H47" s="19"/>
      <c r="I47" s="60">
        <f t="shared" si="1"/>
        <v>3717.9849670866292</v>
      </c>
      <c r="J47" s="61">
        <f t="shared" si="3"/>
        <v>122129.40921864386</v>
      </c>
      <c r="K47" s="22"/>
    </row>
    <row r="48" spans="1:14" s="20" customFormat="1">
      <c r="A48" s="79">
        <v>41706</v>
      </c>
      <c r="B48" s="18" t="s">
        <v>239</v>
      </c>
      <c r="C48" s="63"/>
      <c r="D48" s="18">
        <f>(24*5.2)*1.05</f>
        <v>131.04000000000002</v>
      </c>
      <c r="E48" s="44">
        <f t="shared" si="0"/>
        <v>4279.17</v>
      </c>
      <c r="F48" s="19"/>
      <c r="G48" s="19">
        <f t="shared" si="2"/>
        <v>27.692424900094068</v>
      </c>
      <c r="H48" s="19"/>
      <c r="I48" s="60">
        <f t="shared" si="1"/>
        <v>3628.8153589083272</v>
      </c>
      <c r="J48" s="61">
        <f t="shared" si="3"/>
        <v>118500.59385973554</v>
      </c>
      <c r="K48" s="22"/>
    </row>
    <row r="49" spans="1:14" s="20" customFormat="1">
      <c r="A49" s="79">
        <v>41709</v>
      </c>
      <c r="B49" s="18" t="s">
        <v>242</v>
      </c>
      <c r="C49" s="63"/>
      <c r="D49" s="18">
        <f>(6*5)*1.05</f>
        <v>31.5</v>
      </c>
      <c r="E49" s="44">
        <f t="shared" si="0"/>
        <v>4247.67</v>
      </c>
      <c r="F49" s="19"/>
      <c r="G49" s="19">
        <f t="shared" si="2"/>
        <v>27.692424900094071</v>
      </c>
      <c r="H49" s="19"/>
      <c r="I49" s="60">
        <f t="shared" si="1"/>
        <v>872.31138435296316</v>
      </c>
      <c r="J49" s="61">
        <f t="shared" si="3"/>
        <v>117628.28247538258</v>
      </c>
      <c r="K49" s="22"/>
    </row>
    <row r="50" spans="1:14" s="20" customFormat="1">
      <c r="A50" s="79">
        <v>41710</v>
      </c>
      <c r="B50" s="18" t="s">
        <v>244</v>
      </c>
      <c r="C50" s="63"/>
      <c r="D50" s="18">
        <f>(28*4)*1.05</f>
        <v>117.60000000000001</v>
      </c>
      <c r="E50" s="44">
        <f t="shared" si="0"/>
        <v>4130.07</v>
      </c>
      <c r="F50" s="19"/>
      <c r="G50" s="19">
        <f t="shared" si="2"/>
        <v>27.692424900094071</v>
      </c>
      <c r="H50" s="19"/>
      <c r="I50" s="60">
        <f t="shared" si="1"/>
        <v>3256.6291682510632</v>
      </c>
      <c r="J50" s="61">
        <f t="shared" si="3"/>
        <v>114371.65330713152</v>
      </c>
      <c r="K50" s="22"/>
    </row>
    <row r="51" spans="1:14" s="20" customFormat="1">
      <c r="A51" s="79">
        <v>41712</v>
      </c>
      <c r="B51" s="18" t="s">
        <v>248</v>
      </c>
      <c r="C51" s="63"/>
      <c r="D51" s="18">
        <f>(50*6.2)*1.05</f>
        <v>325.5</v>
      </c>
      <c r="E51" s="44">
        <f t="shared" si="0"/>
        <v>3804.5699999999997</v>
      </c>
      <c r="F51" s="19"/>
      <c r="G51" s="19">
        <f t="shared" si="2"/>
        <v>27.692424900094075</v>
      </c>
      <c r="H51" s="19"/>
      <c r="I51" s="60">
        <f t="shared" si="1"/>
        <v>9013.8843049806201</v>
      </c>
      <c r="J51" s="61">
        <f t="shared" si="3"/>
        <v>105357.7690021509</v>
      </c>
      <c r="K51" s="22"/>
    </row>
    <row r="52" spans="1:14" s="20" customFormat="1">
      <c r="A52" s="79">
        <v>41713</v>
      </c>
      <c r="B52" s="18" t="s">
        <v>249</v>
      </c>
      <c r="C52" s="63"/>
      <c r="D52" s="18">
        <f>(3*2.8)*1.05</f>
        <v>8.8199999999999985</v>
      </c>
      <c r="E52" s="44">
        <f t="shared" si="0"/>
        <v>3795.7499999999995</v>
      </c>
      <c r="F52" s="19"/>
      <c r="G52" s="19">
        <f t="shared" si="2"/>
        <v>27.692424900094075</v>
      </c>
      <c r="H52" s="19"/>
      <c r="I52" s="60">
        <f t="shared" si="1"/>
        <v>244.24718761882968</v>
      </c>
      <c r="J52" s="61">
        <f t="shared" si="3"/>
        <v>105113.52181453207</v>
      </c>
      <c r="K52" s="22"/>
    </row>
    <row r="53" spans="1:14" s="20" customFormat="1">
      <c r="A53" s="79">
        <v>41715</v>
      </c>
      <c r="B53" s="18" t="s">
        <v>251</v>
      </c>
      <c r="C53" s="63"/>
      <c r="D53" s="18">
        <f>(6*2+10*2.6+10*3+2*3.6+5*4+5*4.6+7*5+6*5.6+6*6.6)*1.05+19</f>
        <v>256.72000000000003</v>
      </c>
      <c r="E53" s="44">
        <f t="shared" si="0"/>
        <v>3539.0299999999997</v>
      </c>
      <c r="F53" s="19"/>
      <c r="G53" s="19">
        <f t="shared" si="2"/>
        <v>27.692424900094075</v>
      </c>
      <c r="H53" s="19"/>
      <c r="I53" s="60">
        <f t="shared" si="1"/>
        <v>7109.1993203521515</v>
      </c>
      <c r="J53" s="61">
        <f t="shared" si="3"/>
        <v>98004.322494179913</v>
      </c>
      <c r="K53" s="22"/>
      <c r="L53" s="145">
        <v>41715</v>
      </c>
      <c r="M53" s="123">
        <f>SUM(I45:I53)</f>
        <v>31413.732958168712</v>
      </c>
    </row>
    <row r="54" spans="1:14" s="20" customFormat="1">
      <c r="A54" s="79">
        <v>41722</v>
      </c>
      <c r="B54" s="18" t="s">
        <v>257</v>
      </c>
      <c r="C54" s="63"/>
      <c r="D54" s="18">
        <f>(6*0.8+1*1)*1.05</f>
        <v>6.0900000000000007</v>
      </c>
      <c r="E54" s="44">
        <f t="shared" si="0"/>
        <v>3532.9399999999996</v>
      </c>
      <c r="F54" s="19"/>
      <c r="G54" s="19">
        <f t="shared" si="2"/>
        <v>27.692424900094071</v>
      </c>
      <c r="H54" s="19"/>
      <c r="I54" s="60">
        <f t="shared" si="1"/>
        <v>168.64686764157292</v>
      </c>
      <c r="J54" s="61">
        <f t="shared" si="3"/>
        <v>97835.675626538345</v>
      </c>
      <c r="K54" s="22"/>
    </row>
    <row r="55" spans="1:14" s="20" customFormat="1">
      <c r="A55" s="79">
        <v>41723</v>
      </c>
      <c r="B55" s="18" t="s">
        <v>259</v>
      </c>
      <c r="C55" s="63"/>
      <c r="D55" s="18">
        <f>(16*6.2)*1.05</f>
        <v>104.16000000000001</v>
      </c>
      <c r="E55" s="44">
        <f t="shared" si="0"/>
        <v>3428.7799999999997</v>
      </c>
      <c r="F55" s="19"/>
      <c r="G55" s="19">
        <f t="shared" si="2"/>
        <v>27.692424900094075</v>
      </c>
      <c r="H55" s="19"/>
      <c r="I55" s="60">
        <f t="shared" si="1"/>
        <v>2884.4429775937988</v>
      </c>
      <c r="J55" s="61">
        <f t="shared" si="3"/>
        <v>94951.23264894454</v>
      </c>
      <c r="K55" s="22"/>
    </row>
    <row r="56" spans="1:14" s="20" customFormat="1">
      <c r="A56" s="79">
        <v>41727</v>
      </c>
      <c r="B56" s="18" t="s">
        <v>261</v>
      </c>
      <c r="C56" s="63"/>
      <c r="D56" s="18">
        <f>(1.6)*1.05</f>
        <v>1.6800000000000002</v>
      </c>
      <c r="E56" s="44">
        <f t="shared" si="0"/>
        <v>3427.1</v>
      </c>
      <c r="F56" s="19"/>
      <c r="G56" s="19">
        <f t="shared" si="2"/>
        <v>27.692424900094071</v>
      </c>
      <c r="H56" s="19"/>
      <c r="I56" s="60">
        <f t="shared" si="1"/>
        <v>46.523273832158047</v>
      </c>
      <c r="J56" s="61">
        <f t="shared" si="3"/>
        <v>94904.709375112376</v>
      </c>
      <c r="K56" s="22"/>
    </row>
    <row r="57" spans="1:14" s="20" customFormat="1">
      <c r="A57" s="79">
        <v>41727</v>
      </c>
      <c r="B57" s="18" t="s">
        <v>262</v>
      </c>
      <c r="C57" s="63"/>
      <c r="D57" s="18">
        <f>(8*4.6)*1.05</f>
        <v>38.64</v>
      </c>
      <c r="E57" s="44">
        <f t="shared" si="0"/>
        <v>3388.46</v>
      </c>
      <c r="F57" s="19"/>
      <c r="G57" s="19">
        <f t="shared" si="2"/>
        <v>27.692424900094068</v>
      </c>
      <c r="H57" s="19"/>
      <c r="I57" s="60">
        <f t="shared" si="1"/>
        <v>1070.035298139635</v>
      </c>
      <c r="J57" s="61">
        <f t="shared" si="3"/>
        <v>93834.674076972748</v>
      </c>
      <c r="K57" s="22"/>
    </row>
    <row r="58" spans="1:14" s="20" customFormat="1">
      <c r="A58" s="79">
        <v>41727</v>
      </c>
      <c r="B58" s="18" t="s">
        <v>263</v>
      </c>
      <c r="C58" s="63"/>
      <c r="D58" s="18">
        <f>(5*6)*1.05</f>
        <v>31.5</v>
      </c>
      <c r="E58" s="44">
        <f t="shared" si="0"/>
        <v>3356.96</v>
      </c>
      <c r="F58" s="19"/>
      <c r="G58" s="19">
        <f t="shared" si="2"/>
        <v>27.692424900094068</v>
      </c>
      <c r="H58" s="19"/>
      <c r="I58" s="60">
        <f t="shared" si="1"/>
        <v>872.31138435296316</v>
      </c>
      <c r="J58" s="61">
        <f t="shared" si="3"/>
        <v>92962.36269261979</v>
      </c>
      <c r="K58" s="111">
        <f>SUM(I45:I58)</f>
        <v>36455.692759728838</v>
      </c>
      <c r="L58" s="145">
        <v>41728</v>
      </c>
      <c r="M58" s="123">
        <f>SUM(I54:I58)</f>
        <v>5041.9598015601277</v>
      </c>
      <c r="N58" s="123">
        <f>SUM(M53:M58)</f>
        <v>36455.692759728838</v>
      </c>
    </row>
    <row r="59" spans="1:14" s="20" customFormat="1">
      <c r="A59" s="79">
        <v>41734</v>
      </c>
      <c r="B59" s="18" t="s">
        <v>269</v>
      </c>
      <c r="C59" s="63"/>
      <c r="D59" s="18">
        <v>0</v>
      </c>
      <c r="E59" s="44">
        <f t="shared" si="0"/>
        <v>3356.96</v>
      </c>
      <c r="F59" s="19"/>
      <c r="G59" s="19">
        <f t="shared" si="2"/>
        <v>27.692424900094071</v>
      </c>
      <c r="H59" s="19"/>
      <c r="I59" s="60">
        <f t="shared" si="1"/>
        <v>0</v>
      </c>
      <c r="J59" s="61">
        <f t="shared" si="3"/>
        <v>92962.36269261979</v>
      </c>
      <c r="K59" s="22"/>
    </row>
    <row r="60" spans="1:14" s="20" customFormat="1">
      <c r="A60" s="79">
        <v>41734</v>
      </c>
      <c r="B60" s="18" t="s">
        <v>270</v>
      </c>
      <c r="C60" s="63"/>
      <c r="D60" s="18">
        <f>(6*5.6+11*5+4)*1.05</f>
        <v>97.23</v>
      </c>
      <c r="E60" s="44">
        <f t="shared" si="0"/>
        <v>3259.73</v>
      </c>
      <c r="F60" s="19"/>
      <c r="G60" s="19">
        <f t="shared" si="2"/>
        <v>27.692424900094071</v>
      </c>
      <c r="H60" s="19"/>
      <c r="I60" s="60">
        <f t="shared" si="1"/>
        <v>2692.5344730361467</v>
      </c>
      <c r="J60" s="61">
        <f t="shared" si="3"/>
        <v>90269.828219583636</v>
      </c>
      <c r="K60" s="22"/>
    </row>
    <row r="61" spans="1:14" s="20" customFormat="1">
      <c r="A61" s="79">
        <v>41736</v>
      </c>
      <c r="B61" s="18" t="s">
        <v>271</v>
      </c>
      <c r="C61" s="63"/>
      <c r="D61" s="18">
        <f>(2*1.6)*1.05</f>
        <v>3.3600000000000003</v>
      </c>
      <c r="E61" s="44">
        <f t="shared" si="0"/>
        <v>3256.37</v>
      </c>
      <c r="F61" s="19"/>
      <c r="G61" s="19">
        <f t="shared" si="2"/>
        <v>27.692424900094068</v>
      </c>
      <c r="H61" s="19"/>
      <c r="I61" s="60">
        <f t="shared" si="1"/>
        <v>93.046547664316094</v>
      </c>
      <c r="J61" s="61">
        <f t="shared" si="3"/>
        <v>90176.781671919322</v>
      </c>
      <c r="K61" s="22"/>
    </row>
    <row r="62" spans="1:14" s="20" customFormat="1">
      <c r="A62" s="79">
        <v>41737</v>
      </c>
      <c r="B62" s="18" t="s">
        <v>273</v>
      </c>
      <c r="C62" s="63"/>
      <c r="D62" s="18">
        <f>(5*7.6+5*5+5*7.2+5*6+5*5.4+4*5+2*2.8+3*2.2+2*1.8+2*1.4+2*1+2*4.6+3*4.2+3.6+3.4+3*2.6+4.8+2*3.8+10*5.2+6*7)*1.05</f>
        <v>356.58000000000004</v>
      </c>
      <c r="E62" s="44">
        <f t="shared" si="0"/>
        <v>2899.79</v>
      </c>
      <c r="F62" s="19"/>
      <c r="G62" s="19">
        <f t="shared" si="2"/>
        <v>27.692424900094068</v>
      </c>
      <c r="H62" s="19"/>
      <c r="I62" s="60">
        <f t="shared" si="1"/>
        <v>9874.5648708755434</v>
      </c>
      <c r="J62" s="61">
        <f t="shared" si="3"/>
        <v>80302.216801043774</v>
      </c>
      <c r="K62" s="22"/>
    </row>
    <row r="63" spans="1:14" s="20" customFormat="1">
      <c r="A63" s="79">
        <v>41737</v>
      </c>
      <c r="B63" s="18" t="s">
        <v>274</v>
      </c>
      <c r="C63" s="63"/>
      <c r="D63" s="18">
        <f>(6*5.6+6*5+24*2+6*6.2+3*3+4*3.4+4*1.6+4*1+2*1.8+2*1.4+2*0.8+4*0.4+4.2+6+3.8+2.4+2*0.6+2.6)*1.05</f>
        <v>222.18</v>
      </c>
      <c r="E63" s="44">
        <f t="shared" si="0"/>
        <v>2677.61</v>
      </c>
      <c r="F63" s="19"/>
      <c r="G63" s="19">
        <f t="shared" si="2"/>
        <v>27.692424900094068</v>
      </c>
      <c r="H63" s="19"/>
      <c r="I63" s="60">
        <f t="shared" si="1"/>
        <v>6152.7029643029</v>
      </c>
      <c r="J63" s="61">
        <f t="shared" si="3"/>
        <v>74149.51383674088</v>
      </c>
      <c r="K63" s="22"/>
    </row>
    <row r="64" spans="1:14" s="20" customFormat="1">
      <c r="A64" s="79">
        <v>41737</v>
      </c>
      <c r="B64" s="18" t="s">
        <v>275</v>
      </c>
      <c r="C64" s="63"/>
      <c r="D64" s="18">
        <f>(6*6.8+5*5.6+6*1.6+5*6.6+6*7.4+2*6.4+3*2.4)*1.05+4.25+1</f>
        <v>189.84000000000003</v>
      </c>
      <c r="E64" s="44">
        <f t="shared" si="0"/>
        <v>2487.77</v>
      </c>
      <c r="F64" s="19"/>
      <c r="G64" s="19">
        <f t="shared" si="2"/>
        <v>27.692424900094068</v>
      </c>
      <c r="H64" s="19"/>
      <c r="I64" s="60">
        <f t="shared" si="1"/>
        <v>5257.1299430338586</v>
      </c>
      <c r="J64" s="61">
        <f t="shared" si="3"/>
        <v>68892.383893707025</v>
      </c>
      <c r="K64" s="22"/>
    </row>
    <row r="65" spans="1:14" s="20" customFormat="1">
      <c r="A65" s="79">
        <v>41739</v>
      </c>
      <c r="B65" s="18" t="s">
        <v>277</v>
      </c>
      <c r="C65" s="63"/>
      <c r="D65" s="18">
        <f>12</f>
        <v>12</v>
      </c>
      <c r="E65" s="44">
        <f t="shared" si="0"/>
        <v>2475.77</v>
      </c>
      <c r="F65" s="19"/>
      <c r="G65" s="19">
        <f t="shared" si="2"/>
        <v>27.692424900094071</v>
      </c>
      <c r="H65" s="19"/>
      <c r="I65" s="60">
        <f t="shared" si="1"/>
        <v>332.30909880112881</v>
      </c>
      <c r="J65" s="61">
        <f t="shared" si="3"/>
        <v>68560.0747949059</v>
      </c>
      <c r="K65" s="22"/>
    </row>
    <row r="66" spans="1:14" s="20" customFormat="1">
      <c r="A66" s="79">
        <v>41739</v>
      </c>
      <c r="B66" s="18" t="s">
        <v>281</v>
      </c>
      <c r="C66" s="63"/>
      <c r="D66" s="18">
        <f>(6*4.2+10*6.2+6*5.2)*1.05</f>
        <v>124.32000000000001</v>
      </c>
      <c r="E66" s="44">
        <f t="shared" si="0"/>
        <v>2351.4499999999998</v>
      </c>
      <c r="F66" s="19"/>
      <c r="G66" s="19">
        <f t="shared" si="2"/>
        <v>27.692424900094071</v>
      </c>
      <c r="H66" s="19"/>
      <c r="I66" s="60">
        <f t="shared" si="1"/>
        <v>3442.7222635796952</v>
      </c>
      <c r="J66" s="61">
        <f t="shared" si="3"/>
        <v>65117.352531326207</v>
      </c>
      <c r="K66" s="22"/>
    </row>
    <row r="67" spans="1:14" s="20" customFormat="1">
      <c r="A67" s="79">
        <v>41741</v>
      </c>
      <c r="B67" s="18" t="s">
        <v>283</v>
      </c>
      <c r="C67" s="63"/>
      <c r="D67" s="18">
        <f>(4)*1.05</f>
        <v>4.2</v>
      </c>
      <c r="E67" s="44">
        <f t="shared" si="0"/>
        <v>2347.25</v>
      </c>
      <c r="F67" s="19"/>
      <c r="G67" s="19">
        <f t="shared" si="2"/>
        <v>27.692424900094075</v>
      </c>
      <c r="H67" s="19"/>
      <c r="I67" s="60">
        <f t="shared" si="1"/>
        <v>116.30818458039511</v>
      </c>
      <c r="J67" s="61">
        <f t="shared" si="3"/>
        <v>65001.04434674581</v>
      </c>
      <c r="K67" s="22"/>
    </row>
    <row r="68" spans="1:14" s="20" customFormat="1">
      <c r="A68" s="79">
        <v>41743</v>
      </c>
      <c r="B68" s="18" t="s">
        <v>284</v>
      </c>
      <c r="C68" s="63"/>
      <c r="D68" s="18">
        <f>(2.2)*1.05</f>
        <v>2.3100000000000005</v>
      </c>
      <c r="E68" s="44">
        <f t="shared" si="0"/>
        <v>2344.94</v>
      </c>
      <c r="F68" s="19"/>
      <c r="G68" s="19">
        <f t="shared" si="2"/>
        <v>27.692424900094071</v>
      </c>
      <c r="H68" s="19"/>
      <c r="I68" s="60">
        <f t="shared" si="1"/>
        <v>63.969501519217324</v>
      </c>
      <c r="J68" s="61">
        <f t="shared" si="3"/>
        <v>64937.074845226591</v>
      </c>
      <c r="K68" s="22"/>
      <c r="L68" s="145">
        <v>41744</v>
      </c>
      <c r="M68" s="123">
        <f>SUM(I59:I68)</f>
        <v>28025.2878473932</v>
      </c>
    </row>
    <row r="69" spans="1:14" s="20" customFormat="1">
      <c r="A69" s="79">
        <v>41750</v>
      </c>
      <c r="B69" s="18" t="s">
        <v>293</v>
      </c>
      <c r="C69" s="63"/>
      <c r="D69" s="18">
        <f>(16*0.8)*1.05</f>
        <v>13.440000000000001</v>
      </c>
      <c r="E69" s="44">
        <f t="shared" si="0"/>
        <v>2331.5</v>
      </c>
      <c r="F69" s="19"/>
      <c r="G69" s="19">
        <f t="shared" si="2"/>
        <v>27.692424900094071</v>
      </c>
      <c r="H69" s="19"/>
      <c r="I69" s="60">
        <f t="shared" si="1"/>
        <v>372.18619065726438</v>
      </c>
      <c r="J69" s="61">
        <f t="shared" si="3"/>
        <v>64564.888654569324</v>
      </c>
      <c r="K69" s="22"/>
    </row>
    <row r="70" spans="1:14" s="20" customFormat="1">
      <c r="A70" s="79">
        <v>41751</v>
      </c>
      <c r="B70" s="18" t="s">
        <v>296</v>
      </c>
      <c r="C70" s="63"/>
      <c r="D70" s="18">
        <f>(124*5.4)*1.05</f>
        <v>703.08</v>
      </c>
      <c r="E70" s="44">
        <f t="shared" si="0"/>
        <v>1628.42</v>
      </c>
      <c r="F70" s="19"/>
      <c r="G70" s="19">
        <f t="shared" si="2"/>
        <v>27.692424900094071</v>
      </c>
      <c r="H70" s="19"/>
      <c r="I70" s="60">
        <f t="shared" si="1"/>
        <v>19469.990098758142</v>
      </c>
      <c r="J70" s="61">
        <f t="shared" si="3"/>
        <v>45094.898555811182</v>
      </c>
      <c r="K70" s="111">
        <f>SUM(I59:I70)</f>
        <v>47867.464136808601</v>
      </c>
      <c r="L70" s="145">
        <v>41759</v>
      </c>
      <c r="M70" s="123">
        <f>SUM(I69:I70)</f>
        <v>19842.176289415405</v>
      </c>
      <c r="N70" s="123">
        <f>SUM(M68:M70)</f>
        <v>47867.464136808601</v>
      </c>
    </row>
    <row r="71" spans="1:14" s="20" customFormat="1">
      <c r="A71" s="79">
        <v>41766</v>
      </c>
      <c r="B71" s="18" t="s">
        <v>310</v>
      </c>
      <c r="C71" s="63"/>
      <c r="D71" s="18">
        <f>(3.8)*1.05</f>
        <v>3.9899999999999998</v>
      </c>
      <c r="E71" s="44">
        <f t="shared" si="0"/>
        <v>1624.43</v>
      </c>
      <c r="F71" s="19"/>
      <c r="G71" s="19">
        <f t="shared" si="2"/>
        <v>27.692424900094068</v>
      </c>
      <c r="H71" s="19"/>
      <c r="I71" s="60">
        <f t="shared" si="1"/>
        <v>110.49277535137534</v>
      </c>
      <c r="J71" s="61">
        <f t="shared" si="3"/>
        <v>44984.405780459805</v>
      </c>
      <c r="K71" s="22"/>
    </row>
    <row r="72" spans="1:14" s="20" customFormat="1">
      <c r="A72" s="79">
        <v>41773</v>
      </c>
      <c r="B72" s="18" t="s">
        <v>886</v>
      </c>
      <c r="C72" s="63">
        <v>4938.67</v>
      </c>
      <c r="D72" s="18"/>
      <c r="E72" s="44">
        <f>+E71+C72</f>
        <v>6563.1</v>
      </c>
      <c r="F72" s="19">
        <f>+H72/C72</f>
        <v>29.266581893505737</v>
      </c>
      <c r="G72" s="19"/>
      <c r="H72" s="19">
        <v>144537.99</v>
      </c>
      <c r="I72" s="60"/>
      <c r="J72" s="61">
        <f>+J71+H72</f>
        <v>189522.3957804598</v>
      </c>
      <c r="K72" s="22"/>
    </row>
    <row r="73" spans="1:14" s="20" customFormat="1">
      <c r="A73" s="79">
        <v>41774</v>
      </c>
      <c r="B73" s="18" t="s">
        <v>321</v>
      </c>
      <c r="C73" s="63"/>
      <c r="D73" s="18">
        <f>(55*5.4+1*0.8)*1.05</f>
        <v>312.69</v>
      </c>
      <c r="E73" s="44">
        <f>+E72-D73</f>
        <v>6250.4100000000008</v>
      </c>
      <c r="F73" s="19"/>
      <c r="G73" s="19">
        <f>+J72/E72</f>
        <v>28.876962987073149</v>
      </c>
      <c r="H73" s="19"/>
      <c r="I73" s="60">
        <f>D73*G71</f>
        <v>8659.1443420104133</v>
      </c>
      <c r="J73" s="61">
        <f>+J72-I73</f>
        <v>180863.2514384494</v>
      </c>
      <c r="K73" s="22"/>
      <c r="L73" s="145">
        <v>41774</v>
      </c>
      <c r="M73" s="123">
        <f>SUM(I71:I73)</f>
        <v>8769.6371173617881</v>
      </c>
    </row>
    <row r="74" spans="1:14" s="20" customFormat="1">
      <c r="A74" s="79">
        <v>41775</v>
      </c>
      <c r="B74" s="18" t="s">
        <v>323</v>
      </c>
      <c r="C74" s="63"/>
      <c r="D74" s="18">
        <v>0</v>
      </c>
      <c r="E74" s="44">
        <f t="shared" si="0"/>
        <v>6250.4100000000008</v>
      </c>
      <c r="F74" s="19"/>
      <c r="G74" s="19">
        <f>+J73/E73</f>
        <v>28.936222013987784</v>
      </c>
      <c r="H74" s="19"/>
      <c r="I74" s="60">
        <f t="shared" si="1"/>
        <v>0</v>
      </c>
      <c r="J74" s="61">
        <f t="shared" si="3"/>
        <v>180863.2514384494</v>
      </c>
      <c r="K74" s="22"/>
    </row>
    <row r="75" spans="1:14" s="20" customFormat="1">
      <c r="A75" s="79">
        <v>41775</v>
      </c>
      <c r="B75" s="18" t="s">
        <v>431</v>
      </c>
      <c r="C75" s="63"/>
      <c r="D75" s="18">
        <f>(7*5.6+4*5.2+11*5.4+5*4+2*1.2+4*1+6.6)*1.05</f>
        <v>160.02000000000001</v>
      </c>
      <c r="E75" s="44">
        <f t="shared" si="0"/>
        <v>6090.39</v>
      </c>
      <c r="F75" s="19"/>
      <c r="G75" s="19">
        <f t="shared" ref="G75:G115" si="6">+J74/E74</f>
        <v>28.936222013987784</v>
      </c>
      <c r="H75" s="19"/>
      <c r="I75" s="60">
        <f t="shared" si="1"/>
        <v>4630.3742466783251</v>
      </c>
      <c r="J75" s="61">
        <f t="shared" si="3"/>
        <v>176232.87719177108</v>
      </c>
      <c r="K75" s="22"/>
    </row>
    <row r="76" spans="1:14" s="20" customFormat="1">
      <c r="A76" s="79">
        <v>41778</v>
      </c>
      <c r="B76" s="18" t="s">
        <v>324</v>
      </c>
      <c r="C76" s="63"/>
      <c r="D76" s="18">
        <f>(13*4.6+13*5+13*5.8+3*2.8)*1.05</f>
        <v>219.03</v>
      </c>
      <c r="E76" s="44">
        <f t="shared" ref="E76:E83" si="7">E75-D76</f>
        <v>5871.3600000000006</v>
      </c>
      <c r="F76" s="19"/>
      <c r="G76" s="19">
        <f t="shared" si="6"/>
        <v>28.936222013987788</v>
      </c>
      <c r="H76" s="19"/>
      <c r="I76" s="60">
        <f t="shared" ref="I76:I83" si="8">D76*G75</f>
        <v>6337.9007077237447</v>
      </c>
      <c r="J76" s="61">
        <f t="shared" si="3"/>
        <v>169894.97648404734</v>
      </c>
      <c r="K76" s="22"/>
    </row>
    <row r="77" spans="1:14" s="20" customFormat="1">
      <c r="A77" s="79">
        <v>41778</v>
      </c>
      <c r="B77" s="18" t="s">
        <v>325</v>
      </c>
      <c r="C77" s="63"/>
      <c r="D77" s="18">
        <f>(5*0.4)*1.05</f>
        <v>2.1</v>
      </c>
      <c r="E77" s="44">
        <f t="shared" si="7"/>
        <v>5869.26</v>
      </c>
      <c r="F77" s="19"/>
      <c r="G77" s="19">
        <f t="shared" si="6"/>
        <v>28.936222013987784</v>
      </c>
      <c r="H77" s="19"/>
      <c r="I77" s="60">
        <f t="shared" si="8"/>
        <v>60.76606622937436</v>
      </c>
      <c r="J77" s="61">
        <f t="shared" si="3"/>
        <v>169834.21041781796</v>
      </c>
      <c r="K77" s="22"/>
    </row>
    <row r="78" spans="1:14" s="20" customFormat="1">
      <c r="A78" s="79">
        <v>41778</v>
      </c>
      <c r="B78" s="18" t="s">
        <v>326</v>
      </c>
      <c r="C78" s="63"/>
      <c r="D78" s="18">
        <v>0</v>
      </c>
      <c r="E78" s="44">
        <f t="shared" si="7"/>
        <v>5869.26</v>
      </c>
      <c r="F78" s="19"/>
      <c r="G78" s="19">
        <f t="shared" si="6"/>
        <v>28.936222013987784</v>
      </c>
      <c r="H78" s="19"/>
      <c r="I78" s="60">
        <f t="shared" si="8"/>
        <v>0</v>
      </c>
      <c r="J78" s="61">
        <f t="shared" si="3"/>
        <v>169834.21041781796</v>
      </c>
      <c r="K78" s="22"/>
    </row>
    <row r="79" spans="1:14" s="20" customFormat="1">
      <c r="A79" s="79">
        <v>41778</v>
      </c>
      <c r="B79" s="18" t="s">
        <v>327</v>
      </c>
      <c r="C79" s="63"/>
      <c r="D79" s="18">
        <f>(5*5.2+3*4+16*3)*1.05</f>
        <v>90.3</v>
      </c>
      <c r="E79" s="44">
        <f t="shared" si="7"/>
        <v>5778.96</v>
      </c>
      <c r="F79" s="19"/>
      <c r="G79" s="19">
        <f t="shared" si="6"/>
        <v>28.936222013987784</v>
      </c>
      <c r="H79" s="19"/>
      <c r="I79" s="60">
        <f t="shared" si="8"/>
        <v>2612.9408478630967</v>
      </c>
      <c r="J79" s="61">
        <f t="shared" ref="J79:J115" si="9">+J78-I79</f>
        <v>167221.26956995486</v>
      </c>
      <c r="K79" s="22"/>
    </row>
    <row r="80" spans="1:14" s="20" customFormat="1">
      <c r="A80" s="79">
        <v>41778</v>
      </c>
      <c r="B80" s="18" t="s">
        <v>328</v>
      </c>
      <c r="C80" s="63"/>
      <c r="D80" s="18">
        <f>(5*2.8+12*2+12*2.2)*1.05+10</f>
        <v>77.62</v>
      </c>
      <c r="E80" s="44">
        <f t="shared" si="7"/>
        <v>5701.34</v>
      </c>
      <c r="F80" s="19"/>
      <c r="G80" s="19">
        <f t="shared" si="6"/>
        <v>28.936222013987788</v>
      </c>
      <c r="H80" s="19"/>
      <c r="I80" s="60">
        <f t="shared" si="8"/>
        <v>2246.0295527257317</v>
      </c>
      <c r="J80" s="61">
        <f t="shared" si="9"/>
        <v>164975.24001722914</v>
      </c>
      <c r="K80" s="22"/>
    </row>
    <row r="81" spans="1:14" s="20" customFormat="1">
      <c r="A81" s="79">
        <v>41780</v>
      </c>
      <c r="B81" s="18" t="s">
        <v>331</v>
      </c>
      <c r="C81" s="63"/>
      <c r="D81" s="18">
        <f>(17*4+43*6+7*4.2+7*5.2+9*2.8+5*6.2)*1.05</f>
        <v>470.4</v>
      </c>
      <c r="E81" s="44">
        <f t="shared" si="7"/>
        <v>5230.9400000000005</v>
      </c>
      <c r="F81" s="19"/>
      <c r="G81" s="19">
        <f t="shared" si="6"/>
        <v>28.936222013987788</v>
      </c>
      <c r="H81" s="19"/>
      <c r="I81" s="60">
        <f t="shared" si="8"/>
        <v>13611.598835379855</v>
      </c>
      <c r="J81" s="61">
        <f t="shared" si="9"/>
        <v>151363.64118184929</v>
      </c>
      <c r="K81" s="22"/>
    </row>
    <row r="82" spans="1:14" s="20" customFormat="1">
      <c r="A82" s="135">
        <v>41781</v>
      </c>
      <c r="B82" s="18" t="s">
        <v>332</v>
      </c>
      <c r="C82" s="63"/>
      <c r="D82" s="18">
        <f>(1*181.2)*1.05</f>
        <v>190.26</v>
      </c>
      <c r="E82" s="44">
        <f t="shared" si="7"/>
        <v>5040.68</v>
      </c>
      <c r="F82" s="19"/>
      <c r="G82" s="19">
        <f t="shared" si="6"/>
        <v>28.936222013987788</v>
      </c>
      <c r="H82" s="19"/>
      <c r="I82" s="60">
        <f t="shared" si="8"/>
        <v>5505.4056003813166</v>
      </c>
      <c r="J82" s="61">
        <f t="shared" si="9"/>
        <v>145858.23558146798</v>
      </c>
      <c r="K82" s="22"/>
    </row>
    <row r="83" spans="1:14" s="20" customFormat="1">
      <c r="A83" s="79">
        <v>41783</v>
      </c>
      <c r="B83" s="18" t="s">
        <v>335</v>
      </c>
      <c r="C83" s="63"/>
      <c r="D83" s="18">
        <f>(7*3.6+5*4.8+4*6.6+5*4.6+7*3.4)*1.05</f>
        <v>128.52000000000001</v>
      </c>
      <c r="E83" s="44">
        <f t="shared" si="7"/>
        <v>4912.16</v>
      </c>
      <c r="F83" s="19"/>
      <c r="G83" s="19">
        <f t="shared" si="6"/>
        <v>28.936222013987788</v>
      </c>
      <c r="H83" s="19"/>
      <c r="I83" s="60">
        <f t="shared" si="8"/>
        <v>3718.883253237711</v>
      </c>
      <c r="J83" s="61">
        <f t="shared" si="9"/>
        <v>142139.35232823028</v>
      </c>
      <c r="K83" s="22"/>
    </row>
    <row r="84" spans="1:14" s="20" customFormat="1">
      <c r="A84" s="79">
        <v>41790</v>
      </c>
      <c r="B84" s="18" t="s">
        <v>343</v>
      </c>
      <c r="C84" s="63"/>
      <c r="D84" s="18">
        <f>(6*2+9*2.6+3+2.2+1.6)*1.05</f>
        <v>44.310000000000009</v>
      </c>
      <c r="E84" s="44">
        <f t="shared" ref="E84:E115" si="10">E83-D84</f>
        <v>4867.8499999999995</v>
      </c>
      <c r="F84" s="19"/>
      <c r="G84" s="19">
        <f t="shared" si="6"/>
        <v>28.936222013987795</v>
      </c>
      <c r="H84" s="19"/>
      <c r="I84" s="60">
        <f t="shared" ref="I84:I115" si="11">D84*G83</f>
        <v>1282.1639974397992</v>
      </c>
      <c r="J84" s="61">
        <f t="shared" si="9"/>
        <v>140857.18833079046</v>
      </c>
      <c r="K84" s="111">
        <f>SUM(I71:I84)</f>
        <v>48775.700225020744</v>
      </c>
      <c r="L84" s="145">
        <v>41790</v>
      </c>
      <c r="M84" s="123">
        <f>SUM(I74:I84)</f>
        <v>40006.063107658956</v>
      </c>
      <c r="N84" s="123">
        <f>SUM(M73:M84)</f>
        <v>48775.700225020744</v>
      </c>
    </row>
    <row r="85" spans="1:14" s="20" customFormat="1">
      <c r="A85" s="79">
        <v>41792</v>
      </c>
      <c r="B85" s="18" t="s">
        <v>344</v>
      </c>
      <c r="C85" s="63"/>
      <c r="D85" s="18">
        <f>(9*7.6+7+4.6+2.2)*1.05</f>
        <v>86.309999999999988</v>
      </c>
      <c r="E85" s="44">
        <f t="shared" si="10"/>
        <v>4781.5399999999991</v>
      </c>
      <c r="F85" s="19"/>
      <c r="G85" s="19">
        <f t="shared" si="6"/>
        <v>28.936222013987795</v>
      </c>
      <c r="H85" s="19"/>
      <c r="I85" s="60">
        <f t="shared" si="11"/>
        <v>2497.4853220272862</v>
      </c>
      <c r="J85" s="61">
        <f t="shared" si="9"/>
        <v>138359.70300876317</v>
      </c>
      <c r="K85" s="22"/>
    </row>
    <row r="86" spans="1:14" s="20" customFormat="1">
      <c r="A86" s="79">
        <v>41793</v>
      </c>
      <c r="B86" s="18" t="s">
        <v>349</v>
      </c>
      <c r="C86" s="63"/>
      <c r="D86" s="18">
        <f>(3*2+2.6)*1.05</f>
        <v>9.0299999999999994</v>
      </c>
      <c r="E86" s="44">
        <f t="shared" si="10"/>
        <v>4772.5099999999993</v>
      </c>
      <c r="F86" s="19"/>
      <c r="G86" s="19">
        <f t="shared" si="6"/>
        <v>28.936222013987795</v>
      </c>
      <c r="H86" s="19"/>
      <c r="I86" s="60">
        <f t="shared" si="11"/>
        <v>261.29408478630978</v>
      </c>
      <c r="J86" s="61">
        <f t="shared" si="9"/>
        <v>138098.40892397685</v>
      </c>
      <c r="K86" s="22"/>
    </row>
    <row r="87" spans="1:14" s="20" customFormat="1">
      <c r="A87" s="79">
        <v>41793</v>
      </c>
      <c r="B87" s="18" t="s">
        <v>350</v>
      </c>
      <c r="C87" s="63"/>
      <c r="D87" s="18">
        <f>(3*2)*1.05</f>
        <v>6.3000000000000007</v>
      </c>
      <c r="E87" s="44">
        <f t="shared" si="10"/>
        <v>4766.2099999999991</v>
      </c>
      <c r="F87" s="19"/>
      <c r="G87" s="19">
        <f t="shared" si="6"/>
        <v>28.936222013987791</v>
      </c>
      <c r="H87" s="19"/>
      <c r="I87" s="60">
        <f t="shared" si="11"/>
        <v>182.29819868812314</v>
      </c>
      <c r="J87" s="61">
        <f t="shared" si="9"/>
        <v>137916.11072528872</v>
      </c>
      <c r="K87" s="22"/>
    </row>
    <row r="88" spans="1:14" s="20" customFormat="1">
      <c r="A88" s="79">
        <v>41794</v>
      </c>
      <c r="B88" s="18" t="s">
        <v>351</v>
      </c>
      <c r="C88" s="63"/>
      <c r="D88" s="18">
        <f>(6*5.4+2*4.4+5*4.6+2*3+12*3.4+2*2.6+6*1.4+2*1.2+6*1+4*0.8+2*0.6+4*0.4)*1.05</f>
        <v>145.94999999999999</v>
      </c>
      <c r="E88" s="44">
        <f t="shared" si="10"/>
        <v>4620.2599999999993</v>
      </c>
      <c r="F88" s="19"/>
      <c r="G88" s="19">
        <f t="shared" si="6"/>
        <v>28.936222013987788</v>
      </c>
      <c r="H88" s="19"/>
      <c r="I88" s="60">
        <f t="shared" si="11"/>
        <v>4223.2416029415181</v>
      </c>
      <c r="J88" s="61">
        <f t="shared" si="9"/>
        <v>133692.86912234721</v>
      </c>
      <c r="K88" s="22"/>
    </row>
    <row r="89" spans="1:14" s="20" customFormat="1">
      <c r="A89" s="79">
        <v>41796</v>
      </c>
      <c r="B89" s="18" t="s">
        <v>358</v>
      </c>
      <c r="C89" s="63"/>
      <c r="D89" s="18">
        <f>(4*6.1+12*6.6+3)*1.05</f>
        <v>111.92999999999999</v>
      </c>
      <c r="E89" s="44">
        <f t="shared" si="10"/>
        <v>4508.329999999999</v>
      </c>
      <c r="F89" s="19"/>
      <c r="G89" s="19">
        <f t="shared" si="6"/>
        <v>28.936222013987791</v>
      </c>
      <c r="H89" s="19"/>
      <c r="I89" s="60">
        <f t="shared" si="11"/>
        <v>3238.8313300256527</v>
      </c>
      <c r="J89" s="61">
        <f t="shared" si="9"/>
        <v>130454.03779232156</v>
      </c>
      <c r="K89" s="22"/>
    </row>
    <row r="90" spans="1:14" s="20" customFormat="1">
      <c r="A90" s="79">
        <v>41799</v>
      </c>
      <c r="B90" s="18" t="s">
        <v>361</v>
      </c>
      <c r="C90" s="63"/>
      <c r="D90" s="18">
        <f>(171.6)*1.05</f>
        <v>180.18</v>
      </c>
      <c r="E90" s="44">
        <f t="shared" si="10"/>
        <v>4328.1499999999987</v>
      </c>
      <c r="F90" s="19"/>
      <c r="G90" s="19">
        <f t="shared" si="6"/>
        <v>28.936222013987791</v>
      </c>
      <c r="H90" s="19"/>
      <c r="I90" s="60">
        <f t="shared" si="11"/>
        <v>5213.7284824803201</v>
      </c>
      <c r="J90" s="61">
        <f t="shared" si="9"/>
        <v>125240.30930984124</v>
      </c>
      <c r="K90" s="22"/>
    </row>
    <row r="91" spans="1:14" s="20" customFormat="1">
      <c r="A91" s="79">
        <v>41801</v>
      </c>
      <c r="B91" s="18" t="s">
        <v>363</v>
      </c>
      <c r="C91" s="63"/>
      <c r="D91" s="18">
        <f>(9*3.8)*1.05</f>
        <v>35.909999999999997</v>
      </c>
      <c r="E91" s="44">
        <f t="shared" si="10"/>
        <v>4292.2399999999989</v>
      </c>
      <c r="F91" s="19"/>
      <c r="G91" s="19">
        <f t="shared" si="6"/>
        <v>28.936222013987795</v>
      </c>
      <c r="H91" s="19"/>
      <c r="I91" s="60">
        <f t="shared" si="11"/>
        <v>1039.0997325223016</v>
      </c>
      <c r="J91" s="61">
        <f t="shared" si="9"/>
        <v>124201.20957731894</v>
      </c>
      <c r="K91" s="22"/>
    </row>
    <row r="92" spans="1:14" s="20" customFormat="1">
      <c r="A92" s="79">
        <v>41801</v>
      </c>
      <c r="B92" s="18" t="s">
        <v>364</v>
      </c>
      <c r="C92" s="63"/>
      <c r="D92" s="18">
        <f>(15*5.6+5+2*4.4+2*3.8+3.2+3*2.4+2+3*1.4+6.2+5.2+3.4+2.6+1.6+2*5.4+4+2*2.2+2*1.8+2*1+6*6.6+8*6)*1.05</f>
        <v>266.07</v>
      </c>
      <c r="E92" s="44">
        <f t="shared" si="10"/>
        <v>4026.1699999999987</v>
      </c>
      <c r="F92" s="19"/>
      <c r="G92" s="19">
        <f t="shared" si="6"/>
        <v>28.936222013987795</v>
      </c>
      <c r="H92" s="19"/>
      <c r="I92" s="60">
        <f t="shared" si="11"/>
        <v>7699.060591261732</v>
      </c>
      <c r="J92" s="61">
        <f t="shared" si="9"/>
        <v>116502.1489860572</v>
      </c>
      <c r="K92" s="22"/>
    </row>
    <row r="93" spans="1:14" s="20" customFormat="1">
      <c r="A93" s="79">
        <v>41803</v>
      </c>
      <c r="B93" s="18" t="s">
        <v>371</v>
      </c>
      <c r="C93" s="63"/>
      <c r="D93" s="18">
        <f>(22*5.4+7*3.4+4*3.6+4*2.2+2*1.8+2*1.2+2*1+2*0.4)*1.05</f>
        <v>183.33000000000007</v>
      </c>
      <c r="E93" s="44">
        <f t="shared" si="10"/>
        <v>3842.8399999999988</v>
      </c>
      <c r="F93" s="19"/>
      <c r="G93" s="19">
        <f t="shared" si="6"/>
        <v>28.936222013987795</v>
      </c>
      <c r="H93" s="19"/>
      <c r="I93" s="60">
        <f t="shared" si="11"/>
        <v>5304.8775818243848</v>
      </c>
      <c r="J93" s="61">
        <f t="shared" si="9"/>
        <v>111197.27140423282</v>
      </c>
      <c r="K93" s="22"/>
    </row>
    <row r="94" spans="1:14" s="20" customFormat="1">
      <c r="A94" s="79">
        <v>41804</v>
      </c>
      <c r="B94" s="18" t="s">
        <v>373</v>
      </c>
      <c r="C94" s="63"/>
      <c r="D94" s="18">
        <f>(10*3)*1.05</f>
        <v>31.5</v>
      </c>
      <c r="E94" s="44">
        <f t="shared" si="10"/>
        <v>3811.3399999999988</v>
      </c>
      <c r="F94" s="19"/>
      <c r="G94" s="19">
        <f t="shared" si="6"/>
        <v>28.936222013987791</v>
      </c>
      <c r="H94" s="19"/>
      <c r="I94" s="60">
        <f t="shared" si="11"/>
        <v>911.49099344061551</v>
      </c>
      <c r="J94" s="61">
        <f t="shared" si="9"/>
        <v>110285.7804107922</v>
      </c>
      <c r="K94" s="22"/>
    </row>
    <row r="95" spans="1:14" s="20" customFormat="1">
      <c r="A95" s="79">
        <v>41804</v>
      </c>
      <c r="B95" s="18" t="s">
        <v>374</v>
      </c>
      <c r="C95" s="63"/>
      <c r="D95" s="18">
        <f>(50*3+50*2.2)*1.05</f>
        <v>273</v>
      </c>
      <c r="E95" s="44">
        <f t="shared" si="10"/>
        <v>3538.3399999999988</v>
      </c>
      <c r="F95" s="19"/>
      <c r="G95" s="19">
        <f t="shared" si="6"/>
        <v>28.936222013987791</v>
      </c>
      <c r="H95" s="19"/>
      <c r="I95" s="60">
        <f t="shared" si="11"/>
        <v>7899.5886098186675</v>
      </c>
      <c r="J95" s="61">
        <f t="shared" si="9"/>
        <v>102386.19180097352</v>
      </c>
      <c r="K95" s="22"/>
      <c r="L95" s="145">
        <v>41804</v>
      </c>
      <c r="M95" s="123">
        <f>SUM(I85:I95)</f>
        <v>38470.996529816912</v>
      </c>
    </row>
    <row r="96" spans="1:14" s="20" customFormat="1">
      <c r="A96" s="79">
        <v>41807</v>
      </c>
      <c r="B96" s="18" t="s">
        <v>377</v>
      </c>
      <c r="C96" s="63"/>
      <c r="D96" s="18">
        <f>(4*3.4)*1.05</f>
        <v>14.28</v>
      </c>
      <c r="E96" s="44">
        <f t="shared" si="10"/>
        <v>3524.0599999999986</v>
      </c>
      <c r="F96" s="19"/>
      <c r="G96" s="19">
        <f t="shared" si="6"/>
        <v>28.936222013987791</v>
      </c>
      <c r="H96" s="19"/>
      <c r="I96" s="60">
        <f t="shared" si="11"/>
        <v>413.20925035974562</v>
      </c>
      <c r="J96" s="61">
        <f t="shared" si="9"/>
        <v>101972.98255061377</v>
      </c>
      <c r="K96" s="22"/>
    </row>
    <row r="97" spans="1:14" s="20" customFormat="1">
      <c r="A97" s="79">
        <v>41810</v>
      </c>
      <c r="B97" s="18" t="s">
        <v>380</v>
      </c>
      <c r="C97" s="63"/>
      <c r="D97" s="18">
        <f>(4*3.2)*1.05</f>
        <v>13.440000000000001</v>
      </c>
      <c r="E97" s="44">
        <f t="shared" si="10"/>
        <v>3510.6199999999985</v>
      </c>
      <c r="F97" s="19"/>
      <c r="G97" s="19">
        <f t="shared" si="6"/>
        <v>28.936222013987791</v>
      </c>
      <c r="H97" s="19"/>
      <c r="I97" s="60">
        <f t="shared" si="11"/>
        <v>388.90282386799595</v>
      </c>
      <c r="J97" s="61">
        <f t="shared" si="9"/>
        <v>101584.07972674578</v>
      </c>
      <c r="K97" s="22"/>
    </row>
    <row r="98" spans="1:14" s="20" customFormat="1">
      <c r="A98" s="79">
        <v>41810</v>
      </c>
      <c r="B98" s="18" t="s">
        <v>386</v>
      </c>
      <c r="C98" s="63"/>
      <c r="D98" s="18">
        <f>(4*2.8)*1.05</f>
        <v>11.76</v>
      </c>
      <c r="E98" s="44">
        <f t="shared" si="10"/>
        <v>3498.8599999999983</v>
      </c>
      <c r="F98" s="19"/>
      <c r="G98" s="19">
        <f t="shared" si="6"/>
        <v>28.936222013987791</v>
      </c>
      <c r="H98" s="19"/>
      <c r="I98" s="60">
        <f t="shared" si="11"/>
        <v>340.28997088449643</v>
      </c>
      <c r="J98" s="61">
        <f t="shared" si="9"/>
        <v>101243.78975586129</v>
      </c>
      <c r="K98" s="22"/>
    </row>
    <row r="99" spans="1:14" s="20" customFormat="1">
      <c r="A99" s="79">
        <v>41814</v>
      </c>
      <c r="B99" s="18" t="s">
        <v>389</v>
      </c>
      <c r="C99" s="63"/>
      <c r="D99" s="18">
        <f>(11*3.6)*1.05</f>
        <v>41.580000000000005</v>
      </c>
      <c r="E99" s="44">
        <f t="shared" si="10"/>
        <v>3457.2799999999984</v>
      </c>
      <c r="F99" s="19"/>
      <c r="G99" s="19">
        <f t="shared" si="6"/>
        <v>28.936222013987795</v>
      </c>
      <c r="H99" s="19"/>
      <c r="I99" s="60">
        <f t="shared" si="11"/>
        <v>1203.1681113416125</v>
      </c>
      <c r="J99" s="61">
        <f t="shared" si="9"/>
        <v>100040.62164451968</v>
      </c>
      <c r="K99" s="22"/>
    </row>
    <row r="100" spans="1:14" s="20" customFormat="1">
      <c r="A100" s="79">
        <v>41816</v>
      </c>
      <c r="B100" s="18" t="s">
        <v>395</v>
      </c>
      <c r="C100" s="63"/>
      <c r="D100" s="18">
        <f>(11*5.8+6*6+17*9.8+4*2+4*1.6+4*1.4+4*1+4*0.6+4*0.4)*1.05</f>
        <v>309.12000000000006</v>
      </c>
      <c r="E100" s="44">
        <f t="shared" si="10"/>
        <v>3148.1599999999985</v>
      </c>
      <c r="F100" s="19"/>
      <c r="G100" s="19">
        <f t="shared" si="6"/>
        <v>28.936222013987795</v>
      </c>
      <c r="H100" s="19"/>
      <c r="I100" s="60">
        <f t="shared" si="11"/>
        <v>8944.7649489639098</v>
      </c>
      <c r="J100" s="61">
        <f t="shared" si="9"/>
        <v>91095.856695555762</v>
      </c>
      <c r="K100" s="22"/>
    </row>
    <row r="101" spans="1:14" s="20" customFormat="1">
      <c r="A101" s="79">
        <v>41817</v>
      </c>
      <c r="B101" s="18" t="s">
        <v>397</v>
      </c>
      <c r="C101" s="63"/>
      <c r="D101" s="18">
        <f>(18*5.2+4.8+4.6+2*4+3.4+3.2+2.6+2.4+2*1.8+1+0.6)*1.05</f>
        <v>134.19</v>
      </c>
      <c r="E101" s="44">
        <f t="shared" si="10"/>
        <v>3013.9699999999984</v>
      </c>
      <c r="F101" s="19"/>
      <c r="G101" s="19">
        <f t="shared" si="6"/>
        <v>28.936222013987791</v>
      </c>
      <c r="H101" s="19"/>
      <c r="I101" s="60">
        <f t="shared" si="11"/>
        <v>3882.9516320570219</v>
      </c>
      <c r="J101" s="61">
        <f t="shared" si="9"/>
        <v>87212.905063498736</v>
      </c>
      <c r="K101" s="22"/>
    </row>
    <row r="102" spans="1:14" s="20" customFormat="1">
      <c r="A102" s="79">
        <v>41820</v>
      </c>
      <c r="B102" s="18" t="s">
        <v>401</v>
      </c>
      <c r="C102" s="63"/>
      <c r="D102" s="18">
        <f>(18*5.2+11*4.6+5*4+3.2+3*2.4+3*1.6+0.8+1.4+2+3*3+3.6+2*3.8+2*1+5*4.2)*1.05</f>
        <v>238.14</v>
      </c>
      <c r="E102" s="44">
        <f t="shared" si="10"/>
        <v>2775.8299999999986</v>
      </c>
      <c r="F102" s="19"/>
      <c r="G102" s="19">
        <f t="shared" si="6"/>
        <v>28.936222013987791</v>
      </c>
      <c r="H102" s="19"/>
      <c r="I102" s="60">
        <f t="shared" si="11"/>
        <v>6890.8719104110523</v>
      </c>
      <c r="J102" s="61">
        <f t="shared" si="9"/>
        <v>80322.033153087687</v>
      </c>
      <c r="K102" s="111">
        <f>SUM(I85:I102)</f>
        <v>60535.155177702749</v>
      </c>
      <c r="L102" s="145">
        <v>41820</v>
      </c>
      <c r="M102" s="123">
        <f>SUM(I96:I102)</f>
        <v>22064.158647885833</v>
      </c>
      <c r="N102" s="123">
        <f>SUM(M95:M102)</f>
        <v>60535.155177702749</v>
      </c>
    </row>
    <row r="103" spans="1:14" s="20" customFormat="1">
      <c r="A103" s="79">
        <v>41824</v>
      </c>
      <c r="B103" s="18" t="s">
        <v>409</v>
      </c>
      <c r="C103" s="63"/>
      <c r="D103" s="18">
        <f>(31*6.2)*1.05</f>
        <v>201.81000000000003</v>
      </c>
      <c r="E103" s="44">
        <f t="shared" si="10"/>
        <v>2574.0199999999986</v>
      </c>
      <c r="F103" s="19"/>
      <c r="G103" s="19">
        <f t="shared" si="6"/>
        <v>28.936222013987791</v>
      </c>
      <c r="H103" s="19"/>
      <c r="I103" s="60">
        <f t="shared" si="11"/>
        <v>5839.6189646428775</v>
      </c>
      <c r="J103" s="61">
        <f t="shared" si="9"/>
        <v>74482.414188444804</v>
      </c>
      <c r="K103" s="22"/>
    </row>
    <row r="104" spans="1:14" s="20" customFormat="1">
      <c r="A104" s="79">
        <v>41824</v>
      </c>
      <c r="B104" s="18" t="s">
        <v>412</v>
      </c>
      <c r="C104" s="63"/>
      <c r="D104" s="18">
        <f>(11*6.2+2*7.2+3*6.8+3*3.6+3*4.4)*1.05</f>
        <v>133.35</v>
      </c>
      <c r="E104" s="44">
        <f t="shared" si="10"/>
        <v>2440.6699999999987</v>
      </c>
      <c r="F104" s="19"/>
      <c r="G104" s="19">
        <f t="shared" si="6"/>
        <v>28.936222013987788</v>
      </c>
      <c r="H104" s="19"/>
      <c r="I104" s="60">
        <f t="shared" si="11"/>
        <v>3858.6452055652717</v>
      </c>
      <c r="J104" s="61">
        <f t="shared" si="9"/>
        <v>70623.768982879526</v>
      </c>
      <c r="K104" s="22"/>
    </row>
    <row r="105" spans="1:14" s="20" customFormat="1">
      <c r="A105" s="79">
        <v>41831</v>
      </c>
      <c r="B105" s="18" t="s">
        <v>437</v>
      </c>
      <c r="C105" s="63"/>
      <c r="D105" s="18">
        <f>(4*6.2+6*5.2)*1.05</f>
        <v>58.800000000000004</v>
      </c>
      <c r="E105" s="44">
        <f t="shared" si="10"/>
        <v>2381.8699999999985</v>
      </c>
      <c r="F105" s="19"/>
      <c r="G105" s="19">
        <f t="shared" si="6"/>
        <v>28.936222013987784</v>
      </c>
      <c r="H105" s="19"/>
      <c r="I105" s="60">
        <f t="shared" si="11"/>
        <v>1701.4498544224821</v>
      </c>
      <c r="J105" s="61">
        <f t="shared" si="9"/>
        <v>68922.319128457049</v>
      </c>
      <c r="K105" s="22"/>
    </row>
    <row r="106" spans="1:14" s="20" customFormat="1">
      <c r="A106" s="79">
        <v>41831</v>
      </c>
      <c r="B106" s="18" t="s">
        <v>439</v>
      </c>
      <c r="C106" s="63"/>
      <c r="D106" s="18">
        <f>(18*3.8)*1.05+4+2</f>
        <v>77.819999999999993</v>
      </c>
      <c r="E106" s="44">
        <f t="shared" si="10"/>
        <v>2304.0499999999984</v>
      </c>
      <c r="F106" s="19"/>
      <c r="G106" s="19">
        <f t="shared" si="6"/>
        <v>28.936222013987788</v>
      </c>
      <c r="H106" s="19"/>
      <c r="I106" s="60">
        <f t="shared" si="11"/>
        <v>2251.8167971285293</v>
      </c>
      <c r="J106" s="61">
        <f t="shared" si="9"/>
        <v>66670.50233132852</v>
      </c>
      <c r="K106" s="22"/>
    </row>
    <row r="107" spans="1:14" s="20" customFormat="1">
      <c r="A107" s="79">
        <v>41831</v>
      </c>
      <c r="B107" s="18" t="s">
        <v>440</v>
      </c>
      <c r="C107" s="63"/>
      <c r="D107" s="18">
        <f>64*4+44*4.2+15*4.6</f>
        <v>509.8</v>
      </c>
      <c r="E107" s="44">
        <f t="shared" si="10"/>
        <v>1794.2499999999984</v>
      </c>
      <c r="F107" s="19"/>
      <c r="G107" s="19">
        <f t="shared" si="6"/>
        <v>28.936222013987791</v>
      </c>
      <c r="H107" s="19"/>
      <c r="I107" s="60">
        <f t="shared" si="11"/>
        <v>14751.685982730975</v>
      </c>
      <c r="J107" s="61">
        <f t="shared" si="9"/>
        <v>51918.816348597546</v>
      </c>
      <c r="K107" s="22"/>
    </row>
    <row r="108" spans="1:14" s="20" customFormat="1">
      <c r="A108" s="79">
        <v>41831</v>
      </c>
      <c r="B108" s="18" t="s">
        <v>441</v>
      </c>
      <c r="C108" s="63"/>
      <c r="D108" s="18">
        <f>35*6.5</f>
        <v>227.5</v>
      </c>
      <c r="E108" s="44">
        <f t="shared" si="10"/>
        <v>1566.7499999999984</v>
      </c>
      <c r="F108" s="19"/>
      <c r="G108" s="19">
        <f t="shared" si="6"/>
        <v>28.936222013987791</v>
      </c>
      <c r="H108" s="19"/>
      <c r="I108" s="60">
        <f t="shared" si="11"/>
        <v>6582.9905081822226</v>
      </c>
      <c r="J108" s="61">
        <f t="shared" si="9"/>
        <v>45335.825840415324</v>
      </c>
      <c r="K108" s="22"/>
    </row>
    <row r="109" spans="1:14" s="20" customFormat="1">
      <c r="A109" s="79">
        <v>41834</v>
      </c>
      <c r="B109" s="18" t="s">
        <v>444</v>
      </c>
      <c r="C109" s="63"/>
      <c r="D109" s="18">
        <f>(8*3.8)*1.05</f>
        <v>31.919999999999998</v>
      </c>
      <c r="E109" s="44">
        <f t="shared" si="10"/>
        <v>1534.8299999999983</v>
      </c>
      <c r="F109" s="19"/>
      <c r="G109" s="19">
        <f t="shared" si="6"/>
        <v>28.936222013987791</v>
      </c>
      <c r="H109" s="19"/>
      <c r="I109" s="60">
        <f t="shared" si="11"/>
        <v>923.64420668649029</v>
      </c>
      <c r="J109" s="61">
        <f t="shared" si="9"/>
        <v>44412.181633728833</v>
      </c>
      <c r="K109" s="22"/>
    </row>
    <row r="110" spans="1:14" s="20" customFormat="1">
      <c r="A110" s="79">
        <v>41834</v>
      </c>
      <c r="B110" s="18" t="s">
        <v>445</v>
      </c>
      <c r="C110" s="63"/>
      <c r="D110" s="18">
        <f>(14*4.8)*1.05</f>
        <v>70.56</v>
      </c>
      <c r="E110" s="44">
        <f t="shared" si="10"/>
        <v>1464.2699999999984</v>
      </c>
      <c r="F110" s="19"/>
      <c r="G110" s="19">
        <f t="shared" si="6"/>
        <v>28.936222013987791</v>
      </c>
      <c r="H110" s="19"/>
      <c r="I110" s="60">
        <f t="shared" si="11"/>
        <v>2041.7398253069787</v>
      </c>
      <c r="J110" s="61">
        <f t="shared" si="9"/>
        <v>42370.441808421856</v>
      </c>
      <c r="K110" s="22"/>
      <c r="L110" s="145">
        <v>41835</v>
      </c>
      <c r="M110" s="123">
        <f>SUM(I103:I110)</f>
        <v>37951.591344665823</v>
      </c>
    </row>
    <row r="111" spans="1:14" s="20" customFormat="1">
      <c r="A111" s="79">
        <v>41837</v>
      </c>
      <c r="B111" s="18" t="s">
        <v>453</v>
      </c>
      <c r="C111" s="63"/>
      <c r="D111" s="18">
        <f>(8*1)*1.05</f>
        <v>8.4</v>
      </c>
      <c r="E111" s="44">
        <f t="shared" si="10"/>
        <v>1455.8699999999983</v>
      </c>
      <c r="F111" s="19"/>
      <c r="G111" s="19">
        <f t="shared" si="6"/>
        <v>28.936222013987791</v>
      </c>
      <c r="H111" s="19"/>
      <c r="I111" s="60">
        <f t="shared" si="11"/>
        <v>243.06426491749747</v>
      </c>
      <c r="J111" s="61">
        <f t="shared" si="9"/>
        <v>42127.377543504357</v>
      </c>
      <c r="K111" s="22"/>
    </row>
    <row r="112" spans="1:14" s="20" customFormat="1">
      <c r="A112" s="79">
        <v>41837</v>
      </c>
      <c r="B112" s="18" t="s">
        <v>454</v>
      </c>
      <c r="C112" s="63"/>
      <c r="D112" s="18">
        <f>(3*1)*1.05+2</f>
        <v>5.15</v>
      </c>
      <c r="E112" s="44">
        <f t="shared" si="10"/>
        <v>1450.7199999999982</v>
      </c>
      <c r="F112" s="19"/>
      <c r="G112" s="19">
        <f t="shared" si="6"/>
        <v>28.936222013987791</v>
      </c>
      <c r="H112" s="19"/>
      <c r="I112" s="60">
        <f t="shared" si="11"/>
        <v>149.02154337203714</v>
      </c>
      <c r="J112" s="61">
        <f t="shared" si="9"/>
        <v>41978.35600013232</v>
      </c>
      <c r="K112" s="22"/>
    </row>
    <row r="113" spans="1:14" s="20" customFormat="1">
      <c r="A113" s="79">
        <v>41839</v>
      </c>
      <c r="B113" s="18" t="s">
        <v>461</v>
      </c>
      <c r="C113" s="63"/>
      <c r="D113" s="18">
        <f>(6.6+3*6.4+2*6.2+3*6+3*5.8+5.4+4*3.8+4*2.4+0.8+2*5.6+8*5+2*4.2+3*3.4+4*2.6+6*1.8+2*1+4.8+4*3+2.2+4*1.2)*1.05</f>
        <v>232.47000000000006</v>
      </c>
      <c r="E113" s="44">
        <f t="shared" si="10"/>
        <v>1218.2499999999982</v>
      </c>
      <c r="F113" s="19"/>
      <c r="G113" s="19">
        <f t="shared" si="6"/>
        <v>28.936222013987795</v>
      </c>
      <c r="H113" s="19"/>
      <c r="I113" s="60">
        <f t="shared" si="11"/>
        <v>6726.8035315917432</v>
      </c>
      <c r="J113" s="61">
        <f t="shared" si="9"/>
        <v>35251.552468540576</v>
      </c>
      <c r="K113" s="22"/>
    </row>
    <row r="114" spans="1:14" s="20" customFormat="1">
      <c r="A114" s="79">
        <v>41839</v>
      </c>
      <c r="B114" s="18" t="s">
        <v>462</v>
      </c>
      <c r="C114" s="63"/>
      <c r="D114" s="18">
        <f>(2*5.2+3.2+4.4+0.4+1.4+2.8+2*4.6+4*3.6+2*1.6+2*0.6)*1.05+22</f>
        <v>75.13</v>
      </c>
      <c r="E114" s="44">
        <f t="shared" si="10"/>
        <v>1143.1199999999981</v>
      </c>
      <c r="F114" s="19"/>
      <c r="G114" s="19">
        <f t="shared" si="6"/>
        <v>28.936222013987795</v>
      </c>
      <c r="H114" s="19"/>
      <c r="I114" s="60">
        <f t="shared" si="11"/>
        <v>2173.9783599109028</v>
      </c>
      <c r="J114" s="61">
        <f t="shared" si="9"/>
        <v>33077.574108629677</v>
      </c>
      <c r="K114" s="22"/>
    </row>
    <row r="115" spans="1:14" s="20" customFormat="1">
      <c r="A115" s="79">
        <v>41841</v>
      </c>
      <c r="B115" s="18" t="s">
        <v>466</v>
      </c>
      <c r="C115" s="63"/>
      <c r="D115" s="18">
        <f>(7*6+7*4.4+4*3)*1.05</f>
        <v>89.04000000000002</v>
      </c>
      <c r="E115" s="44">
        <f t="shared" si="10"/>
        <v>1054.0799999999981</v>
      </c>
      <c r="F115" s="19"/>
      <c r="G115" s="19">
        <f t="shared" si="6"/>
        <v>28.936222013987798</v>
      </c>
      <c r="H115" s="19"/>
      <c r="I115" s="60">
        <f t="shared" si="11"/>
        <v>2576.481208125474</v>
      </c>
      <c r="J115" s="61">
        <f t="shared" si="9"/>
        <v>30501.092900504202</v>
      </c>
      <c r="K115" s="111">
        <f>SUM(I103:I115)</f>
        <v>49820.940252583474</v>
      </c>
      <c r="L115" s="145">
        <v>41851</v>
      </c>
      <c r="M115" s="123">
        <f>SUM(I111:I115)</f>
        <v>11869.348907917654</v>
      </c>
      <c r="N115" s="123">
        <f>SUM(M110:M115)</f>
        <v>49820.940252583474</v>
      </c>
    </row>
    <row r="116" spans="1:14" s="20" customFormat="1">
      <c r="A116" s="79">
        <v>41855</v>
      </c>
      <c r="B116" s="18" t="s">
        <v>527</v>
      </c>
      <c r="C116" s="63"/>
      <c r="D116" s="18">
        <f>(23*6.2+3*6+3*5.2+3*4.4+2*3.6+2*2.8+2*2+1.4+5.4+4.6+2*3.8+2*3+2*2.2+2*1.6+2*0.8+1.2+0.6)*1.05+10</f>
        <v>264.30999999999995</v>
      </c>
      <c r="E116" s="44">
        <f t="shared" ref="E116:E125" si="12">E115-D116</f>
        <v>789.76999999999816</v>
      </c>
      <c r="F116" s="19"/>
      <c r="G116" s="19">
        <f t="shared" ref="G116:G125" si="13">+J115/E115</f>
        <v>28.936222013987795</v>
      </c>
      <c r="H116" s="19"/>
      <c r="I116" s="60">
        <f t="shared" ref="I116:I125" si="14">D116*G115</f>
        <v>7648.1328405171134</v>
      </c>
      <c r="J116" s="61">
        <f t="shared" ref="J116:J125" si="15">+J115-I116</f>
        <v>22852.96005998709</v>
      </c>
      <c r="K116" s="22"/>
    </row>
    <row r="117" spans="1:14" s="20" customFormat="1">
      <c r="A117" s="79">
        <v>41859</v>
      </c>
      <c r="B117" s="18" t="s">
        <v>528</v>
      </c>
      <c r="C117" s="63"/>
      <c r="D117" s="18">
        <v>11</v>
      </c>
      <c r="E117" s="44">
        <f t="shared" si="12"/>
        <v>778.76999999999816</v>
      </c>
      <c r="F117" s="19"/>
      <c r="G117" s="19">
        <f t="shared" si="13"/>
        <v>28.936222013987798</v>
      </c>
      <c r="H117" s="19"/>
      <c r="I117" s="60">
        <f t="shared" si="14"/>
        <v>318.29844215386572</v>
      </c>
      <c r="J117" s="61">
        <f t="shared" si="15"/>
        <v>22534.661617833226</v>
      </c>
      <c r="K117" s="22"/>
    </row>
    <row r="118" spans="1:14" s="20" customFormat="1">
      <c r="A118" s="79">
        <v>41862</v>
      </c>
      <c r="B118" s="18" t="s">
        <v>529</v>
      </c>
      <c r="C118" s="63"/>
      <c r="D118" s="18">
        <v>12</v>
      </c>
      <c r="E118" s="44">
        <f t="shared" si="12"/>
        <v>766.76999999999816</v>
      </c>
      <c r="F118" s="19"/>
      <c r="G118" s="19">
        <f t="shared" si="13"/>
        <v>28.936222013987802</v>
      </c>
      <c r="H118" s="19"/>
      <c r="I118" s="60">
        <f t="shared" si="14"/>
        <v>347.23466416785357</v>
      </c>
      <c r="J118" s="61">
        <f t="shared" si="15"/>
        <v>22187.426953665374</v>
      </c>
      <c r="K118" s="22"/>
    </row>
    <row r="119" spans="1:14" s="20" customFormat="1">
      <c r="A119" s="79">
        <v>41866</v>
      </c>
      <c r="B119" s="18" t="s">
        <v>530</v>
      </c>
      <c r="C119" s="63"/>
      <c r="D119" s="18">
        <v>6</v>
      </c>
      <c r="E119" s="44">
        <f t="shared" si="12"/>
        <v>760.76999999999816</v>
      </c>
      <c r="F119" s="19"/>
      <c r="G119" s="19">
        <f t="shared" si="13"/>
        <v>28.936222013987802</v>
      </c>
      <c r="H119" s="19"/>
      <c r="I119" s="60">
        <f t="shared" si="14"/>
        <v>173.61733208392681</v>
      </c>
      <c r="J119" s="61">
        <f t="shared" si="15"/>
        <v>22013.809621581448</v>
      </c>
      <c r="K119" s="22"/>
    </row>
    <row r="120" spans="1:14" s="20" customFormat="1">
      <c r="A120" s="79">
        <v>41866</v>
      </c>
      <c r="B120" s="18" t="s">
        <v>531</v>
      </c>
      <c r="C120" s="63"/>
      <c r="D120" s="18">
        <v>3</v>
      </c>
      <c r="E120" s="44">
        <f t="shared" si="12"/>
        <v>757.76999999999816</v>
      </c>
      <c r="F120" s="19"/>
      <c r="G120" s="19">
        <f t="shared" si="13"/>
        <v>28.936222013987802</v>
      </c>
      <c r="H120" s="19"/>
      <c r="I120" s="60">
        <f t="shared" si="14"/>
        <v>86.808666041963406</v>
      </c>
      <c r="J120" s="61">
        <f t="shared" si="15"/>
        <v>21927.000955539483</v>
      </c>
      <c r="K120" s="22"/>
      <c r="L120" s="145">
        <v>41866</v>
      </c>
      <c r="M120" s="123">
        <f>SUM(I116:I120)</f>
        <v>8574.0919449647226</v>
      </c>
    </row>
    <row r="121" spans="1:14" s="20" customFormat="1">
      <c r="A121" s="79">
        <v>41872</v>
      </c>
      <c r="B121" s="18" t="s">
        <v>532</v>
      </c>
      <c r="C121" s="63"/>
      <c r="D121" s="18">
        <v>5</v>
      </c>
      <c r="E121" s="44">
        <f t="shared" si="12"/>
        <v>752.76999999999816</v>
      </c>
      <c r="F121" s="19"/>
      <c r="G121" s="19">
        <f t="shared" si="13"/>
        <v>28.936222013987802</v>
      </c>
      <c r="H121" s="19"/>
      <c r="I121" s="60">
        <f t="shared" si="14"/>
        <v>144.681110069939</v>
      </c>
      <c r="J121" s="61">
        <f t="shared" si="15"/>
        <v>21782.319845469545</v>
      </c>
      <c r="K121" s="22"/>
    </row>
    <row r="122" spans="1:14" s="20" customFormat="1">
      <c r="A122" s="79">
        <v>41872</v>
      </c>
      <c r="B122" s="18" t="s">
        <v>533</v>
      </c>
      <c r="C122" s="63"/>
      <c r="D122" s="18">
        <v>11</v>
      </c>
      <c r="E122" s="44">
        <f t="shared" si="12"/>
        <v>741.76999999999816</v>
      </c>
      <c r="F122" s="19"/>
      <c r="G122" s="19">
        <f t="shared" si="13"/>
        <v>28.936222013987802</v>
      </c>
      <c r="H122" s="19"/>
      <c r="I122" s="60">
        <f t="shared" si="14"/>
        <v>318.29844215386584</v>
      </c>
      <c r="J122" s="61">
        <f t="shared" si="15"/>
        <v>21464.021403315681</v>
      </c>
      <c r="K122" s="22"/>
    </row>
    <row r="123" spans="1:14" s="20" customFormat="1">
      <c r="A123" s="79">
        <v>41874</v>
      </c>
      <c r="B123" s="18" t="s">
        <v>534</v>
      </c>
      <c r="C123" s="63"/>
      <c r="D123" s="18">
        <v>3</v>
      </c>
      <c r="E123" s="44">
        <f t="shared" si="12"/>
        <v>738.76999999999816</v>
      </c>
      <c r="F123" s="19"/>
      <c r="G123" s="19">
        <f t="shared" si="13"/>
        <v>28.936222013987805</v>
      </c>
      <c r="H123" s="19"/>
      <c r="I123" s="60">
        <f t="shared" si="14"/>
        <v>86.808666041963406</v>
      </c>
      <c r="J123" s="61">
        <f t="shared" si="15"/>
        <v>21377.212737273716</v>
      </c>
      <c r="K123" s="22"/>
    </row>
    <row r="124" spans="1:14" s="20" customFormat="1">
      <c r="A124" s="79">
        <v>41877</v>
      </c>
      <c r="B124" s="18" t="s">
        <v>535</v>
      </c>
      <c r="C124" s="63"/>
      <c r="D124" s="18">
        <v>4</v>
      </c>
      <c r="E124" s="44">
        <f t="shared" si="12"/>
        <v>734.76999999999816</v>
      </c>
      <c r="F124" s="19"/>
      <c r="G124" s="19">
        <f t="shared" si="13"/>
        <v>28.936222013987802</v>
      </c>
      <c r="H124" s="19"/>
      <c r="I124" s="60">
        <f t="shared" si="14"/>
        <v>115.74488805595122</v>
      </c>
      <c r="J124" s="61">
        <f t="shared" si="15"/>
        <v>21261.467849217766</v>
      </c>
      <c r="K124" s="22"/>
    </row>
    <row r="125" spans="1:14" s="62" customFormat="1">
      <c r="A125" s="79">
        <v>41877</v>
      </c>
      <c r="B125" s="18" t="s">
        <v>536</v>
      </c>
      <c r="C125" s="63"/>
      <c r="D125" s="18">
        <v>6</v>
      </c>
      <c r="E125" s="44">
        <f t="shared" si="12"/>
        <v>728.76999999999816</v>
      </c>
      <c r="F125" s="19"/>
      <c r="G125" s="19">
        <f t="shared" si="13"/>
        <v>28.936222013987805</v>
      </c>
      <c r="H125" s="19"/>
      <c r="I125" s="60">
        <f t="shared" si="14"/>
        <v>173.61733208392681</v>
      </c>
      <c r="J125" s="61">
        <f t="shared" si="15"/>
        <v>21087.85051713384</v>
      </c>
      <c r="K125" s="112">
        <f>SUM(I116:I125)</f>
        <v>9413.2423833703688</v>
      </c>
      <c r="L125" s="147">
        <v>41882</v>
      </c>
      <c r="M125" s="146">
        <f>SUM(I121:I125)</f>
        <v>839.15043840564636</v>
      </c>
      <c r="N125" s="146">
        <f>SUM(M120:M125)</f>
        <v>9413.2423833703688</v>
      </c>
    </row>
    <row r="126" spans="1:14" s="62" customFormat="1">
      <c r="A126" s="79"/>
      <c r="B126" s="18"/>
      <c r="C126" s="63"/>
      <c r="D126" s="18"/>
      <c r="E126" s="44"/>
      <c r="F126" s="19"/>
      <c r="G126" s="19"/>
      <c r="H126" s="19"/>
      <c r="I126" s="60"/>
      <c r="J126" s="61"/>
      <c r="K126" s="18"/>
    </row>
    <row r="127" spans="1:14" s="20" customFormat="1">
      <c r="A127" s="79"/>
      <c r="B127" s="18" t="s">
        <v>862</v>
      </c>
      <c r="C127" s="63">
        <f>SUM(C9:C125)</f>
        <v>12026.23</v>
      </c>
      <c r="D127" s="63">
        <f>SUM(D9:D125)</f>
        <v>11297.460000000001</v>
      </c>
      <c r="E127" s="63">
        <f>+C127-D127</f>
        <v>728.76999999999862</v>
      </c>
      <c r="F127" s="19"/>
      <c r="G127" s="19"/>
      <c r="H127" s="61">
        <f>SUM(H9:H125)</f>
        <v>340822.54</v>
      </c>
      <c r="I127" s="61">
        <f>SUM(I9:I125)</f>
        <v>319734.68948286597</v>
      </c>
      <c r="J127" s="61">
        <f>+H127-I127</f>
        <v>21087.850517134008</v>
      </c>
      <c r="K127" s="22"/>
      <c r="N127" s="123">
        <f>SUM(N26:N126)</f>
        <v>319734.68948286615</v>
      </c>
    </row>
    <row r="128" spans="1:14" s="20" customFormat="1">
      <c r="A128" s="58"/>
      <c r="B128" s="22"/>
      <c r="C128" s="23"/>
      <c r="D128" s="27"/>
      <c r="E128" s="24"/>
      <c r="F128" s="43"/>
      <c r="G128" s="43"/>
      <c r="H128" s="19"/>
      <c r="I128" s="25"/>
      <c r="J128" s="26"/>
      <c r="K128" s="22"/>
    </row>
    <row r="129" spans="1:11" s="20" customFormat="1">
      <c r="A129" s="98"/>
      <c r="B129" s="32"/>
      <c r="C129" s="99"/>
      <c r="D129" s="100"/>
      <c r="E129" s="101"/>
      <c r="F129" s="102"/>
      <c r="G129" s="102"/>
      <c r="H129" s="103"/>
      <c r="I129" s="104"/>
      <c r="J129" s="105"/>
      <c r="K129" s="32"/>
    </row>
    <row r="130" spans="1:11" s="20" customFormat="1">
      <c r="A130" s="96" t="s">
        <v>863</v>
      </c>
      <c r="B130" s="32"/>
      <c r="C130" s="2"/>
      <c r="D130" s="2"/>
      <c r="E130" s="2"/>
      <c r="F130" s="2"/>
      <c r="G130" s="102"/>
      <c r="H130" s="103"/>
      <c r="I130" s="104"/>
      <c r="J130" s="105"/>
      <c r="K130" s="32"/>
    </row>
    <row r="131" spans="1:11" s="20" customFormat="1">
      <c r="A131" s="96"/>
      <c r="B131" s="32"/>
      <c r="C131" s="2"/>
      <c r="D131" s="2"/>
      <c r="E131" s="2"/>
      <c r="F131" s="2"/>
      <c r="G131" s="102"/>
      <c r="H131" s="103"/>
      <c r="I131" s="104"/>
      <c r="J131" s="105"/>
      <c r="K131" s="32"/>
    </row>
    <row r="132" spans="1:11" s="20" customFormat="1">
      <c r="A132" s="96" t="s">
        <v>864</v>
      </c>
      <c r="B132" s="32"/>
      <c r="C132" s="2"/>
      <c r="D132" s="2"/>
      <c r="E132" s="2"/>
      <c r="F132" s="2"/>
      <c r="G132" s="102"/>
      <c r="H132" s="103"/>
      <c r="I132" s="104"/>
      <c r="J132" s="105">
        <v>21326.46</v>
      </c>
      <c r="K132" s="32"/>
    </row>
    <row r="133" spans="1:11" s="20" customFormat="1">
      <c r="A133" s="96" t="s">
        <v>865</v>
      </c>
      <c r="B133" s="32"/>
      <c r="C133" s="2"/>
      <c r="D133" s="2"/>
      <c r="E133" s="2"/>
      <c r="F133" s="2"/>
      <c r="G133" s="102"/>
      <c r="H133" s="103"/>
      <c r="I133" s="104"/>
      <c r="J133" s="124">
        <f>+J127</f>
        <v>21087.850517134008</v>
      </c>
      <c r="K133" s="32"/>
    </row>
    <row r="134" spans="1:11" s="20" customFormat="1">
      <c r="A134" s="96"/>
      <c r="B134" s="32" t="s">
        <v>866</v>
      </c>
      <c r="C134" s="2"/>
      <c r="D134" s="2"/>
      <c r="E134" s="2"/>
      <c r="F134" s="2"/>
      <c r="G134" s="102"/>
      <c r="H134" s="103"/>
      <c r="I134" s="104"/>
      <c r="J134" s="105">
        <v>240.76</v>
      </c>
      <c r="K134" s="32"/>
    </row>
    <row r="135" spans="1:11" s="20" customFormat="1">
      <c r="A135" s="98"/>
      <c r="B135" s="32"/>
      <c r="C135" s="99"/>
      <c r="D135" s="100"/>
      <c r="E135" s="101"/>
      <c r="F135" s="102"/>
      <c r="G135" s="102"/>
      <c r="H135" s="103"/>
      <c r="I135" s="104"/>
      <c r="J135" s="105"/>
      <c r="K135" s="32"/>
    </row>
    <row r="136" spans="1:11" s="20" customFormat="1">
      <c r="A136" s="98"/>
      <c r="B136" s="32"/>
      <c r="C136" s="99"/>
      <c r="D136" s="100"/>
      <c r="E136" s="101"/>
      <c r="F136" s="102"/>
      <c r="G136" s="102"/>
      <c r="H136" s="103"/>
      <c r="I136" s="104"/>
      <c r="J136" s="105"/>
      <c r="K136" s="32"/>
    </row>
    <row r="137" spans="1:11" s="20" customFormat="1">
      <c r="A137" s="98"/>
      <c r="B137" s="32"/>
      <c r="C137" s="99"/>
      <c r="D137" s="100"/>
      <c r="E137" s="101"/>
      <c r="F137" s="102"/>
      <c r="G137" s="102"/>
      <c r="H137" s="103"/>
      <c r="I137" s="104"/>
      <c r="J137" s="105"/>
      <c r="K137" s="32"/>
    </row>
    <row r="138" spans="1:11" s="20" customFormat="1">
      <c r="A138" s="98"/>
      <c r="B138" s="32"/>
      <c r="C138" s="99"/>
      <c r="D138" s="100"/>
      <c r="E138" s="101"/>
      <c r="F138" s="102"/>
      <c r="G138" s="102"/>
      <c r="H138" s="103"/>
      <c r="I138" s="104"/>
      <c r="J138" s="105"/>
      <c r="K138" s="32"/>
    </row>
    <row r="139" spans="1:11" s="20" customFormat="1">
      <c r="A139" s="98"/>
      <c r="B139" s="32"/>
      <c r="C139" s="99"/>
      <c r="D139" s="100"/>
      <c r="E139" s="101"/>
      <c r="F139" s="102"/>
      <c r="G139" s="102"/>
      <c r="H139" s="103"/>
      <c r="I139" s="104"/>
      <c r="J139" s="105"/>
      <c r="K139" s="32"/>
    </row>
    <row r="140" spans="1:11" s="20" customFormat="1">
      <c r="A140" s="98"/>
      <c r="B140" s="32"/>
      <c r="C140" s="99"/>
      <c r="D140" s="100"/>
      <c r="E140" s="101"/>
      <c r="F140" s="102"/>
      <c r="G140" s="102"/>
      <c r="H140" s="103"/>
      <c r="I140" s="104"/>
      <c r="J140" s="105"/>
      <c r="K140" s="32"/>
    </row>
    <row r="141" spans="1:11" s="20" customFormat="1">
      <c r="A141" s="98"/>
      <c r="B141" s="32"/>
      <c r="C141" s="99"/>
      <c r="D141" s="100"/>
      <c r="E141" s="101"/>
      <c r="F141" s="102"/>
      <c r="G141" s="102"/>
      <c r="H141" s="103"/>
      <c r="I141" s="104"/>
      <c r="J141" s="105"/>
      <c r="K141" s="32"/>
    </row>
    <row r="142" spans="1:11" s="20" customFormat="1">
      <c r="A142" s="98"/>
      <c r="B142" s="32"/>
      <c r="C142" s="99"/>
      <c r="D142" s="100"/>
      <c r="E142" s="101"/>
      <c r="F142" s="102"/>
      <c r="G142" s="102"/>
      <c r="H142" s="103"/>
      <c r="I142" s="104"/>
      <c r="J142" s="105"/>
      <c r="K142" s="32"/>
    </row>
    <row r="143" spans="1:11" s="20" customFormat="1">
      <c r="A143" s="98"/>
      <c r="B143" s="32"/>
      <c r="C143" s="99"/>
      <c r="D143" s="100"/>
      <c r="E143" s="101"/>
      <c r="F143" s="102"/>
      <c r="G143" s="102"/>
      <c r="H143" s="103"/>
      <c r="I143" s="104"/>
      <c r="J143" s="105"/>
      <c r="K143" s="32"/>
    </row>
    <row r="144" spans="1:11" s="20" customFormat="1">
      <c r="A144" s="98"/>
      <c r="B144" s="32"/>
      <c r="C144" s="99"/>
      <c r="D144" s="100"/>
      <c r="E144" s="101"/>
      <c r="F144" s="102"/>
      <c r="G144" s="102"/>
      <c r="H144" s="103"/>
      <c r="I144" s="104"/>
      <c r="J144" s="105"/>
      <c r="K144" s="32"/>
    </row>
    <row r="145" spans="1:11" s="20" customFormat="1">
      <c r="A145" s="98"/>
      <c r="B145" s="32"/>
      <c r="C145" s="99"/>
      <c r="D145" s="100"/>
      <c r="E145" s="101"/>
      <c r="F145" s="102"/>
      <c r="G145" s="102"/>
      <c r="H145" s="103"/>
      <c r="I145" s="104"/>
      <c r="J145" s="105"/>
      <c r="K145" s="32"/>
    </row>
    <row r="146" spans="1:11" s="20" customFormat="1">
      <c r="A146" s="98"/>
      <c r="B146" s="32"/>
      <c r="C146" s="99"/>
      <c r="D146" s="100"/>
      <c r="E146" s="101"/>
      <c r="F146" s="102"/>
      <c r="G146" s="102"/>
      <c r="H146" s="103"/>
      <c r="I146" s="104"/>
      <c r="J146" s="105"/>
      <c r="K146" s="32"/>
    </row>
    <row r="147" spans="1:11" s="20" customFormat="1">
      <c r="A147" s="98"/>
      <c r="B147" s="32"/>
      <c r="C147" s="99"/>
      <c r="D147" s="100"/>
      <c r="E147" s="101"/>
      <c r="F147" s="102"/>
      <c r="G147" s="102"/>
      <c r="H147" s="103"/>
      <c r="I147" s="104"/>
      <c r="J147" s="105"/>
      <c r="K147" s="32"/>
    </row>
    <row r="148" spans="1:11" s="20" customFormat="1">
      <c r="A148" s="98"/>
      <c r="B148" s="32"/>
      <c r="C148" s="99"/>
      <c r="D148" s="100"/>
      <c r="E148" s="101"/>
      <c r="F148" s="102"/>
      <c r="G148" s="102"/>
      <c r="H148" s="103"/>
      <c r="I148" s="104"/>
      <c r="J148" s="105"/>
      <c r="K148" s="32"/>
    </row>
    <row r="149" spans="1:11" s="20" customFormat="1">
      <c r="A149" s="98"/>
      <c r="B149" s="32"/>
      <c r="C149" s="99"/>
      <c r="D149" s="100"/>
      <c r="E149" s="101"/>
      <c r="F149" s="102"/>
      <c r="G149" s="102"/>
      <c r="H149" s="103"/>
      <c r="I149" s="104"/>
      <c r="J149" s="105"/>
      <c r="K149" s="32"/>
    </row>
    <row r="150" spans="1:11" s="20" customFormat="1">
      <c r="A150" s="98"/>
      <c r="B150" s="32"/>
      <c r="C150" s="99"/>
      <c r="D150" s="100"/>
      <c r="E150" s="101"/>
      <c r="F150" s="102"/>
      <c r="G150" s="102"/>
      <c r="H150" s="103"/>
      <c r="I150" s="104"/>
      <c r="J150" s="105"/>
      <c r="K150" s="32"/>
    </row>
    <row r="151" spans="1:11" s="20" customFormat="1">
      <c r="A151" s="98"/>
      <c r="B151" s="32"/>
      <c r="C151" s="99"/>
      <c r="D151" s="100"/>
      <c r="E151" s="101"/>
      <c r="F151" s="102"/>
      <c r="G151" s="102"/>
      <c r="H151" s="103"/>
      <c r="I151" s="104"/>
      <c r="J151" s="105"/>
      <c r="K151" s="32"/>
    </row>
    <row r="152" spans="1:11" s="20" customFormat="1">
      <c r="A152" s="98"/>
      <c r="B152" s="32"/>
      <c r="C152" s="99"/>
      <c r="D152" s="100"/>
      <c r="E152" s="101"/>
      <c r="F152" s="102"/>
      <c r="G152" s="102"/>
      <c r="H152" s="103"/>
      <c r="I152" s="104"/>
      <c r="J152" s="105"/>
      <c r="K152" s="32"/>
    </row>
    <row r="153" spans="1:11" s="20" customFormat="1">
      <c r="A153" s="98"/>
      <c r="B153" s="32"/>
      <c r="C153" s="99"/>
      <c r="D153" s="100"/>
      <c r="E153" s="101"/>
      <c r="F153" s="102"/>
      <c r="G153" s="102"/>
      <c r="H153" s="103"/>
      <c r="I153" s="104"/>
      <c r="J153" s="105"/>
      <c r="K153" s="32"/>
    </row>
    <row r="154" spans="1:11" s="20" customFormat="1">
      <c r="A154" s="98"/>
      <c r="B154" s="32"/>
      <c r="C154" s="99"/>
      <c r="D154" s="100"/>
      <c r="E154" s="101"/>
      <c r="F154" s="102"/>
      <c r="G154" s="102"/>
      <c r="H154" s="103"/>
      <c r="I154" s="104"/>
      <c r="J154" s="105"/>
      <c r="K154" s="32"/>
    </row>
    <row r="155" spans="1:11" s="20" customFormat="1">
      <c r="A155" s="98"/>
      <c r="B155" s="32"/>
      <c r="C155" s="99"/>
      <c r="D155" s="100"/>
      <c r="E155" s="101"/>
      <c r="F155" s="102"/>
      <c r="G155" s="102"/>
      <c r="H155" s="103"/>
      <c r="I155" s="104"/>
      <c r="J155" s="105"/>
      <c r="K155" s="32"/>
    </row>
    <row r="156" spans="1:11" s="20" customFormat="1">
      <c r="A156" s="98"/>
      <c r="B156" s="32"/>
      <c r="C156" s="99"/>
      <c r="D156" s="100"/>
      <c r="E156" s="101"/>
      <c r="F156" s="102"/>
      <c r="G156" s="102"/>
      <c r="H156" s="103"/>
      <c r="I156" s="104"/>
      <c r="J156" s="105"/>
      <c r="K156" s="32"/>
    </row>
    <row r="157" spans="1:11" s="20" customFormat="1">
      <c r="A157" s="98"/>
      <c r="B157" s="32"/>
      <c r="C157" s="99"/>
      <c r="D157" s="100"/>
      <c r="E157" s="101"/>
      <c r="F157" s="102"/>
      <c r="G157" s="102"/>
      <c r="H157" s="103"/>
      <c r="I157" s="104"/>
      <c r="J157" s="105"/>
      <c r="K157" s="32"/>
    </row>
    <row r="158" spans="1:11" s="20" customFormat="1">
      <c r="A158" s="98"/>
      <c r="B158" s="32"/>
      <c r="C158" s="99"/>
      <c r="D158" s="100"/>
      <c r="E158" s="101"/>
      <c r="F158" s="102"/>
      <c r="G158" s="102"/>
      <c r="H158" s="103"/>
      <c r="I158" s="104"/>
      <c r="J158" s="105"/>
      <c r="K158" s="32"/>
    </row>
    <row r="159" spans="1:11" s="20" customFormat="1">
      <c r="A159" s="98"/>
      <c r="B159" s="32"/>
      <c r="C159" s="99"/>
      <c r="D159" s="100"/>
      <c r="E159" s="101"/>
      <c r="F159" s="102"/>
      <c r="G159" s="102"/>
      <c r="H159" s="103"/>
      <c r="I159" s="104"/>
      <c r="J159" s="105"/>
      <c r="K159" s="32"/>
    </row>
    <row r="160" spans="1:11" s="20" customFormat="1">
      <c r="A160" s="98"/>
      <c r="B160" s="32"/>
      <c r="C160" s="99"/>
      <c r="D160" s="100"/>
      <c r="E160" s="101"/>
      <c r="F160" s="102"/>
      <c r="G160" s="102"/>
      <c r="H160" s="103"/>
      <c r="I160" s="104"/>
      <c r="J160" s="105"/>
      <c r="K160" s="32"/>
    </row>
    <row r="161" spans="1:11" s="20" customFormat="1">
      <c r="A161" s="98"/>
      <c r="B161" s="32"/>
      <c r="C161" s="99"/>
      <c r="D161" s="100"/>
      <c r="E161" s="101"/>
      <c r="F161" s="102"/>
      <c r="G161" s="102"/>
      <c r="H161" s="103"/>
      <c r="I161" s="104"/>
      <c r="J161" s="105"/>
      <c r="K161" s="32"/>
    </row>
    <row r="162" spans="1:11" s="20" customFormat="1">
      <c r="A162" s="98"/>
      <c r="B162" s="32"/>
      <c r="C162" s="99"/>
      <c r="D162" s="100"/>
      <c r="E162" s="101"/>
      <c r="F162" s="102"/>
      <c r="G162" s="102"/>
      <c r="H162" s="103"/>
      <c r="I162" s="104"/>
      <c r="J162" s="105"/>
      <c r="K162" s="32"/>
    </row>
    <row r="163" spans="1:11" s="20" customFormat="1">
      <c r="A163" s="98"/>
      <c r="B163" s="32"/>
      <c r="C163" s="99"/>
      <c r="D163" s="100"/>
      <c r="E163" s="101"/>
      <c r="F163" s="102"/>
      <c r="G163" s="102"/>
      <c r="H163" s="103"/>
      <c r="I163" s="104"/>
      <c r="J163" s="105"/>
      <c r="K163" s="32"/>
    </row>
    <row r="164" spans="1:11" s="20" customFormat="1">
      <c r="A164" s="98"/>
      <c r="B164" s="32"/>
      <c r="C164" s="99"/>
      <c r="D164" s="100"/>
      <c r="E164" s="101"/>
      <c r="F164" s="102"/>
      <c r="G164" s="102"/>
      <c r="H164" s="103"/>
      <c r="I164" s="104"/>
      <c r="J164" s="105"/>
      <c r="K164" s="32"/>
    </row>
    <row r="165" spans="1:11" s="20" customFormat="1">
      <c r="A165" s="98"/>
      <c r="B165" s="32"/>
      <c r="C165" s="99"/>
      <c r="D165" s="100"/>
      <c r="E165" s="101"/>
      <c r="F165" s="102"/>
      <c r="G165" s="102"/>
      <c r="H165" s="103"/>
      <c r="I165" s="104"/>
      <c r="J165" s="105"/>
      <c r="K165" s="32"/>
    </row>
    <row r="166" spans="1:11" s="20" customFormat="1">
      <c r="A166" s="98"/>
      <c r="B166" s="32"/>
      <c r="C166" s="99"/>
      <c r="D166" s="100"/>
      <c r="E166" s="101"/>
      <c r="F166" s="102"/>
      <c r="G166" s="102"/>
      <c r="H166" s="103"/>
      <c r="I166" s="104"/>
      <c r="J166" s="105"/>
      <c r="K166" s="32"/>
    </row>
    <row r="167" spans="1:11" s="20" customFormat="1">
      <c r="A167" s="98"/>
      <c r="B167" s="32"/>
      <c r="C167" s="99"/>
      <c r="D167" s="100"/>
      <c r="E167" s="101"/>
      <c r="F167" s="102"/>
      <c r="G167" s="102"/>
      <c r="H167" s="103"/>
      <c r="I167" s="104"/>
      <c r="J167" s="105"/>
      <c r="K167" s="32"/>
    </row>
    <row r="168" spans="1:11" s="20" customFormat="1">
      <c r="A168" s="98"/>
      <c r="B168" s="32"/>
      <c r="C168" s="99"/>
      <c r="D168" s="100"/>
      <c r="E168" s="101"/>
      <c r="F168" s="102"/>
      <c r="G168" s="102"/>
      <c r="H168" s="103"/>
      <c r="I168" s="104"/>
      <c r="J168" s="105"/>
      <c r="K168" s="32"/>
    </row>
    <row r="169" spans="1:11" s="20" customFormat="1">
      <c r="A169" s="98"/>
      <c r="B169" s="32"/>
      <c r="C169" s="99"/>
      <c r="D169" s="100"/>
      <c r="E169" s="101"/>
      <c r="F169" s="102"/>
      <c r="G169" s="102"/>
      <c r="H169" s="103"/>
      <c r="I169" s="104"/>
      <c r="J169" s="105"/>
      <c r="K169" s="32"/>
    </row>
    <row r="170" spans="1:11" s="20" customFormat="1">
      <c r="A170" s="98"/>
      <c r="B170" s="32"/>
      <c r="C170" s="99"/>
      <c r="D170" s="100"/>
      <c r="E170" s="101"/>
      <c r="F170" s="102"/>
      <c r="G170" s="102"/>
      <c r="H170" s="103"/>
      <c r="I170" s="104"/>
      <c r="J170" s="105"/>
      <c r="K170" s="32"/>
    </row>
    <row r="171" spans="1:11" s="20" customFormat="1">
      <c r="A171" s="98"/>
      <c r="B171" s="32"/>
      <c r="C171" s="99"/>
      <c r="D171" s="100"/>
      <c r="E171" s="101"/>
      <c r="F171" s="102"/>
      <c r="G171" s="102"/>
      <c r="H171" s="103"/>
      <c r="I171" s="104"/>
      <c r="J171" s="105"/>
      <c r="K171" s="32"/>
    </row>
    <row r="172" spans="1:11" s="20" customFormat="1">
      <c r="A172" s="98"/>
      <c r="B172" s="32"/>
      <c r="C172" s="99"/>
      <c r="D172" s="100"/>
      <c r="E172" s="101"/>
      <c r="F172" s="102"/>
      <c r="G172" s="102"/>
      <c r="H172" s="103"/>
      <c r="I172" s="104"/>
      <c r="J172" s="105"/>
      <c r="K172" s="32"/>
    </row>
    <row r="173" spans="1:11" s="20" customFormat="1">
      <c r="A173" s="98"/>
      <c r="B173" s="32"/>
      <c r="C173" s="99"/>
      <c r="D173" s="100"/>
      <c r="E173" s="101"/>
      <c r="F173" s="102"/>
      <c r="G173" s="102"/>
      <c r="H173" s="103"/>
      <c r="I173" s="104"/>
      <c r="J173" s="105"/>
      <c r="K173" s="32"/>
    </row>
    <row r="174" spans="1:11" s="20" customFormat="1">
      <c r="A174" s="98"/>
      <c r="B174" s="32"/>
      <c r="C174" s="99"/>
      <c r="D174" s="100"/>
      <c r="E174" s="101"/>
      <c r="F174" s="102"/>
      <c r="G174" s="102"/>
      <c r="H174" s="103"/>
      <c r="I174" s="104"/>
      <c r="J174" s="105"/>
      <c r="K174" s="32"/>
    </row>
    <row r="175" spans="1:11" s="20" customFormat="1">
      <c r="A175" s="98"/>
      <c r="B175" s="32"/>
      <c r="C175" s="99"/>
      <c r="D175" s="100"/>
      <c r="E175" s="101"/>
      <c r="F175" s="102"/>
      <c r="G175" s="102"/>
      <c r="H175" s="103"/>
      <c r="I175" s="104"/>
      <c r="J175" s="105"/>
      <c r="K175" s="32"/>
    </row>
    <row r="176" spans="1:11" s="20" customFormat="1">
      <c r="A176" s="98"/>
      <c r="B176" s="32"/>
      <c r="C176" s="99"/>
      <c r="D176" s="100"/>
      <c r="E176" s="101"/>
      <c r="F176" s="102"/>
      <c r="G176" s="102"/>
      <c r="H176" s="103"/>
      <c r="I176" s="104"/>
      <c r="J176" s="105"/>
      <c r="K176" s="32"/>
    </row>
    <row r="177" spans="1:11" s="20" customFormat="1">
      <c r="A177" s="98"/>
      <c r="B177" s="32"/>
      <c r="C177" s="99"/>
      <c r="D177" s="100"/>
      <c r="E177" s="101"/>
      <c r="F177" s="102"/>
      <c r="G177" s="102"/>
      <c r="H177" s="103"/>
      <c r="I177" s="104"/>
      <c r="J177" s="105"/>
      <c r="K177" s="32"/>
    </row>
    <row r="178" spans="1:11" s="20" customFormat="1">
      <c r="A178" s="98"/>
      <c r="B178" s="32"/>
      <c r="C178" s="99"/>
      <c r="D178" s="100"/>
      <c r="E178" s="101"/>
      <c r="F178" s="102"/>
      <c r="G178" s="102"/>
      <c r="H178" s="103"/>
      <c r="I178" s="104"/>
      <c r="J178" s="105"/>
      <c r="K178" s="32"/>
    </row>
    <row r="179" spans="1:11" s="20" customFormat="1">
      <c r="A179" s="98"/>
      <c r="B179" s="32"/>
      <c r="C179" s="99"/>
      <c r="D179" s="100"/>
      <c r="E179" s="101"/>
      <c r="F179" s="102"/>
      <c r="G179" s="102"/>
      <c r="H179" s="103"/>
      <c r="I179" s="104"/>
      <c r="J179" s="105"/>
      <c r="K179" s="32"/>
    </row>
    <row r="180" spans="1:11" s="20" customFormat="1">
      <c r="A180" s="98"/>
      <c r="B180" s="32"/>
      <c r="C180" s="99"/>
      <c r="D180" s="100"/>
      <c r="E180" s="101"/>
      <c r="F180" s="102"/>
      <c r="G180" s="102"/>
      <c r="H180" s="103"/>
      <c r="I180" s="104"/>
      <c r="J180" s="105"/>
      <c r="K180" s="32"/>
    </row>
    <row r="181" spans="1:11" s="20" customFormat="1">
      <c r="A181" s="98"/>
      <c r="B181" s="32"/>
      <c r="C181" s="99"/>
      <c r="D181" s="100"/>
      <c r="E181" s="101"/>
      <c r="F181" s="102"/>
      <c r="G181" s="102"/>
      <c r="H181" s="103"/>
      <c r="I181" s="104"/>
      <c r="J181" s="105"/>
      <c r="K181" s="32"/>
    </row>
    <row r="182" spans="1:11" s="20" customFormat="1">
      <c r="A182" s="98"/>
      <c r="B182" s="32"/>
      <c r="C182" s="99"/>
      <c r="D182" s="100"/>
      <c r="E182" s="101"/>
      <c r="F182" s="102"/>
      <c r="G182" s="102"/>
      <c r="H182" s="103"/>
      <c r="I182" s="104"/>
      <c r="J182" s="105"/>
      <c r="K182" s="32"/>
    </row>
    <row r="183" spans="1:11" s="20" customFormat="1">
      <c r="A183" s="98"/>
      <c r="B183" s="32"/>
      <c r="C183" s="99"/>
      <c r="D183" s="100"/>
      <c r="E183" s="101"/>
      <c r="F183" s="102"/>
      <c r="G183" s="102"/>
      <c r="H183" s="103"/>
      <c r="I183" s="104"/>
      <c r="J183" s="105"/>
      <c r="K183" s="32"/>
    </row>
    <row r="184" spans="1:11" s="20" customFormat="1">
      <c r="A184" s="98"/>
      <c r="B184" s="32"/>
      <c r="C184" s="99"/>
      <c r="D184" s="100"/>
      <c r="E184" s="101"/>
      <c r="F184" s="102"/>
      <c r="G184" s="102"/>
      <c r="H184" s="103"/>
      <c r="I184" s="104"/>
      <c r="J184" s="105"/>
      <c r="K184" s="32"/>
    </row>
    <row r="185" spans="1:11" s="20" customFormat="1">
      <c r="A185" s="98"/>
      <c r="B185" s="32"/>
      <c r="C185" s="99"/>
      <c r="D185" s="100"/>
      <c r="E185" s="101"/>
      <c r="F185" s="102"/>
      <c r="G185" s="102"/>
      <c r="H185" s="103"/>
      <c r="I185" s="104"/>
      <c r="J185" s="105"/>
      <c r="K185" s="32"/>
    </row>
    <row r="186" spans="1:11" s="20" customFormat="1">
      <c r="A186" s="98"/>
      <c r="B186" s="32"/>
      <c r="C186" s="99"/>
      <c r="D186" s="100"/>
      <c r="E186" s="101"/>
      <c r="F186" s="102"/>
      <c r="G186" s="102"/>
      <c r="H186" s="103"/>
      <c r="I186" s="104"/>
      <c r="J186" s="105"/>
      <c r="K186" s="32"/>
    </row>
    <row r="187" spans="1:11" s="20" customFormat="1">
      <c r="A187" s="98"/>
      <c r="B187" s="32"/>
      <c r="C187" s="99"/>
      <c r="D187" s="100"/>
      <c r="E187" s="101"/>
      <c r="F187" s="102"/>
      <c r="G187" s="102"/>
      <c r="H187" s="103"/>
      <c r="I187" s="104"/>
      <c r="J187" s="105"/>
      <c r="K187" s="32"/>
    </row>
    <row r="188" spans="1:11" s="20" customFormat="1">
      <c r="A188" s="98"/>
      <c r="B188" s="32"/>
      <c r="C188" s="99"/>
      <c r="D188" s="100"/>
      <c r="E188" s="101"/>
      <c r="F188" s="102"/>
      <c r="G188" s="102"/>
      <c r="H188" s="103"/>
      <c r="I188" s="104"/>
      <c r="J188" s="105"/>
      <c r="K188" s="32"/>
    </row>
    <row r="189" spans="1:11" s="20" customFormat="1">
      <c r="A189" s="98"/>
      <c r="B189" s="32"/>
      <c r="C189" s="99"/>
      <c r="D189" s="100"/>
      <c r="E189" s="101"/>
      <c r="F189" s="102"/>
      <c r="G189" s="102"/>
      <c r="H189" s="103"/>
      <c r="I189" s="104"/>
      <c r="J189" s="105"/>
      <c r="K189" s="32"/>
    </row>
    <row r="190" spans="1:11" s="20" customFormat="1">
      <c r="A190" s="98"/>
      <c r="B190" s="32"/>
      <c r="C190" s="99"/>
      <c r="D190" s="100"/>
      <c r="E190" s="101"/>
      <c r="F190" s="102"/>
      <c r="G190" s="102"/>
      <c r="H190" s="103"/>
      <c r="I190" s="104"/>
      <c r="J190" s="105"/>
      <c r="K190" s="32"/>
    </row>
    <row r="191" spans="1:11" s="20" customFormat="1">
      <c r="A191" s="98"/>
      <c r="B191" s="32"/>
      <c r="C191" s="99"/>
      <c r="D191" s="100"/>
      <c r="E191" s="101"/>
      <c r="F191" s="102"/>
      <c r="G191" s="102"/>
      <c r="H191" s="103"/>
      <c r="I191" s="104"/>
      <c r="J191" s="105"/>
      <c r="K191" s="32"/>
    </row>
    <row r="192" spans="1:11" s="20" customFormat="1">
      <c r="A192" s="98"/>
      <c r="B192" s="32"/>
      <c r="C192" s="99"/>
      <c r="D192" s="100"/>
      <c r="E192" s="101"/>
      <c r="F192" s="102"/>
      <c r="G192" s="102"/>
      <c r="H192" s="103"/>
      <c r="I192" s="104"/>
      <c r="J192" s="105"/>
      <c r="K192" s="32"/>
    </row>
    <row r="193" spans="1:11" s="20" customFormat="1">
      <c r="A193" s="98"/>
      <c r="B193" s="32"/>
      <c r="C193" s="99"/>
      <c r="D193" s="100"/>
      <c r="E193" s="101"/>
      <c r="F193" s="102"/>
      <c r="G193" s="102"/>
      <c r="H193" s="103"/>
      <c r="I193" s="104"/>
      <c r="J193" s="105"/>
      <c r="K193" s="32"/>
    </row>
    <row r="194" spans="1:11" s="20" customFormat="1">
      <c r="A194" s="98"/>
      <c r="B194" s="32"/>
      <c r="C194" s="99"/>
      <c r="D194" s="100"/>
      <c r="E194" s="101"/>
      <c r="F194" s="102"/>
      <c r="G194" s="102"/>
      <c r="H194" s="103"/>
      <c r="I194" s="104"/>
      <c r="J194" s="105"/>
      <c r="K194" s="32"/>
    </row>
    <row r="195" spans="1:11" s="20" customFormat="1">
      <c r="A195" s="98"/>
      <c r="B195" s="32"/>
      <c r="C195" s="99"/>
      <c r="D195" s="100"/>
      <c r="E195" s="101"/>
      <c r="F195" s="102"/>
      <c r="G195" s="102"/>
      <c r="H195" s="103"/>
      <c r="I195" s="104"/>
      <c r="J195" s="105"/>
      <c r="K195" s="32"/>
    </row>
    <row r="196" spans="1:1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</sheetData>
  <mergeCells count="4">
    <mergeCell ref="D4:H4"/>
    <mergeCell ref="C7:E7"/>
    <mergeCell ref="F7:G7"/>
    <mergeCell ref="H7:J7"/>
  </mergeCells>
  <pageMargins left="1.4566929133858268" right="0.70866141732283472" top="0.74803149606299213" bottom="0.74803149606299213" header="0.31496062992125984" footer="0.31496062992125984"/>
  <pageSetup scale="70" orientation="landscape" r:id="rId1"/>
  <ignoredErrors>
    <ignoredError sqref="J7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N49"/>
  <sheetViews>
    <sheetView topLeftCell="B1" workbookViewId="0">
      <selection activeCell="B1" sqref="B1"/>
    </sheetView>
  </sheetViews>
  <sheetFormatPr baseColWidth="10" defaultRowHeight="15"/>
  <cols>
    <col min="2" max="2" width="23.42578125" customWidth="1"/>
    <col min="10" max="10" width="14.7109375" bestFit="1" customWidth="1"/>
    <col min="11" max="11" width="13.140625" customWidth="1"/>
  </cols>
  <sheetData>
    <row r="1" spans="1:11" s="20" customFormat="1">
      <c r="A1" s="82" t="s">
        <v>0</v>
      </c>
      <c r="B1" s="83"/>
      <c r="C1" s="106"/>
      <c r="D1" s="106"/>
      <c r="E1" s="106"/>
      <c r="F1" s="106"/>
      <c r="G1" s="106"/>
      <c r="H1" s="107" t="s">
        <v>1</v>
      </c>
      <c r="I1" s="106"/>
      <c r="J1" s="106"/>
      <c r="K1" s="108"/>
    </row>
    <row r="2" spans="1:11" s="20" customFormat="1">
      <c r="A2" s="87" t="s">
        <v>2</v>
      </c>
      <c r="B2" s="1"/>
      <c r="C2" s="31"/>
      <c r="D2" s="31"/>
      <c r="E2" s="31"/>
      <c r="F2" s="31"/>
      <c r="G2" s="31"/>
      <c r="H2" s="32" t="s">
        <v>869</v>
      </c>
      <c r="I2" s="31"/>
      <c r="J2" s="31"/>
      <c r="K2" s="109"/>
    </row>
    <row r="3" spans="1:11" s="20" customFormat="1">
      <c r="A3" s="89" t="s">
        <v>4</v>
      </c>
      <c r="B3" s="3"/>
      <c r="C3" s="31"/>
      <c r="D3" s="31"/>
      <c r="E3" s="31"/>
      <c r="F3" s="31"/>
      <c r="G3" s="31"/>
      <c r="H3" s="32" t="s">
        <v>5</v>
      </c>
      <c r="I3" s="31"/>
      <c r="J3" s="31"/>
      <c r="K3" s="109"/>
    </row>
    <row r="4" spans="1:11" s="20" customFormat="1">
      <c r="A4" s="91"/>
      <c r="B4" s="31"/>
      <c r="C4" s="31"/>
      <c r="D4" s="156" t="s">
        <v>6</v>
      </c>
      <c r="E4" s="156"/>
      <c r="F4" s="156"/>
      <c r="G4" s="156"/>
      <c r="H4" s="156"/>
      <c r="I4" s="31"/>
      <c r="J4" s="31"/>
      <c r="K4" s="109"/>
    </row>
    <row r="5" spans="1:11" s="20" customFormat="1">
      <c r="A5" s="91"/>
      <c r="B5" s="33"/>
      <c r="C5" s="31"/>
      <c r="D5" s="32" t="s">
        <v>27</v>
      </c>
      <c r="E5" s="33"/>
      <c r="F5" s="33"/>
      <c r="G5" s="31"/>
      <c r="H5" s="31"/>
      <c r="I5" s="31"/>
      <c r="J5" s="31"/>
      <c r="K5" s="109"/>
    </row>
    <row r="6" spans="1:11" s="20" customFormat="1">
      <c r="A6" s="91"/>
      <c r="B6" s="33"/>
      <c r="C6" s="31"/>
      <c r="D6" s="31" t="s">
        <v>7</v>
      </c>
      <c r="E6" s="33"/>
      <c r="F6" s="33"/>
      <c r="G6" s="31"/>
      <c r="H6" s="31"/>
      <c r="I6" s="31"/>
      <c r="J6" s="31"/>
      <c r="K6" s="109"/>
    </row>
    <row r="7" spans="1:11" s="20" customFormat="1">
      <c r="A7" s="35" t="s">
        <v>8</v>
      </c>
      <c r="B7" s="34" t="s">
        <v>9</v>
      </c>
      <c r="C7" s="157" t="s">
        <v>10</v>
      </c>
      <c r="D7" s="157"/>
      <c r="E7" s="158"/>
      <c r="F7" s="159" t="s">
        <v>11</v>
      </c>
      <c r="G7" s="159"/>
      <c r="H7" s="160" t="s">
        <v>12</v>
      </c>
      <c r="I7" s="161"/>
      <c r="J7" s="161"/>
      <c r="K7" s="35" t="s">
        <v>13</v>
      </c>
    </row>
    <row r="8" spans="1:11" s="20" customFormat="1">
      <c r="A8" s="37"/>
      <c r="B8" s="36"/>
      <c r="C8" s="36" t="s">
        <v>14</v>
      </c>
      <c r="D8" s="37" t="s">
        <v>15</v>
      </c>
      <c r="E8" s="38" t="s">
        <v>16</v>
      </c>
      <c r="F8" s="39" t="s">
        <v>17</v>
      </c>
      <c r="G8" s="39" t="s">
        <v>18</v>
      </c>
      <c r="H8" s="37" t="s">
        <v>19</v>
      </c>
      <c r="I8" s="40" t="s">
        <v>20</v>
      </c>
      <c r="J8" s="41" t="s">
        <v>21</v>
      </c>
      <c r="K8" s="42"/>
    </row>
    <row r="9" spans="1:11" s="20" customFormat="1">
      <c r="A9" s="79">
        <v>41641</v>
      </c>
      <c r="B9" s="18" t="s">
        <v>26</v>
      </c>
      <c r="C9" s="63">
        <v>1939.11</v>
      </c>
      <c r="D9" s="63"/>
      <c r="E9" s="44">
        <v>1939.11</v>
      </c>
      <c r="F9" s="19">
        <f>+H9/C9</f>
        <v>23.00665253647292</v>
      </c>
      <c r="G9" s="57"/>
      <c r="H9" s="65">
        <v>44612.43</v>
      </c>
      <c r="I9" s="63"/>
      <c r="J9" s="60">
        <f>+H9</f>
        <v>44612.43</v>
      </c>
      <c r="K9" s="110"/>
    </row>
    <row r="10" spans="1:11" s="62" customFormat="1">
      <c r="A10" s="118">
        <v>41660</v>
      </c>
      <c r="B10" s="18" t="s">
        <v>428</v>
      </c>
      <c r="C10" s="63"/>
      <c r="D10" s="18">
        <f>14*5.5</f>
        <v>77</v>
      </c>
      <c r="E10" s="44">
        <f>+E9-D10</f>
        <v>1862.11</v>
      </c>
      <c r="F10" s="59"/>
      <c r="G10" s="19">
        <f>+J9/E9</f>
        <v>23.00665253647292</v>
      </c>
      <c r="H10" s="64"/>
      <c r="I10" s="60">
        <f>+D10*G10</f>
        <v>1771.5122453084148</v>
      </c>
      <c r="J10" s="61">
        <f>+J9-I10</f>
        <v>42840.917754691589</v>
      </c>
      <c r="K10" s="97"/>
    </row>
    <row r="11" spans="1:11" s="62" customFormat="1">
      <c r="A11" s="118">
        <v>41660</v>
      </c>
      <c r="B11" s="18" t="s">
        <v>427</v>
      </c>
      <c r="C11" s="63"/>
      <c r="D11" s="18">
        <f>6*3.9</f>
        <v>23.4</v>
      </c>
      <c r="E11" s="44">
        <f t="shared" ref="E11:E19" si="0">+E10-D11</f>
        <v>1838.7099999999998</v>
      </c>
      <c r="F11" s="59"/>
      <c r="G11" s="19">
        <f t="shared" ref="G11:G19" si="1">+J10/E10</f>
        <v>23.00665253647292</v>
      </c>
      <c r="H11" s="64"/>
      <c r="I11" s="60">
        <f t="shared" ref="I11:I19" si="2">+D11*G11</f>
        <v>538.35566935346628</v>
      </c>
      <c r="J11" s="61">
        <f t="shared" ref="J11:J19" si="3">+J10-I11</f>
        <v>42302.562085338126</v>
      </c>
      <c r="K11" s="97"/>
    </row>
    <row r="12" spans="1:11" s="62" customFormat="1">
      <c r="A12" s="118">
        <v>41662</v>
      </c>
      <c r="B12" s="18" t="s">
        <v>426</v>
      </c>
      <c r="C12" s="63"/>
      <c r="D12" s="18">
        <f>7*4.9</f>
        <v>34.300000000000004</v>
      </c>
      <c r="E12" s="44">
        <f t="shared" si="0"/>
        <v>1804.4099999999999</v>
      </c>
      <c r="F12" s="59"/>
      <c r="G12" s="19">
        <f t="shared" si="1"/>
        <v>23.006652536472924</v>
      </c>
      <c r="H12" s="64"/>
      <c r="I12" s="60">
        <f t="shared" si="2"/>
        <v>789.1281820010214</v>
      </c>
      <c r="J12" s="61">
        <f t="shared" si="3"/>
        <v>41513.433903337107</v>
      </c>
      <c r="K12" s="97"/>
    </row>
    <row r="13" spans="1:11" s="62" customFormat="1">
      <c r="A13" s="118">
        <v>41662</v>
      </c>
      <c r="B13" s="18" t="s">
        <v>425</v>
      </c>
      <c r="C13" s="63"/>
      <c r="D13" s="18">
        <f>10*2+2*3.2</f>
        <v>26.4</v>
      </c>
      <c r="E13" s="44">
        <f t="shared" si="0"/>
        <v>1778.0099999999998</v>
      </c>
      <c r="F13" s="59"/>
      <c r="G13" s="19">
        <f t="shared" si="1"/>
        <v>23.006652536472924</v>
      </c>
      <c r="H13" s="64"/>
      <c r="I13" s="60">
        <f t="shared" si="2"/>
        <v>607.37562696288512</v>
      </c>
      <c r="J13" s="61">
        <f t="shared" si="3"/>
        <v>40906.05827637422</v>
      </c>
      <c r="K13" s="97"/>
    </row>
    <row r="14" spans="1:11" s="62" customFormat="1">
      <c r="A14" s="118">
        <v>41663</v>
      </c>
      <c r="B14" s="18" t="s">
        <v>424</v>
      </c>
      <c r="C14" s="63"/>
      <c r="D14" s="18">
        <f>15*2.5+15*3</f>
        <v>82.5</v>
      </c>
      <c r="E14" s="44">
        <f t="shared" si="0"/>
        <v>1695.5099999999998</v>
      </c>
      <c r="F14" s="59"/>
      <c r="G14" s="19">
        <f t="shared" si="1"/>
        <v>23.006652536472924</v>
      </c>
      <c r="H14" s="64"/>
      <c r="I14" s="60">
        <f t="shared" si="2"/>
        <v>1898.0488342590163</v>
      </c>
      <c r="J14" s="61">
        <f t="shared" si="3"/>
        <v>39008.009442115203</v>
      </c>
      <c r="K14" s="97"/>
    </row>
    <row r="15" spans="1:11" s="62" customFormat="1">
      <c r="A15" s="118">
        <v>41663</v>
      </c>
      <c r="B15" s="18" t="s">
        <v>423</v>
      </c>
      <c r="C15" s="63"/>
      <c r="D15" s="18">
        <f>44*3</f>
        <v>132</v>
      </c>
      <c r="E15" s="44">
        <f t="shared" si="0"/>
        <v>1563.5099999999998</v>
      </c>
      <c r="F15" s="59"/>
      <c r="G15" s="19">
        <f t="shared" si="1"/>
        <v>23.006652536472924</v>
      </c>
      <c r="H15" s="64"/>
      <c r="I15" s="60">
        <f t="shared" si="2"/>
        <v>3036.8781348144257</v>
      </c>
      <c r="J15" s="61">
        <f t="shared" si="3"/>
        <v>35971.131307300777</v>
      </c>
      <c r="K15" s="97"/>
    </row>
    <row r="16" spans="1:11" s="62" customFormat="1">
      <c r="A16" s="118">
        <v>41664</v>
      </c>
      <c r="B16" s="18" t="s">
        <v>95</v>
      </c>
      <c r="C16" s="63"/>
      <c r="D16" s="18">
        <v>0</v>
      </c>
      <c r="E16" s="44">
        <f t="shared" si="0"/>
        <v>1563.5099999999998</v>
      </c>
      <c r="F16" s="59"/>
      <c r="G16" s="19">
        <f t="shared" si="1"/>
        <v>23.006652536472924</v>
      </c>
      <c r="H16" s="64"/>
      <c r="I16" s="60">
        <f t="shared" si="2"/>
        <v>0</v>
      </c>
      <c r="J16" s="61">
        <f t="shared" si="3"/>
        <v>35971.131307300777</v>
      </c>
      <c r="K16" s="97"/>
    </row>
    <row r="17" spans="1:14" s="62" customFormat="1">
      <c r="A17" s="118">
        <v>41666</v>
      </c>
      <c r="B17" s="18" t="s">
        <v>422</v>
      </c>
      <c r="C17" s="63"/>
      <c r="D17" s="18">
        <f>4*6</f>
        <v>24</v>
      </c>
      <c r="E17" s="44">
        <f t="shared" si="0"/>
        <v>1539.5099999999998</v>
      </c>
      <c r="F17" s="59"/>
      <c r="G17" s="19">
        <f t="shared" si="1"/>
        <v>23.006652536472924</v>
      </c>
      <c r="H17" s="64"/>
      <c r="I17" s="60">
        <f t="shared" si="2"/>
        <v>552.15966087535014</v>
      </c>
      <c r="J17" s="61">
        <f t="shared" si="3"/>
        <v>35418.971646425423</v>
      </c>
      <c r="K17" s="97"/>
    </row>
    <row r="18" spans="1:14" s="62" customFormat="1">
      <c r="A18" s="118">
        <v>41666</v>
      </c>
      <c r="B18" s="18" t="s">
        <v>421</v>
      </c>
      <c r="C18" s="63"/>
      <c r="D18" s="18">
        <f>15*5.8</f>
        <v>87</v>
      </c>
      <c r="E18" s="44">
        <f t="shared" si="0"/>
        <v>1452.5099999999998</v>
      </c>
      <c r="F18" s="59"/>
      <c r="G18" s="19">
        <f t="shared" si="1"/>
        <v>23.006652536472924</v>
      </c>
      <c r="H18" s="64"/>
      <c r="I18" s="60">
        <f t="shared" si="2"/>
        <v>2001.5787706731444</v>
      </c>
      <c r="J18" s="61">
        <f t="shared" si="3"/>
        <v>33417.392875752281</v>
      </c>
      <c r="K18" s="97"/>
    </row>
    <row r="19" spans="1:14" s="62" customFormat="1">
      <c r="A19" s="118">
        <v>41666</v>
      </c>
      <c r="B19" s="18" t="s">
        <v>419</v>
      </c>
      <c r="C19" s="63"/>
      <c r="D19" s="18">
        <f>9*4</f>
        <v>36</v>
      </c>
      <c r="E19" s="44">
        <f t="shared" si="0"/>
        <v>1416.5099999999998</v>
      </c>
      <c r="F19" s="59"/>
      <c r="G19" s="19">
        <f t="shared" si="1"/>
        <v>23.006652536472924</v>
      </c>
      <c r="H19" s="64"/>
      <c r="I19" s="60">
        <f t="shared" si="2"/>
        <v>828.23949131302527</v>
      </c>
      <c r="J19" s="61">
        <f t="shared" si="3"/>
        <v>32589.153384439254</v>
      </c>
      <c r="K19" s="97"/>
    </row>
    <row r="20" spans="1:14" s="62" customFormat="1">
      <c r="A20" s="118">
        <v>41667</v>
      </c>
      <c r="B20" s="18" t="s">
        <v>420</v>
      </c>
      <c r="C20" s="63"/>
      <c r="D20" s="18">
        <f>4*3.5</f>
        <v>14</v>
      </c>
      <c r="E20" s="44">
        <f>+E19-D20</f>
        <v>1402.5099999999998</v>
      </c>
      <c r="F20" s="59"/>
      <c r="G20" s="19">
        <f>+J19/E19</f>
        <v>23.006652536472924</v>
      </c>
      <c r="H20" s="64"/>
      <c r="I20" s="60">
        <f>+D20*G20</f>
        <v>322.09313551062093</v>
      </c>
      <c r="J20" s="61">
        <f>+J19-I20</f>
        <v>32267.060248928632</v>
      </c>
      <c r="K20" s="97"/>
    </row>
    <row r="21" spans="1:14" s="62" customFormat="1">
      <c r="A21" s="118">
        <v>41667</v>
      </c>
      <c r="B21" s="18" t="s">
        <v>418</v>
      </c>
      <c r="C21" s="63"/>
      <c r="D21" s="18">
        <f>7*7.6+5*7.55+7*5</f>
        <v>125.94999999999999</v>
      </c>
      <c r="E21" s="44">
        <f>+E20-D21</f>
        <v>1276.5599999999997</v>
      </c>
      <c r="F21" s="59"/>
      <c r="G21" s="19">
        <f>+J20/E20</f>
        <v>23.00665253647292</v>
      </c>
      <c r="H21" s="64"/>
      <c r="I21" s="60">
        <f>+D21*G21</f>
        <v>2897.6878869687639</v>
      </c>
      <c r="J21" s="61">
        <f>+J20-I21</f>
        <v>29369.372361959868</v>
      </c>
      <c r="K21" s="97"/>
    </row>
    <row r="22" spans="1:14" s="20" customFormat="1">
      <c r="A22" s="79">
        <v>41669</v>
      </c>
      <c r="B22" s="18" t="s">
        <v>187</v>
      </c>
      <c r="C22" s="18"/>
      <c r="D22" s="19">
        <f>24*6.8+8*5.1+8*4.2+8*6.75+8*6.55+8*3.75</f>
        <v>374</v>
      </c>
      <c r="E22" s="44">
        <f>+E21-D22</f>
        <v>902.55999999999972</v>
      </c>
      <c r="F22" s="59"/>
      <c r="G22" s="19">
        <f>+J21/E21</f>
        <v>23.006652536472924</v>
      </c>
      <c r="H22" s="64"/>
      <c r="I22" s="60">
        <f>+D22*G22</f>
        <v>8604.4880486408729</v>
      </c>
      <c r="J22" s="61">
        <f>+J21-I22</f>
        <v>20764.884313318995</v>
      </c>
      <c r="K22" s="80">
        <f>SUM(I10:I22)</f>
        <v>23847.545686681005</v>
      </c>
      <c r="L22" s="145">
        <v>41670</v>
      </c>
      <c r="N22" s="123">
        <f>+K22</f>
        <v>23847.545686681005</v>
      </c>
    </row>
    <row r="23" spans="1:14" s="62" customFormat="1">
      <c r="A23" s="79">
        <v>41674</v>
      </c>
      <c r="B23" s="18" t="s">
        <v>194</v>
      </c>
      <c r="C23" s="63"/>
      <c r="D23" s="63">
        <f>8*7+2.49+3*4+4.77+4.15</f>
        <v>79.410000000000011</v>
      </c>
      <c r="E23" s="44">
        <f>+E22-D23</f>
        <v>823.14999999999975</v>
      </c>
      <c r="F23" s="59"/>
      <c r="G23" s="19">
        <f>+J22/E22</f>
        <v>23.006652536472924</v>
      </c>
      <c r="H23" s="64"/>
      <c r="I23" s="60">
        <f>+D23*G23</f>
        <v>1826.9582779213151</v>
      </c>
      <c r="J23" s="61">
        <f>+J22-I23</f>
        <v>18937.926035397679</v>
      </c>
      <c r="K23" s="97"/>
    </row>
    <row r="24" spans="1:14" s="20" customFormat="1">
      <c r="A24" s="79">
        <v>41677</v>
      </c>
      <c r="B24" s="18" t="s">
        <v>888</v>
      </c>
      <c r="C24" s="63">
        <v>5481.96</v>
      </c>
      <c r="D24" s="63"/>
      <c r="E24" s="44">
        <f>+E23+C24</f>
        <v>6305.11</v>
      </c>
      <c r="F24" s="19">
        <f>+H24/C24</f>
        <v>25.528573721807529</v>
      </c>
      <c r="G24" s="19"/>
      <c r="H24" s="136">
        <v>139946.62</v>
      </c>
      <c r="I24" s="60"/>
      <c r="J24" s="61">
        <f>+J23+H24</f>
        <v>158884.54603539768</v>
      </c>
      <c r="K24" s="22"/>
    </row>
    <row r="25" spans="1:14" s="20" customFormat="1">
      <c r="A25" s="79">
        <v>41680</v>
      </c>
      <c r="B25" s="18" t="s">
        <v>204</v>
      </c>
      <c r="C25" s="63"/>
      <c r="D25" s="63">
        <f>10*6</f>
        <v>60</v>
      </c>
      <c r="E25" s="44">
        <f>+E24-D25</f>
        <v>6245.11</v>
      </c>
      <c r="F25" s="19"/>
      <c r="G25" s="19">
        <f>+J24/E24</f>
        <v>25.19932975561056</v>
      </c>
      <c r="H25" s="65"/>
      <c r="I25" s="60">
        <f>+D25*G25</f>
        <v>1511.9597853366336</v>
      </c>
      <c r="J25" s="61">
        <f>+J24-I25</f>
        <v>157372.58625006105</v>
      </c>
      <c r="K25" s="80">
        <f>SUM(I23:I25)</f>
        <v>3338.9180632579487</v>
      </c>
      <c r="L25" s="145">
        <v>41698</v>
      </c>
      <c r="N25" s="123">
        <f>+K25</f>
        <v>3338.9180632579487</v>
      </c>
    </row>
    <row r="26" spans="1:14" s="20" customFormat="1">
      <c r="A26" s="79">
        <v>41722</v>
      </c>
      <c r="B26" s="18" t="s">
        <v>258</v>
      </c>
      <c r="C26" s="63"/>
      <c r="D26" s="63">
        <f>38*2.05</f>
        <v>77.899999999999991</v>
      </c>
      <c r="E26" s="44">
        <f>+E25-D26</f>
        <v>6167.21</v>
      </c>
      <c r="F26" s="19"/>
      <c r="G26" s="19">
        <f t="shared" ref="G26:G42" si="4">+J25/E25</f>
        <v>25.19932975561056</v>
      </c>
      <c r="H26" s="65"/>
      <c r="I26" s="60">
        <f t="shared" ref="I26:I42" si="5">D26*G25</f>
        <v>1963.0277879620623</v>
      </c>
      <c r="J26" s="61">
        <f>+J25-I26</f>
        <v>155409.558462099</v>
      </c>
      <c r="K26" s="80">
        <f>SUM(I26)</f>
        <v>1963.0277879620623</v>
      </c>
      <c r="L26" s="145">
        <v>41728</v>
      </c>
      <c r="N26" s="123">
        <f>+K26</f>
        <v>1963.0277879620623</v>
      </c>
    </row>
    <row r="27" spans="1:14" s="20" customFormat="1">
      <c r="A27" s="79">
        <v>41771</v>
      </c>
      <c r="B27" s="18" t="s">
        <v>316</v>
      </c>
      <c r="C27" s="63"/>
      <c r="D27" s="63">
        <f>80*6.55+40*6.75</f>
        <v>794</v>
      </c>
      <c r="E27" s="44">
        <f>+E26-D27</f>
        <v>5373.21</v>
      </c>
      <c r="F27" s="19"/>
      <c r="G27" s="19">
        <f t="shared" si="4"/>
        <v>25.19932975561056</v>
      </c>
      <c r="H27" s="65"/>
      <c r="I27" s="60">
        <f t="shared" si="5"/>
        <v>20008.267825954783</v>
      </c>
      <c r="J27" s="61">
        <f>+J26-I27</f>
        <v>135401.29063614423</v>
      </c>
      <c r="K27" s="50"/>
    </row>
    <row r="28" spans="1:14" s="20" customFormat="1">
      <c r="A28" s="79">
        <v>41771</v>
      </c>
      <c r="B28" s="18" t="s">
        <v>317</v>
      </c>
      <c r="C28" s="63"/>
      <c r="D28" s="63">
        <f>40*4.2+40*6.8+20*5.1</f>
        <v>542</v>
      </c>
      <c r="E28" s="44">
        <f t="shared" ref="E28:E42" si="6">E27-D28</f>
        <v>4831.21</v>
      </c>
      <c r="F28" s="19"/>
      <c r="G28" s="19">
        <f t="shared" si="4"/>
        <v>25.199329755610563</v>
      </c>
      <c r="H28" s="65"/>
      <c r="I28" s="60">
        <f t="shared" si="5"/>
        <v>13658.036727540923</v>
      </c>
      <c r="J28" s="61">
        <f t="shared" ref="J28:J42" si="7">+J27-I28</f>
        <v>121743.25390860331</v>
      </c>
      <c r="K28" s="80">
        <f>SUM(I27:I28)</f>
        <v>33666.304553495705</v>
      </c>
      <c r="L28" s="145">
        <v>41774</v>
      </c>
      <c r="N28" s="123">
        <f>+K28</f>
        <v>33666.304553495705</v>
      </c>
    </row>
    <row r="29" spans="1:14" s="20" customFormat="1">
      <c r="A29" s="79">
        <v>41794</v>
      </c>
      <c r="B29" s="18" t="s">
        <v>354</v>
      </c>
      <c r="C29" s="63"/>
      <c r="D29" s="63">
        <f>2*2.6+4*2.5+4*2.4+4*2.3+4*2.2+4*2.1+4*1.8+4*1.4+4*1</f>
        <v>68</v>
      </c>
      <c r="E29" s="44">
        <f t="shared" si="6"/>
        <v>4763.21</v>
      </c>
      <c r="F29" s="19"/>
      <c r="G29" s="19">
        <f t="shared" si="4"/>
        <v>25.199329755610563</v>
      </c>
      <c r="H29" s="65"/>
      <c r="I29" s="60">
        <f t="shared" si="5"/>
        <v>1713.5544233815183</v>
      </c>
      <c r="J29" s="61">
        <f t="shared" si="7"/>
        <v>120029.69948522179</v>
      </c>
      <c r="K29" s="50"/>
    </row>
    <row r="30" spans="1:14" s="20" customFormat="1">
      <c r="A30" s="79">
        <v>41796</v>
      </c>
      <c r="B30" s="18" t="s">
        <v>356</v>
      </c>
      <c r="C30" s="63"/>
      <c r="D30" s="63">
        <f>2.6+2.5+2.4</f>
        <v>7.5</v>
      </c>
      <c r="E30" s="44">
        <f t="shared" si="6"/>
        <v>4755.71</v>
      </c>
      <c r="F30" s="19"/>
      <c r="G30" s="19">
        <f t="shared" si="4"/>
        <v>25.199329755610563</v>
      </c>
      <c r="H30" s="65"/>
      <c r="I30" s="60">
        <f t="shared" si="5"/>
        <v>188.99497316707922</v>
      </c>
      <c r="J30" s="61">
        <f t="shared" si="7"/>
        <v>119840.70451205471</v>
      </c>
      <c r="K30" s="50"/>
      <c r="L30" s="145">
        <v>41804</v>
      </c>
      <c r="M30" s="123">
        <f>SUM(I29:I30)</f>
        <v>1902.5493965485975</v>
      </c>
    </row>
    <row r="31" spans="1:14" s="20" customFormat="1">
      <c r="A31" s="79">
        <v>41817</v>
      </c>
      <c r="B31" s="18" t="s">
        <v>396</v>
      </c>
      <c r="C31" s="63"/>
      <c r="D31" s="63">
        <f>15*6.2</f>
        <v>93</v>
      </c>
      <c r="E31" s="44">
        <f t="shared" si="6"/>
        <v>4662.71</v>
      </c>
      <c r="F31" s="19"/>
      <c r="G31" s="19">
        <f t="shared" si="4"/>
        <v>25.199329755610563</v>
      </c>
      <c r="H31" s="65"/>
      <c r="I31" s="60">
        <f t="shared" si="5"/>
        <v>2343.5376672717825</v>
      </c>
      <c r="J31" s="61">
        <f t="shared" si="7"/>
        <v>117497.16684478293</v>
      </c>
      <c r="K31" s="80">
        <f>SUM(I29:I31)</f>
        <v>4246.0870638203796</v>
      </c>
      <c r="L31" s="145">
        <v>41820</v>
      </c>
      <c r="M31" s="123">
        <f>SUM(I31)</f>
        <v>2343.5376672717825</v>
      </c>
      <c r="N31" s="123">
        <f>SUM(M30:M31)</f>
        <v>4246.0870638203796</v>
      </c>
    </row>
    <row r="32" spans="1:14" s="20" customFormat="1">
      <c r="A32" s="79">
        <v>41859</v>
      </c>
      <c r="B32" s="18" t="s">
        <v>537</v>
      </c>
      <c r="C32" s="63"/>
      <c r="D32" s="63">
        <f>3*2.3+5*2.5+9*2.65</f>
        <v>43.25</v>
      </c>
      <c r="E32" s="44">
        <f t="shared" si="6"/>
        <v>4619.46</v>
      </c>
      <c r="F32" s="19"/>
      <c r="G32" s="19">
        <f t="shared" si="4"/>
        <v>25.199329755610563</v>
      </c>
      <c r="H32" s="65"/>
      <c r="I32" s="60">
        <f t="shared" si="5"/>
        <v>1089.8710119301568</v>
      </c>
      <c r="J32" s="61">
        <f t="shared" si="7"/>
        <v>116407.29583285277</v>
      </c>
      <c r="K32" s="22"/>
    </row>
    <row r="33" spans="1:14" s="20" customFormat="1">
      <c r="A33" s="79">
        <v>41860</v>
      </c>
      <c r="B33" s="18" t="s">
        <v>538</v>
      </c>
      <c r="C33" s="63"/>
      <c r="D33" s="63">
        <f>10*7+20*3.6</f>
        <v>142</v>
      </c>
      <c r="E33" s="44">
        <f t="shared" si="6"/>
        <v>4477.46</v>
      </c>
      <c r="F33" s="19"/>
      <c r="G33" s="19">
        <f t="shared" si="4"/>
        <v>25.199329755610563</v>
      </c>
      <c r="H33" s="65"/>
      <c r="I33" s="60">
        <f t="shared" si="5"/>
        <v>3578.3048252967001</v>
      </c>
      <c r="J33" s="61">
        <f t="shared" si="7"/>
        <v>112828.99100755608</v>
      </c>
      <c r="K33" s="22"/>
      <c r="L33" s="20" t="s">
        <v>881</v>
      </c>
      <c r="M33" s="123">
        <f>SUM(I32:I33)</f>
        <v>4668.1758372268569</v>
      </c>
    </row>
    <row r="34" spans="1:14" s="20" customFormat="1">
      <c r="A34" s="79">
        <v>41874</v>
      </c>
      <c r="B34" s="18" t="s">
        <v>539</v>
      </c>
      <c r="C34" s="63"/>
      <c r="D34" s="63">
        <f>7*7</f>
        <v>49</v>
      </c>
      <c r="E34" s="44">
        <f t="shared" si="6"/>
        <v>4428.46</v>
      </c>
      <c r="F34" s="19"/>
      <c r="G34" s="19">
        <f t="shared" si="4"/>
        <v>25.199329755610563</v>
      </c>
      <c r="H34" s="65"/>
      <c r="I34" s="60">
        <f t="shared" si="5"/>
        <v>1234.7671580249175</v>
      </c>
      <c r="J34" s="61">
        <f t="shared" si="7"/>
        <v>111594.22384953116</v>
      </c>
      <c r="K34" s="22"/>
    </row>
    <row r="35" spans="1:14" s="20" customFormat="1">
      <c r="A35" s="79">
        <v>41876</v>
      </c>
      <c r="B35" s="18" t="s">
        <v>540</v>
      </c>
      <c r="C35" s="63"/>
      <c r="D35" s="63">
        <f>11*3.6</f>
        <v>39.6</v>
      </c>
      <c r="E35" s="44">
        <f t="shared" si="6"/>
        <v>4388.8599999999997</v>
      </c>
      <c r="F35" s="19"/>
      <c r="G35" s="19">
        <f t="shared" si="4"/>
        <v>25.199329755610563</v>
      </c>
      <c r="H35" s="65"/>
      <c r="I35" s="60">
        <f t="shared" si="5"/>
        <v>997.89345832217839</v>
      </c>
      <c r="J35" s="61">
        <f t="shared" si="7"/>
        <v>110596.33039120898</v>
      </c>
      <c r="K35" s="22"/>
    </row>
    <row r="36" spans="1:14" s="20" customFormat="1">
      <c r="A36" s="79">
        <v>41878</v>
      </c>
      <c r="B36" s="18" t="s">
        <v>541</v>
      </c>
      <c r="C36" s="63"/>
      <c r="D36" s="63">
        <f>18*3.9</f>
        <v>70.2</v>
      </c>
      <c r="E36" s="44">
        <f t="shared" si="6"/>
        <v>4318.66</v>
      </c>
      <c r="F36" s="19"/>
      <c r="G36" s="19">
        <f t="shared" si="4"/>
        <v>25.199329755610567</v>
      </c>
      <c r="H36" s="65"/>
      <c r="I36" s="60">
        <f t="shared" si="5"/>
        <v>1768.9929488438615</v>
      </c>
      <c r="J36" s="61">
        <f t="shared" si="7"/>
        <v>108827.33744236511</v>
      </c>
      <c r="K36" s="80">
        <f>SUM(I32:I36)</f>
        <v>8669.829402417814</v>
      </c>
      <c r="L36" s="145">
        <v>41881</v>
      </c>
      <c r="M36" s="123">
        <f>SUM(I34:I36)</f>
        <v>4001.6535651909576</v>
      </c>
      <c r="N36" s="123">
        <f>SUM(M33:M36)</f>
        <v>8669.829402417814</v>
      </c>
    </row>
    <row r="37" spans="1:14" s="62" customFormat="1">
      <c r="A37" s="79">
        <v>41884</v>
      </c>
      <c r="B37" s="18" t="s">
        <v>542</v>
      </c>
      <c r="C37" s="63"/>
      <c r="D37" s="63">
        <f>14*2.7</f>
        <v>37.800000000000004</v>
      </c>
      <c r="E37" s="44">
        <f t="shared" si="6"/>
        <v>4280.8599999999997</v>
      </c>
      <c r="F37" s="19"/>
      <c r="G37" s="19">
        <f t="shared" si="4"/>
        <v>25.199329755610563</v>
      </c>
      <c r="H37" s="65"/>
      <c r="I37" s="60">
        <f t="shared" si="5"/>
        <v>952.5346647620795</v>
      </c>
      <c r="J37" s="61">
        <f t="shared" si="7"/>
        <v>107874.80277760304</v>
      </c>
      <c r="K37" s="81">
        <f>SUM(I37)</f>
        <v>952.5346647620795</v>
      </c>
      <c r="L37" s="147">
        <v>41902</v>
      </c>
      <c r="N37" s="146">
        <f>+K37</f>
        <v>952.5346647620795</v>
      </c>
    </row>
    <row r="38" spans="1:14" s="20" customFormat="1">
      <c r="A38" s="79">
        <v>41969</v>
      </c>
      <c r="B38" s="18" t="s">
        <v>830</v>
      </c>
      <c r="C38" s="63"/>
      <c r="D38" s="63">
        <f>5*1.5</f>
        <v>7.5</v>
      </c>
      <c r="E38" s="44">
        <f t="shared" si="6"/>
        <v>4273.3599999999997</v>
      </c>
      <c r="F38" s="19"/>
      <c r="G38" s="19">
        <f t="shared" si="4"/>
        <v>25.199329755610567</v>
      </c>
      <c r="H38" s="65"/>
      <c r="I38" s="60">
        <f t="shared" si="5"/>
        <v>188.99497316707922</v>
      </c>
      <c r="J38" s="61">
        <f t="shared" si="7"/>
        <v>107685.80780443596</v>
      </c>
      <c r="K38" s="22"/>
    </row>
    <row r="39" spans="1:14" s="20" customFormat="1">
      <c r="A39" s="79">
        <v>41970</v>
      </c>
      <c r="B39" s="18" t="s">
        <v>831</v>
      </c>
      <c r="C39" s="63"/>
      <c r="D39" s="63">
        <f>48*7</f>
        <v>336</v>
      </c>
      <c r="E39" s="44">
        <f t="shared" si="6"/>
        <v>3937.3599999999997</v>
      </c>
      <c r="F39" s="19"/>
      <c r="G39" s="19">
        <f t="shared" si="4"/>
        <v>25.199329755610567</v>
      </c>
      <c r="H39" s="65"/>
      <c r="I39" s="60">
        <f t="shared" si="5"/>
        <v>8466.9747978851501</v>
      </c>
      <c r="J39" s="61">
        <f t="shared" si="7"/>
        <v>99218.833006550805</v>
      </c>
      <c r="K39" s="22"/>
    </row>
    <row r="40" spans="1:14" s="20" customFormat="1">
      <c r="A40" s="79">
        <v>41970</v>
      </c>
      <c r="B40" s="18" t="s">
        <v>832</v>
      </c>
      <c r="C40" s="63"/>
      <c r="D40" s="63">
        <f>50*4.3</f>
        <v>215</v>
      </c>
      <c r="E40" s="44">
        <f t="shared" si="6"/>
        <v>3722.3599999999997</v>
      </c>
      <c r="F40" s="19"/>
      <c r="G40" s="19">
        <f t="shared" si="4"/>
        <v>25.199329755610563</v>
      </c>
      <c r="H40" s="65"/>
      <c r="I40" s="60">
        <f t="shared" si="5"/>
        <v>5417.855897456272</v>
      </c>
      <c r="J40" s="61">
        <f t="shared" si="7"/>
        <v>93800.977109094529</v>
      </c>
      <c r="K40" s="22"/>
    </row>
    <row r="41" spans="1:14" s="20" customFormat="1">
      <c r="A41" s="79">
        <v>41972</v>
      </c>
      <c r="B41" s="18" t="s">
        <v>833</v>
      </c>
      <c r="C41" s="63"/>
      <c r="D41" s="63">
        <f>15*6+3</f>
        <v>93</v>
      </c>
      <c r="E41" s="44">
        <f t="shared" si="6"/>
        <v>3629.3599999999997</v>
      </c>
      <c r="F41" s="19"/>
      <c r="G41" s="19">
        <f t="shared" si="4"/>
        <v>25.199329755610563</v>
      </c>
      <c r="H41" s="65"/>
      <c r="I41" s="60">
        <f t="shared" si="5"/>
        <v>2343.5376672717825</v>
      </c>
      <c r="J41" s="61">
        <f t="shared" si="7"/>
        <v>91457.439441822746</v>
      </c>
      <c r="K41" s="22"/>
      <c r="L41" s="76">
        <f>SUM(I38:I41)</f>
        <v>16417.363335780283</v>
      </c>
      <c r="N41" s="123">
        <f>+L41</f>
        <v>16417.363335780283</v>
      </c>
    </row>
    <row r="42" spans="1:14" s="20" customFormat="1">
      <c r="A42" s="79">
        <v>41990</v>
      </c>
      <c r="B42" s="18" t="s">
        <v>834</v>
      </c>
      <c r="C42" s="63"/>
      <c r="D42" s="63">
        <f>6*3.1</f>
        <v>18.600000000000001</v>
      </c>
      <c r="E42" s="44">
        <f t="shared" si="6"/>
        <v>3610.7599999999998</v>
      </c>
      <c r="F42" s="19"/>
      <c r="G42" s="19">
        <f t="shared" si="4"/>
        <v>25.199329755610563</v>
      </c>
      <c r="H42" s="65"/>
      <c r="I42" s="60">
        <f t="shared" si="5"/>
        <v>468.70753345435651</v>
      </c>
      <c r="J42" s="61">
        <f t="shared" si="7"/>
        <v>90988.731908368383</v>
      </c>
      <c r="K42" s="22"/>
      <c r="L42" s="76">
        <f>SUM(I42)</f>
        <v>468.70753345435651</v>
      </c>
      <c r="N42" s="123">
        <f>+L42</f>
        <v>468.70753345435651</v>
      </c>
    </row>
    <row r="43" spans="1:14" s="20" customFormat="1">
      <c r="A43" s="79"/>
      <c r="B43" s="18"/>
      <c r="C43" s="63"/>
      <c r="D43" s="63"/>
      <c r="E43" s="44"/>
      <c r="F43" s="19"/>
      <c r="G43" s="19"/>
      <c r="H43" s="65"/>
      <c r="I43" s="60"/>
      <c r="J43" s="61"/>
      <c r="K43" s="22"/>
    </row>
    <row r="44" spans="1:14" s="20" customFormat="1">
      <c r="A44" s="79"/>
      <c r="B44" s="18" t="s">
        <v>862</v>
      </c>
      <c r="C44" s="63">
        <f>SUM(C9:C43)</f>
        <v>7421.07</v>
      </c>
      <c r="D44" s="63">
        <f>SUM(D9:D43)</f>
        <v>3810.31</v>
      </c>
      <c r="E44" s="63">
        <f>+C44-D44</f>
        <v>3610.7599999999998</v>
      </c>
      <c r="F44" s="19"/>
      <c r="G44" s="19"/>
      <c r="H44" s="61">
        <f>SUM(H9:H43)</f>
        <v>184559.05</v>
      </c>
      <c r="I44" s="61">
        <f>SUM(I9:I43)</f>
        <v>93570.318091631649</v>
      </c>
      <c r="J44" s="61">
        <f>+H44-I44</f>
        <v>90988.73190836834</v>
      </c>
      <c r="K44" s="22"/>
      <c r="L44" s="123"/>
      <c r="N44" s="123">
        <f>SUM(N22:N43)</f>
        <v>93570.318091631649</v>
      </c>
    </row>
    <row r="45" spans="1:14" s="20" customFormat="1">
      <c r="A45" s="79"/>
      <c r="B45" s="18"/>
      <c r="C45" s="63"/>
      <c r="D45" s="63"/>
      <c r="E45" s="44"/>
      <c r="F45" s="19"/>
      <c r="G45" s="19"/>
      <c r="H45" s="65"/>
      <c r="I45" s="60"/>
      <c r="J45" s="61"/>
      <c r="K45" s="22"/>
    </row>
    <row r="46" spans="1:14">
      <c r="A46" s="96" t="s">
        <v>863</v>
      </c>
      <c r="B46" s="32"/>
      <c r="C46" s="2"/>
      <c r="D46" s="2"/>
      <c r="E46" s="2"/>
      <c r="F46" s="2"/>
    </row>
    <row r="47" spans="1:14">
      <c r="A47" s="96" t="s">
        <v>864</v>
      </c>
      <c r="B47" s="32"/>
      <c r="C47" s="2"/>
      <c r="D47" s="2"/>
      <c r="E47" s="2"/>
      <c r="F47" s="2"/>
      <c r="J47" s="123">
        <f>+E44*F24</f>
        <v>92177.552851753746</v>
      </c>
    </row>
    <row r="48" spans="1:14">
      <c r="A48" s="96" t="s">
        <v>865</v>
      </c>
      <c r="B48" s="32"/>
      <c r="C48" s="2"/>
      <c r="D48" s="2"/>
      <c r="E48" s="2"/>
      <c r="F48" s="2"/>
      <c r="J48" s="121">
        <f>+J44</f>
        <v>90988.73190836834</v>
      </c>
    </row>
    <row r="49" spans="1:10">
      <c r="A49" s="96"/>
      <c r="B49" s="32" t="s">
        <v>866</v>
      </c>
      <c r="C49" s="2"/>
      <c r="D49" s="2"/>
      <c r="E49" s="2"/>
      <c r="F49" s="2"/>
      <c r="J49" s="123">
        <f>+J47-J48</f>
        <v>1188.8209433854063</v>
      </c>
    </row>
  </sheetData>
  <mergeCells count="4">
    <mergeCell ref="D4:H4"/>
    <mergeCell ref="C7:E7"/>
    <mergeCell ref="F7:G7"/>
    <mergeCell ref="H7:J7"/>
  </mergeCells>
  <pageMargins left="1.1417322834645669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N118"/>
  <sheetViews>
    <sheetView workbookViewId="0">
      <selection activeCell="B1" sqref="B1"/>
    </sheetView>
  </sheetViews>
  <sheetFormatPr baseColWidth="10" defaultRowHeight="15"/>
  <cols>
    <col min="2" max="2" width="21.42578125" customWidth="1"/>
    <col min="11" max="11" width="13" customWidth="1"/>
  </cols>
  <sheetData>
    <row r="1" spans="1:11" s="20" customFormat="1">
      <c r="A1" s="82" t="s">
        <v>0</v>
      </c>
      <c r="B1" s="83"/>
      <c r="C1" s="106"/>
      <c r="D1" s="106"/>
      <c r="E1" s="106"/>
      <c r="F1" s="106"/>
      <c r="G1" s="106"/>
      <c r="H1" s="107" t="s">
        <v>1</v>
      </c>
      <c r="I1" s="106"/>
      <c r="J1" s="106"/>
      <c r="K1" s="108"/>
    </row>
    <row r="2" spans="1:11" s="20" customFormat="1">
      <c r="A2" s="87" t="s">
        <v>2</v>
      </c>
      <c r="B2" s="1"/>
      <c r="C2" s="31"/>
      <c r="D2" s="31"/>
      <c r="E2" s="31"/>
      <c r="F2" s="31"/>
      <c r="G2" s="31"/>
      <c r="H2" s="32" t="s">
        <v>870</v>
      </c>
      <c r="I2" s="31"/>
      <c r="J2" s="31"/>
      <c r="K2" s="109"/>
    </row>
    <row r="3" spans="1:11" s="20" customFormat="1">
      <c r="A3" s="89" t="s">
        <v>4</v>
      </c>
      <c r="B3" s="3"/>
      <c r="C3" s="31"/>
      <c r="D3" s="31"/>
      <c r="E3" s="31"/>
      <c r="F3" s="31"/>
      <c r="G3" s="31"/>
      <c r="H3" s="32" t="s">
        <v>5</v>
      </c>
      <c r="I3" s="31"/>
      <c r="J3" s="31"/>
      <c r="K3" s="109"/>
    </row>
    <row r="4" spans="1:11" s="20" customFormat="1">
      <c r="A4" s="91"/>
      <c r="B4" s="31"/>
      <c r="C4" s="31"/>
      <c r="D4" s="156" t="s">
        <v>6</v>
      </c>
      <c r="E4" s="156"/>
      <c r="F4" s="156"/>
      <c r="G4" s="156"/>
      <c r="H4" s="156"/>
      <c r="I4" s="31"/>
      <c r="J4" s="31"/>
      <c r="K4" s="109"/>
    </row>
    <row r="5" spans="1:11" s="20" customFormat="1">
      <c r="A5" s="91"/>
      <c r="B5" s="33"/>
      <c r="C5" s="31"/>
      <c r="D5" s="32" t="s">
        <v>25</v>
      </c>
      <c r="E5" s="33"/>
      <c r="F5" s="33"/>
      <c r="G5" s="31"/>
      <c r="H5" s="31" t="s">
        <v>28</v>
      </c>
      <c r="I5" s="31"/>
      <c r="J5" s="31"/>
      <c r="K5" s="109"/>
    </row>
    <row r="6" spans="1:11" s="20" customFormat="1">
      <c r="A6" s="91"/>
      <c r="B6" s="33"/>
      <c r="C6" s="31"/>
      <c r="D6" s="31" t="s">
        <v>7</v>
      </c>
      <c r="E6" s="33"/>
      <c r="F6" s="33"/>
      <c r="G6" s="31"/>
      <c r="H6" s="31"/>
      <c r="I6" s="31"/>
      <c r="J6" s="31"/>
      <c r="K6" s="109"/>
    </row>
    <row r="7" spans="1:11" s="20" customFormat="1" ht="15" customHeight="1">
      <c r="A7" s="35" t="s">
        <v>8</v>
      </c>
      <c r="B7" s="34" t="s">
        <v>9</v>
      </c>
      <c r="C7" s="162" t="s">
        <v>10</v>
      </c>
      <c r="D7" s="157"/>
      <c r="E7" s="158"/>
      <c r="F7" s="163" t="s">
        <v>11</v>
      </c>
      <c r="G7" s="164"/>
      <c r="H7" s="160" t="s">
        <v>12</v>
      </c>
      <c r="I7" s="161"/>
      <c r="J7" s="165"/>
      <c r="K7" s="35" t="s">
        <v>13</v>
      </c>
    </row>
    <row r="8" spans="1:11" s="20" customFormat="1">
      <c r="A8" s="37"/>
      <c r="B8" s="36"/>
      <c r="C8" s="36" t="s">
        <v>14</v>
      </c>
      <c r="D8" s="37" t="s">
        <v>15</v>
      </c>
      <c r="E8" s="38" t="s">
        <v>16</v>
      </c>
      <c r="F8" s="39" t="s">
        <v>17</v>
      </c>
      <c r="G8" s="39" t="s">
        <v>18</v>
      </c>
      <c r="H8" s="37" t="s">
        <v>19</v>
      </c>
      <c r="I8" s="40" t="s">
        <v>20</v>
      </c>
      <c r="J8" s="41" t="s">
        <v>21</v>
      </c>
      <c r="K8" s="42"/>
    </row>
    <row r="9" spans="1:11" s="20" customFormat="1">
      <c r="A9" s="79">
        <v>41641</v>
      </c>
      <c r="B9" s="18" t="s">
        <v>24</v>
      </c>
      <c r="C9" s="61">
        <f>+E9</f>
        <v>4950.8</v>
      </c>
      <c r="D9" s="18"/>
      <c r="E9" s="44">
        <v>4950.8</v>
      </c>
      <c r="F9" s="19">
        <f>+H9/C9</f>
        <v>25.004635614446148</v>
      </c>
      <c r="G9" s="19"/>
      <c r="H9" s="19">
        <v>123792.95</v>
      </c>
      <c r="I9" s="63"/>
      <c r="J9" s="60">
        <f>+H9</f>
        <v>123792.95</v>
      </c>
      <c r="K9" s="110"/>
    </row>
    <row r="10" spans="1:11" s="20" customFormat="1">
      <c r="A10" s="79">
        <v>41645</v>
      </c>
      <c r="B10" s="18" t="s">
        <v>44</v>
      </c>
      <c r="C10" s="63"/>
      <c r="D10" s="18">
        <f>11*5</f>
        <v>55</v>
      </c>
      <c r="E10" s="44">
        <f>+E9-D10</f>
        <v>4895.8</v>
      </c>
      <c r="F10" s="19"/>
      <c r="G10" s="19">
        <f>+J9/E9</f>
        <v>25.004635614446148</v>
      </c>
      <c r="H10" s="19"/>
      <c r="I10" s="60">
        <f>+D10*G10</f>
        <v>1375.2549587945382</v>
      </c>
      <c r="J10" s="61">
        <f>J9-I10</f>
        <v>122417.69504120546</v>
      </c>
      <c r="K10" s="22"/>
    </row>
    <row r="11" spans="1:11" s="20" customFormat="1">
      <c r="A11" s="79">
        <v>41647</v>
      </c>
      <c r="B11" s="18" t="s">
        <v>46</v>
      </c>
      <c r="C11" s="63"/>
      <c r="D11" s="18">
        <f>4.75+4.7+4.25+4.1</f>
        <v>17.799999999999997</v>
      </c>
      <c r="E11" s="44">
        <f>+E10-D11</f>
        <v>4878</v>
      </c>
      <c r="F11" s="19"/>
      <c r="G11" s="19">
        <f t="shared" ref="G11:G27" si="0">J11/E11</f>
        <v>25.004635614446148</v>
      </c>
      <c r="H11" s="19"/>
      <c r="I11" s="60">
        <f>+D11*G10</f>
        <v>445.08251393714136</v>
      </c>
      <c r="J11" s="61">
        <f t="shared" ref="J11:J26" si="1">J10-I11</f>
        <v>121972.61252726831</v>
      </c>
      <c r="K11" s="22"/>
    </row>
    <row r="12" spans="1:11" s="20" customFormat="1">
      <c r="A12" s="79">
        <v>41652</v>
      </c>
      <c r="B12" s="18" t="s">
        <v>68</v>
      </c>
      <c r="C12" s="63"/>
      <c r="D12" s="18">
        <f>30*3</f>
        <v>90</v>
      </c>
      <c r="E12" s="44">
        <f>+E11-D12</f>
        <v>4788</v>
      </c>
      <c r="F12" s="19"/>
      <c r="G12" s="19">
        <f t="shared" si="0"/>
        <v>25.004635614446148</v>
      </c>
      <c r="H12" s="19"/>
      <c r="I12" s="60">
        <f t="shared" ref="I12:I76" si="2">D12*G11</f>
        <v>2250.4172053001535</v>
      </c>
      <c r="J12" s="61">
        <f t="shared" si="1"/>
        <v>119722.19532196816</v>
      </c>
      <c r="K12" s="22"/>
    </row>
    <row r="13" spans="1:11" s="20" customFormat="1">
      <c r="A13" s="79">
        <v>41655</v>
      </c>
      <c r="B13" s="18" t="s">
        <v>75</v>
      </c>
      <c r="C13" s="63"/>
      <c r="D13" s="18">
        <f>11*5.15</f>
        <v>56.650000000000006</v>
      </c>
      <c r="E13" s="44">
        <f t="shared" ref="E13:E60" si="3">E12-D13</f>
        <v>4731.3500000000004</v>
      </c>
      <c r="F13" s="19"/>
      <c r="G13" s="19">
        <f t="shared" si="0"/>
        <v>25.004635614446148</v>
      </c>
      <c r="H13" s="19"/>
      <c r="I13" s="60">
        <f t="shared" si="2"/>
        <v>1416.5126075583744</v>
      </c>
      <c r="J13" s="61">
        <f t="shared" si="1"/>
        <v>118305.68271440979</v>
      </c>
      <c r="K13" s="22"/>
    </row>
    <row r="14" spans="1:11" s="20" customFormat="1">
      <c r="A14" s="79">
        <v>41656</v>
      </c>
      <c r="B14" s="18" t="s">
        <v>78</v>
      </c>
      <c r="C14" s="63"/>
      <c r="D14" s="18">
        <f>26*3.9+14*2</f>
        <v>129.39999999999998</v>
      </c>
      <c r="E14" s="44">
        <f t="shared" si="3"/>
        <v>4601.9500000000007</v>
      </c>
      <c r="F14" s="19"/>
      <c r="G14" s="19">
        <f t="shared" si="0"/>
        <v>25.004635614446148</v>
      </c>
      <c r="H14" s="19"/>
      <c r="I14" s="60">
        <f t="shared" si="2"/>
        <v>3235.599848509331</v>
      </c>
      <c r="J14" s="61">
        <f t="shared" si="1"/>
        <v>115070.08286590046</v>
      </c>
      <c r="K14" s="22"/>
    </row>
    <row r="15" spans="1:11" s="20" customFormat="1">
      <c r="A15" s="79">
        <v>41656</v>
      </c>
      <c r="B15" s="18" t="s">
        <v>79</v>
      </c>
      <c r="C15" s="63"/>
      <c r="D15" s="18">
        <f>30*3</f>
        <v>90</v>
      </c>
      <c r="E15" s="44">
        <f t="shared" si="3"/>
        <v>4511.9500000000007</v>
      </c>
      <c r="F15" s="19"/>
      <c r="G15" s="19">
        <f t="shared" si="0"/>
        <v>25.004635614446148</v>
      </c>
      <c r="H15" s="19"/>
      <c r="I15" s="60">
        <f t="shared" si="2"/>
        <v>2250.4172053001535</v>
      </c>
      <c r="J15" s="61">
        <f t="shared" si="1"/>
        <v>112819.66566060031</v>
      </c>
      <c r="K15" s="22"/>
    </row>
    <row r="16" spans="1:11" s="20" customFormat="1">
      <c r="A16" s="79">
        <v>41292</v>
      </c>
      <c r="B16" s="18" t="s">
        <v>83</v>
      </c>
      <c r="C16" s="63"/>
      <c r="D16" s="18">
        <f>20*3.4</f>
        <v>68</v>
      </c>
      <c r="E16" s="44">
        <f t="shared" si="3"/>
        <v>4443.9500000000007</v>
      </c>
      <c r="F16" s="19"/>
      <c r="G16" s="19">
        <f t="shared" si="0"/>
        <v>25.004635614446148</v>
      </c>
      <c r="H16" s="19"/>
      <c r="I16" s="60">
        <f t="shared" si="2"/>
        <v>1700.3152217823381</v>
      </c>
      <c r="J16" s="61">
        <f t="shared" si="1"/>
        <v>111119.35043881797</v>
      </c>
      <c r="K16" s="22"/>
    </row>
    <row r="17" spans="1:14" s="20" customFormat="1">
      <c r="A17" s="79">
        <v>41659</v>
      </c>
      <c r="B17" s="18" t="s">
        <v>84</v>
      </c>
      <c r="C17" s="63"/>
      <c r="D17" s="18">
        <f>15*6+15*4</f>
        <v>150</v>
      </c>
      <c r="E17" s="44">
        <f t="shared" si="3"/>
        <v>4293.9500000000007</v>
      </c>
      <c r="F17" s="19"/>
      <c r="G17" s="19">
        <f t="shared" si="0"/>
        <v>25.004635614446148</v>
      </c>
      <c r="H17" s="19"/>
      <c r="I17" s="60">
        <f t="shared" si="2"/>
        <v>3750.6953421669223</v>
      </c>
      <c r="J17" s="61">
        <f t="shared" si="1"/>
        <v>107368.65509665105</v>
      </c>
      <c r="K17" s="22"/>
      <c r="L17" s="145">
        <v>41659</v>
      </c>
      <c r="M17" s="123">
        <f>SUM(I10:I17)</f>
        <v>16424.294903348949</v>
      </c>
    </row>
    <row r="18" spans="1:14" s="20" customFormat="1">
      <c r="A18" s="79">
        <v>41660</v>
      </c>
      <c r="B18" s="18" t="s">
        <v>90</v>
      </c>
      <c r="C18" s="63"/>
      <c r="D18" s="18">
        <f>3*4+3*1.8+3</f>
        <v>20.399999999999999</v>
      </c>
      <c r="E18" s="44">
        <f t="shared" si="3"/>
        <v>4273.5500000000011</v>
      </c>
      <c r="F18" s="19"/>
      <c r="G18" s="19">
        <f t="shared" si="0"/>
        <v>25.004635614446148</v>
      </c>
      <c r="H18" s="19"/>
      <c r="I18" s="60">
        <f t="shared" si="2"/>
        <v>510.09456653470136</v>
      </c>
      <c r="J18" s="61">
        <f t="shared" si="1"/>
        <v>106858.56053011636</v>
      </c>
      <c r="K18" s="22"/>
    </row>
    <row r="19" spans="1:14" s="20" customFormat="1">
      <c r="A19" s="79">
        <v>41662</v>
      </c>
      <c r="B19" s="18" t="s">
        <v>91</v>
      </c>
      <c r="C19" s="63"/>
      <c r="D19" s="18">
        <f>2*3.4</f>
        <v>6.8</v>
      </c>
      <c r="E19" s="44">
        <f t="shared" si="3"/>
        <v>4266.7500000000009</v>
      </c>
      <c r="F19" s="19"/>
      <c r="G19" s="19">
        <f t="shared" si="0"/>
        <v>25.004635614446148</v>
      </c>
      <c r="H19" s="19"/>
      <c r="I19" s="60">
        <f t="shared" si="2"/>
        <v>170.03152217823379</v>
      </c>
      <c r="J19" s="61">
        <f t="shared" si="1"/>
        <v>106688.52900793812</v>
      </c>
      <c r="K19" s="22"/>
    </row>
    <row r="20" spans="1:14" s="20" customFormat="1">
      <c r="A20" s="79">
        <v>41664</v>
      </c>
      <c r="B20" s="18" t="s">
        <v>94</v>
      </c>
      <c r="C20" s="63"/>
      <c r="D20" s="18">
        <f>15</f>
        <v>15</v>
      </c>
      <c r="E20" s="44">
        <f t="shared" si="3"/>
        <v>4251.7500000000009</v>
      </c>
      <c r="F20" s="19"/>
      <c r="G20" s="19">
        <f t="shared" si="0"/>
        <v>25.004635614446148</v>
      </c>
      <c r="H20" s="19"/>
      <c r="I20" s="60">
        <f t="shared" si="2"/>
        <v>375.0695342166922</v>
      </c>
      <c r="J20" s="61">
        <f t="shared" si="1"/>
        <v>106313.45947372144</v>
      </c>
      <c r="K20" s="22"/>
    </row>
    <row r="21" spans="1:14" s="20" customFormat="1">
      <c r="A21" s="79">
        <v>41667</v>
      </c>
      <c r="B21" s="18" t="s">
        <v>96</v>
      </c>
      <c r="C21" s="63"/>
      <c r="D21" s="18">
        <f>14*3.4+12*2.4+2+1.85+1.4+1.1+0.6</f>
        <v>83.35</v>
      </c>
      <c r="E21" s="44">
        <f t="shared" si="3"/>
        <v>4168.4000000000005</v>
      </c>
      <c r="F21" s="19"/>
      <c r="G21" s="19">
        <f t="shared" si="0"/>
        <v>25.004635614446151</v>
      </c>
      <c r="H21" s="19"/>
      <c r="I21" s="60">
        <f t="shared" si="2"/>
        <v>2084.1363784640862</v>
      </c>
      <c r="J21" s="61">
        <f t="shared" si="1"/>
        <v>104229.32309525735</v>
      </c>
      <c r="K21" s="22"/>
    </row>
    <row r="22" spans="1:14" s="20" customFormat="1">
      <c r="A22" s="79">
        <v>41667</v>
      </c>
      <c r="B22" s="18" t="s">
        <v>97</v>
      </c>
      <c r="C22" s="63"/>
      <c r="D22" s="18">
        <f>13*3</f>
        <v>39</v>
      </c>
      <c r="E22" s="44">
        <f t="shared" si="3"/>
        <v>4129.4000000000005</v>
      </c>
      <c r="F22" s="19"/>
      <c r="G22" s="19">
        <f t="shared" si="0"/>
        <v>25.004635614446151</v>
      </c>
      <c r="H22" s="19"/>
      <c r="I22" s="60">
        <f t="shared" si="2"/>
        <v>975.18078896339989</v>
      </c>
      <c r="J22" s="61">
        <f t="shared" si="1"/>
        <v>103254.14230629396</v>
      </c>
      <c r="K22" s="22"/>
    </row>
    <row r="23" spans="1:14" s="20" customFormat="1">
      <c r="A23" s="79">
        <v>41668</v>
      </c>
      <c r="B23" s="18" t="s">
        <v>99</v>
      </c>
      <c r="C23" s="63"/>
      <c r="D23" s="18">
        <f>12*2.2</f>
        <v>26.400000000000002</v>
      </c>
      <c r="E23" s="44">
        <f t="shared" si="3"/>
        <v>4103.0000000000009</v>
      </c>
      <c r="F23" s="19"/>
      <c r="G23" s="19">
        <f t="shared" si="0"/>
        <v>25.004635614446151</v>
      </c>
      <c r="H23" s="19"/>
      <c r="I23" s="60">
        <f t="shared" si="2"/>
        <v>660.12238022137842</v>
      </c>
      <c r="J23" s="61">
        <f t="shared" si="1"/>
        <v>102594.01992607258</v>
      </c>
      <c r="K23" s="22"/>
    </row>
    <row r="24" spans="1:14" s="20" customFormat="1">
      <c r="A24" s="79">
        <v>41668</v>
      </c>
      <c r="B24" s="18" t="s">
        <v>182</v>
      </c>
      <c r="C24" s="63"/>
      <c r="D24" s="18">
        <f>7*4.5</f>
        <v>31.5</v>
      </c>
      <c r="E24" s="44">
        <f t="shared" si="3"/>
        <v>4071.5000000000009</v>
      </c>
      <c r="F24" s="19"/>
      <c r="G24" s="19">
        <f t="shared" si="0"/>
        <v>25.004635614446151</v>
      </c>
      <c r="H24" s="19"/>
      <c r="I24" s="60">
        <f t="shared" si="2"/>
        <v>787.64602185505373</v>
      </c>
      <c r="J24" s="61">
        <f t="shared" si="1"/>
        <v>101806.37390421753</v>
      </c>
      <c r="K24" s="22"/>
    </row>
    <row r="25" spans="1:14" s="20" customFormat="1">
      <c r="A25" s="79">
        <v>41669</v>
      </c>
      <c r="B25" s="18" t="s">
        <v>185</v>
      </c>
      <c r="C25" s="63"/>
      <c r="D25" s="18">
        <f>13*3.5+13*3.6</f>
        <v>92.300000000000011</v>
      </c>
      <c r="E25" s="44">
        <f t="shared" si="3"/>
        <v>3979.2000000000007</v>
      </c>
      <c r="F25" s="19"/>
      <c r="G25" s="19">
        <f t="shared" si="0"/>
        <v>25.004635614446151</v>
      </c>
      <c r="H25" s="19"/>
      <c r="I25" s="60">
        <f t="shared" si="2"/>
        <v>2307.9278672133801</v>
      </c>
      <c r="J25" s="61">
        <f t="shared" si="1"/>
        <v>99498.446037004149</v>
      </c>
      <c r="K25" s="22"/>
    </row>
    <row r="26" spans="1:14" s="20" customFormat="1">
      <c r="A26" s="79">
        <v>41669</v>
      </c>
      <c r="B26" s="18" t="s">
        <v>186</v>
      </c>
      <c r="C26" s="63"/>
      <c r="D26" s="18">
        <f>8*3.15</f>
        <v>25.2</v>
      </c>
      <c r="E26" s="44">
        <f t="shared" si="3"/>
        <v>3954.0000000000009</v>
      </c>
      <c r="F26" s="19"/>
      <c r="G26" s="19">
        <f t="shared" si="0"/>
        <v>25.004635614446151</v>
      </c>
      <c r="H26" s="19"/>
      <c r="I26" s="60">
        <f t="shared" si="2"/>
        <v>630.11681748404294</v>
      </c>
      <c r="J26" s="61">
        <f t="shared" si="1"/>
        <v>98868.329219520107</v>
      </c>
      <c r="K26" s="22"/>
    </row>
    <row r="27" spans="1:14" s="20" customFormat="1">
      <c r="A27" s="79">
        <v>41670</v>
      </c>
      <c r="B27" s="18" t="s">
        <v>188</v>
      </c>
      <c r="C27" s="63"/>
      <c r="D27" s="18">
        <f>39*5.3+39*5.15+39*5.15+4.4+4.35+4.3+4.25+4.2+4.05+4+3.95+3.8+3.75</f>
        <v>649.45000000000005</v>
      </c>
      <c r="E27" s="44">
        <f t="shared" si="3"/>
        <v>3304.5500000000011</v>
      </c>
      <c r="F27" s="19"/>
      <c r="G27" s="19">
        <f t="shared" si="0"/>
        <v>25.004635614446148</v>
      </c>
      <c r="H27" s="19"/>
      <c r="I27" s="60">
        <f t="shared" si="2"/>
        <v>16239.260599802054</v>
      </c>
      <c r="J27" s="61">
        <f>+J26-I27</f>
        <v>82629.068619718048</v>
      </c>
      <c r="K27" s="80">
        <f>SUM(I10:I27)</f>
        <v>41163.881380281971</v>
      </c>
      <c r="L27" s="145">
        <v>41670</v>
      </c>
      <c r="M27" s="123">
        <f>SUM(I18:I27)</f>
        <v>24739.586476933022</v>
      </c>
      <c r="N27" s="123">
        <f>SUM(M17:M27)</f>
        <v>41163.881380281971</v>
      </c>
    </row>
    <row r="28" spans="1:14" s="62" customFormat="1">
      <c r="A28" s="118">
        <v>41671</v>
      </c>
      <c r="B28" s="18" t="s">
        <v>189</v>
      </c>
      <c r="C28" s="63"/>
      <c r="D28" s="18">
        <f>1</f>
        <v>1</v>
      </c>
      <c r="E28" s="44">
        <f>+E27-D28</f>
        <v>3303.5500000000011</v>
      </c>
      <c r="F28" s="59"/>
      <c r="G28" s="59">
        <f>+J27/E27</f>
        <v>25.004635614446148</v>
      </c>
      <c r="H28" s="64"/>
      <c r="I28" s="60">
        <f t="shared" si="2"/>
        <v>25.004635614446148</v>
      </c>
      <c r="J28" s="61">
        <f>+J27-I28</f>
        <v>82604.063984103603</v>
      </c>
      <c r="K28" s="97"/>
    </row>
    <row r="29" spans="1:14" s="62" customFormat="1">
      <c r="A29" s="118">
        <v>41673</v>
      </c>
      <c r="B29" s="18" t="s">
        <v>190</v>
      </c>
      <c r="C29" s="63"/>
      <c r="D29" s="18">
        <f>9*2</f>
        <v>18</v>
      </c>
      <c r="E29" s="44">
        <f t="shared" ref="E29:E44" si="4">+E28-D29</f>
        <v>3285.5500000000011</v>
      </c>
      <c r="F29" s="59"/>
      <c r="G29" s="59">
        <f t="shared" ref="G29:G89" si="5">+J28/E28</f>
        <v>25.004635614446148</v>
      </c>
      <c r="H29" s="64"/>
      <c r="I29" s="60">
        <f t="shared" si="2"/>
        <v>450.08344106003068</v>
      </c>
      <c r="J29" s="61">
        <f t="shared" ref="J29:J89" si="6">+J28-I29</f>
        <v>82153.980543043566</v>
      </c>
      <c r="K29" s="97"/>
    </row>
    <row r="30" spans="1:14" s="62" customFormat="1">
      <c r="A30" s="79">
        <v>41674</v>
      </c>
      <c r="B30" s="18" t="s">
        <v>192</v>
      </c>
      <c r="C30" s="63"/>
      <c r="D30" s="18">
        <f>5.6+5.45+5.4+5.3+5.1+3.22+2*1.9+2*1.85</f>
        <v>37.57</v>
      </c>
      <c r="E30" s="44">
        <f t="shared" si="4"/>
        <v>3247.9800000000009</v>
      </c>
      <c r="F30" s="19"/>
      <c r="G30" s="59">
        <f t="shared" si="5"/>
        <v>25.004635614446148</v>
      </c>
      <c r="H30" s="19"/>
      <c r="I30" s="60">
        <f t="shared" si="2"/>
        <v>939.42416003474182</v>
      </c>
      <c r="J30" s="61">
        <f t="shared" si="6"/>
        <v>81214.556383008821</v>
      </c>
      <c r="K30" s="18"/>
    </row>
    <row r="31" spans="1:14" s="62" customFormat="1">
      <c r="A31" s="118">
        <v>41674</v>
      </c>
      <c r="B31" s="18" t="s">
        <v>193</v>
      </c>
      <c r="C31" s="63"/>
      <c r="D31" s="18">
        <f>12*1.8</f>
        <v>21.6</v>
      </c>
      <c r="E31" s="44">
        <f t="shared" si="4"/>
        <v>3226.380000000001</v>
      </c>
      <c r="F31" s="59"/>
      <c r="G31" s="59">
        <f t="shared" si="5"/>
        <v>25.004635614446148</v>
      </c>
      <c r="H31" s="64"/>
      <c r="I31" s="60">
        <f t="shared" si="2"/>
        <v>540.10012927203684</v>
      </c>
      <c r="J31" s="61">
        <f t="shared" si="6"/>
        <v>80674.456253736789</v>
      </c>
      <c r="K31" s="97"/>
    </row>
    <row r="32" spans="1:14" s="62" customFormat="1">
      <c r="A32" s="118">
        <v>41676</v>
      </c>
      <c r="B32" s="18" t="s">
        <v>197</v>
      </c>
      <c r="C32" s="63"/>
      <c r="D32" s="18">
        <f>11*5.05+3*3.85</f>
        <v>67.099999999999994</v>
      </c>
      <c r="E32" s="44">
        <f t="shared" si="4"/>
        <v>3159.2800000000011</v>
      </c>
      <c r="F32" s="59"/>
      <c r="G32" s="59">
        <f t="shared" si="5"/>
        <v>25.004635614446148</v>
      </c>
      <c r="H32" s="64"/>
      <c r="I32" s="60">
        <f t="shared" si="2"/>
        <v>1677.8110497293364</v>
      </c>
      <c r="J32" s="61">
        <f t="shared" si="6"/>
        <v>78996.645204007451</v>
      </c>
      <c r="K32" s="97"/>
    </row>
    <row r="33" spans="1:14" s="62" customFormat="1">
      <c r="A33" s="79">
        <v>41677</v>
      </c>
      <c r="B33" s="18" t="s">
        <v>200</v>
      </c>
      <c r="C33" s="63"/>
      <c r="D33" s="18">
        <v>3.6</v>
      </c>
      <c r="E33" s="44">
        <f t="shared" si="4"/>
        <v>3155.6800000000012</v>
      </c>
      <c r="F33" s="19"/>
      <c r="G33" s="59">
        <f t="shared" si="5"/>
        <v>25.004635614446148</v>
      </c>
      <c r="H33" s="19"/>
      <c r="I33" s="60">
        <f t="shared" si="2"/>
        <v>90.01668821200613</v>
      </c>
      <c r="J33" s="61">
        <f t="shared" si="6"/>
        <v>78906.628515795441</v>
      </c>
      <c r="K33" s="18"/>
    </row>
    <row r="34" spans="1:14" s="62" customFormat="1">
      <c r="A34" s="118">
        <v>41677</v>
      </c>
      <c r="B34" s="18" t="s">
        <v>201</v>
      </c>
      <c r="C34" s="63"/>
      <c r="D34" s="18">
        <f>13*0.5</f>
        <v>6.5</v>
      </c>
      <c r="E34" s="44">
        <f t="shared" si="4"/>
        <v>3149.1800000000012</v>
      </c>
      <c r="F34" s="59"/>
      <c r="G34" s="59">
        <f t="shared" si="5"/>
        <v>25.004635614446144</v>
      </c>
      <c r="H34" s="64"/>
      <c r="I34" s="60">
        <f t="shared" si="2"/>
        <v>162.53013149389997</v>
      </c>
      <c r="J34" s="61">
        <f t="shared" si="6"/>
        <v>78744.098384301542</v>
      </c>
      <c r="K34" s="97"/>
    </row>
    <row r="35" spans="1:14" s="62" customFormat="1">
      <c r="A35" s="118">
        <v>41678</v>
      </c>
      <c r="B35" s="18" t="s">
        <v>203</v>
      </c>
      <c r="C35" s="63"/>
      <c r="D35" s="18">
        <f>11*6</f>
        <v>66</v>
      </c>
      <c r="E35" s="44">
        <f t="shared" si="4"/>
        <v>3083.1800000000012</v>
      </c>
      <c r="F35" s="59"/>
      <c r="G35" s="59">
        <f t="shared" si="5"/>
        <v>25.004635614446144</v>
      </c>
      <c r="H35" s="64"/>
      <c r="I35" s="60">
        <f t="shared" si="2"/>
        <v>1650.3059505534454</v>
      </c>
      <c r="J35" s="61">
        <f t="shared" si="6"/>
        <v>77093.792433748094</v>
      </c>
      <c r="K35" s="97"/>
    </row>
    <row r="36" spans="1:14" s="62" customFormat="1">
      <c r="A36" s="118">
        <v>41682</v>
      </c>
      <c r="B36" s="18" t="s">
        <v>206</v>
      </c>
      <c r="C36" s="63"/>
      <c r="D36" s="18">
        <f>11*6.85+5*5.45+6*3.4+4+11*0.5</f>
        <v>132.5</v>
      </c>
      <c r="E36" s="44">
        <f t="shared" si="4"/>
        <v>2950.6800000000012</v>
      </c>
      <c r="F36" s="59"/>
      <c r="G36" s="59">
        <f t="shared" si="5"/>
        <v>25.004635614446144</v>
      </c>
      <c r="H36" s="64"/>
      <c r="I36" s="60">
        <f t="shared" si="2"/>
        <v>3313.1142189141142</v>
      </c>
      <c r="J36" s="61">
        <f t="shared" si="6"/>
        <v>73780.678214833984</v>
      </c>
      <c r="K36" s="97"/>
    </row>
    <row r="37" spans="1:14" s="62" customFormat="1">
      <c r="A37" s="79">
        <v>41682</v>
      </c>
      <c r="B37" s="18" t="s">
        <v>245</v>
      </c>
      <c r="C37" s="63"/>
      <c r="D37" s="18">
        <f>1*1</f>
        <v>1</v>
      </c>
      <c r="E37" s="44">
        <f t="shared" si="4"/>
        <v>2949.6800000000012</v>
      </c>
      <c r="F37" s="19"/>
      <c r="G37" s="59">
        <f t="shared" si="5"/>
        <v>25.004635614446148</v>
      </c>
      <c r="H37" s="19"/>
      <c r="I37" s="60">
        <f t="shared" si="2"/>
        <v>25.004635614446144</v>
      </c>
      <c r="J37" s="61">
        <f t="shared" si="6"/>
        <v>73755.67357921954</v>
      </c>
      <c r="K37" s="18"/>
    </row>
    <row r="38" spans="1:14" s="62" customFormat="1">
      <c r="A38" s="79">
        <v>41683</v>
      </c>
      <c r="B38" s="18" t="s">
        <v>208</v>
      </c>
      <c r="C38" s="63"/>
      <c r="D38" s="18">
        <f>14*4.4</f>
        <v>61.600000000000009</v>
      </c>
      <c r="E38" s="44">
        <f t="shared" si="4"/>
        <v>2888.0800000000013</v>
      </c>
      <c r="F38" s="19"/>
      <c r="G38" s="59">
        <f t="shared" si="5"/>
        <v>25.004635614446148</v>
      </c>
      <c r="H38" s="19"/>
      <c r="I38" s="60">
        <f t="shared" si="2"/>
        <v>1540.2855538498829</v>
      </c>
      <c r="J38" s="61">
        <f t="shared" si="6"/>
        <v>72215.388025369655</v>
      </c>
      <c r="K38" s="18"/>
    </row>
    <row r="39" spans="1:14" s="62" customFormat="1">
      <c r="A39" s="118">
        <v>41683</v>
      </c>
      <c r="B39" s="18" t="s">
        <v>210</v>
      </c>
      <c r="C39" s="63"/>
      <c r="D39" s="18">
        <f>3.45+0.5</f>
        <v>3.95</v>
      </c>
      <c r="E39" s="44">
        <f t="shared" si="4"/>
        <v>2884.1300000000015</v>
      </c>
      <c r="F39" s="59"/>
      <c r="G39" s="59">
        <f t="shared" si="5"/>
        <v>25.004635614446144</v>
      </c>
      <c r="H39" s="64"/>
      <c r="I39" s="60">
        <f t="shared" si="2"/>
        <v>98.768310677062289</v>
      </c>
      <c r="J39" s="61">
        <f t="shared" si="6"/>
        <v>72116.619714692599</v>
      </c>
      <c r="K39" s="97"/>
      <c r="L39" s="147">
        <v>41683</v>
      </c>
      <c r="M39" s="146">
        <f>SUM(I28:I39)</f>
        <v>10512.448905025449</v>
      </c>
    </row>
    <row r="40" spans="1:14" s="62" customFormat="1">
      <c r="A40" s="118">
        <v>41690</v>
      </c>
      <c r="B40" s="18" t="s">
        <v>221</v>
      </c>
      <c r="C40" s="63"/>
      <c r="D40" s="18">
        <f>6*0.15</f>
        <v>0.89999999999999991</v>
      </c>
      <c r="E40" s="44">
        <f t="shared" si="4"/>
        <v>2883.2300000000014</v>
      </c>
      <c r="F40" s="59"/>
      <c r="G40" s="59">
        <f t="shared" si="5"/>
        <v>25.004635614446144</v>
      </c>
      <c r="H40" s="64"/>
      <c r="I40" s="60">
        <f t="shared" si="2"/>
        <v>22.504172053001529</v>
      </c>
      <c r="J40" s="61">
        <f t="shared" si="6"/>
        <v>72094.1155426396</v>
      </c>
      <c r="K40" s="97"/>
    </row>
    <row r="41" spans="1:14" s="62" customFormat="1">
      <c r="A41" s="79">
        <v>41692</v>
      </c>
      <c r="B41" s="18" t="s">
        <v>222</v>
      </c>
      <c r="C41" s="63"/>
      <c r="D41" s="18">
        <f>2*3</f>
        <v>6</v>
      </c>
      <c r="E41" s="44">
        <f t="shared" si="4"/>
        <v>2877.2300000000014</v>
      </c>
      <c r="F41" s="19"/>
      <c r="G41" s="59">
        <f t="shared" si="5"/>
        <v>25.004635614446148</v>
      </c>
      <c r="H41" s="19"/>
      <c r="I41" s="60">
        <f t="shared" si="2"/>
        <v>150.02781368667686</v>
      </c>
      <c r="J41" s="61">
        <f t="shared" si="6"/>
        <v>71944.087728952916</v>
      </c>
      <c r="K41" s="18"/>
    </row>
    <row r="42" spans="1:14" s="62" customFormat="1">
      <c r="A42" s="118">
        <v>41692</v>
      </c>
      <c r="B42" s="18" t="s">
        <v>223</v>
      </c>
      <c r="C42" s="63"/>
      <c r="D42" s="18">
        <f>1*1</f>
        <v>1</v>
      </c>
      <c r="E42" s="44">
        <f t="shared" si="4"/>
        <v>2876.2300000000014</v>
      </c>
      <c r="F42" s="59"/>
      <c r="G42" s="59">
        <f t="shared" si="5"/>
        <v>25.004635614446144</v>
      </c>
      <c r="H42" s="64"/>
      <c r="I42" s="60">
        <f t="shared" si="2"/>
        <v>25.004635614446148</v>
      </c>
      <c r="J42" s="61">
        <f t="shared" si="6"/>
        <v>71919.083093338471</v>
      </c>
      <c r="K42" s="97"/>
    </row>
    <row r="43" spans="1:14" s="62" customFormat="1">
      <c r="A43" s="79">
        <v>41695</v>
      </c>
      <c r="B43" s="18" t="s">
        <v>225</v>
      </c>
      <c r="C43" s="63"/>
      <c r="D43" s="18">
        <f>6*2.95+4*5+8*6</f>
        <v>85.7</v>
      </c>
      <c r="E43" s="44">
        <f t="shared" si="4"/>
        <v>2790.5300000000016</v>
      </c>
      <c r="F43" s="19"/>
      <c r="G43" s="59">
        <f t="shared" si="5"/>
        <v>25.004635614446144</v>
      </c>
      <c r="H43" s="19"/>
      <c r="I43" s="60">
        <f t="shared" si="2"/>
        <v>2142.8972721580344</v>
      </c>
      <c r="J43" s="61">
        <f t="shared" si="6"/>
        <v>69776.185821180436</v>
      </c>
      <c r="K43" s="18"/>
    </row>
    <row r="44" spans="1:14" s="62" customFormat="1">
      <c r="A44" s="79">
        <v>41698</v>
      </c>
      <c r="B44" s="18" t="s">
        <v>227</v>
      </c>
      <c r="C44" s="63"/>
      <c r="D44" s="18">
        <f>5*2.5</f>
        <v>12.5</v>
      </c>
      <c r="E44" s="44">
        <f t="shared" si="4"/>
        <v>2778.0300000000016</v>
      </c>
      <c r="F44" s="19"/>
      <c r="G44" s="59">
        <f t="shared" si="5"/>
        <v>25.004635614446144</v>
      </c>
      <c r="H44" s="19"/>
      <c r="I44" s="60">
        <f t="shared" si="2"/>
        <v>312.55794518057678</v>
      </c>
      <c r="J44" s="61">
        <f t="shared" si="6"/>
        <v>69463.627875999853</v>
      </c>
      <c r="K44" s="81">
        <f>SUM(I28:I44)</f>
        <v>13165.440743718184</v>
      </c>
      <c r="L44" s="147">
        <v>41698</v>
      </c>
      <c r="M44" s="146">
        <f>SUM(I40:I44)</f>
        <v>2652.9918386927357</v>
      </c>
      <c r="N44" s="146">
        <f>SUM(M39:M44)</f>
        <v>13165.440743718184</v>
      </c>
    </row>
    <row r="45" spans="1:14" s="20" customFormat="1">
      <c r="A45" s="79">
        <v>41709</v>
      </c>
      <c r="B45" s="18" t="s">
        <v>240</v>
      </c>
      <c r="C45" s="63"/>
      <c r="D45" s="18">
        <f>5*1.95</f>
        <v>9.75</v>
      </c>
      <c r="E45" s="44">
        <f>E44-D45</f>
        <v>2768.2800000000016</v>
      </c>
      <c r="F45" s="19"/>
      <c r="G45" s="59">
        <f t="shared" si="5"/>
        <v>25.004635614446141</v>
      </c>
      <c r="H45" s="19"/>
      <c r="I45" s="60">
        <f t="shared" si="2"/>
        <v>243.79519724084992</v>
      </c>
      <c r="J45" s="61">
        <f t="shared" si="6"/>
        <v>69219.832678759005</v>
      </c>
      <c r="K45" s="22"/>
    </row>
    <row r="46" spans="1:14" s="20" customFormat="1">
      <c r="A46" s="79">
        <v>41710</v>
      </c>
      <c r="B46" s="18" t="s">
        <v>243</v>
      </c>
      <c r="C46" s="63"/>
      <c r="D46" s="18">
        <f>4*0.4</f>
        <v>1.6</v>
      </c>
      <c r="E46" s="44">
        <f>E45-D46</f>
        <v>2766.6800000000017</v>
      </c>
      <c r="F46" s="19"/>
      <c r="G46" s="59">
        <f t="shared" si="5"/>
        <v>25.004635614446141</v>
      </c>
      <c r="H46" s="19"/>
      <c r="I46" s="60">
        <f t="shared" si="2"/>
        <v>40.007416983113828</v>
      </c>
      <c r="J46" s="61">
        <f t="shared" si="6"/>
        <v>69179.825261775884</v>
      </c>
      <c r="K46" s="22"/>
    </row>
    <row r="47" spans="1:14" s="20" customFormat="1">
      <c r="A47" s="79">
        <v>41712</v>
      </c>
      <c r="B47" s="18" t="s">
        <v>247</v>
      </c>
      <c r="C47" s="63"/>
      <c r="D47" s="18">
        <f>11*5.2</f>
        <v>57.2</v>
      </c>
      <c r="E47" s="44">
        <f>E46-D47</f>
        <v>2709.4800000000018</v>
      </c>
      <c r="F47" s="19"/>
      <c r="G47" s="59">
        <f t="shared" si="5"/>
        <v>25.004635614446137</v>
      </c>
      <c r="H47" s="19"/>
      <c r="I47" s="60">
        <f t="shared" si="2"/>
        <v>1430.2651571463193</v>
      </c>
      <c r="J47" s="61">
        <f t="shared" si="6"/>
        <v>67749.560104629563</v>
      </c>
      <c r="K47" s="22"/>
    </row>
    <row r="48" spans="1:14" s="20" customFormat="1">
      <c r="A48" s="79">
        <v>41713</v>
      </c>
      <c r="B48" s="18" t="s">
        <v>250</v>
      </c>
      <c r="C48" s="63"/>
      <c r="D48" s="18">
        <f>10*5+3.3</f>
        <v>53.3</v>
      </c>
      <c r="E48" s="44">
        <f>E47-D48</f>
        <v>2656.1800000000017</v>
      </c>
      <c r="F48" s="19"/>
      <c r="G48" s="59">
        <f t="shared" si="5"/>
        <v>25.004635614446137</v>
      </c>
      <c r="H48" s="19"/>
      <c r="I48" s="60">
        <f t="shared" si="2"/>
        <v>1332.747078249979</v>
      </c>
      <c r="J48" s="61">
        <f t="shared" si="6"/>
        <v>66416.81302637959</v>
      </c>
      <c r="K48" s="80">
        <f>SUM(I45:I48)</f>
        <v>3046.8148496202621</v>
      </c>
      <c r="L48" s="145">
        <v>41728</v>
      </c>
      <c r="N48" s="123">
        <f>+K48</f>
        <v>3046.8148496202621</v>
      </c>
    </row>
    <row r="49" spans="1:14" s="20" customFormat="1">
      <c r="A49" s="79">
        <v>41732</v>
      </c>
      <c r="B49" s="18" t="s">
        <v>267</v>
      </c>
      <c r="C49" s="63"/>
      <c r="D49" s="18">
        <f>3</f>
        <v>3</v>
      </c>
      <c r="E49" s="44">
        <f>E48-D49</f>
        <v>2653.1800000000017</v>
      </c>
      <c r="F49" s="19"/>
      <c r="G49" s="59">
        <f t="shared" si="5"/>
        <v>25.004635614446141</v>
      </c>
      <c r="H49" s="19"/>
      <c r="I49" s="60">
        <f t="shared" si="2"/>
        <v>75.013906843338418</v>
      </c>
      <c r="J49" s="61">
        <f t="shared" si="6"/>
        <v>66341.799119536256</v>
      </c>
      <c r="K49" s="50"/>
    </row>
    <row r="50" spans="1:14" s="20" customFormat="1">
      <c r="A50" s="79">
        <v>41737</v>
      </c>
      <c r="B50" s="18" t="s">
        <v>276</v>
      </c>
      <c r="C50" s="63"/>
      <c r="D50" s="18">
        <f>4*5</f>
        <v>20</v>
      </c>
      <c r="E50" s="44">
        <f t="shared" si="3"/>
        <v>2633.1800000000017</v>
      </c>
      <c r="F50" s="19"/>
      <c r="G50" s="59">
        <f t="shared" si="5"/>
        <v>25.004635614446141</v>
      </c>
      <c r="H50" s="19"/>
      <c r="I50" s="60">
        <f t="shared" si="2"/>
        <v>500.09271228892283</v>
      </c>
      <c r="J50" s="61">
        <f t="shared" si="6"/>
        <v>65841.706407247329</v>
      </c>
      <c r="K50" s="50"/>
    </row>
    <row r="51" spans="1:14" s="20" customFormat="1">
      <c r="A51" s="79">
        <v>41739</v>
      </c>
      <c r="B51" s="18" t="s">
        <v>279</v>
      </c>
      <c r="C51" s="63"/>
      <c r="D51" s="18">
        <f>5*2.1+3*0.5</f>
        <v>12</v>
      </c>
      <c r="E51" s="44">
        <f t="shared" si="3"/>
        <v>2621.1800000000017</v>
      </c>
      <c r="F51" s="19"/>
      <c r="G51" s="59">
        <f t="shared" si="5"/>
        <v>25.004635614446141</v>
      </c>
      <c r="H51" s="19"/>
      <c r="I51" s="60">
        <f t="shared" si="2"/>
        <v>300.05562737335367</v>
      </c>
      <c r="J51" s="61">
        <f t="shared" si="6"/>
        <v>65541.650779873977</v>
      </c>
      <c r="K51" s="50"/>
      <c r="L51" s="145">
        <v>41744</v>
      </c>
      <c r="M51" s="123">
        <f>SUM(I49:I51)</f>
        <v>875.16224650561492</v>
      </c>
    </row>
    <row r="52" spans="1:14" s="20" customFormat="1">
      <c r="A52" s="79">
        <v>41751</v>
      </c>
      <c r="B52" s="18" t="s">
        <v>295</v>
      </c>
      <c r="C52" s="63"/>
      <c r="D52" s="18">
        <f>12*9.2+6*3.4+4*4.6</f>
        <v>149.19999999999999</v>
      </c>
      <c r="E52" s="44">
        <f t="shared" si="3"/>
        <v>2471.9800000000018</v>
      </c>
      <c r="F52" s="19"/>
      <c r="G52" s="59">
        <f t="shared" si="5"/>
        <v>25.004635614446141</v>
      </c>
      <c r="H52" s="19"/>
      <c r="I52" s="60">
        <f t="shared" si="2"/>
        <v>3730.6916336753638</v>
      </c>
      <c r="J52" s="61">
        <f t="shared" si="6"/>
        <v>61810.959146198613</v>
      </c>
      <c r="K52" s="50"/>
    </row>
    <row r="53" spans="1:14" s="20" customFormat="1">
      <c r="A53" s="79">
        <v>41759</v>
      </c>
      <c r="B53" s="18" t="s">
        <v>302</v>
      </c>
      <c r="C53" s="63"/>
      <c r="D53" s="18">
        <f>17*5.2</f>
        <v>88.4</v>
      </c>
      <c r="E53" s="44">
        <f t="shared" si="3"/>
        <v>2383.5800000000017</v>
      </c>
      <c r="F53" s="19"/>
      <c r="G53" s="59">
        <f t="shared" si="5"/>
        <v>25.004635614446141</v>
      </c>
      <c r="H53" s="19"/>
      <c r="I53" s="60">
        <f t="shared" si="2"/>
        <v>2210.4097883170389</v>
      </c>
      <c r="J53" s="61">
        <f t="shared" si="6"/>
        <v>59600.549357881573</v>
      </c>
      <c r="K53" s="80">
        <f>SUM(I49:I53)</f>
        <v>6816.263668498018</v>
      </c>
      <c r="L53" s="145">
        <v>41759</v>
      </c>
      <c r="M53" s="123">
        <f>SUM(I52:I53)</f>
        <v>5941.1014219924027</v>
      </c>
      <c r="N53" s="123">
        <f>SUM(M51:M53)</f>
        <v>6816.263668498018</v>
      </c>
    </row>
    <row r="54" spans="1:14" s="20" customFormat="1">
      <c r="A54" s="79">
        <v>41765</v>
      </c>
      <c r="B54" s="18" t="s">
        <v>305</v>
      </c>
      <c r="C54" s="63"/>
      <c r="D54" s="18">
        <f>7*5.2+4*7.8+7*7.6</f>
        <v>120.79999999999998</v>
      </c>
      <c r="E54" s="44">
        <f t="shared" si="3"/>
        <v>2262.7800000000016</v>
      </c>
      <c r="F54" s="19"/>
      <c r="G54" s="59">
        <f t="shared" si="5"/>
        <v>25.004635614446141</v>
      </c>
      <c r="H54" s="19"/>
      <c r="I54" s="60">
        <f t="shared" si="2"/>
        <v>3020.5599822250933</v>
      </c>
      <c r="J54" s="61">
        <f t="shared" si="6"/>
        <v>56579.989375656478</v>
      </c>
      <c r="K54" s="50"/>
    </row>
    <row r="55" spans="1:14" s="20" customFormat="1">
      <c r="A55" s="79">
        <v>41765</v>
      </c>
      <c r="B55" s="18" t="s">
        <v>307</v>
      </c>
      <c r="C55" s="63"/>
      <c r="D55" s="18">
        <f>(18*3.2+18*4.2+18*3.6+18*2.4)+7</f>
        <v>248.2</v>
      </c>
      <c r="E55" s="44">
        <f t="shared" si="3"/>
        <v>2014.5800000000015</v>
      </c>
      <c r="F55" s="19"/>
      <c r="G55" s="59">
        <f t="shared" si="5"/>
        <v>25.004635614446141</v>
      </c>
      <c r="H55" s="19"/>
      <c r="I55" s="60">
        <f t="shared" si="2"/>
        <v>6206.1505595055314</v>
      </c>
      <c r="J55" s="61">
        <f t="shared" si="6"/>
        <v>50373.83881615095</v>
      </c>
      <c r="K55" s="22"/>
    </row>
    <row r="56" spans="1:14" s="20" customFormat="1">
      <c r="A56" s="79">
        <v>41766</v>
      </c>
      <c r="B56" s="18" t="s">
        <v>308</v>
      </c>
      <c r="C56" s="63"/>
      <c r="D56" s="18">
        <f>13*5.6</f>
        <v>72.8</v>
      </c>
      <c r="E56" s="44">
        <f t="shared" si="3"/>
        <v>1941.7800000000016</v>
      </c>
      <c r="F56" s="19"/>
      <c r="G56" s="59">
        <f t="shared" si="5"/>
        <v>25.004635614446144</v>
      </c>
      <c r="H56" s="19"/>
      <c r="I56" s="60">
        <f t="shared" si="2"/>
        <v>1820.3374727316789</v>
      </c>
      <c r="J56" s="61">
        <f t="shared" si="6"/>
        <v>48553.501343419273</v>
      </c>
      <c r="K56" s="22"/>
      <c r="L56" s="145">
        <v>41774</v>
      </c>
      <c r="M56" s="149">
        <f>SUM(I54:I56)</f>
        <v>11047.048014462303</v>
      </c>
    </row>
    <row r="57" spans="1:14" s="20" customFormat="1">
      <c r="A57" s="79">
        <v>41778</v>
      </c>
      <c r="B57" s="18" t="s">
        <v>324</v>
      </c>
      <c r="C57" s="63"/>
      <c r="D57" s="18">
        <f>9.4</f>
        <v>9.4</v>
      </c>
      <c r="E57" s="44">
        <f t="shared" si="3"/>
        <v>1932.3800000000015</v>
      </c>
      <c r="F57" s="19"/>
      <c r="G57" s="59">
        <f t="shared" si="5"/>
        <v>25.004635614446144</v>
      </c>
      <c r="H57" s="19"/>
      <c r="I57" s="60">
        <f t="shared" si="2"/>
        <v>235.04357477579376</v>
      </c>
      <c r="J57" s="61">
        <f t="shared" si="6"/>
        <v>48318.457768643479</v>
      </c>
      <c r="K57" s="22"/>
    </row>
    <row r="58" spans="1:14" s="20" customFormat="1">
      <c r="A58" s="79">
        <v>41788</v>
      </c>
      <c r="B58" s="18" t="s">
        <v>337</v>
      </c>
      <c r="C58" s="63"/>
      <c r="D58" s="18">
        <f>16*5</f>
        <v>80</v>
      </c>
      <c r="E58" s="44">
        <f t="shared" si="3"/>
        <v>1852.3800000000015</v>
      </c>
      <c r="F58" s="19"/>
      <c r="G58" s="59">
        <f t="shared" si="5"/>
        <v>25.004635614446144</v>
      </c>
      <c r="H58" s="19"/>
      <c r="I58" s="60">
        <f t="shared" si="2"/>
        <v>2000.3708491556915</v>
      </c>
      <c r="J58" s="61">
        <f t="shared" si="6"/>
        <v>46318.086919487789</v>
      </c>
      <c r="K58" s="22"/>
    </row>
    <row r="59" spans="1:14" s="20" customFormat="1">
      <c r="A59" s="79">
        <v>41789</v>
      </c>
      <c r="B59" s="18" t="s">
        <v>342</v>
      </c>
      <c r="C59" s="63"/>
      <c r="D59" s="18">
        <v>23</v>
      </c>
      <c r="E59" s="44">
        <f t="shared" si="3"/>
        <v>1829.3800000000015</v>
      </c>
      <c r="F59" s="19"/>
      <c r="G59" s="59">
        <f t="shared" si="5"/>
        <v>25.004635614446148</v>
      </c>
      <c r="H59" s="19"/>
      <c r="I59" s="60">
        <f t="shared" si="2"/>
        <v>575.10661913226136</v>
      </c>
      <c r="J59" s="61">
        <f t="shared" si="6"/>
        <v>45742.980300355528</v>
      </c>
      <c r="K59" s="22"/>
    </row>
    <row r="60" spans="1:14" s="20" customFormat="1">
      <c r="A60" s="79">
        <v>41790</v>
      </c>
      <c r="B60" s="18" t="s">
        <v>343</v>
      </c>
      <c r="C60" s="63"/>
      <c r="D60" s="18">
        <f>3</f>
        <v>3</v>
      </c>
      <c r="E60" s="44">
        <f t="shared" si="3"/>
        <v>1826.3800000000015</v>
      </c>
      <c r="F60" s="19"/>
      <c r="G60" s="59">
        <f t="shared" si="5"/>
        <v>25.004635614446148</v>
      </c>
      <c r="H60" s="19"/>
      <c r="I60" s="60">
        <f t="shared" si="2"/>
        <v>75.013906843338447</v>
      </c>
      <c r="J60" s="61">
        <f t="shared" si="6"/>
        <v>45667.966393512186</v>
      </c>
      <c r="K60" s="80">
        <f>SUM(I54:I60)</f>
        <v>13932.582964369387</v>
      </c>
      <c r="L60" s="145">
        <v>41790</v>
      </c>
      <c r="M60" s="123">
        <f>SUM(I57:I60)</f>
        <v>2885.5349499070849</v>
      </c>
      <c r="N60" s="123">
        <f>SUM(M56:M60)</f>
        <v>13932.582964369389</v>
      </c>
    </row>
    <row r="61" spans="1:14" s="20" customFormat="1">
      <c r="A61" s="79">
        <v>41794</v>
      </c>
      <c r="B61" s="18" t="s">
        <v>352</v>
      </c>
      <c r="C61" s="63"/>
      <c r="D61" s="18">
        <f>10</f>
        <v>10</v>
      </c>
      <c r="E61" s="44">
        <f>E60-D61</f>
        <v>1816.3800000000015</v>
      </c>
      <c r="F61" s="19"/>
      <c r="G61" s="59">
        <f>+J60/E60</f>
        <v>25.004635614446144</v>
      </c>
      <c r="H61" s="19"/>
      <c r="I61" s="60">
        <f>D61*G60</f>
        <v>250.04635614446147</v>
      </c>
      <c r="J61" s="61">
        <f>+J60-I61</f>
        <v>45417.920037367723</v>
      </c>
      <c r="K61" s="50"/>
    </row>
    <row r="62" spans="1:14" s="20" customFormat="1">
      <c r="A62" s="79">
        <v>41796</v>
      </c>
      <c r="B62" s="18" t="s">
        <v>358</v>
      </c>
      <c r="C62" s="63"/>
      <c r="D62" s="18">
        <f>4*8</f>
        <v>32</v>
      </c>
      <c r="E62" s="44">
        <f t="shared" ref="E62:E107" si="7">E61-D62</f>
        <v>1784.3800000000015</v>
      </c>
      <c r="F62" s="19"/>
      <c r="G62" s="59">
        <f t="shared" si="5"/>
        <v>25.004635614446144</v>
      </c>
      <c r="H62" s="19"/>
      <c r="I62" s="60">
        <f t="shared" si="2"/>
        <v>800.14833966227661</v>
      </c>
      <c r="J62" s="61">
        <f t="shared" si="6"/>
        <v>44617.771697705444</v>
      </c>
      <c r="K62" s="50"/>
    </row>
    <row r="63" spans="1:14" s="20" customFormat="1">
      <c r="A63" s="79">
        <v>41768</v>
      </c>
      <c r="B63" s="18" t="s">
        <v>361</v>
      </c>
      <c r="C63" s="63"/>
      <c r="D63" s="18">
        <f>9</f>
        <v>9</v>
      </c>
      <c r="E63" s="44">
        <f t="shared" si="7"/>
        <v>1775.3800000000015</v>
      </c>
      <c r="F63" s="19"/>
      <c r="G63" s="59">
        <f t="shared" si="5"/>
        <v>25.004635614446141</v>
      </c>
      <c r="H63" s="19"/>
      <c r="I63" s="60">
        <f t="shared" si="2"/>
        <v>225.04172053001531</v>
      </c>
      <c r="J63" s="61">
        <f t="shared" si="6"/>
        <v>44392.729977175426</v>
      </c>
      <c r="K63" s="50"/>
    </row>
    <row r="64" spans="1:14" s="20" customFormat="1">
      <c r="A64" s="79">
        <v>41801</v>
      </c>
      <c r="B64" s="18" t="s">
        <v>364</v>
      </c>
      <c r="C64" s="63"/>
      <c r="D64" s="18">
        <v>6.75</v>
      </c>
      <c r="E64" s="44">
        <f t="shared" si="7"/>
        <v>1768.6300000000015</v>
      </c>
      <c r="F64" s="19"/>
      <c r="G64" s="59">
        <f t="shared" si="5"/>
        <v>25.004635614446141</v>
      </c>
      <c r="H64" s="19"/>
      <c r="I64" s="60">
        <f t="shared" si="2"/>
        <v>168.78129039751144</v>
      </c>
      <c r="J64" s="61">
        <f t="shared" si="6"/>
        <v>44223.948686777912</v>
      </c>
      <c r="K64" s="50"/>
    </row>
    <row r="65" spans="1:14" s="20" customFormat="1">
      <c r="A65" s="79">
        <v>41803</v>
      </c>
      <c r="B65" s="18" t="s">
        <v>371</v>
      </c>
      <c r="C65" s="63"/>
      <c r="D65" s="18">
        <f>2.9+1.75</f>
        <v>4.6500000000000004</v>
      </c>
      <c r="E65" s="44">
        <f t="shared" si="7"/>
        <v>1763.9800000000014</v>
      </c>
      <c r="F65" s="19"/>
      <c r="G65" s="59">
        <f t="shared" si="5"/>
        <v>25.004635614446141</v>
      </c>
      <c r="H65" s="19"/>
      <c r="I65" s="60">
        <f t="shared" si="2"/>
        <v>116.27155560717456</v>
      </c>
      <c r="J65" s="61">
        <f t="shared" si="6"/>
        <v>44107.677131170734</v>
      </c>
      <c r="K65" s="50"/>
      <c r="L65" s="145">
        <v>41804</v>
      </c>
      <c r="M65" s="123">
        <f>SUM(I61:I65)</f>
        <v>1560.2892623414393</v>
      </c>
    </row>
    <row r="66" spans="1:14" s="20" customFormat="1">
      <c r="A66" s="79">
        <v>41810</v>
      </c>
      <c r="B66" s="18" t="s">
        <v>386</v>
      </c>
      <c r="C66" s="63"/>
      <c r="D66" s="18">
        <v>3</v>
      </c>
      <c r="E66" s="44">
        <f t="shared" si="7"/>
        <v>1760.9800000000014</v>
      </c>
      <c r="F66" s="19"/>
      <c r="G66" s="59">
        <f t="shared" si="5"/>
        <v>25.004635614446137</v>
      </c>
      <c r="H66" s="19"/>
      <c r="I66" s="60">
        <f t="shared" si="2"/>
        <v>75.013906843338418</v>
      </c>
      <c r="J66" s="61">
        <f t="shared" si="6"/>
        <v>44032.663224327393</v>
      </c>
      <c r="K66" s="50"/>
    </row>
    <row r="67" spans="1:14" s="20" customFormat="1">
      <c r="A67" s="79">
        <v>41816</v>
      </c>
      <c r="B67" s="18" t="s">
        <v>395</v>
      </c>
      <c r="C67" s="63"/>
      <c r="D67" s="18">
        <v>4.3</v>
      </c>
      <c r="E67" s="44">
        <f t="shared" si="7"/>
        <v>1756.6800000000014</v>
      </c>
      <c r="F67" s="19"/>
      <c r="G67" s="59">
        <f t="shared" si="5"/>
        <v>25.004635614446137</v>
      </c>
      <c r="H67" s="19"/>
      <c r="I67" s="60">
        <f t="shared" si="2"/>
        <v>107.51993314211839</v>
      </c>
      <c r="J67" s="61">
        <f t="shared" si="6"/>
        <v>43925.143291185275</v>
      </c>
      <c r="K67" s="50"/>
    </row>
    <row r="68" spans="1:14" s="20" customFormat="1">
      <c r="A68" s="79">
        <v>41820</v>
      </c>
      <c r="B68" s="18" t="s">
        <v>401</v>
      </c>
      <c r="C68" s="63"/>
      <c r="D68" s="18">
        <f>2*3.35+3.95</f>
        <v>10.65</v>
      </c>
      <c r="E68" s="44">
        <f>E67-D68</f>
        <v>1746.0300000000013</v>
      </c>
      <c r="F68" s="19"/>
      <c r="G68" s="59">
        <f>+J67/E67</f>
        <v>25.004635614446137</v>
      </c>
      <c r="H68" s="19"/>
      <c r="I68" s="60">
        <f>D68*G67</f>
        <v>266.29936929385138</v>
      </c>
      <c r="J68" s="61">
        <f>+J67-I68</f>
        <v>43658.843921891421</v>
      </c>
      <c r="K68" s="80">
        <f>SUM(I61:I68)</f>
        <v>2009.1224716207475</v>
      </c>
      <c r="L68" s="145">
        <v>41820</v>
      </c>
      <c r="M68" s="123">
        <f>SUM(I66:I68)</f>
        <v>448.83320927930822</v>
      </c>
      <c r="N68" s="123">
        <f>SUM(M65:M68)</f>
        <v>2009.1224716207475</v>
      </c>
    </row>
    <row r="69" spans="1:14" s="20" customFormat="1">
      <c r="A69" s="79">
        <v>41829</v>
      </c>
      <c r="B69" s="18" t="s">
        <v>434</v>
      </c>
      <c r="C69" s="63"/>
      <c r="D69" s="18">
        <f>2*5.5</f>
        <v>11</v>
      </c>
      <c r="E69" s="44">
        <f t="shared" si="7"/>
        <v>1735.0300000000013</v>
      </c>
      <c r="F69" s="19"/>
      <c r="G69" s="59">
        <f t="shared" si="5"/>
        <v>25.004635614446137</v>
      </c>
      <c r="H69" s="19"/>
      <c r="I69" s="60">
        <f t="shared" si="2"/>
        <v>275.05099175890751</v>
      </c>
      <c r="J69" s="61">
        <f t="shared" si="6"/>
        <v>43383.792930132513</v>
      </c>
      <c r="K69" s="22"/>
      <c r="L69" s="145">
        <v>41835</v>
      </c>
      <c r="M69" s="123">
        <f>+I69</f>
        <v>275.05099175890751</v>
      </c>
    </row>
    <row r="70" spans="1:14" s="20" customFormat="1">
      <c r="A70" s="79">
        <v>41836</v>
      </c>
      <c r="B70" s="18" t="s">
        <v>447</v>
      </c>
      <c r="C70" s="63"/>
      <c r="D70" s="18">
        <f>1*4</f>
        <v>4</v>
      </c>
      <c r="E70" s="44">
        <f t="shared" si="7"/>
        <v>1731.0300000000013</v>
      </c>
      <c r="F70" s="19"/>
      <c r="G70" s="59">
        <f t="shared" si="5"/>
        <v>25.004635614446137</v>
      </c>
      <c r="H70" s="19"/>
      <c r="I70" s="60">
        <f t="shared" si="2"/>
        <v>100.01854245778455</v>
      </c>
      <c r="J70" s="61">
        <f t="shared" si="6"/>
        <v>43283.774387674726</v>
      </c>
      <c r="K70" s="22"/>
    </row>
    <row r="71" spans="1:14" s="20" customFormat="1">
      <c r="A71" s="79">
        <v>41837</v>
      </c>
      <c r="B71" s="18" t="s">
        <v>455</v>
      </c>
      <c r="C71" s="63"/>
      <c r="D71" s="18">
        <f>3</f>
        <v>3</v>
      </c>
      <c r="E71" s="44">
        <f t="shared" si="7"/>
        <v>1728.0300000000013</v>
      </c>
      <c r="F71" s="19"/>
      <c r="G71" s="59">
        <f t="shared" si="5"/>
        <v>25.004635614446133</v>
      </c>
      <c r="H71" s="19"/>
      <c r="I71" s="60">
        <f t="shared" si="2"/>
        <v>75.013906843338418</v>
      </c>
      <c r="J71" s="61">
        <f t="shared" si="6"/>
        <v>43208.760480831384</v>
      </c>
      <c r="K71" s="22"/>
    </row>
    <row r="72" spans="1:14" s="20" customFormat="1">
      <c r="A72" s="79">
        <v>41845</v>
      </c>
      <c r="B72" s="18" t="s">
        <v>473</v>
      </c>
      <c r="C72" s="63"/>
      <c r="D72" s="18">
        <f>4*5</f>
        <v>20</v>
      </c>
      <c r="E72" s="44">
        <f t="shared" si="7"/>
        <v>1708.0300000000013</v>
      </c>
      <c r="F72" s="19"/>
      <c r="G72" s="59">
        <f t="shared" si="5"/>
        <v>25.004635614446133</v>
      </c>
      <c r="H72" s="19"/>
      <c r="I72" s="60">
        <f t="shared" si="2"/>
        <v>500.09271228892266</v>
      </c>
      <c r="J72" s="61">
        <f t="shared" si="6"/>
        <v>42708.667768542458</v>
      </c>
      <c r="K72" s="22"/>
    </row>
    <row r="73" spans="1:14" s="20" customFormat="1">
      <c r="A73" s="79">
        <v>41850</v>
      </c>
      <c r="B73" s="18" t="s">
        <v>889</v>
      </c>
      <c r="C73" s="63">
        <v>5167.8</v>
      </c>
      <c r="D73" s="18"/>
      <c r="E73" s="44">
        <f>+E72+C73</f>
        <v>6875.8300000000017</v>
      </c>
      <c r="F73" s="19">
        <f>+H73/C73</f>
        <v>25.922040326638029</v>
      </c>
      <c r="G73" s="59"/>
      <c r="H73" s="19">
        <v>133959.92000000001</v>
      </c>
      <c r="I73" s="60"/>
      <c r="J73" s="61">
        <f>+J72+H73</f>
        <v>176668.58776854246</v>
      </c>
      <c r="K73" s="76">
        <f>SUM(I69:I73)</f>
        <v>950.17615334895322</v>
      </c>
      <c r="L73" s="145">
        <v>41850</v>
      </c>
      <c r="M73" s="123">
        <f>SUM(I70:I72)</f>
        <v>675.12516159004565</v>
      </c>
      <c r="N73" s="123">
        <f>SUM(M69:M73)</f>
        <v>950.17615334895322</v>
      </c>
    </row>
    <row r="74" spans="1:14" s="20" customFormat="1">
      <c r="A74" s="79">
        <v>41856</v>
      </c>
      <c r="B74" s="18" t="s">
        <v>543</v>
      </c>
      <c r="C74" s="63"/>
      <c r="D74" s="18">
        <v>0</v>
      </c>
      <c r="E74" s="44">
        <f>+E73-D74</f>
        <v>6875.8300000000017</v>
      </c>
      <c r="F74" s="19"/>
      <c r="G74" s="59">
        <f>+J73/E73</f>
        <v>25.694147145659858</v>
      </c>
      <c r="H74" s="19"/>
      <c r="I74" s="60">
        <f>D74*G72</f>
        <v>0</v>
      </c>
      <c r="J74" s="61">
        <f>+J73-I74</f>
        <v>176668.58776854246</v>
      </c>
      <c r="K74" s="22"/>
    </row>
    <row r="75" spans="1:14" s="20" customFormat="1">
      <c r="A75" s="79">
        <v>41859</v>
      </c>
      <c r="B75" s="18" t="s">
        <v>544</v>
      </c>
      <c r="C75" s="63"/>
      <c r="D75" s="18">
        <f>2*4.4</f>
        <v>8.8000000000000007</v>
      </c>
      <c r="E75" s="44">
        <f t="shared" ref="E75:E86" si="8">+E74-D75</f>
        <v>6867.0300000000016</v>
      </c>
      <c r="F75" s="19"/>
      <c r="G75" s="59">
        <f t="shared" si="5"/>
        <v>25.694147145659858</v>
      </c>
      <c r="H75" s="19"/>
      <c r="I75" s="60">
        <f t="shared" si="2"/>
        <v>226.10849488180676</v>
      </c>
      <c r="J75" s="61">
        <f t="shared" si="6"/>
        <v>176442.47927366066</v>
      </c>
      <c r="K75" s="22"/>
    </row>
    <row r="76" spans="1:14" s="20" customFormat="1">
      <c r="A76" s="79">
        <v>41859</v>
      </c>
      <c r="B76" s="18" t="s">
        <v>545</v>
      </c>
      <c r="C76" s="63"/>
      <c r="D76" s="18">
        <v>80</v>
      </c>
      <c r="E76" s="44">
        <f t="shared" si="8"/>
        <v>6787.0300000000016</v>
      </c>
      <c r="F76" s="19"/>
      <c r="G76" s="59">
        <f t="shared" si="5"/>
        <v>25.694147145659858</v>
      </c>
      <c r="H76" s="19"/>
      <c r="I76" s="60">
        <f t="shared" si="2"/>
        <v>2055.5317716527888</v>
      </c>
      <c r="J76" s="61">
        <f t="shared" si="6"/>
        <v>174386.94750200788</v>
      </c>
      <c r="K76" s="22"/>
    </row>
    <row r="77" spans="1:14" s="20" customFormat="1">
      <c r="A77" s="79">
        <v>41864</v>
      </c>
      <c r="B77" s="18" t="s">
        <v>546</v>
      </c>
      <c r="C77" s="63"/>
      <c r="D77" s="18">
        <v>4</v>
      </c>
      <c r="E77" s="44">
        <f t="shared" si="8"/>
        <v>6783.0300000000016</v>
      </c>
      <c r="F77" s="19"/>
      <c r="G77" s="59">
        <f t="shared" si="5"/>
        <v>25.694147145659862</v>
      </c>
      <c r="H77" s="19"/>
      <c r="I77" s="60">
        <f t="shared" ref="I77:I85" si="9">D77*G76</f>
        <v>102.77658858263943</v>
      </c>
      <c r="J77" s="61">
        <f t="shared" si="6"/>
        <v>174284.17091342525</v>
      </c>
      <c r="K77" s="22"/>
    </row>
    <row r="78" spans="1:14" s="20" customFormat="1">
      <c r="A78" s="79">
        <v>41866</v>
      </c>
      <c r="B78" s="18" t="s">
        <v>530</v>
      </c>
      <c r="C78" s="63"/>
      <c r="D78" s="18">
        <f>28*5.35</f>
        <v>149.79999999999998</v>
      </c>
      <c r="E78" s="44">
        <f t="shared" si="8"/>
        <v>6633.2300000000014</v>
      </c>
      <c r="F78" s="19"/>
      <c r="G78" s="59">
        <f t="shared" si="5"/>
        <v>25.694147145659862</v>
      </c>
      <c r="H78" s="19"/>
      <c r="I78" s="60">
        <f t="shared" si="9"/>
        <v>3848.9832424198471</v>
      </c>
      <c r="J78" s="61">
        <f t="shared" si="6"/>
        <v>170435.18767100541</v>
      </c>
      <c r="K78" s="22"/>
    </row>
    <row r="79" spans="1:14" s="20" customFormat="1">
      <c r="A79" s="79">
        <v>41866</v>
      </c>
      <c r="B79" s="18" t="s">
        <v>547</v>
      </c>
      <c r="C79" s="63"/>
      <c r="D79" s="18">
        <f>7*3.1</f>
        <v>21.7</v>
      </c>
      <c r="E79" s="44">
        <f t="shared" si="8"/>
        <v>6611.5300000000016</v>
      </c>
      <c r="F79" s="19"/>
      <c r="G79" s="59">
        <f t="shared" si="5"/>
        <v>25.694147145659862</v>
      </c>
      <c r="H79" s="19"/>
      <c r="I79" s="60">
        <f t="shared" si="9"/>
        <v>557.56299306081894</v>
      </c>
      <c r="J79" s="61">
        <f t="shared" si="6"/>
        <v>169877.62467794458</v>
      </c>
      <c r="K79" s="22"/>
      <c r="L79" s="145">
        <v>41866</v>
      </c>
      <c r="M79" s="123">
        <f>SUM(I74:I79)</f>
        <v>6790.9630905979011</v>
      </c>
    </row>
    <row r="80" spans="1:14" s="20" customFormat="1">
      <c r="A80" s="79">
        <v>41871</v>
      </c>
      <c r="B80" s="18" t="s">
        <v>548</v>
      </c>
      <c r="C80" s="63"/>
      <c r="D80" s="18">
        <v>2.7</v>
      </c>
      <c r="E80" s="44">
        <f t="shared" si="8"/>
        <v>6608.8300000000017</v>
      </c>
      <c r="F80" s="19"/>
      <c r="G80" s="59">
        <f t="shared" si="5"/>
        <v>25.694147145659862</v>
      </c>
      <c r="H80" s="19"/>
      <c r="I80" s="60">
        <f t="shared" si="9"/>
        <v>69.374197293281625</v>
      </c>
      <c r="J80" s="61">
        <f t="shared" si="6"/>
        <v>169808.2504806513</v>
      </c>
      <c r="K80" s="22"/>
    </row>
    <row r="81" spans="1:14" s="20" customFormat="1">
      <c r="A81" s="79">
        <v>41872</v>
      </c>
      <c r="B81" s="18" t="s">
        <v>549</v>
      </c>
      <c r="C81" s="63"/>
      <c r="D81" s="18">
        <f>18*3.5</f>
        <v>63</v>
      </c>
      <c r="E81" s="44">
        <f t="shared" si="8"/>
        <v>6545.8300000000017</v>
      </c>
      <c r="F81" s="19"/>
      <c r="G81" s="59">
        <f t="shared" si="5"/>
        <v>25.694147145659862</v>
      </c>
      <c r="H81" s="19"/>
      <c r="I81" s="60">
        <f t="shared" si="9"/>
        <v>1618.7312701765713</v>
      </c>
      <c r="J81" s="61">
        <f t="shared" si="6"/>
        <v>168189.51921047474</v>
      </c>
      <c r="K81" s="22"/>
    </row>
    <row r="82" spans="1:14" s="20" customFormat="1">
      <c r="A82" s="79">
        <v>41874</v>
      </c>
      <c r="B82" s="18" t="s">
        <v>550</v>
      </c>
      <c r="C82" s="63"/>
      <c r="D82" s="18">
        <f>10</f>
        <v>10</v>
      </c>
      <c r="E82" s="44">
        <f t="shared" si="8"/>
        <v>6535.8300000000017</v>
      </c>
      <c r="F82" s="19"/>
      <c r="G82" s="59">
        <f t="shared" si="5"/>
        <v>25.694147145659862</v>
      </c>
      <c r="H82" s="19"/>
      <c r="I82" s="60">
        <f t="shared" si="9"/>
        <v>256.94147145659861</v>
      </c>
      <c r="J82" s="61">
        <f t="shared" si="6"/>
        <v>167932.57773901813</v>
      </c>
      <c r="K82" s="22"/>
    </row>
    <row r="83" spans="1:14" s="20" customFormat="1">
      <c r="A83" s="79">
        <v>41874</v>
      </c>
      <c r="B83" s="18" t="s">
        <v>551</v>
      </c>
      <c r="C83" s="63"/>
      <c r="D83" s="18">
        <f>5.35</f>
        <v>5.35</v>
      </c>
      <c r="E83" s="44">
        <f t="shared" si="8"/>
        <v>6530.4800000000014</v>
      </c>
      <c r="F83" s="19"/>
      <c r="G83" s="59">
        <f t="shared" si="5"/>
        <v>25.694147145659862</v>
      </c>
      <c r="H83" s="19"/>
      <c r="I83" s="60">
        <f t="shared" si="9"/>
        <v>137.46368722928025</v>
      </c>
      <c r="J83" s="61">
        <f t="shared" si="6"/>
        <v>167795.11405178884</v>
      </c>
      <c r="K83" s="22"/>
    </row>
    <row r="84" spans="1:14" s="20" customFormat="1">
      <c r="A84" s="79">
        <v>41878</v>
      </c>
      <c r="B84" s="18" t="s">
        <v>552</v>
      </c>
      <c r="C84" s="63"/>
      <c r="D84" s="18">
        <f>4*3.5</f>
        <v>14</v>
      </c>
      <c r="E84" s="44">
        <f t="shared" si="8"/>
        <v>6516.4800000000014</v>
      </c>
      <c r="F84" s="19"/>
      <c r="G84" s="59">
        <f t="shared" si="5"/>
        <v>25.694147145659862</v>
      </c>
      <c r="H84" s="19"/>
      <c r="I84" s="60">
        <f t="shared" si="9"/>
        <v>359.71806003923808</v>
      </c>
      <c r="J84" s="61">
        <f t="shared" si="6"/>
        <v>167435.3959917496</v>
      </c>
      <c r="K84" s="22"/>
    </row>
    <row r="85" spans="1:14" s="20" customFormat="1">
      <c r="A85" s="79">
        <v>41878</v>
      </c>
      <c r="B85" s="18" t="s">
        <v>553</v>
      </c>
      <c r="C85" s="63"/>
      <c r="D85" s="18">
        <f>16*3+5*2+5*2.45</f>
        <v>70.25</v>
      </c>
      <c r="E85" s="44">
        <f t="shared" si="8"/>
        <v>6446.2300000000014</v>
      </c>
      <c r="F85" s="19"/>
      <c r="G85" s="59">
        <f t="shared" si="5"/>
        <v>25.694147145659858</v>
      </c>
      <c r="H85" s="19"/>
      <c r="I85" s="60">
        <f t="shared" si="9"/>
        <v>1805.0138369826052</v>
      </c>
      <c r="J85" s="61">
        <f t="shared" si="6"/>
        <v>165630.38215476699</v>
      </c>
      <c r="K85" s="80">
        <f>SUM(I74:I85)</f>
        <v>11038.205613775475</v>
      </c>
      <c r="L85" s="145">
        <v>41881</v>
      </c>
      <c r="M85" s="123">
        <f>SUM(I80:I85)</f>
        <v>4247.2425231775751</v>
      </c>
      <c r="N85" s="123">
        <f>SUM(M79:M85)</f>
        <v>11038.205613775477</v>
      </c>
    </row>
    <row r="86" spans="1:14" s="20" customFormat="1">
      <c r="A86" s="79">
        <v>41888</v>
      </c>
      <c r="B86" s="18" t="s">
        <v>591</v>
      </c>
      <c r="C86" s="63"/>
      <c r="D86" s="18">
        <f>25*6.05+2*5.96+2*5.12+2*4.26+2*3.41+2*2.57+2*1.72+2*0.85+1*0.77+1.52+2.28+3.05+3.8+4.55+5.3+5.7+5.4+4.64+3.9+3.12</f>
        <v>243.06000000000003</v>
      </c>
      <c r="E86" s="44">
        <f t="shared" si="8"/>
        <v>6203.170000000001</v>
      </c>
      <c r="F86" s="19"/>
      <c r="G86" s="59">
        <f t="shared" si="5"/>
        <v>25.694147145659858</v>
      </c>
      <c r="H86" s="19"/>
      <c r="I86" s="60">
        <f t="shared" ref="I86:I107" si="10">D86*G85</f>
        <v>6245.2194052240857</v>
      </c>
      <c r="J86" s="61">
        <f t="shared" si="6"/>
        <v>159385.16274954291</v>
      </c>
      <c r="K86" s="50"/>
    </row>
    <row r="87" spans="1:14" s="20" customFormat="1">
      <c r="A87" s="79">
        <v>41888</v>
      </c>
      <c r="B87" s="18" t="s">
        <v>592</v>
      </c>
      <c r="C87" s="63"/>
      <c r="D87" s="18">
        <f>2.38+1.6+0.87+6.2</f>
        <v>11.05</v>
      </c>
      <c r="E87" s="44">
        <f t="shared" si="7"/>
        <v>6192.1200000000008</v>
      </c>
      <c r="F87" s="19"/>
      <c r="G87" s="59">
        <f t="shared" si="5"/>
        <v>25.694147145659862</v>
      </c>
      <c r="H87" s="19"/>
      <c r="I87" s="60">
        <f t="shared" si="10"/>
        <v>283.92032595954146</v>
      </c>
      <c r="J87" s="61">
        <f t="shared" si="6"/>
        <v>159101.24242358338</v>
      </c>
      <c r="K87" s="50"/>
    </row>
    <row r="88" spans="1:14" s="20" customFormat="1">
      <c r="A88" s="79">
        <v>41901</v>
      </c>
      <c r="B88" s="18" t="s">
        <v>611</v>
      </c>
      <c r="C88" s="63"/>
      <c r="D88" s="18">
        <f>2</f>
        <v>2</v>
      </c>
      <c r="E88" s="44">
        <f t="shared" si="7"/>
        <v>6190.1200000000008</v>
      </c>
      <c r="F88" s="19"/>
      <c r="G88" s="59">
        <f t="shared" si="5"/>
        <v>25.694147145659862</v>
      </c>
      <c r="H88" s="19"/>
      <c r="I88" s="60">
        <f t="shared" si="10"/>
        <v>51.388294291319724</v>
      </c>
      <c r="J88" s="61">
        <f t="shared" si="6"/>
        <v>159049.85412929204</v>
      </c>
      <c r="K88" s="50"/>
      <c r="L88" s="145">
        <v>41902</v>
      </c>
      <c r="M88" s="123">
        <f>SUM(I86:I88)</f>
        <v>6580.5280254749468</v>
      </c>
    </row>
    <row r="89" spans="1:14" s="20" customFormat="1">
      <c r="A89" s="79">
        <v>41905</v>
      </c>
      <c r="B89" s="18" t="s">
        <v>616</v>
      </c>
      <c r="C89" s="63"/>
      <c r="D89" s="18">
        <f>3</f>
        <v>3</v>
      </c>
      <c r="E89" s="44">
        <f t="shared" si="7"/>
        <v>6187.1200000000008</v>
      </c>
      <c r="F89" s="19"/>
      <c r="G89" s="59">
        <f t="shared" si="5"/>
        <v>25.694147145659862</v>
      </c>
      <c r="H89" s="19"/>
      <c r="I89" s="60">
        <f t="shared" si="10"/>
        <v>77.082441436979593</v>
      </c>
      <c r="J89" s="61">
        <f t="shared" si="6"/>
        <v>158972.77168785507</v>
      </c>
      <c r="K89" s="50"/>
    </row>
    <row r="90" spans="1:14" s="62" customFormat="1">
      <c r="A90" s="79">
        <v>41908</v>
      </c>
      <c r="B90" s="18" t="s">
        <v>618</v>
      </c>
      <c r="C90" s="63"/>
      <c r="D90" s="18">
        <f>12*3.7+5*1.6</f>
        <v>52.400000000000006</v>
      </c>
      <c r="E90" s="44">
        <f>E89-D90</f>
        <v>6134.7200000000012</v>
      </c>
      <c r="F90" s="19"/>
      <c r="G90" s="59">
        <f>+J89/E89</f>
        <v>25.694147145659862</v>
      </c>
      <c r="H90" s="19"/>
      <c r="I90" s="60">
        <f>D90*G89</f>
        <v>1346.373310432577</v>
      </c>
      <c r="J90" s="61">
        <f>+J89-I90</f>
        <v>157626.39837742251</v>
      </c>
      <c r="K90" s="81">
        <f>SUM(I86:I90)</f>
        <v>8003.9837773445033</v>
      </c>
      <c r="L90" s="147">
        <v>41912</v>
      </c>
      <c r="M90" s="146">
        <f>SUM(I89:I90)</f>
        <v>1423.4557518695565</v>
      </c>
      <c r="N90" s="146">
        <f>SUM(M88:M90)</f>
        <v>8003.9837773445033</v>
      </c>
    </row>
    <row r="91" spans="1:14" s="20" customFormat="1">
      <c r="A91" s="79">
        <v>41914</v>
      </c>
      <c r="B91" s="18" t="s">
        <v>668</v>
      </c>
      <c r="C91" s="63"/>
      <c r="D91" s="18">
        <f>3.7</f>
        <v>3.7</v>
      </c>
      <c r="E91" s="44">
        <f>E90-D91</f>
        <v>6131.0200000000013</v>
      </c>
      <c r="F91" s="19"/>
      <c r="G91" s="59">
        <f>+J90/E90</f>
        <v>25.694147145659862</v>
      </c>
      <c r="H91" s="19"/>
      <c r="I91" s="60">
        <f>D91*G90</f>
        <v>95.068344438941494</v>
      </c>
      <c r="J91" s="61">
        <f>+J90-I91</f>
        <v>157531.33003298356</v>
      </c>
      <c r="K91" s="50"/>
    </row>
    <row r="92" spans="1:14" s="20" customFormat="1">
      <c r="A92" s="79">
        <v>41915</v>
      </c>
      <c r="B92" s="18" t="s">
        <v>669</v>
      </c>
      <c r="C92" s="63"/>
      <c r="D92" s="18">
        <f>4*1.65</f>
        <v>6.6</v>
      </c>
      <c r="E92" s="44">
        <f t="shared" si="7"/>
        <v>6124.420000000001</v>
      </c>
      <c r="F92" s="19"/>
      <c r="G92" s="59">
        <f t="shared" ref="G92:G107" si="11">+J91/E91</f>
        <v>25.694147145659862</v>
      </c>
      <c r="H92" s="19"/>
      <c r="I92" s="60">
        <f t="shared" si="10"/>
        <v>169.58137116135509</v>
      </c>
      <c r="J92" s="61">
        <f t="shared" ref="J92:J107" si="12">+J91-I92</f>
        <v>157361.7486618222</v>
      </c>
      <c r="K92" s="50"/>
    </row>
    <row r="93" spans="1:14" s="20" customFormat="1">
      <c r="A93" s="79">
        <v>41918</v>
      </c>
      <c r="B93" s="18" t="s">
        <v>670</v>
      </c>
      <c r="C93" s="63"/>
      <c r="D93" s="18">
        <f>78*6.22+12*2.7+19</f>
        <v>536.55999999999995</v>
      </c>
      <c r="E93" s="44">
        <f t="shared" si="7"/>
        <v>5587.8600000000006</v>
      </c>
      <c r="F93" s="19"/>
      <c r="G93" s="59">
        <f t="shared" si="11"/>
        <v>25.694147145659862</v>
      </c>
      <c r="H93" s="19"/>
      <c r="I93" s="60">
        <f t="shared" si="10"/>
        <v>13786.451592475254</v>
      </c>
      <c r="J93" s="61">
        <f t="shared" si="12"/>
        <v>143575.29706934694</v>
      </c>
      <c r="K93" s="50"/>
    </row>
    <row r="94" spans="1:14" s="20" customFormat="1">
      <c r="A94" s="79">
        <v>41919</v>
      </c>
      <c r="B94" s="18" t="s">
        <v>671</v>
      </c>
      <c r="C94" s="63"/>
      <c r="D94" s="18">
        <f>10*6.22</f>
        <v>62.199999999999996</v>
      </c>
      <c r="E94" s="44">
        <f t="shared" si="7"/>
        <v>5525.6600000000008</v>
      </c>
      <c r="F94" s="19"/>
      <c r="G94" s="59">
        <f t="shared" si="11"/>
        <v>25.694147145659862</v>
      </c>
      <c r="H94" s="19"/>
      <c r="I94" s="60">
        <f t="shared" si="10"/>
        <v>1598.1759524600434</v>
      </c>
      <c r="J94" s="61">
        <f t="shared" si="12"/>
        <v>141977.1211168869</v>
      </c>
      <c r="K94" s="50"/>
    </row>
    <row r="95" spans="1:14" s="20" customFormat="1">
      <c r="A95" s="79">
        <v>41921</v>
      </c>
      <c r="B95" s="18" t="s">
        <v>672</v>
      </c>
      <c r="C95" s="63"/>
      <c r="D95" s="18">
        <f>5*3.55</f>
        <v>17.75</v>
      </c>
      <c r="E95" s="44">
        <f t="shared" si="7"/>
        <v>5507.9100000000008</v>
      </c>
      <c r="F95" s="19"/>
      <c r="G95" s="59">
        <f t="shared" si="11"/>
        <v>25.694147145659866</v>
      </c>
      <c r="H95" s="19"/>
      <c r="I95" s="60">
        <f t="shared" si="10"/>
        <v>456.07111183546255</v>
      </c>
      <c r="J95" s="61">
        <f t="shared" si="12"/>
        <v>141521.05000505145</v>
      </c>
      <c r="K95" s="50"/>
    </row>
    <row r="96" spans="1:14" s="20" customFormat="1">
      <c r="A96" s="79">
        <v>41922</v>
      </c>
      <c r="B96" s="18" t="s">
        <v>673</v>
      </c>
      <c r="C96" s="63"/>
      <c r="D96" s="18">
        <f>5*4</f>
        <v>20</v>
      </c>
      <c r="E96" s="44">
        <f t="shared" si="7"/>
        <v>5487.9100000000008</v>
      </c>
      <c r="F96" s="19"/>
      <c r="G96" s="59">
        <f t="shared" si="11"/>
        <v>25.694147145659866</v>
      </c>
      <c r="H96" s="19"/>
      <c r="I96" s="60">
        <f t="shared" si="10"/>
        <v>513.88294291319733</v>
      </c>
      <c r="J96" s="61">
        <f t="shared" si="12"/>
        <v>141007.16706213827</v>
      </c>
      <c r="K96" s="50"/>
    </row>
    <row r="97" spans="1:14" s="20" customFormat="1">
      <c r="A97" s="79">
        <v>41925</v>
      </c>
      <c r="B97" s="18" t="s">
        <v>674</v>
      </c>
      <c r="C97" s="63"/>
      <c r="D97" s="18">
        <f>7</f>
        <v>7</v>
      </c>
      <c r="E97" s="44">
        <f t="shared" si="7"/>
        <v>5480.9100000000008</v>
      </c>
      <c r="F97" s="19"/>
      <c r="G97" s="59">
        <f t="shared" si="11"/>
        <v>25.694147145659869</v>
      </c>
      <c r="H97" s="19"/>
      <c r="I97" s="60">
        <f t="shared" si="10"/>
        <v>179.85903001961907</v>
      </c>
      <c r="J97" s="61">
        <f t="shared" si="12"/>
        <v>140827.30803211866</v>
      </c>
      <c r="K97" s="50"/>
    </row>
    <row r="98" spans="1:14" s="20" customFormat="1">
      <c r="A98" s="79">
        <v>41925</v>
      </c>
      <c r="B98" s="18" t="s">
        <v>675</v>
      </c>
      <c r="C98" s="63"/>
      <c r="D98" s="18">
        <f>15*2</f>
        <v>30</v>
      </c>
      <c r="E98" s="44">
        <f t="shared" si="7"/>
        <v>5450.9100000000008</v>
      </c>
      <c r="F98" s="19"/>
      <c r="G98" s="59">
        <f t="shared" si="11"/>
        <v>25.694147145659869</v>
      </c>
      <c r="H98" s="19"/>
      <c r="I98" s="60">
        <f t="shared" si="10"/>
        <v>770.82441436979605</v>
      </c>
      <c r="J98" s="61">
        <f t="shared" si="12"/>
        <v>140056.48361774886</v>
      </c>
      <c r="K98" s="50"/>
    </row>
    <row r="99" spans="1:14" s="62" customFormat="1">
      <c r="A99" s="79">
        <v>41927</v>
      </c>
      <c r="B99" s="18" t="s">
        <v>676</v>
      </c>
      <c r="C99" s="63"/>
      <c r="D99" s="18">
        <f>14*4.85</f>
        <v>67.899999999999991</v>
      </c>
      <c r="E99" s="44">
        <f t="shared" si="7"/>
        <v>5383.0100000000011</v>
      </c>
      <c r="F99" s="19"/>
      <c r="G99" s="59">
        <f t="shared" si="11"/>
        <v>25.694147145659869</v>
      </c>
      <c r="H99" s="19"/>
      <c r="I99" s="60">
        <f t="shared" si="10"/>
        <v>1744.632591190305</v>
      </c>
      <c r="J99" s="61">
        <f t="shared" si="12"/>
        <v>138311.85102655855</v>
      </c>
      <c r="K99" s="81">
        <f>SUM(I91:I99)</f>
        <v>19314.547350863973</v>
      </c>
      <c r="N99" s="146">
        <f>+K99</f>
        <v>19314.547350863973</v>
      </c>
    </row>
    <row r="100" spans="1:14" s="20" customFormat="1">
      <c r="A100" s="79">
        <v>41950</v>
      </c>
      <c r="B100" s="18" t="s">
        <v>733</v>
      </c>
      <c r="C100" s="63"/>
      <c r="D100" s="18">
        <f>13*3</f>
        <v>39</v>
      </c>
      <c r="E100" s="44">
        <f t="shared" si="7"/>
        <v>5344.0100000000011</v>
      </c>
      <c r="F100" s="19"/>
      <c r="G100" s="59">
        <f t="shared" si="11"/>
        <v>25.694147145659866</v>
      </c>
      <c r="H100" s="19"/>
      <c r="I100" s="60">
        <f t="shared" si="10"/>
        <v>1002.0717386807349</v>
      </c>
      <c r="J100" s="61">
        <f t="shared" si="12"/>
        <v>137309.77928787781</v>
      </c>
      <c r="K100" s="50"/>
    </row>
    <row r="101" spans="1:14" s="20" customFormat="1">
      <c r="A101" s="79">
        <v>41963</v>
      </c>
      <c r="B101" s="18" t="s">
        <v>759</v>
      </c>
      <c r="C101" s="63"/>
      <c r="D101" s="18">
        <f>8*5+5*2.5</f>
        <v>52.5</v>
      </c>
      <c r="E101" s="44">
        <f t="shared" si="7"/>
        <v>5291.5100000000011</v>
      </c>
      <c r="F101" s="19"/>
      <c r="G101" s="59">
        <f t="shared" si="11"/>
        <v>25.694147145659866</v>
      </c>
      <c r="H101" s="19"/>
      <c r="I101" s="60">
        <f t="shared" si="10"/>
        <v>1348.9427251471429</v>
      </c>
      <c r="J101" s="61">
        <f t="shared" si="12"/>
        <v>135960.83656273066</v>
      </c>
      <c r="K101" s="50"/>
    </row>
    <row r="102" spans="1:14" s="20" customFormat="1">
      <c r="A102" s="79">
        <v>41965</v>
      </c>
      <c r="B102" s="18" t="s">
        <v>766</v>
      </c>
      <c r="C102" s="63"/>
      <c r="D102" s="18">
        <v>2.25</v>
      </c>
      <c r="E102" s="44">
        <f t="shared" si="7"/>
        <v>5289.2600000000011</v>
      </c>
      <c r="F102" s="19"/>
      <c r="G102" s="59">
        <f t="shared" si="11"/>
        <v>25.694147145659866</v>
      </c>
      <c r="H102" s="19"/>
      <c r="I102" s="60">
        <f t="shared" si="10"/>
        <v>57.811831077734695</v>
      </c>
      <c r="J102" s="61">
        <f t="shared" si="12"/>
        <v>135903.02473165293</v>
      </c>
      <c r="K102" s="50"/>
    </row>
    <row r="103" spans="1:14" s="62" customFormat="1">
      <c r="A103" s="79">
        <v>41965</v>
      </c>
      <c r="B103" s="18" t="s">
        <v>767</v>
      </c>
      <c r="C103" s="63"/>
      <c r="D103" s="18">
        <f>32*2.5+5*0.7</f>
        <v>83.5</v>
      </c>
      <c r="E103" s="44">
        <f t="shared" si="7"/>
        <v>5205.7600000000011</v>
      </c>
      <c r="F103" s="19"/>
      <c r="G103" s="59">
        <f t="shared" si="11"/>
        <v>25.694147145659866</v>
      </c>
      <c r="H103" s="19"/>
      <c r="I103" s="60">
        <f t="shared" si="10"/>
        <v>2145.4612866625989</v>
      </c>
      <c r="J103" s="61">
        <f t="shared" si="12"/>
        <v>133757.56344499032</v>
      </c>
      <c r="K103" s="67"/>
    </row>
    <row r="104" spans="1:14" s="20" customFormat="1">
      <c r="A104" s="79">
        <v>41970</v>
      </c>
      <c r="B104" s="18" t="s">
        <v>835</v>
      </c>
      <c r="C104" s="18"/>
      <c r="D104" s="18">
        <f>10*5.15+3*4.1</f>
        <v>63.8</v>
      </c>
      <c r="E104" s="44">
        <f t="shared" si="7"/>
        <v>5141.9600000000009</v>
      </c>
      <c r="F104" s="19"/>
      <c r="G104" s="59">
        <f t="shared" si="11"/>
        <v>25.694147145659862</v>
      </c>
      <c r="H104" s="19"/>
      <c r="I104" s="60">
        <f t="shared" si="10"/>
        <v>1639.2865878930993</v>
      </c>
      <c r="J104" s="60">
        <f t="shared" si="12"/>
        <v>132118.27685709723</v>
      </c>
      <c r="K104" s="80">
        <f>SUM(I100:I104)</f>
        <v>6193.5741694613098</v>
      </c>
      <c r="N104" s="123">
        <f>+K104</f>
        <v>6193.5741694613098</v>
      </c>
    </row>
    <row r="105" spans="1:14" s="20" customFormat="1">
      <c r="A105" s="79">
        <v>42000</v>
      </c>
      <c r="B105" s="18" t="s">
        <v>836</v>
      </c>
      <c r="C105" s="63"/>
      <c r="D105" s="18">
        <f>5*1.7+2*2.82</f>
        <v>14.14</v>
      </c>
      <c r="E105" s="44">
        <f t="shared" si="7"/>
        <v>5127.8200000000006</v>
      </c>
      <c r="F105" s="19"/>
      <c r="G105" s="59">
        <f t="shared" si="11"/>
        <v>25.694147145659866</v>
      </c>
      <c r="H105" s="19"/>
      <c r="I105" s="60">
        <f t="shared" si="10"/>
        <v>363.31524063963047</v>
      </c>
      <c r="J105" s="61">
        <f t="shared" si="12"/>
        <v>131754.96161645759</v>
      </c>
      <c r="K105" s="22"/>
    </row>
    <row r="106" spans="1:14" s="20" customFormat="1">
      <c r="A106" s="79">
        <v>42004</v>
      </c>
      <c r="B106" s="18" t="s">
        <v>837</v>
      </c>
      <c r="C106" s="63"/>
      <c r="D106" s="18">
        <f>5.18</f>
        <v>5.18</v>
      </c>
      <c r="E106" s="44">
        <f t="shared" si="7"/>
        <v>5122.6400000000003</v>
      </c>
      <c r="F106" s="19"/>
      <c r="G106" s="59">
        <f t="shared" si="11"/>
        <v>25.694147145659866</v>
      </c>
      <c r="H106" s="19"/>
      <c r="I106" s="60">
        <f t="shared" si="10"/>
        <v>133.09568221451809</v>
      </c>
      <c r="J106" s="61">
        <f t="shared" si="12"/>
        <v>131621.86593424308</v>
      </c>
      <c r="K106" s="22"/>
    </row>
    <row r="107" spans="1:14" s="20" customFormat="1">
      <c r="A107" s="79">
        <v>42004</v>
      </c>
      <c r="B107" s="18" t="s">
        <v>838</v>
      </c>
      <c r="C107" s="63"/>
      <c r="D107" s="18">
        <f>8*3.08</f>
        <v>24.64</v>
      </c>
      <c r="E107" s="44">
        <f t="shared" si="7"/>
        <v>5098</v>
      </c>
      <c r="F107" s="19"/>
      <c r="G107" s="59">
        <f t="shared" si="11"/>
        <v>25.694147145659869</v>
      </c>
      <c r="H107" s="19"/>
      <c r="I107" s="60">
        <f t="shared" si="10"/>
        <v>633.10378566905911</v>
      </c>
      <c r="J107" s="61">
        <f t="shared" si="12"/>
        <v>130988.76214857402</v>
      </c>
      <c r="K107" s="80">
        <f>SUM(I105:I107)</f>
        <v>1129.5147085232077</v>
      </c>
      <c r="N107" s="123">
        <f>+K107</f>
        <v>1129.5147085232077</v>
      </c>
    </row>
    <row r="108" spans="1:14" s="20" customFormat="1">
      <c r="A108" s="79"/>
      <c r="B108" s="18"/>
      <c r="C108" s="63"/>
      <c r="D108" s="18"/>
      <c r="E108" s="44"/>
      <c r="F108" s="19"/>
      <c r="G108" s="59"/>
      <c r="H108" s="19"/>
      <c r="I108" s="60"/>
      <c r="J108" s="61"/>
      <c r="K108" s="22"/>
    </row>
    <row r="109" spans="1:14" s="20" customFormat="1">
      <c r="A109" s="79"/>
      <c r="B109" s="18" t="s">
        <v>862</v>
      </c>
      <c r="C109" s="61">
        <f>SUM(C9:C108)</f>
        <v>10118.6</v>
      </c>
      <c r="D109" s="61">
        <f>SUM(D9:D108)</f>
        <v>5020.6000000000004</v>
      </c>
      <c r="E109" s="44">
        <f>+C109-D109</f>
        <v>5098</v>
      </c>
      <c r="F109" s="19"/>
      <c r="G109" s="59"/>
      <c r="H109" s="61">
        <f>SUM(H9:H108)</f>
        <v>257752.87</v>
      </c>
      <c r="I109" s="61">
        <f>SUM(I9:I108)</f>
        <v>126764.10785142602</v>
      </c>
      <c r="J109" s="61">
        <f>+H109-I109</f>
        <v>130988.76214857398</v>
      </c>
      <c r="K109" s="22"/>
      <c r="N109" s="123">
        <f>SUM(N27:N108)</f>
        <v>126764.10785142599</v>
      </c>
    </row>
    <row r="110" spans="1:14" s="20" customFormat="1">
      <c r="A110" s="79"/>
      <c r="B110" s="18"/>
      <c r="C110" s="63"/>
      <c r="D110" s="18"/>
      <c r="E110" s="44"/>
      <c r="F110" s="19"/>
      <c r="G110" s="59"/>
      <c r="H110" s="19"/>
      <c r="I110" s="60"/>
      <c r="J110" s="61"/>
      <c r="K110" s="22"/>
      <c r="L110" s="123"/>
    </row>
    <row r="114" spans="1:10">
      <c r="A114" s="96" t="s">
        <v>863</v>
      </c>
      <c r="B114" s="32"/>
      <c r="C114" s="2"/>
      <c r="D114" s="2"/>
      <c r="E114" s="2"/>
      <c r="F114" s="2"/>
    </row>
    <row r="115" spans="1:10">
      <c r="A115" s="96"/>
      <c r="B115" s="32"/>
      <c r="C115" s="2"/>
      <c r="D115" s="2"/>
      <c r="E115" s="2"/>
      <c r="F115" s="2"/>
    </row>
    <row r="116" spans="1:10">
      <c r="A116" s="96" t="s">
        <v>864</v>
      </c>
      <c r="B116" s="32"/>
      <c r="C116" s="2"/>
      <c r="D116" s="2"/>
      <c r="E116" s="2"/>
      <c r="F116" s="2"/>
      <c r="J116" s="123">
        <v>131837.19</v>
      </c>
    </row>
    <row r="117" spans="1:10">
      <c r="A117" s="96" t="s">
        <v>865</v>
      </c>
      <c r="B117" s="32"/>
      <c r="C117" s="2"/>
      <c r="D117" s="2"/>
      <c r="E117" s="2"/>
      <c r="F117" s="2"/>
      <c r="J117" s="121">
        <f>+J109</f>
        <v>130988.76214857398</v>
      </c>
    </row>
    <row r="118" spans="1:10">
      <c r="A118" s="96"/>
      <c r="B118" s="32" t="s">
        <v>866</v>
      </c>
      <c r="C118" s="2"/>
      <c r="D118" s="2"/>
      <c r="E118" s="2"/>
      <c r="F118" s="2"/>
      <c r="J118" s="123">
        <f>+J116-J117</f>
        <v>848.42785142602224</v>
      </c>
    </row>
  </sheetData>
  <mergeCells count="4">
    <mergeCell ref="D4:H4"/>
    <mergeCell ref="C7:E7"/>
    <mergeCell ref="F7:G7"/>
    <mergeCell ref="H7:J7"/>
  </mergeCells>
  <pageMargins left="1.3385826771653544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5"/>
  <sheetViews>
    <sheetView topLeftCell="A41" workbookViewId="0">
      <selection sqref="A1:M67"/>
    </sheetView>
  </sheetViews>
  <sheetFormatPr baseColWidth="10" defaultRowHeight="15"/>
  <cols>
    <col min="2" max="2" width="30.140625" customWidth="1"/>
    <col min="3" max="3" width="11.42578125" customWidth="1"/>
    <col min="6" max="7" width="10" customWidth="1"/>
    <col min="11" max="11" width="12.5703125" customWidth="1"/>
  </cols>
  <sheetData>
    <row r="1" spans="1:14" s="20" customFormat="1">
      <c r="A1" s="82" t="s">
        <v>0</v>
      </c>
      <c r="B1" s="83"/>
      <c r="C1" s="84"/>
      <c r="D1" s="84"/>
      <c r="E1" s="84"/>
      <c r="F1" s="84"/>
      <c r="G1" s="84"/>
      <c r="H1" s="107" t="s">
        <v>1</v>
      </c>
      <c r="I1" s="106"/>
      <c r="J1" s="106"/>
      <c r="K1" s="108"/>
    </row>
    <row r="2" spans="1:14" s="20" customFormat="1">
      <c r="A2" s="87" t="s">
        <v>2</v>
      </c>
      <c r="B2" s="1"/>
      <c r="C2" s="2"/>
      <c r="D2" s="2"/>
      <c r="E2" s="2"/>
      <c r="F2" s="2"/>
      <c r="G2" s="2"/>
      <c r="H2" s="32" t="s">
        <v>871</v>
      </c>
      <c r="I2" s="31"/>
      <c r="J2" s="31"/>
      <c r="K2" s="109"/>
    </row>
    <row r="3" spans="1:14" s="20" customFormat="1">
      <c r="A3" s="89" t="s">
        <v>4</v>
      </c>
      <c r="B3" s="3"/>
      <c r="C3" s="2"/>
      <c r="D3" s="2"/>
      <c r="E3" s="2"/>
      <c r="F3" s="2"/>
      <c r="G3" s="2"/>
      <c r="H3" s="32" t="s">
        <v>872</v>
      </c>
      <c r="I3" s="31"/>
      <c r="J3" s="31"/>
      <c r="K3" s="109"/>
    </row>
    <row r="4" spans="1:14" s="20" customFormat="1" ht="18" customHeight="1">
      <c r="A4" s="90"/>
      <c r="B4" s="2"/>
      <c r="C4" s="2"/>
      <c r="D4" s="54" t="s">
        <v>6</v>
      </c>
      <c r="E4" s="54"/>
      <c r="F4" s="54"/>
      <c r="G4" s="54"/>
      <c r="H4" s="54"/>
      <c r="I4" s="2"/>
      <c r="J4" s="2"/>
      <c r="K4" s="116"/>
    </row>
    <row r="5" spans="1:14" s="20" customFormat="1" ht="15" customHeight="1">
      <c r="A5" s="90"/>
      <c r="B5" s="4"/>
      <c r="C5" s="2"/>
      <c r="D5" s="21" t="s">
        <v>873</v>
      </c>
      <c r="E5" s="4"/>
      <c r="F5" s="4"/>
      <c r="G5" s="2"/>
      <c r="H5" s="2"/>
      <c r="I5" s="2"/>
      <c r="J5" s="2"/>
      <c r="K5" s="116"/>
    </row>
    <row r="6" spans="1:14" s="20" customFormat="1" ht="15" customHeight="1">
      <c r="A6" s="90"/>
      <c r="B6" s="4"/>
      <c r="C6" s="2"/>
      <c r="D6" s="2" t="s">
        <v>7</v>
      </c>
      <c r="E6" s="4"/>
      <c r="F6" s="4"/>
      <c r="G6" s="2"/>
      <c r="H6" s="2"/>
      <c r="I6" s="2"/>
      <c r="J6" s="2"/>
      <c r="K6" s="116"/>
    </row>
    <row r="7" spans="1:14" s="20" customFormat="1">
      <c r="A7" s="90"/>
      <c r="B7" s="2"/>
      <c r="C7" s="2"/>
      <c r="D7" s="2"/>
      <c r="E7" s="2"/>
      <c r="F7" s="2"/>
      <c r="G7" s="2"/>
      <c r="H7" s="2"/>
      <c r="I7" s="2"/>
      <c r="J7" s="2"/>
      <c r="K7" s="116"/>
    </row>
    <row r="8" spans="1:14" s="20" customFormat="1">
      <c r="A8" s="90"/>
      <c r="B8" s="2"/>
      <c r="C8" s="2"/>
      <c r="D8" s="2"/>
      <c r="E8" s="2"/>
      <c r="F8" s="2"/>
      <c r="G8" s="2"/>
      <c r="H8" s="2"/>
      <c r="I8" s="2"/>
      <c r="J8" s="2"/>
      <c r="K8" s="116"/>
    </row>
    <row r="9" spans="1:14" s="20" customFormat="1">
      <c r="A9" s="117" t="s">
        <v>8</v>
      </c>
      <c r="B9" s="45" t="s">
        <v>9</v>
      </c>
      <c r="C9" s="166" t="s">
        <v>10</v>
      </c>
      <c r="D9" s="167"/>
      <c r="E9" s="168"/>
      <c r="F9" s="166" t="s">
        <v>11</v>
      </c>
      <c r="G9" s="168"/>
      <c r="H9" s="166" t="s">
        <v>12</v>
      </c>
      <c r="I9" s="167"/>
      <c r="J9" s="168"/>
      <c r="K9" s="45"/>
    </row>
    <row r="10" spans="1:14" s="20" customFormat="1">
      <c r="A10" s="47"/>
      <c r="B10" s="46"/>
      <c r="C10" s="47" t="s">
        <v>100</v>
      </c>
      <c r="D10" s="48" t="s">
        <v>15</v>
      </c>
      <c r="E10" s="49" t="s">
        <v>21</v>
      </c>
      <c r="F10" s="48" t="s">
        <v>17</v>
      </c>
      <c r="G10" s="48" t="s">
        <v>18</v>
      </c>
      <c r="H10" s="47" t="s">
        <v>19</v>
      </c>
      <c r="I10" s="48" t="s">
        <v>20</v>
      </c>
      <c r="J10" s="49" t="s">
        <v>21</v>
      </c>
      <c r="K10" s="5" t="s">
        <v>13</v>
      </c>
    </row>
    <row r="11" spans="1:14" s="20" customFormat="1">
      <c r="A11" s="66">
        <v>41640</v>
      </c>
      <c r="B11" s="50" t="s">
        <v>101</v>
      </c>
      <c r="C11" s="50">
        <v>965</v>
      </c>
      <c r="D11" s="50"/>
      <c r="E11" s="50">
        <v>965</v>
      </c>
      <c r="F11" s="51">
        <f>+H11/C11</f>
        <v>0.4175958549222798</v>
      </c>
      <c r="G11" s="51"/>
      <c r="H11" s="51">
        <v>402.98</v>
      </c>
      <c r="I11" s="51"/>
      <c r="J11" s="51">
        <f>+H11</f>
        <v>402.98</v>
      </c>
      <c r="K11" s="50"/>
    </row>
    <row r="12" spans="1:14" s="20" customFormat="1">
      <c r="A12" s="66">
        <v>41643</v>
      </c>
      <c r="B12" s="50" t="s">
        <v>102</v>
      </c>
      <c r="C12" s="50"/>
      <c r="D12" s="50">
        <v>50</v>
      </c>
      <c r="E12" s="50">
        <f>+E11-D12</f>
        <v>915</v>
      </c>
      <c r="F12" s="50"/>
      <c r="G12" s="51">
        <f>J11/E11</f>
        <v>0.4175958549222798</v>
      </c>
      <c r="H12" s="51"/>
      <c r="I12" s="51">
        <f>D12*G12</f>
        <v>20.879792746113988</v>
      </c>
      <c r="J12" s="51">
        <f>+J11-I12</f>
        <v>382.10020725388603</v>
      </c>
      <c r="K12" s="50"/>
    </row>
    <row r="13" spans="1:14" s="20" customFormat="1">
      <c r="A13" s="66">
        <v>41650</v>
      </c>
      <c r="B13" s="50" t="s">
        <v>106</v>
      </c>
      <c r="C13" s="50"/>
      <c r="D13" s="50">
        <v>204</v>
      </c>
      <c r="E13" s="50">
        <f t="shared" ref="E13:E18" si="0">+E12-D13</f>
        <v>711</v>
      </c>
      <c r="F13" s="50"/>
      <c r="G13" s="51">
        <f t="shared" ref="G13:G25" si="1">J12/E12</f>
        <v>0.4175958549222798</v>
      </c>
      <c r="H13" s="51"/>
      <c r="I13" s="51">
        <f t="shared" ref="I13:I25" si="2">D13*G13</f>
        <v>85.189554404145085</v>
      </c>
      <c r="J13" s="51">
        <f>+J12-I13</f>
        <v>296.91065284974093</v>
      </c>
      <c r="K13" s="50"/>
    </row>
    <row r="14" spans="1:14" s="20" customFormat="1">
      <c r="A14" s="66">
        <v>41656</v>
      </c>
      <c r="B14" s="50" t="s">
        <v>108</v>
      </c>
      <c r="C14" s="50"/>
      <c r="D14" s="50">
        <v>9</v>
      </c>
      <c r="E14" s="50">
        <f t="shared" si="0"/>
        <v>702</v>
      </c>
      <c r="F14" s="50"/>
      <c r="G14" s="51">
        <f t="shared" si="1"/>
        <v>0.4175958549222798</v>
      </c>
      <c r="H14" s="51"/>
      <c r="I14" s="51">
        <f t="shared" si="2"/>
        <v>3.7583626943005184</v>
      </c>
      <c r="J14" s="51">
        <f>+J13-I14</f>
        <v>293.15229015544043</v>
      </c>
      <c r="K14" s="50"/>
      <c r="L14" s="145">
        <v>41659</v>
      </c>
      <c r="M14" s="55">
        <f>SUM(I12:I14)</f>
        <v>109.82770984455959</v>
      </c>
    </row>
    <row r="15" spans="1:14" s="20" customFormat="1">
      <c r="A15" s="66">
        <v>41667</v>
      </c>
      <c r="B15" s="50" t="s">
        <v>119</v>
      </c>
      <c r="C15" s="50">
        <v>2000</v>
      </c>
      <c r="D15" s="50"/>
      <c r="E15" s="50">
        <f>E14+C15</f>
        <v>2702</v>
      </c>
      <c r="F15" s="51">
        <f>+H15/C15</f>
        <v>0.41325000000000001</v>
      </c>
      <c r="G15" s="51"/>
      <c r="H15" s="51">
        <f>950*0.87</f>
        <v>826.5</v>
      </c>
      <c r="I15" s="51"/>
      <c r="J15" s="51">
        <f>+J14+H15</f>
        <v>1119.6522901554404</v>
      </c>
      <c r="K15" s="50"/>
    </row>
    <row r="16" spans="1:14" s="20" customFormat="1">
      <c r="A16" s="113">
        <v>41668</v>
      </c>
      <c r="B16" s="67" t="s">
        <v>115</v>
      </c>
      <c r="C16" s="67"/>
      <c r="D16" s="67">
        <v>100</v>
      </c>
      <c r="E16" s="67">
        <f>E15-D16</f>
        <v>2602</v>
      </c>
      <c r="F16" s="67"/>
      <c r="G16" s="92">
        <f>+J15/E15</f>
        <v>0.41437908591985212</v>
      </c>
      <c r="H16" s="92"/>
      <c r="I16" s="92">
        <f>+D16*G16</f>
        <v>41.437908591985213</v>
      </c>
      <c r="J16" s="92">
        <f>+J15-I16</f>
        <v>1078.2143815634552</v>
      </c>
      <c r="K16" s="125">
        <f>SUM(I12:I16)</f>
        <v>151.2656184365448</v>
      </c>
      <c r="L16" s="145">
        <v>41669</v>
      </c>
      <c r="M16" s="55">
        <f>SUM(I16)</f>
        <v>41.437908591985213</v>
      </c>
      <c r="N16" s="55">
        <f>SUM(M14:M16)</f>
        <v>151.2656184365448</v>
      </c>
    </row>
    <row r="17" spans="1:14" s="20" customFormat="1">
      <c r="A17" s="113">
        <v>41675</v>
      </c>
      <c r="B17" s="67" t="s">
        <v>139</v>
      </c>
      <c r="C17" s="67"/>
      <c r="D17" s="67">
        <v>300</v>
      </c>
      <c r="E17" s="67">
        <f t="shared" si="0"/>
        <v>2302</v>
      </c>
      <c r="F17" s="67"/>
      <c r="G17" s="92">
        <f t="shared" si="1"/>
        <v>0.41437908591985212</v>
      </c>
      <c r="H17" s="92"/>
      <c r="I17" s="92">
        <f>+D17*G17</f>
        <v>124.31372577595563</v>
      </c>
      <c r="J17" s="92">
        <f>+J16-I17</f>
        <v>953.90065578749955</v>
      </c>
      <c r="K17" s="50"/>
    </row>
    <row r="18" spans="1:14" s="20" customFormat="1">
      <c r="A18" s="113">
        <v>41676</v>
      </c>
      <c r="B18" s="67" t="s">
        <v>140</v>
      </c>
      <c r="C18" s="67"/>
      <c r="D18" s="67">
        <v>150</v>
      </c>
      <c r="E18" s="67">
        <f t="shared" si="0"/>
        <v>2152</v>
      </c>
      <c r="F18" s="67"/>
      <c r="G18" s="92">
        <f t="shared" si="1"/>
        <v>0.41437908591985212</v>
      </c>
      <c r="H18" s="92"/>
      <c r="I18" s="92">
        <f>+D18*G18</f>
        <v>62.156862887977816</v>
      </c>
      <c r="J18" s="92">
        <f>+J17-I18</f>
        <v>891.74379289952174</v>
      </c>
      <c r="K18" s="50"/>
      <c r="L18" s="145">
        <v>41683</v>
      </c>
      <c r="M18" s="55">
        <f>SUM(I17:I18)</f>
        <v>186.47058866393346</v>
      </c>
    </row>
    <row r="19" spans="1:14" s="20" customFormat="1">
      <c r="A19" s="113">
        <v>41687</v>
      </c>
      <c r="B19" s="67" t="s">
        <v>179</v>
      </c>
      <c r="C19" s="67">
        <v>2000</v>
      </c>
      <c r="D19" s="67"/>
      <c r="E19" s="67">
        <f>+E18+C19</f>
        <v>4152</v>
      </c>
      <c r="F19" s="92">
        <f>+H19/C19</f>
        <v>0.42630000000000001</v>
      </c>
      <c r="G19" s="92"/>
      <c r="H19" s="92">
        <f>980*0.87</f>
        <v>852.6</v>
      </c>
      <c r="I19" s="92"/>
      <c r="J19" s="92">
        <f>+J18+H19</f>
        <v>1744.3437928995218</v>
      </c>
      <c r="K19" s="125">
        <f>SUM(I17:I19)</f>
        <v>186.47058866393346</v>
      </c>
      <c r="L19" s="145">
        <v>41698</v>
      </c>
      <c r="N19" s="55">
        <f>+K19</f>
        <v>186.47058866393346</v>
      </c>
    </row>
    <row r="20" spans="1:14" s="20" customFormat="1">
      <c r="A20" s="113">
        <v>41736</v>
      </c>
      <c r="B20" s="67" t="s">
        <v>161</v>
      </c>
      <c r="C20" s="67"/>
      <c r="D20" s="67">
        <v>10</v>
      </c>
      <c r="E20" s="67">
        <f>+E19-D20</f>
        <v>4142</v>
      </c>
      <c r="F20" s="67"/>
      <c r="G20" s="92">
        <f>J18/E18</f>
        <v>0.41437908591985212</v>
      </c>
      <c r="H20" s="92"/>
      <c r="I20" s="92">
        <f t="shared" si="2"/>
        <v>4.1437908591985213</v>
      </c>
      <c r="J20" s="92">
        <f>+J19-I20</f>
        <v>1740.2000020403232</v>
      </c>
      <c r="K20" s="50"/>
      <c r="L20" s="145">
        <v>41744</v>
      </c>
      <c r="M20" s="55">
        <f>SUM(I20)</f>
        <v>4.1437908591985213</v>
      </c>
    </row>
    <row r="21" spans="1:14" s="20" customFormat="1">
      <c r="A21" s="113">
        <v>41753</v>
      </c>
      <c r="B21" s="67" t="s">
        <v>181</v>
      </c>
      <c r="C21" s="67">
        <v>2000</v>
      </c>
      <c r="D21" s="67"/>
      <c r="E21" s="67">
        <f>+E20+C21</f>
        <v>6142</v>
      </c>
      <c r="F21" s="92">
        <f>+H21/C21</f>
        <v>0.40889999999999999</v>
      </c>
      <c r="G21" s="92"/>
      <c r="H21" s="92">
        <f>940*0.87</f>
        <v>817.8</v>
      </c>
      <c r="I21" s="92"/>
      <c r="J21" s="92">
        <f>+J20+H21</f>
        <v>2558.0000020403231</v>
      </c>
      <c r="K21" s="50"/>
    </row>
    <row r="22" spans="1:14" s="20" customFormat="1">
      <c r="A22" s="113">
        <v>41759</v>
      </c>
      <c r="B22" s="67" t="s">
        <v>167</v>
      </c>
      <c r="C22" s="67"/>
      <c r="D22" s="67">
        <v>200</v>
      </c>
      <c r="E22" s="67">
        <f>+E21-D22</f>
        <v>5942</v>
      </c>
      <c r="F22" s="67"/>
      <c r="G22" s="92">
        <f>J20/E20</f>
        <v>0.42013520087888051</v>
      </c>
      <c r="H22" s="92"/>
      <c r="I22" s="92">
        <f t="shared" si="2"/>
        <v>84.027040175776108</v>
      </c>
      <c r="J22" s="92">
        <f>+J21-I22</f>
        <v>2473.972961864547</v>
      </c>
      <c r="K22" s="125">
        <f>SUM(I20:I22)</f>
        <v>88.170831034974626</v>
      </c>
      <c r="L22" s="145">
        <v>41759</v>
      </c>
      <c r="M22" s="55">
        <f>SUM(I22)</f>
        <v>84.027040175776108</v>
      </c>
      <c r="N22" s="55">
        <f>SUM(M20:M22)</f>
        <v>88.170831034974626</v>
      </c>
    </row>
    <row r="23" spans="1:14" s="20" customFormat="1">
      <c r="A23" s="113">
        <v>41779</v>
      </c>
      <c r="B23" s="67" t="s">
        <v>174</v>
      </c>
      <c r="C23" s="67"/>
      <c r="D23" s="67">
        <v>200</v>
      </c>
      <c r="E23" s="67">
        <f>+E22-D23</f>
        <v>5742</v>
      </c>
      <c r="F23" s="67"/>
      <c r="G23" s="92">
        <f t="shared" si="1"/>
        <v>0.41635357823368341</v>
      </c>
      <c r="H23" s="92"/>
      <c r="I23" s="92">
        <f t="shared" si="2"/>
        <v>83.270715646736676</v>
      </c>
      <c r="J23" s="92">
        <f>+J22-I23</f>
        <v>2390.7022462178102</v>
      </c>
      <c r="K23" s="50"/>
    </row>
    <row r="24" spans="1:14" s="20" customFormat="1">
      <c r="A24" s="113">
        <v>41782</v>
      </c>
      <c r="B24" s="67" t="s">
        <v>175</v>
      </c>
      <c r="C24" s="67"/>
      <c r="D24" s="67">
        <v>250</v>
      </c>
      <c r="E24" s="67">
        <f>+E23-D24</f>
        <v>5492</v>
      </c>
      <c r="F24" s="67"/>
      <c r="G24" s="92">
        <f t="shared" si="1"/>
        <v>0.41635357823368341</v>
      </c>
      <c r="H24" s="92"/>
      <c r="I24" s="92">
        <f t="shared" si="2"/>
        <v>104.08839455842086</v>
      </c>
      <c r="J24" s="92">
        <f>+J23-I24</f>
        <v>2286.6138516593892</v>
      </c>
      <c r="K24" s="50"/>
    </row>
    <row r="25" spans="1:14" s="20" customFormat="1">
      <c r="A25" s="113">
        <v>41782</v>
      </c>
      <c r="B25" s="67" t="s">
        <v>176</v>
      </c>
      <c r="C25" s="67"/>
      <c r="D25" s="67">
        <v>150</v>
      </c>
      <c r="E25" s="67">
        <f>+E24-D25</f>
        <v>5342</v>
      </c>
      <c r="F25" s="67"/>
      <c r="G25" s="92">
        <f t="shared" si="1"/>
        <v>0.41635357823368341</v>
      </c>
      <c r="H25" s="92"/>
      <c r="I25" s="92">
        <f t="shared" si="2"/>
        <v>62.453036735052514</v>
      </c>
      <c r="J25" s="92">
        <f>+J24-I25</f>
        <v>2224.1608149243366</v>
      </c>
      <c r="K25" s="50"/>
    </row>
    <row r="26" spans="1:14" s="20" customFormat="1">
      <c r="A26" s="113">
        <v>41789</v>
      </c>
      <c r="B26" s="67" t="s">
        <v>341</v>
      </c>
      <c r="C26" s="67"/>
      <c r="D26" s="67">
        <v>200</v>
      </c>
      <c r="E26" s="67">
        <f t="shared" ref="E26:E31" si="3">+E25-D26</f>
        <v>5142</v>
      </c>
      <c r="F26" s="67"/>
      <c r="G26" s="92">
        <f t="shared" ref="G26:G31" si="4">J25/E25</f>
        <v>0.41635357823368335</v>
      </c>
      <c r="H26" s="92"/>
      <c r="I26" s="92">
        <f t="shared" ref="I26:I31" si="5">D26*G26</f>
        <v>83.270715646736676</v>
      </c>
      <c r="J26" s="92">
        <f t="shared" ref="J26:J31" si="6">+J25-I26</f>
        <v>2140.8900992775998</v>
      </c>
      <c r="K26" s="125">
        <f>SUM(I23:I26)</f>
        <v>333.0828625869467</v>
      </c>
      <c r="L26" s="145">
        <v>41789</v>
      </c>
      <c r="N26" s="55">
        <f>+K26</f>
        <v>333.0828625869467</v>
      </c>
    </row>
    <row r="27" spans="1:14" s="20" customFormat="1">
      <c r="A27" s="113">
        <v>41810</v>
      </c>
      <c r="B27" s="67" t="s">
        <v>382</v>
      </c>
      <c r="C27" s="67"/>
      <c r="D27" s="67">
        <v>100</v>
      </c>
      <c r="E27" s="67">
        <f t="shared" si="3"/>
        <v>5042</v>
      </c>
      <c r="F27" s="67"/>
      <c r="G27" s="92">
        <f t="shared" si="4"/>
        <v>0.41635357823368335</v>
      </c>
      <c r="H27" s="92"/>
      <c r="I27" s="92">
        <f t="shared" si="5"/>
        <v>41.635357823368338</v>
      </c>
      <c r="J27" s="92">
        <f t="shared" si="6"/>
        <v>2099.2547414542314</v>
      </c>
      <c r="K27" s="50"/>
    </row>
    <row r="28" spans="1:14" s="20" customFormat="1">
      <c r="A28" s="113">
        <v>41810</v>
      </c>
      <c r="B28" s="67" t="s">
        <v>383</v>
      </c>
      <c r="C28" s="67"/>
      <c r="D28" s="67">
        <v>250</v>
      </c>
      <c r="E28" s="67">
        <f t="shared" si="3"/>
        <v>4792</v>
      </c>
      <c r="F28" s="67"/>
      <c r="G28" s="92">
        <f t="shared" si="4"/>
        <v>0.41635357823368335</v>
      </c>
      <c r="H28" s="92"/>
      <c r="I28" s="92">
        <f t="shared" si="5"/>
        <v>104.08839455842084</v>
      </c>
      <c r="J28" s="92">
        <f t="shared" si="6"/>
        <v>1995.1663468958106</v>
      </c>
      <c r="K28" s="50"/>
    </row>
    <row r="29" spans="1:14" s="20" customFormat="1">
      <c r="A29" s="113">
        <v>41818</v>
      </c>
      <c r="B29" s="67" t="s">
        <v>400</v>
      </c>
      <c r="C29" s="67"/>
      <c r="D29" s="67">
        <v>400</v>
      </c>
      <c r="E29" s="67">
        <f t="shared" si="3"/>
        <v>4392</v>
      </c>
      <c r="F29" s="67"/>
      <c r="G29" s="92">
        <f t="shared" si="4"/>
        <v>0.41635357823368335</v>
      </c>
      <c r="H29" s="92"/>
      <c r="I29" s="92">
        <f t="shared" si="5"/>
        <v>166.54143129347335</v>
      </c>
      <c r="J29" s="92">
        <f t="shared" si="6"/>
        <v>1828.6249156023373</v>
      </c>
      <c r="K29" s="125">
        <f>SUM(I27:I29)</f>
        <v>312.26518367526251</v>
      </c>
      <c r="L29" s="145">
        <v>41820</v>
      </c>
      <c r="N29" s="55">
        <f>+K29</f>
        <v>312.26518367526251</v>
      </c>
    </row>
    <row r="30" spans="1:14" s="20" customFormat="1">
      <c r="A30" s="113">
        <v>41822</v>
      </c>
      <c r="B30" s="67" t="s">
        <v>402</v>
      </c>
      <c r="C30" s="67"/>
      <c r="D30" s="67">
        <v>300</v>
      </c>
      <c r="E30" s="67">
        <f t="shared" si="3"/>
        <v>4092</v>
      </c>
      <c r="F30" s="67"/>
      <c r="G30" s="92">
        <f t="shared" si="4"/>
        <v>0.41635357823368335</v>
      </c>
      <c r="H30" s="92"/>
      <c r="I30" s="92">
        <f t="shared" si="5"/>
        <v>124.906073470105</v>
      </c>
      <c r="J30" s="92">
        <f t="shared" si="6"/>
        <v>1703.7188421322323</v>
      </c>
      <c r="K30" s="50"/>
    </row>
    <row r="31" spans="1:14" s="20" customFormat="1">
      <c r="A31" s="113">
        <v>41824</v>
      </c>
      <c r="B31" s="67" t="s">
        <v>411</v>
      </c>
      <c r="C31" s="67"/>
      <c r="D31" s="67">
        <v>50</v>
      </c>
      <c r="E31" s="67">
        <f t="shared" si="3"/>
        <v>4042</v>
      </c>
      <c r="F31" s="67"/>
      <c r="G31" s="92">
        <f t="shared" si="4"/>
        <v>0.41635357823368335</v>
      </c>
      <c r="H31" s="92"/>
      <c r="I31" s="92">
        <f t="shared" si="5"/>
        <v>20.817678911684169</v>
      </c>
      <c r="J31" s="92">
        <f t="shared" si="6"/>
        <v>1682.9011632205481</v>
      </c>
      <c r="K31" s="50"/>
      <c r="L31" s="145">
        <v>41835</v>
      </c>
      <c r="M31" s="55">
        <f>SUM(I30:I31)</f>
        <v>145.72375238178915</v>
      </c>
    </row>
    <row r="32" spans="1:14" s="20" customFormat="1">
      <c r="A32" s="113">
        <v>41836</v>
      </c>
      <c r="B32" s="67" t="s">
        <v>450</v>
      </c>
      <c r="C32" s="67"/>
      <c r="D32" s="67">
        <v>200</v>
      </c>
      <c r="E32" s="67">
        <f>+E31-D32</f>
        <v>3842</v>
      </c>
      <c r="F32" s="67"/>
      <c r="G32" s="92">
        <f>J31/E31</f>
        <v>0.41635357823368335</v>
      </c>
      <c r="H32" s="92"/>
      <c r="I32" s="92">
        <f>D32*G32</f>
        <v>83.270715646736676</v>
      </c>
      <c r="J32" s="92">
        <f>+J31-I32</f>
        <v>1599.6304475738116</v>
      </c>
      <c r="K32" s="50"/>
    </row>
    <row r="33" spans="1:14" s="20" customFormat="1">
      <c r="A33" s="113">
        <v>41837</v>
      </c>
      <c r="B33" s="67" t="s">
        <v>457</v>
      </c>
      <c r="C33" s="67"/>
      <c r="D33" s="67">
        <v>100</v>
      </c>
      <c r="E33" s="67">
        <f>+E32-D33</f>
        <v>3742</v>
      </c>
      <c r="F33" s="67"/>
      <c r="G33" s="92">
        <f>J32/E32</f>
        <v>0.41635357823368341</v>
      </c>
      <c r="H33" s="92"/>
      <c r="I33" s="92">
        <f>D33*G33</f>
        <v>41.635357823368338</v>
      </c>
      <c r="J33" s="92">
        <f>+J32-I33</f>
        <v>1557.9950897504432</v>
      </c>
      <c r="K33" s="50"/>
    </row>
    <row r="34" spans="1:14" s="20" customFormat="1">
      <c r="A34" s="113">
        <v>41848</v>
      </c>
      <c r="B34" s="67" t="s">
        <v>476</v>
      </c>
      <c r="C34" s="67"/>
      <c r="D34" s="67">
        <v>50</v>
      </c>
      <c r="E34" s="67">
        <f>+E33-D34</f>
        <v>3692</v>
      </c>
      <c r="F34" s="67"/>
      <c r="G34" s="92">
        <f>J33/E33</f>
        <v>0.41635357823368335</v>
      </c>
      <c r="H34" s="92"/>
      <c r="I34" s="92">
        <f>D34*G34</f>
        <v>20.817678911684169</v>
      </c>
      <c r="J34" s="92">
        <f>+J33-I34</f>
        <v>1537.177410838759</v>
      </c>
      <c r="K34" s="125">
        <f>SUM(I30:I34)</f>
        <v>291.44750476357831</v>
      </c>
      <c r="L34" s="145">
        <v>41850</v>
      </c>
      <c r="M34" s="55">
        <f>SUM(I32:I34)</f>
        <v>145.72375238178918</v>
      </c>
      <c r="N34" s="55">
        <f>SUM(M31:M34)</f>
        <v>291.44750476357831</v>
      </c>
    </row>
    <row r="35" spans="1:14" s="20" customFormat="1">
      <c r="A35" s="113">
        <v>41862</v>
      </c>
      <c r="B35" s="67" t="s">
        <v>554</v>
      </c>
      <c r="C35" s="67">
        <v>1000</v>
      </c>
      <c r="D35" s="67"/>
      <c r="E35" s="67">
        <f>+E34+C35</f>
        <v>4692</v>
      </c>
      <c r="F35" s="92">
        <f>+H35/C35</f>
        <v>0.41351100000000002</v>
      </c>
      <c r="G35" s="92"/>
      <c r="H35" s="92">
        <v>413.51100000000002</v>
      </c>
      <c r="I35" s="92"/>
      <c r="J35" s="92">
        <f>+J34+H35</f>
        <v>1950.688410838759</v>
      </c>
      <c r="K35" s="50"/>
    </row>
    <row r="36" spans="1:14" s="20" customFormat="1">
      <c r="A36" s="113">
        <v>41865</v>
      </c>
      <c r="B36" s="67" t="s">
        <v>555</v>
      </c>
      <c r="C36" s="67"/>
      <c r="D36" s="67">
        <v>200</v>
      </c>
      <c r="E36" s="67">
        <f>+E35-D36</f>
        <v>4492</v>
      </c>
      <c r="F36" s="67"/>
      <c r="G36" s="92">
        <f>J34/E34</f>
        <v>0.41635357823368335</v>
      </c>
      <c r="H36" s="92"/>
      <c r="I36" s="92">
        <f>D36*G36</f>
        <v>83.270715646736676</v>
      </c>
      <c r="J36" s="92">
        <f>+J35-I36</f>
        <v>1867.4176951920222</v>
      </c>
      <c r="K36" s="50"/>
      <c r="L36" s="145">
        <v>41866</v>
      </c>
      <c r="M36" s="55">
        <f>SUM(I36)</f>
        <v>83.270715646736676</v>
      </c>
    </row>
    <row r="37" spans="1:14">
      <c r="A37" s="113">
        <v>41872</v>
      </c>
      <c r="B37" s="67" t="s">
        <v>556</v>
      </c>
      <c r="C37" s="67"/>
      <c r="D37" s="67">
        <v>50</v>
      </c>
      <c r="E37" s="67">
        <f>+E36-D37</f>
        <v>4442</v>
      </c>
      <c r="F37" s="67"/>
      <c r="G37" s="92">
        <f>J36/E36</f>
        <v>0.41572076918789452</v>
      </c>
      <c r="H37" s="92"/>
      <c r="I37" s="92">
        <f>D37*G37</f>
        <v>20.786038459394724</v>
      </c>
      <c r="J37" s="92">
        <f>+J36-I37</f>
        <v>1846.6316567326273</v>
      </c>
      <c r="K37" s="50"/>
    </row>
    <row r="38" spans="1:14">
      <c r="A38" s="113">
        <v>41876</v>
      </c>
      <c r="B38" s="67" t="s">
        <v>557</v>
      </c>
      <c r="C38" s="67"/>
      <c r="D38" s="67">
        <v>100</v>
      </c>
      <c r="E38" s="67">
        <f>+E37-D38</f>
        <v>4342</v>
      </c>
      <c r="F38" s="67"/>
      <c r="G38" s="92">
        <f>J37/E37</f>
        <v>0.41572076918789447</v>
      </c>
      <c r="H38" s="92"/>
      <c r="I38" s="92">
        <f>D38*G38</f>
        <v>41.572076918789449</v>
      </c>
      <c r="J38" s="92">
        <f>+J37-I38</f>
        <v>1805.0595798138379</v>
      </c>
      <c r="K38" s="125">
        <f>SUM(I35:I38)</f>
        <v>145.62883102492083</v>
      </c>
      <c r="L38" s="145">
        <v>41881</v>
      </c>
      <c r="M38" s="55">
        <f>SUM(I37:I38)</f>
        <v>62.358115378184173</v>
      </c>
      <c r="N38" s="55">
        <f>SUM(M36:M38)</f>
        <v>145.62883102492086</v>
      </c>
    </row>
    <row r="39" spans="1:14">
      <c r="A39" s="113">
        <v>41884</v>
      </c>
      <c r="B39" s="67" t="s">
        <v>558</v>
      </c>
      <c r="C39" s="67"/>
      <c r="D39" s="67">
        <v>150</v>
      </c>
      <c r="E39" s="67">
        <f>+E38-D39</f>
        <v>4192</v>
      </c>
      <c r="F39" s="67"/>
      <c r="G39" s="92">
        <f>J38/E38</f>
        <v>0.41572076918789447</v>
      </c>
      <c r="H39" s="92"/>
      <c r="I39" s="92">
        <f>D39*G39</f>
        <v>62.358115378184173</v>
      </c>
      <c r="J39" s="92">
        <f>+J38-I39</f>
        <v>1742.7014644356536</v>
      </c>
      <c r="K39" s="50"/>
    </row>
    <row r="40" spans="1:14">
      <c r="A40" s="113">
        <v>41898</v>
      </c>
      <c r="B40" s="67" t="s">
        <v>603</v>
      </c>
      <c r="C40" s="67"/>
      <c r="D40" s="67">
        <v>100</v>
      </c>
      <c r="E40" s="67">
        <f t="shared" ref="E40:E49" si="7">+E39-D40</f>
        <v>4092</v>
      </c>
      <c r="F40" s="67"/>
      <c r="G40" s="92">
        <f t="shared" ref="G40:G49" si="8">J39/E39</f>
        <v>0.41572076918789447</v>
      </c>
      <c r="H40" s="92"/>
      <c r="I40" s="92">
        <f t="shared" ref="I40:I49" si="9">D40*G40</f>
        <v>41.572076918789449</v>
      </c>
      <c r="J40" s="92">
        <f t="shared" ref="J40:J49" si="10">+J39-I40</f>
        <v>1701.1293875168642</v>
      </c>
      <c r="K40" s="50"/>
    </row>
    <row r="41" spans="1:14">
      <c r="A41" s="113">
        <v>41900</v>
      </c>
      <c r="B41" s="67" t="s">
        <v>609</v>
      </c>
      <c r="C41" s="67"/>
      <c r="D41" s="67">
        <v>350</v>
      </c>
      <c r="E41" s="67">
        <f>+E40-D41</f>
        <v>3742</v>
      </c>
      <c r="F41" s="67"/>
      <c r="G41" s="92">
        <f>J40/E40</f>
        <v>0.41572076918789447</v>
      </c>
      <c r="H41" s="92"/>
      <c r="I41" s="92">
        <f>D41*G41</f>
        <v>145.50226921576305</v>
      </c>
      <c r="J41" s="92">
        <f>+J40-I41</f>
        <v>1555.6271183011011</v>
      </c>
      <c r="K41" s="125">
        <f>SUM(I39:I41)</f>
        <v>249.43246151273667</v>
      </c>
      <c r="L41" s="145">
        <v>41902</v>
      </c>
      <c r="M41" s="55">
        <f>SUM(I39:I41)</f>
        <v>249.43246151273667</v>
      </c>
      <c r="N41" s="55">
        <f>+K41</f>
        <v>249.43246151273667</v>
      </c>
    </row>
    <row r="42" spans="1:14">
      <c r="A42" s="113">
        <v>41914</v>
      </c>
      <c r="B42" s="67" t="s">
        <v>677</v>
      </c>
      <c r="C42" s="67"/>
      <c r="D42" s="67">
        <v>350</v>
      </c>
      <c r="E42" s="67">
        <f>+E41-D42</f>
        <v>3392</v>
      </c>
      <c r="F42" s="67"/>
      <c r="G42" s="92">
        <f>J41/E41</f>
        <v>0.41572076918789447</v>
      </c>
      <c r="H42" s="92"/>
      <c r="I42" s="92">
        <f>D42*G42</f>
        <v>145.50226921576305</v>
      </c>
      <c r="J42" s="92">
        <f>+J41-I42</f>
        <v>1410.1248490853379</v>
      </c>
      <c r="K42" s="50"/>
    </row>
    <row r="43" spans="1:14">
      <c r="A43" s="113">
        <v>41920</v>
      </c>
      <c r="B43" s="67" t="s">
        <v>678</v>
      </c>
      <c r="C43" s="67"/>
      <c r="D43" s="67">
        <v>50</v>
      </c>
      <c r="E43" s="67">
        <f t="shared" si="7"/>
        <v>3342</v>
      </c>
      <c r="F43" s="67"/>
      <c r="G43" s="92">
        <f t="shared" si="8"/>
        <v>0.41572076918789441</v>
      </c>
      <c r="H43" s="92"/>
      <c r="I43" s="92">
        <f t="shared" si="9"/>
        <v>20.786038459394721</v>
      </c>
      <c r="J43" s="92">
        <f t="shared" si="10"/>
        <v>1389.3388106259431</v>
      </c>
      <c r="K43" s="50"/>
    </row>
    <row r="44" spans="1:14">
      <c r="A44" s="113">
        <v>41921</v>
      </c>
      <c r="B44" s="67" t="s">
        <v>679</v>
      </c>
      <c r="C44" s="67"/>
      <c r="D44" s="67">
        <v>50</v>
      </c>
      <c r="E44" s="67">
        <f t="shared" si="7"/>
        <v>3292</v>
      </c>
      <c r="F44" s="67"/>
      <c r="G44" s="92">
        <f t="shared" si="8"/>
        <v>0.41572076918789441</v>
      </c>
      <c r="H44" s="92"/>
      <c r="I44" s="92">
        <f t="shared" si="9"/>
        <v>20.786038459394721</v>
      </c>
      <c r="J44" s="92">
        <f t="shared" si="10"/>
        <v>1368.5527721665483</v>
      </c>
      <c r="K44" s="50"/>
    </row>
    <row r="45" spans="1:14">
      <c r="A45" s="113">
        <v>41922</v>
      </c>
      <c r="B45" s="67" t="s">
        <v>680</v>
      </c>
      <c r="C45" s="67"/>
      <c r="D45" s="67">
        <v>150</v>
      </c>
      <c r="E45" s="67">
        <f t="shared" si="7"/>
        <v>3142</v>
      </c>
      <c r="F45" s="67"/>
      <c r="G45" s="92">
        <f t="shared" si="8"/>
        <v>0.41572076918789436</v>
      </c>
      <c r="H45" s="92"/>
      <c r="I45" s="92">
        <f t="shared" si="9"/>
        <v>62.358115378184152</v>
      </c>
      <c r="J45" s="92">
        <f t="shared" si="10"/>
        <v>1306.1946567883642</v>
      </c>
      <c r="K45" s="50"/>
    </row>
    <row r="46" spans="1:14">
      <c r="A46" s="113">
        <v>41925</v>
      </c>
      <c r="B46" s="67" t="s">
        <v>681</v>
      </c>
      <c r="C46" s="67"/>
      <c r="D46" s="67">
        <v>100</v>
      </c>
      <c r="E46" s="67">
        <f t="shared" si="7"/>
        <v>3042</v>
      </c>
      <c r="F46" s="67"/>
      <c r="G46" s="92">
        <f t="shared" si="8"/>
        <v>0.41572076918789441</v>
      </c>
      <c r="H46" s="92"/>
      <c r="I46" s="92">
        <f t="shared" si="9"/>
        <v>41.572076918789442</v>
      </c>
      <c r="J46" s="92">
        <f t="shared" si="10"/>
        <v>1264.6225798695748</v>
      </c>
      <c r="K46" s="50"/>
    </row>
    <row r="47" spans="1:14">
      <c r="A47" s="113">
        <v>41933</v>
      </c>
      <c r="B47" s="67" t="s">
        <v>682</v>
      </c>
      <c r="C47" s="67"/>
      <c r="D47" s="67">
        <v>100</v>
      </c>
      <c r="E47" s="67">
        <f t="shared" si="7"/>
        <v>2942</v>
      </c>
      <c r="F47" s="67"/>
      <c r="G47" s="92">
        <f t="shared" si="8"/>
        <v>0.41572076918789441</v>
      </c>
      <c r="H47" s="92"/>
      <c r="I47" s="92">
        <f t="shared" si="9"/>
        <v>41.572076918789442</v>
      </c>
      <c r="J47" s="92">
        <f t="shared" si="10"/>
        <v>1223.0505029507854</v>
      </c>
      <c r="K47" s="50"/>
    </row>
    <row r="48" spans="1:14" s="62" customFormat="1">
      <c r="A48" s="113">
        <v>41943</v>
      </c>
      <c r="B48" s="67" t="s">
        <v>724</v>
      </c>
      <c r="C48" s="67"/>
      <c r="D48" s="67">
        <v>700</v>
      </c>
      <c r="E48" s="67">
        <f t="shared" si="7"/>
        <v>2242</v>
      </c>
      <c r="F48" s="67"/>
      <c r="G48" s="92">
        <f t="shared" si="8"/>
        <v>0.41572076918789441</v>
      </c>
      <c r="H48" s="92"/>
      <c r="I48" s="92">
        <f t="shared" si="9"/>
        <v>291.0045384315261</v>
      </c>
      <c r="J48" s="92">
        <f t="shared" si="10"/>
        <v>932.04596451925931</v>
      </c>
      <c r="K48" s="126">
        <f>SUM(I42:I48)</f>
        <v>623.58115378184164</v>
      </c>
      <c r="N48" s="52">
        <f>+K48</f>
        <v>623.58115378184164</v>
      </c>
    </row>
    <row r="49" spans="1:14">
      <c r="A49" s="113">
        <v>41960</v>
      </c>
      <c r="B49" s="67" t="s">
        <v>756</v>
      </c>
      <c r="C49" s="67"/>
      <c r="D49" s="67">
        <v>50</v>
      </c>
      <c r="E49" s="67">
        <f t="shared" si="7"/>
        <v>2192</v>
      </c>
      <c r="F49" s="67"/>
      <c r="G49" s="92">
        <f t="shared" si="8"/>
        <v>0.41572076918789441</v>
      </c>
      <c r="H49" s="92"/>
      <c r="I49" s="92">
        <f t="shared" si="9"/>
        <v>20.786038459394721</v>
      </c>
      <c r="J49" s="92">
        <f t="shared" si="10"/>
        <v>911.2599260598646</v>
      </c>
      <c r="K49" s="50"/>
    </row>
    <row r="50" spans="1:14" s="62" customFormat="1">
      <c r="A50" s="113">
        <v>41967</v>
      </c>
      <c r="B50" s="67" t="s">
        <v>771</v>
      </c>
      <c r="C50" s="67">
        <v>2000</v>
      </c>
      <c r="D50" s="67"/>
      <c r="E50" s="67">
        <f>+E49+C50</f>
        <v>4192</v>
      </c>
      <c r="F50" s="92">
        <f>+H50/C50</f>
        <v>0.41760000000000003</v>
      </c>
      <c r="G50" s="92"/>
      <c r="H50" s="92">
        <v>835.2</v>
      </c>
      <c r="I50" s="92"/>
      <c r="J50" s="92">
        <f>+J49+H50</f>
        <v>1746.4599260598648</v>
      </c>
      <c r="K50" s="125">
        <f>SUM(I49:I50)</f>
        <v>20.786038459394721</v>
      </c>
      <c r="N50" s="52">
        <f>+K50</f>
        <v>20.786038459394721</v>
      </c>
    </row>
    <row r="51" spans="1:14">
      <c r="A51" s="113">
        <v>41978</v>
      </c>
      <c r="B51" s="67" t="s">
        <v>839</v>
      </c>
      <c r="C51" s="67"/>
      <c r="D51" s="67">
        <v>50</v>
      </c>
      <c r="E51" s="67">
        <f>+E50-D51</f>
        <v>4142</v>
      </c>
      <c r="F51" s="67"/>
      <c r="G51" s="92">
        <f>+J50/E50</f>
        <v>0.41661734877382273</v>
      </c>
      <c r="H51" s="92"/>
      <c r="I51" s="92">
        <f>D51*G51</f>
        <v>20.830867438691136</v>
      </c>
      <c r="J51" s="92">
        <f>+J50-I51</f>
        <v>1725.6290586211737</v>
      </c>
      <c r="K51" s="50"/>
    </row>
    <row r="52" spans="1:14">
      <c r="A52" s="113">
        <v>41982</v>
      </c>
      <c r="B52" s="67" t="s">
        <v>840</v>
      </c>
      <c r="C52" s="67"/>
      <c r="D52" s="67">
        <v>100</v>
      </c>
      <c r="E52" s="67">
        <f>+E51-D52</f>
        <v>4042</v>
      </c>
      <c r="F52" s="67"/>
      <c r="G52" s="92">
        <f>J51/E51</f>
        <v>0.41661734877382273</v>
      </c>
      <c r="H52" s="92"/>
      <c r="I52" s="92">
        <f>D52*G52</f>
        <v>41.661734877382273</v>
      </c>
      <c r="J52" s="92">
        <f>+J51-I52</f>
        <v>1683.9673237437914</v>
      </c>
      <c r="K52" s="50"/>
    </row>
    <row r="53" spans="1:14">
      <c r="A53" s="113">
        <v>41984</v>
      </c>
      <c r="B53" s="67" t="s">
        <v>841</v>
      </c>
      <c r="C53" s="67"/>
      <c r="D53" s="67">
        <v>200</v>
      </c>
      <c r="E53" s="67">
        <f>+E52-D53</f>
        <v>3842</v>
      </c>
      <c r="F53" s="67"/>
      <c r="G53" s="92">
        <f>J52/E52</f>
        <v>0.41661734877382273</v>
      </c>
      <c r="H53" s="92"/>
      <c r="I53" s="92">
        <f>D53*G53</f>
        <v>83.323469754764545</v>
      </c>
      <c r="J53" s="92">
        <f>+J52-I53</f>
        <v>1600.6438539890269</v>
      </c>
      <c r="K53" s="50"/>
    </row>
    <row r="54" spans="1:14">
      <c r="A54" s="113">
        <v>41990</v>
      </c>
      <c r="B54" s="67" t="s">
        <v>842</v>
      </c>
      <c r="C54" s="67"/>
      <c r="D54" s="67">
        <v>250</v>
      </c>
      <c r="E54" s="67">
        <f>+E53-D54</f>
        <v>3592</v>
      </c>
      <c r="F54" s="67"/>
      <c r="G54" s="92">
        <f>J53/E53</f>
        <v>0.41661734877382273</v>
      </c>
      <c r="H54" s="92"/>
      <c r="I54" s="92">
        <f>D54*G54</f>
        <v>104.15433719345569</v>
      </c>
      <c r="J54" s="92">
        <f>+J53-I54</f>
        <v>1496.4895167955713</v>
      </c>
      <c r="K54" s="50"/>
    </row>
    <row r="55" spans="1:14">
      <c r="A55" s="113">
        <v>42004</v>
      </c>
      <c r="B55" s="67" t="s">
        <v>843</v>
      </c>
      <c r="C55" s="67"/>
      <c r="D55" s="67">
        <v>200</v>
      </c>
      <c r="E55" s="67">
        <f>+E54-D55</f>
        <v>3392</v>
      </c>
      <c r="F55" s="67"/>
      <c r="G55" s="92">
        <f>J54/E54</f>
        <v>0.41661734877382273</v>
      </c>
      <c r="H55" s="92"/>
      <c r="I55" s="92">
        <f>D55*G55</f>
        <v>83.323469754764545</v>
      </c>
      <c r="J55" s="92">
        <f>+J54-I55</f>
        <v>1413.1660470408067</v>
      </c>
      <c r="K55" s="125">
        <f>SUM(I51:I55)</f>
        <v>333.29387901905818</v>
      </c>
      <c r="N55" s="55">
        <f>+K55</f>
        <v>333.29387901905818</v>
      </c>
    </row>
    <row r="56" spans="1:14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50"/>
    </row>
    <row r="57" spans="1:14">
      <c r="A57" s="67"/>
      <c r="B57" s="18" t="s">
        <v>862</v>
      </c>
      <c r="C57" s="67">
        <f>SUM(C11:C55)</f>
        <v>9965</v>
      </c>
      <c r="D57" s="67">
        <f>SUM(D11:D55)</f>
        <v>6573</v>
      </c>
      <c r="E57" s="67">
        <f>+C57-D57</f>
        <v>3392</v>
      </c>
      <c r="F57" s="67"/>
      <c r="G57" s="67"/>
      <c r="H57" s="92">
        <f>SUM(H11:H55)</f>
        <v>4148.5910000000003</v>
      </c>
      <c r="I57" s="92">
        <f>SUM(I11:I55)</f>
        <v>2735.4249529591934</v>
      </c>
      <c r="J57" s="92">
        <f>+H57-I57</f>
        <v>1413.1660470408069</v>
      </c>
      <c r="K57" s="50"/>
      <c r="N57" s="55">
        <f>SUM(N16:N56)</f>
        <v>2735.4249529591925</v>
      </c>
    </row>
    <row r="58" spans="1:14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</row>
    <row r="61" spans="1:14">
      <c r="A61" s="96" t="s">
        <v>863</v>
      </c>
      <c r="B61" s="32"/>
      <c r="C61" s="2"/>
      <c r="D61" s="2"/>
      <c r="E61" s="2"/>
      <c r="F61" s="2"/>
    </row>
    <row r="62" spans="1:14">
      <c r="A62" s="96"/>
      <c r="B62" s="32"/>
      <c r="C62" s="2"/>
      <c r="D62" s="2"/>
      <c r="E62" s="2"/>
      <c r="F62" s="2"/>
    </row>
    <row r="63" spans="1:14">
      <c r="A63" s="96" t="s">
        <v>864</v>
      </c>
      <c r="B63" s="32"/>
      <c r="C63" s="2"/>
      <c r="D63" s="2"/>
      <c r="E63" s="2"/>
      <c r="F63" s="2"/>
      <c r="J63" s="55">
        <f>+E57*F50</f>
        <v>1416.4992000000002</v>
      </c>
    </row>
    <row r="64" spans="1:14">
      <c r="A64" s="96" t="s">
        <v>865</v>
      </c>
      <c r="B64" s="32"/>
      <c r="C64" s="2"/>
      <c r="D64" s="2"/>
      <c r="E64" s="2"/>
      <c r="F64" s="2"/>
      <c r="J64" s="122">
        <f>+J57</f>
        <v>1413.1660470408069</v>
      </c>
    </row>
    <row r="65" spans="1:10">
      <c r="A65" s="96"/>
      <c r="B65" s="32" t="s">
        <v>866</v>
      </c>
      <c r="C65" s="2"/>
      <c r="D65" s="2"/>
      <c r="E65" s="2"/>
      <c r="F65" s="2"/>
      <c r="J65" s="55">
        <f>+J63-J64</f>
        <v>3.3331529591932849</v>
      </c>
    </row>
  </sheetData>
  <mergeCells count="3">
    <mergeCell ref="C9:E9"/>
    <mergeCell ref="F9:G9"/>
    <mergeCell ref="H9:J9"/>
  </mergeCells>
  <pageMargins left="0.98425196850393704" right="0.70866141732283472" top="0.74803149606299213" bottom="0.74803149606299213" header="0.31496062992125984" footer="0.31496062992125984"/>
  <pageSetup scale="70" orientation="landscape" horizontalDpi="4294967293" verticalDpi="0" r:id="rId1"/>
  <ignoredErrors>
    <ignoredError sqref="J15 J19:J21 E19:E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N48"/>
  <sheetViews>
    <sheetView topLeftCell="A24" workbookViewId="0">
      <selection sqref="A1:M49"/>
    </sheetView>
  </sheetViews>
  <sheetFormatPr baseColWidth="10" defaultRowHeight="15"/>
  <cols>
    <col min="2" max="2" width="24.5703125" customWidth="1"/>
    <col min="3" max="3" width="13.5703125" customWidth="1"/>
  </cols>
  <sheetData>
    <row r="1" spans="1:14" s="2" customFormat="1">
      <c r="A1" s="82" t="s">
        <v>0</v>
      </c>
      <c r="B1" s="83"/>
      <c r="C1" s="84"/>
      <c r="D1" s="84"/>
      <c r="E1" s="84"/>
      <c r="F1" s="84"/>
      <c r="G1" s="84"/>
      <c r="H1" s="107" t="s">
        <v>1</v>
      </c>
      <c r="I1" s="106"/>
      <c r="J1" s="84"/>
      <c r="K1" s="115"/>
    </row>
    <row r="2" spans="1:14" s="2" customFormat="1">
      <c r="A2" s="87" t="s">
        <v>2</v>
      </c>
      <c r="B2" s="1"/>
      <c r="H2" s="32" t="s">
        <v>874</v>
      </c>
      <c r="I2" s="31"/>
      <c r="K2" s="116"/>
    </row>
    <row r="3" spans="1:14" s="2" customFormat="1">
      <c r="A3" s="89" t="s">
        <v>4</v>
      </c>
      <c r="B3" s="3"/>
      <c r="H3" s="32" t="s">
        <v>872</v>
      </c>
      <c r="I3" s="31"/>
      <c r="K3" s="116"/>
    </row>
    <row r="4" spans="1:14" s="2" customFormat="1" ht="18">
      <c r="A4" s="90"/>
      <c r="D4" s="150" t="s">
        <v>6</v>
      </c>
      <c r="E4" s="150"/>
      <c r="F4" s="150"/>
      <c r="G4" s="150"/>
      <c r="H4" s="150"/>
      <c r="K4" s="116"/>
    </row>
    <row r="5" spans="1:14" s="2" customFormat="1">
      <c r="A5" s="90"/>
      <c r="B5" s="4"/>
      <c r="D5" s="21" t="s">
        <v>27</v>
      </c>
      <c r="E5" s="4"/>
      <c r="F5" s="4"/>
      <c r="K5" s="116"/>
    </row>
    <row r="6" spans="1:14" s="2" customFormat="1">
      <c r="A6" s="90"/>
      <c r="B6" s="4"/>
      <c r="D6" s="2" t="s">
        <v>7</v>
      </c>
      <c r="E6" s="4"/>
      <c r="F6" s="4"/>
      <c r="K6" s="116"/>
    </row>
    <row r="7" spans="1:14" s="2" customFormat="1">
      <c r="A7" s="90"/>
      <c r="K7" s="116"/>
    </row>
    <row r="8" spans="1:14" s="2" customFormat="1">
      <c r="A8" s="90"/>
      <c r="K8" s="116"/>
    </row>
    <row r="9" spans="1:14" s="20" customFormat="1">
      <c r="A9" s="129" t="s">
        <v>8</v>
      </c>
      <c r="B9" s="50" t="s">
        <v>9</v>
      </c>
      <c r="C9" s="166" t="s">
        <v>10</v>
      </c>
      <c r="D9" s="167"/>
      <c r="E9" s="168"/>
      <c r="F9" s="166" t="s">
        <v>11</v>
      </c>
      <c r="G9" s="168"/>
      <c r="H9" s="166" t="s">
        <v>12</v>
      </c>
      <c r="I9" s="167"/>
      <c r="J9" s="168"/>
      <c r="K9" s="45"/>
    </row>
    <row r="10" spans="1:14" s="20" customFormat="1">
      <c r="A10" s="47"/>
      <c r="B10" s="46"/>
      <c r="C10" s="47" t="s">
        <v>100</v>
      </c>
      <c r="D10" s="48" t="s">
        <v>15</v>
      </c>
      <c r="E10" s="49" t="s">
        <v>21</v>
      </c>
      <c r="F10" s="48" t="s">
        <v>17</v>
      </c>
      <c r="G10" s="48" t="s">
        <v>18</v>
      </c>
      <c r="H10" s="47" t="s">
        <v>19</v>
      </c>
      <c r="I10" s="48" t="s">
        <v>20</v>
      </c>
      <c r="J10" s="49" t="s">
        <v>21</v>
      </c>
      <c r="K10" s="5" t="s">
        <v>13</v>
      </c>
    </row>
    <row r="11" spans="1:14" s="20" customFormat="1">
      <c r="A11" s="113">
        <v>41640</v>
      </c>
      <c r="B11" s="67" t="s">
        <v>883</v>
      </c>
      <c r="C11" s="67">
        <v>2385</v>
      </c>
      <c r="D11" s="67"/>
      <c r="E11" s="67">
        <f>+C11</f>
        <v>2385</v>
      </c>
      <c r="F11" s="92">
        <f>+H11/C11</f>
        <v>0.48719916142557651</v>
      </c>
      <c r="G11" s="137"/>
      <c r="H11" s="128">
        <v>1161.97</v>
      </c>
      <c r="I11" s="92"/>
      <c r="J11" s="128">
        <f>+H11</f>
        <v>1161.97</v>
      </c>
      <c r="K11" s="50"/>
    </row>
    <row r="12" spans="1:14" s="20" customFormat="1">
      <c r="A12" s="113">
        <v>41646</v>
      </c>
      <c r="B12" s="67" t="s">
        <v>103</v>
      </c>
      <c r="C12" s="67"/>
      <c r="D12" s="67">
        <v>100</v>
      </c>
      <c r="E12" s="67">
        <f>+E11-D12</f>
        <v>2285</v>
      </c>
      <c r="F12" s="67"/>
      <c r="G12" s="92">
        <f>+J11/E11</f>
        <v>0.48719916142557651</v>
      </c>
      <c r="H12" s="92"/>
      <c r="I12" s="92">
        <f>D12*G12</f>
        <v>48.719916142557651</v>
      </c>
      <c r="J12" s="128">
        <f>+J11-I12</f>
        <v>1113.2500838574424</v>
      </c>
      <c r="K12" s="92"/>
    </row>
    <row r="13" spans="1:14" s="20" customFormat="1">
      <c r="A13" s="113">
        <v>41659</v>
      </c>
      <c r="B13" s="67" t="s">
        <v>110</v>
      </c>
      <c r="C13" s="67"/>
      <c r="D13" s="67">
        <v>500</v>
      </c>
      <c r="E13" s="67">
        <f>+E12-D13</f>
        <v>1785</v>
      </c>
      <c r="F13" s="67"/>
      <c r="G13" s="92">
        <f>J12/E12</f>
        <v>0.48719916142557657</v>
      </c>
      <c r="H13" s="92"/>
      <c r="I13" s="92">
        <f>D13*G13</f>
        <v>243.59958071278828</v>
      </c>
      <c r="J13" s="128">
        <f>J12-I13</f>
        <v>869.65050314465407</v>
      </c>
      <c r="K13" s="92"/>
      <c r="L13" s="145">
        <v>41659</v>
      </c>
      <c r="M13" s="55">
        <f>SUM(I12:I13)</f>
        <v>292.31949685534596</v>
      </c>
    </row>
    <row r="14" spans="1:14" s="20" customFormat="1">
      <c r="A14" s="113">
        <v>41667</v>
      </c>
      <c r="B14" s="67" t="s">
        <v>114</v>
      </c>
      <c r="C14" s="67"/>
      <c r="D14" s="67">
        <v>300</v>
      </c>
      <c r="E14" s="67">
        <f>+E13-D14</f>
        <v>1485</v>
      </c>
      <c r="F14" s="67"/>
      <c r="G14" s="92">
        <f>J13/E13</f>
        <v>0.48719916142557651</v>
      </c>
      <c r="H14" s="92"/>
      <c r="I14" s="92">
        <f>D14*G14</f>
        <v>146.15974842767295</v>
      </c>
      <c r="J14" s="128">
        <f>J13-I14</f>
        <v>723.49075471698109</v>
      </c>
      <c r="K14" s="126">
        <f>SUM(I12:I14)</f>
        <v>438.47924528301894</v>
      </c>
      <c r="L14" s="145">
        <v>41669</v>
      </c>
      <c r="M14" s="55">
        <f>SUM(I14)</f>
        <v>146.15974842767295</v>
      </c>
      <c r="N14" s="55">
        <f>SUM(M13:M14)</f>
        <v>438.47924528301894</v>
      </c>
    </row>
    <row r="15" spans="1:14" s="20" customFormat="1">
      <c r="A15" s="113">
        <v>41710</v>
      </c>
      <c r="B15" s="67" t="s">
        <v>153</v>
      </c>
      <c r="C15" s="67"/>
      <c r="D15" s="67">
        <v>50</v>
      </c>
      <c r="E15" s="67">
        <f>+E14-D15</f>
        <v>1435</v>
      </c>
      <c r="F15" s="67"/>
      <c r="G15" s="92">
        <f>J14/E14</f>
        <v>0.48719916142557651</v>
      </c>
      <c r="H15" s="92"/>
      <c r="I15" s="92">
        <f>D15*G15</f>
        <v>24.359958071278825</v>
      </c>
      <c r="J15" s="128">
        <f>J14-I15</f>
        <v>699.13079664570228</v>
      </c>
      <c r="K15" s="126">
        <f>SUM(I15)</f>
        <v>24.359958071278825</v>
      </c>
      <c r="L15" s="145">
        <v>41728</v>
      </c>
      <c r="N15" s="55">
        <f>+K15</f>
        <v>24.359958071278825</v>
      </c>
    </row>
    <row r="16" spans="1:14" s="20" customFormat="1">
      <c r="A16" s="113">
        <v>41751</v>
      </c>
      <c r="B16" s="67" t="s">
        <v>166</v>
      </c>
      <c r="C16" s="67"/>
      <c r="D16" s="67">
        <v>50</v>
      </c>
      <c r="E16" s="67">
        <f>+E15-D16</f>
        <v>1385</v>
      </c>
      <c r="F16" s="67"/>
      <c r="G16" s="92">
        <f>J15/E15</f>
        <v>0.48719916142557651</v>
      </c>
      <c r="H16" s="92"/>
      <c r="I16" s="92">
        <f>D16*G16</f>
        <v>24.359958071278825</v>
      </c>
      <c r="J16" s="128">
        <f>J15-I16</f>
        <v>674.77083857442346</v>
      </c>
      <c r="K16" s="92"/>
    </row>
    <row r="17" spans="1:14" s="20" customFormat="1">
      <c r="A17" s="113">
        <v>41753</v>
      </c>
      <c r="B17" s="67" t="s">
        <v>181</v>
      </c>
      <c r="C17" s="67">
        <v>2000</v>
      </c>
      <c r="D17" s="67"/>
      <c r="E17" s="67">
        <f>+E16+C17</f>
        <v>3385</v>
      </c>
      <c r="F17" s="138">
        <f>+H17/C17</f>
        <v>0.47849999999999998</v>
      </c>
      <c r="G17" s="92"/>
      <c r="H17" s="92">
        <f>1100*0.87</f>
        <v>957</v>
      </c>
      <c r="I17" s="92"/>
      <c r="J17" s="128">
        <f>+J16+H17</f>
        <v>1631.7708385744236</v>
      </c>
      <c r="K17" s="126">
        <f>SUM(I16:I17)</f>
        <v>24.359958071278825</v>
      </c>
      <c r="L17" s="145">
        <v>41759</v>
      </c>
      <c r="N17" s="55">
        <f>+K17</f>
        <v>24.359958071278825</v>
      </c>
    </row>
    <row r="18" spans="1:14" s="20" customFormat="1">
      <c r="A18" s="113">
        <v>41799</v>
      </c>
      <c r="B18" s="67" t="s">
        <v>360</v>
      </c>
      <c r="C18" s="67"/>
      <c r="D18" s="67">
        <v>450</v>
      </c>
      <c r="E18" s="67">
        <f>+E17-D18</f>
        <v>2935</v>
      </c>
      <c r="F18" s="67"/>
      <c r="G18" s="92">
        <f>+J17/E17</f>
        <v>0.4820593319274516</v>
      </c>
      <c r="H18" s="92"/>
      <c r="I18" s="92">
        <f>+D18*G18</f>
        <v>216.92669936735322</v>
      </c>
      <c r="J18" s="128">
        <f>+J17-I18</f>
        <v>1414.8441392070704</v>
      </c>
      <c r="K18" s="92"/>
      <c r="L18" s="145">
        <v>41804</v>
      </c>
      <c r="M18" s="55">
        <f>SUM(I18)</f>
        <v>216.92669936735322</v>
      </c>
    </row>
    <row r="19" spans="1:14" s="20" customFormat="1">
      <c r="A19" s="113">
        <v>41817</v>
      </c>
      <c r="B19" s="67" t="s">
        <v>398</v>
      </c>
      <c r="C19" s="67"/>
      <c r="D19" s="67">
        <v>450</v>
      </c>
      <c r="E19" s="67">
        <f>+E18-D19</f>
        <v>2485</v>
      </c>
      <c r="F19" s="67"/>
      <c r="G19" s="92">
        <f>+J18/E18</f>
        <v>0.4820593319274516</v>
      </c>
      <c r="H19" s="92"/>
      <c r="I19" s="92">
        <f>+D19*G19</f>
        <v>216.92669936735322</v>
      </c>
      <c r="J19" s="128">
        <f>+J18-I19</f>
        <v>1197.9174398397172</v>
      </c>
      <c r="K19" s="126">
        <f>SUM(I18:I19)</f>
        <v>433.85339873470645</v>
      </c>
      <c r="L19" s="145">
        <v>41820</v>
      </c>
      <c r="M19" s="55">
        <f>SUM(I19)</f>
        <v>216.92669936735322</v>
      </c>
      <c r="N19" s="55">
        <f>SUM(M18:M19)</f>
        <v>433.85339873470645</v>
      </c>
    </row>
    <row r="20" spans="1:14" s="20" customFormat="1">
      <c r="A20" s="113">
        <v>41850</v>
      </c>
      <c r="B20" s="67" t="s">
        <v>483</v>
      </c>
      <c r="C20" s="67"/>
      <c r="D20" s="67">
        <v>1100</v>
      </c>
      <c r="E20" s="67">
        <f>+E19-D20</f>
        <v>1385</v>
      </c>
      <c r="F20" s="67"/>
      <c r="G20" s="92">
        <f>+J19/E19</f>
        <v>0.4820593319274516</v>
      </c>
      <c r="H20" s="92"/>
      <c r="I20" s="92">
        <f>+D20*G20</f>
        <v>530.26526512019677</v>
      </c>
      <c r="J20" s="128">
        <f>+J19-I20</f>
        <v>667.65217471952042</v>
      </c>
      <c r="K20" s="126">
        <f>SUM(I20)</f>
        <v>530.26526512019677</v>
      </c>
      <c r="L20" s="145">
        <v>41850</v>
      </c>
      <c r="N20" s="55">
        <f>+K20</f>
        <v>530.26526512019677</v>
      </c>
    </row>
    <row r="21" spans="1:14" s="20" customFormat="1">
      <c r="A21" s="113">
        <v>41852</v>
      </c>
      <c r="B21" s="67" t="s">
        <v>559</v>
      </c>
      <c r="C21" s="67">
        <v>2000</v>
      </c>
      <c r="D21" s="67"/>
      <c r="E21" s="67">
        <f>+E20+C21</f>
        <v>3385</v>
      </c>
      <c r="F21" s="92">
        <f>+H21/C21</f>
        <v>0.48111000000000004</v>
      </c>
      <c r="G21" s="92"/>
      <c r="H21" s="92">
        <v>962.22</v>
      </c>
      <c r="I21" s="92"/>
      <c r="J21" s="128">
        <f>+J20+H21</f>
        <v>1629.8721747195204</v>
      </c>
      <c r="K21" s="92"/>
    </row>
    <row r="22" spans="1:14" s="20" customFormat="1">
      <c r="A22" s="113">
        <v>41856</v>
      </c>
      <c r="B22" s="67" t="s">
        <v>560</v>
      </c>
      <c r="C22" s="67"/>
      <c r="D22" s="67">
        <v>1100</v>
      </c>
      <c r="E22" s="67">
        <f>+E21-D22</f>
        <v>2285</v>
      </c>
      <c r="F22" s="67"/>
      <c r="G22" s="92">
        <f>+J20/E20</f>
        <v>0.48205933192745154</v>
      </c>
      <c r="H22" s="92"/>
      <c r="I22" s="92">
        <f>+D22*G22</f>
        <v>530.26526512019666</v>
      </c>
      <c r="J22" s="128">
        <f>+J21-I22</f>
        <v>1099.6069095993239</v>
      </c>
      <c r="K22" s="92"/>
    </row>
    <row r="23" spans="1:14" s="20" customFormat="1">
      <c r="A23" s="113">
        <v>41859</v>
      </c>
      <c r="B23" s="67" t="s">
        <v>561</v>
      </c>
      <c r="C23" s="67"/>
      <c r="D23" s="67">
        <v>175</v>
      </c>
      <c r="E23" s="67">
        <f>+E22-D23</f>
        <v>2110</v>
      </c>
      <c r="F23" s="67"/>
      <c r="G23" s="92">
        <f>+J22/E22</f>
        <v>0.4812284068268376</v>
      </c>
      <c r="H23" s="92"/>
      <c r="I23" s="92">
        <f>+D23*G23</f>
        <v>84.214971194696574</v>
      </c>
      <c r="J23" s="128">
        <f>+J22-I23</f>
        <v>1015.3919384046274</v>
      </c>
      <c r="K23" s="92"/>
    </row>
    <row r="24" spans="1:14" s="20" customFormat="1">
      <c r="A24" s="113">
        <v>41859</v>
      </c>
      <c r="B24" s="67" t="s">
        <v>562</v>
      </c>
      <c r="C24" s="67"/>
      <c r="D24" s="67">
        <v>150</v>
      </c>
      <c r="E24" s="67">
        <f>+E23-D24</f>
        <v>1960</v>
      </c>
      <c r="F24" s="67"/>
      <c r="G24" s="92">
        <f>+J23/E23</f>
        <v>0.4812284068268376</v>
      </c>
      <c r="H24" s="92"/>
      <c r="I24" s="92">
        <f>+D24*G24</f>
        <v>72.184261024025645</v>
      </c>
      <c r="J24" s="128">
        <f>+J23-I24</f>
        <v>943.20767738060169</v>
      </c>
      <c r="K24" s="92"/>
    </row>
    <row r="25" spans="1:14" s="20" customFormat="1">
      <c r="A25" s="113">
        <v>41862</v>
      </c>
      <c r="B25" s="67" t="s">
        <v>554</v>
      </c>
      <c r="C25" s="67">
        <v>1000</v>
      </c>
      <c r="D25" s="67"/>
      <c r="E25" s="67">
        <f>+E24+C25</f>
        <v>2960</v>
      </c>
      <c r="F25" s="92">
        <f>+H25/C25</f>
        <v>0.48102300000000003</v>
      </c>
      <c r="G25" s="92"/>
      <c r="H25" s="92">
        <v>481.02300000000002</v>
      </c>
      <c r="I25" s="92"/>
      <c r="J25" s="128">
        <f>+J24+H25</f>
        <v>1424.2306773806017</v>
      </c>
      <c r="K25" s="92"/>
      <c r="L25" s="145">
        <v>41866</v>
      </c>
      <c r="M25" s="55">
        <f>SUM(I22:I24)</f>
        <v>686.66449733891886</v>
      </c>
    </row>
    <row r="26" spans="1:14" s="20" customFormat="1">
      <c r="A26" s="113">
        <v>41871</v>
      </c>
      <c r="B26" s="67" t="s">
        <v>563</v>
      </c>
      <c r="C26" s="67"/>
      <c r="D26" s="67">
        <v>50</v>
      </c>
      <c r="E26" s="67">
        <f>+E25-D26</f>
        <v>2910</v>
      </c>
      <c r="F26" s="67"/>
      <c r="G26" s="92">
        <f>+J24/E24</f>
        <v>0.4812284068268376</v>
      </c>
      <c r="H26" s="92"/>
      <c r="I26" s="92">
        <f>+D26*G26</f>
        <v>24.061420341341879</v>
      </c>
      <c r="J26" s="128">
        <f t="shared" ref="J26:J33" si="0">+J25-I26</f>
        <v>1400.1692570392599</v>
      </c>
      <c r="K26" s="126">
        <f>SUM(I21:I26)</f>
        <v>710.72591768026075</v>
      </c>
      <c r="L26" s="145">
        <v>41881</v>
      </c>
      <c r="M26" s="55">
        <f>SUM(I26)</f>
        <v>24.061420341341879</v>
      </c>
      <c r="N26" s="55">
        <f>SUM(M25:M26)</f>
        <v>710.72591768026075</v>
      </c>
    </row>
    <row r="27" spans="1:14" s="20" customFormat="1">
      <c r="A27" s="113">
        <v>41898</v>
      </c>
      <c r="B27" s="67" t="s">
        <v>604</v>
      </c>
      <c r="C27" s="67"/>
      <c r="D27" s="67">
        <v>350</v>
      </c>
      <c r="E27" s="67">
        <f>+E26-D27</f>
        <v>2560</v>
      </c>
      <c r="F27" s="67"/>
      <c r="G27" s="92">
        <f>+J26/E26</f>
        <v>0.48115782028840548</v>
      </c>
      <c r="H27" s="92"/>
      <c r="I27" s="92">
        <f>+D27*G27</f>
        <v>168.40523710094192</v>
      </c>
      <c r="J27" s="128">
        <f t="shared" si="0"/>
        <v>1231.7640199383181</v>
      </c>
      <c r="K27" s="92"/>
      <c r="L27" s="145">
        <v>41902</v>
      </c>
      <c r="M27" s="55">
        <f>SUM(I27)</f>
        <v>168.40523710094192</v>
      </c>
    </row>
    <row r="28" spans="1:14" s="20" customFormat="1">
      <c r="A28" s="113">
        <v>41904</v>
      </c>
      <c r="B28" s="67" t="s">
        <v>614</v>
      </c>
      <c r="C28" s="67"/>
      <c r="D28" s="67">
        <v>100</v>
      </c>
      <c r="E28" s="67">
        <f t="shared" ref="E28:E33" si="1">+E27-D28</f>
        <v>2460</v>
      </c>
      <c r="F28" s="67"/>
      <c r="G28" s="92">
        <f t="shared" ref="G28:G34" si="2">+J27/E27</f>
        <v>0.48115782028840554</v>
      </c>
      <c r="H28" s="92"/>
      <c r="I28" s="92">
        <f>+D28*G28</f>
        <v>48.115782028840556</v>
      </c>
      <c r="J28" s="128">
        <f t="shared" si="0"/>
        <v>1183.6482379094775</v>
      </c>
      <c r="K28" s="126">
        <f>SUM(I27:I28)</f>
        <v>216.52101912978247</v>
      </c>
      <c r="L28" s="145">
        <v>41912</v>
      </c>
      <c r="M28" s="148">
        <f>+I28</f>
        <v>48.115782028840556</v>
      </c>
      <c r="N28" s="55">
        <f>SUM(M27:M28)</f>
        <v>216.52101912978247</v>
      </c>
    </row>
    <row r="29" spans="1:14" s="20" customFormat="1">
      <c r="A29" s="113">
        <v>41918</v>
      </c>
      <c r="B29" s="67" t="s">
        <v>683</v>
      </c>
      <c r="C29" s="67"/>
      <c r="D29" s="67">
        <v>1350</v>
      </c>
      <c r="E29" s="67">
        <f t="shared" si="1"/>
        <v>1110</v>
      </c>
      <c r="F29" s="67"/>
      <c r="G29" s="92">
        <f t="shared" si="2"/>
        <v>0.48115782028840548</v>
      </c>
      <c r="H29" s="92"/>
      <c r="I29" s="92">
        <f>+D29*G29</f>
        <v>649.56305738934736</v>
      </c>
      <c r="J29" s="128">
        <f t="shared" si="0"/>
        <v>534.08518052013017</v>
      </c>
      <c r="K29" s="92"/>
    </row>
    <row r="30" spans="1:14" s="20" customFormat="1">
      <c r="A30" s="113">
        <v>41932</v>
      </c>
      <c r="B30" s="67" t="s">
        <v>684</v>
      </c>
      <c r="C30" s="67"/>
      <c r="D30" s="67">
        <v>400</v>
      </c>
      <c r="E30" s="67">
        <f t="shared" si="1"/>
        <v>710</v>
      </c>
      <c r="F30" s="67"/>
      <c r="G30" s="92">
        <f t="shared" si="2"/>
        <v>0.48115782028840554</v>
      </c>
      <c r="H30" s="92"/>
      <c r="I30" s="92">
        <f>+D30*G30</f>
        <v>192.46312811536222</v>
      </c>
      <c r="J30" s="128">
        <f t="shared" si="0"/>
        <v>341.62205240476794</v>
      </c>
      <c r="K30" s="92"/>
    </row>
    <row r="31" spans="1:14" s="20" customFormat="1">
      <c r="A31" s="113">
        <v>41940</v>
      </c>
      <c r="B31" s="67" t="s">
        <v>716</v>
      </c>
      <c r="C31" s="67"/>
      <c r="D31" s="67">
        <v>250</v>
      </c>
      <c r="E31" s="67">
        <f t="shared" si="1"/>
        <v>460</v>
      </c>
      <c r="F31" s="67"/>
      <c r="G31" s="92">
        <f t="shared" si="2"/>
        <v>0.48115782028840554</v>
      </c>
      <c r="H31" s="92"/>
      <c r="I31" s="92">
        <f t="shared" ref="I31:I38" si="3">+D31*G31</f>
        <v>120.28945507210139</v>
      </c>
      <c r="J31" s="128">
        <f t="shared" si="0"/>
        <v>221.33259733266655</v>
      </c>
      <c r="K31" s="92"/>
    </row>
    <row r="32" spans="1:14" s="20" customFormat="1">
      <c r="A32" s="113">
        <v>41940</v>
      </c>
      <c r="B32" s="67" t="s">
        <v>717</v>
      </c>
      <c r="C32" s="67"/>
      <c r="D32" s="67">
        <v>50</v>
      </c>
      <c r="E32" s="67">
        <f t="shared" si="1"/>
        <v>410</v>
      </c>
      <c r="F32" s="67"/>
      <c r="G32" s="92">
        <f t="shared" si="2"/>
        <v>0.48115782028840554</v>
      </c>
      <c r="H32" s="92"/>
      <c r="I32" s="92">
        <f t="shared" si="3"/>
        <v>24.057891014420278</v>
      </c>
      <c r="J32" s="128">
        <f t="shared" si="0"/>
        <v>197.27470631824627</v>
      </c>
      <c r="K32" s="92"/>
    </row>
    <row r="33" spans="1:14" s="62" customFormat="1">
      <c r="A33" s="113">
        <v>41942</v>
      </c>
      <c r="B33" s="67" t="s">
        <v>721</v>
      </c>
      <c r="C33" s="67"/>
      <c r="D33" s="67">
        <v>100</v>
      </c>
      <c r="E33" s="67">
        <f t="shared" si="1"/>
        <v>310</v>
      </c>
      <c r="F33" s="67"/>
      <c r="G33" s="92">
        <f t="shared" si="2"/>
        <v>0.48115782028840554</v>
      </c>
      <c r="H33" s="92"/>
      <c r="I33" s="92">
        <f t="shared" si="3"/>
        <v>48.115782028840556</v>
      </c>
      <c r="J33" s="128">
        <f t="shared" si="0"/>
        <v>149.15892428940572</v>
      </c>
      <c r="K33" s="126">
        <f>SUM(I29:I33)</f>
        <v>1034.4893136200719</v>
      </c>
      <c r="N33" s="52">
        <f>+K33</f>
        <v>1034.4893136200719</v>
      </c>
    </row>
    <row r="34" spans="1:14" s="20" customFormat="1">
      <c r="A34" s="113">
        <v>41968</v>
      </c>
      <c r="B34" s="67" t="s">
        <v>772</v>
      </c>
      <c r="C34" s="67">
        <v>2000</v>
      </c>
      <c r="D34" s="67"/>
      <c r="E34" s="67">
        <f>+E33+C34</f>
        <v>2310</v>
      </c>
      <c r="F34" s="92">
        <f>+H34/C34</f>
        <v>0.48111000000000004</v>
      </c>
      <c r="G34" s="92">
        <f t="shared" si="2"/>
        <v>0.48115782028840554</v>
      </c>
      <c r="H34" s="92">
        <v>962.22</v>
      </c>
      <c r="I34" s="92"/>
      <c r="J34" s="128">
        <f>+J33+H34</f>
        <v>1111.3789242894059</v>
      </c>
      <c r="K34" s="92"/>
    </row>
    <row r="35" spans="1:14" s="20" customFormat="1">
      <c r="A35" s="139">
        <v>41969</v>
      </c>
      <c r="B35" s="94" t="s">
        <v>844</v>
      </c>
      <c r="C35" s="94"/>
      <c r="D35" s="94">
        <v>50</v>
      </c>
      <c r="E35" s="94">
        <f>+E34-D35</f>
        <v>2260</v>
      </c>
      <c r="F35" s="94"/>
      <c r="G35" s="140">
        <f>+J33/E33</f>
        <v>0.48115782028840554</v>
      </c>
      <c r="H35" s="140"/>
      <c r="I35" s="140">
        <f t="shared" si="3"/>
        <v>24.057891014420278</v>
      </c>
      <c r="J35" s="141">
        <f>+J34-I35</f>
        <v>1087.3210332749857</v>
      </c>
      <c r="K35" s="126">
        <f>SUM(I34:I35)</f>
        <v>24.057891014420278</v>
      </c>
      <c r="N35" s="55">
        <f>+K35</f>
        <v>24.057891014420278</v>
      </c>
    </row>
    <row r="36" spans="1:14" s="20" customFormat="1">
      <c r="A36" s="113">
        <v>41981</v>
      </c>
      <c r="B36" s="67" t="s">
        <v>845</v>
      </c>
      <c r="C36" s="67"/>
      <c r="D36" s="67">
        <v>250</v>
      </c>
      <c r="E36" s="67">
        <f>+E35-D36</f>
        <v>2010</v>
      </c>
      <c r="F36" s="67"/>
      <c r="G36" s="92">
        <f>+J35/E35</f>
        <v>0.4811155014491087</v>
      </c>
      <c r="H36" s="92"/>
      <c r="I36" s="92">
        <f t="shared" si="3"/>
        <v>120.27887536227718</v>
      </c>
      <c r="J36" s="128">
        <f>+J35-I36</f>
        <v>967.04215791270849</v>
      </c>
      <c r="K36" s="92"/>
    </row>
    <row r="37" spans="1:14" s="20" customFormat="1">
      <c r="A37" s="113">
        <v>41989</v>
      </c>
      <c r="B37" s="67" t="s">
        <v>846</v>
      </c>
      <c r="C37" s="67"/>
      <c r="D37" s="67">
        <v>1550</v>
      </c>
      <c r="E37" s="67">
        <f>+E36-D37</f>
        <v>460</v>
      </c>
      <c r="F37" s="67"/>
      <c r="G37" s="92">
        <f>+J36/E36</f>
        <v>0.4811155014491087</v>
      </c>
      <c r="H37" s="92"/>
      <c r="I37" s="92">
        <f t="shared" si="3"/>
        <v>745.72902724611845</v>
      </c>
      <c r="J37" s="128">
        <f>+J36-I37</f>
        <v>221.31313066659004</v>
      </c>
      <c r="K37" s="92"/>
    </row>
    <row r="38" spans="1:14" s="20" customFormat="1">
      <c r="A38" s="113">
        <v>41990</v>
      </c>
      <c r="B38" s="67" t="s">
        <v>847</v>
      </c>
      <c r="C38" s="67"/>
      <c r="D38" s="67">
        <v>50</v>
      </c>
      <c r="E38" s="67">
        <f>+E37-D38</f>
        <v>410</v>
      </c>
      <c r="F38" s="67"/>
      <c r="G38" s="92">
        <f>+J37/E37</f>
        <v>0.48111550144910881</v>
      </c>
      <c r="H38" s="92"/>
      <c r="I38" s="92">
        <f t="shared" si="3"/>
        <v>24.05577507245544</v>
      </c>
      <c r="J38" s="128">
        <f>+J37-I38</f>
        <v>197.25735559413459</v>
      </c>
      <c r="K38" s="92"/>
    </row>
    <row r="39" spans="1:14" s="20" customFormat="1">
      <c r="A39" s="113">
        <v>41996</v>
      </c>
      <c r="B39" s="67" t="s">
        <v>848</v>
      </c>
      <c r="C39" s="67">
        <v>2000</v>
      </c>
      <c r="D39" s="67"/>
      <c r="E39" s="67">
        <f>+E38+C39</f>
        <v>2410</v>
      </c>
      <c r="F39" s="92">
        <f>+H39/C39</f>
        <v>0.48111000000000004</v>
      </c>
      <c r="G39" s="92"/>
      <c r="H39" s="92">
        <f>1106*0.87</f>
        <v>962.22</v>
      </c>
      <c r="I39" s="92"/>
      <c r="J39" s="128">
        <f>+J38+H39</f>
        <v>1159.4773555941347</v>
      </c>
      <c r="K39" s="92"/>
    </row>
    <row r="40" spans="1:14" s="20" customFormat="1">
      <c r="A40" s="113">
        <v>42002</v>
      </c>
      <c r="B40" s="67" t="s">
        <v>849</v>
      </c>
      <c r="C40" s="67"/>
      <c r="D40" s="67">
        <v>400</v>
      </c>
      <c r="E40" s="67">
        <f>+E39-D40</f>
        <v>2010</v>
      </c>
      <c r="F40" s="67"/>
      <c r="G40" s="92">
        <f>+J38/E38</f>
        <v>0.48111550144910875</v>
      </c>
      <c r="H40" s="92"/>
      <c r="I40" s="92">
        <f>+D40*G40</f>
        <v>192.44620057964349</v>
      </c>
      <c r="J40" s="128">
        <f>+J39-I40</f>
        <v>967.03115501449122</v>
      </c>
      <c r="K40" s="126">
        <f>SUM(I36:I40)</f>
        <v>1082.5098782604946</v>
      </c>
      <c r="N40" s="55">
        <f>+K40</f>
        <v>1082.5098782604946</v>
      </c>
    </row>
    <row r="41" spans="1:14" s="20" customFormat="1">
      <c r="A41" s="113"/>
      <c r="B41" s="67"/>
      <c r="C41" s="67"/>
      <c r="D41" s="67"/>
      <c r="E41" s="67"/>
      <c r="F41" s="67"/>
      <c r="G41" s="92"/>
      <c r="H41" s="92"/>
      <c r="I41" s="92"/>
      <c r="J41" s="128"/>
      <c r="K41" s="92"/>
    </row>
    <row r="42" spans="1:14" s="20" customFormat="1">
      <c r="A42" s="113"/>
      <c r="B42" s="18" t="s">
        <v>862</v>
      </c>
      <c r="C42" s="67">
        <f>SUM(C11:C40)</f>
        <v>11385</v>
      </c>
      <c r="D42" s="67">
        <f>SUM(D11:D40)</f>
        <v>9375</v>
      </c>
      <c r="E42" s="67">
        <f>+C42-D42</f>
        <v>2010</v>
      </c>
      <c r="F42" s="67"/>
      <c r="G42" s="128"/>
      <c r="H42" s="128">
        <f>SUM(H11:H40)</f>
        <v>5486.6530000000012</v>
      </c>
      <c r="I42" s="128">
        <f>SUM(I11:I40)</f>
        <v>4519.6218449855087</v>
      </c>
      <c r="J42" s="128">
        <f>+H42-I42</f>
        <v>967.03115501449247</v>
      </c>
      <c r="K42" s="128"/>
      <c r="L42" s="123"/>
      <c r="N42" s="55">
        <f>SUM(N14:N41)</f>
        <v>4519.6218449855096</v>
      </c>
    </row>
    <row r="43" spans="1:14" s="20" customFormat="1">
      <c r="A43" s="113"/>
      <c r="B43" s="67"/>
      <c r="C43" s="67"/>
      <c r="D43" s="67"/>
      <c r="E43" s="67"/>
      <c r="F43" s="67"/>
      <c r="G43" s="92"/>
      <c r="H43" s="92"/>
      <c r="I43" s="92"/>
      <c r="J43" s="92"/>
      <c r="K43" s="92"/>
    </row>
    <row r="44" spans="1:14">
      <c r="A44" s="96" t="s">
        <v>863</v>
      </c>
      <c r="B44" s="32"/>
      <c r="C44" s="2"/>
      <c r="D44" s="2"/>
      <c r="E44" s="2"/>
      <c r="F44" s="2"/>
    </row>
    <row r="45" spans="1:14">
      <c r="A45" s="96"/>
      <c r="B45" s="32"/>
      <c r="C45" s="2"/>
      <c r="D45" s="2"/>
      <c r="E45" s="2"/>
      <c r="F45" s="2"/>
    </row>
    <row r="46" spans="1:14">
      <c r="A46" s="96" t="s">
        <v>864</v>
      </c>
      <c r="B46" s="32"/>
      <c r="C46" s="2"/>
      <c r="D46" s="2"/>
      <c r="E46" s="2"/>
      <c r="F46" s="2"/>
      <c r="J46" s="55">
        <f>+E42*F39</f>
        <v>967.03110000000004</v>
      </c>
    </row>
    <row r="47" spans="1:14">
      <c r="A47" s="96" t="s">
        <v>865</v>
      </c>
      <c r="B47" s="32"/>
      <c r="C47" s="2"/>
      <c r="D47" s="2"/>
      <c r="E47" s="2"/>
      <c r="F47" s="2"/>
      <c r="J47" s="122">
        <f>+J42</f>
        <v>967.03115501449247</v>
      </c>
    </row>
    <row r="48" spans="1:14">
      <c r="A48" s="96"/>
      <c r="B48" s="32" t="s">
        <v>866</v>
      </c>
      <c r="C48" s="2"/>
      <c r="D48" s="2"/>
      <c r="E48" s="2"/>
      <c r="F48" s="2"/>
      <c r="J48" s="55">
        <f>+J46-J47</f>
        <v>-5.5014492431837425E-5</v>
      </c>
    </row>
  </sheetData>
  <mergeCells count="4">
    <mergeCell ref="D4:H4"/>
    <mergeCell ref="C9:E9"/>
    <mergeCell ref="F9:G9"/>
    <mergeCell ref="H9:J9"/>
  </mergeCells>
  <pageMargins left="1.1811023622047245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7"/>
  <sheetViews>
    <sheetView topLeftCell="A93" workbookViewId="0">
      <selection activeCell="N22" sqref="N18:N22"/>
    </sheetView>
  </sheetViews>
  <sheetFormatPr baseColWidth="10" defaultRowHeight="15"/>
  <cols>
    <col min="2" max="2" width="25.28515625" customWidth="1"/>
    <col min="11" max="11" width="12.5703125" customWidth="1"/>
  </cols>
  <sheetData>
    <row r="1" spans="1:13" s="20" customFormat="1">
      <c r="A1" s="82" t="s">
        <v>0</v>
      </c>
      <c r="B1" s="83"/>
      <c r="C1" s="84"/>
      <c r="D1" s="84"/>
      <c r="E1" s="84"/>
      <c r="F1" s="84"/>
      <c r="G1" s="84"/>
      <c r="H1" s="107" t="s">
        <v>1</v>
      </c>
      <c r="I1" s="106"/>
      <c r="J1" s="84"/>
      <c r="K1" s="115"/>
    </row>
    <row r="2" spans="1:13" s="20" customFormat="1">
      <c r="A2" s="87" t="s">
        <v>2</v>
      </c>
      <c r="B2" s="1"/>
      <c r="C2" s="2"/>
      <c r="D2" s="2"/>
      <c r="E2" s="2"/>
      <c r="F2" s="2"/>
      <c r="G2" s="2"/>
      <c r="H2" s="32" t="s">
        <v>877</v>
      </c>
      <c r="I2" s="31"/>
      <c r="J2" s="2"/>
      <c r="K2" s="116"/>
    </row>
    <row r="3" spans="1:13" s="20" customFormat="1">
      <c r="A3" s="89" t="s">
        <v>4</v>
      </c>
      <c r="B3" s="3"/>
      <c r="C3" s="2"/>
      <c r="D3" s="2"/>
      <c r="E3" s="2"/>
      <c r="F3" s="2"/>
      <c r="G3" s="2"/>
      <c r="H3" s="32" t="s">
        <v>878</v>
      </c>
      <c r="I3" s="31"/>
      <c r="J3" s="2"/>
      <c r="K3" s="116"/>
    </row>
    <row r="4" spans="1:13" s="20" customFormat="1" ht="18">
      <c r="A4" s="90"/>
      <c r="B4" s="2"/>
      <c r="C4" s="2"/>
      <c r="D4" s="54" t="s">
        <v>6</v>
      </c>
      <c r="E4" s="54"/>
      <c r="F4" s="54"/>
      <c r="G4" s="54"/>
      <c r="H4" s="54"/>
      <c r="I4" s="2"/>
      <c r="J4" s="2"/>
      <c r="K4" s="116"/>
    </row>
    <row r="5" spans="1:13" s="20" customFormat="1">
      <c r="A5" s="169" t="s">
        <v>27</v>
      </c>
      <c r="B5" s="170"/>
      <c r="C5" s="170"/>
      <c r="D5" s="170"/>
      <c r="E5" s="170"/>
      <c r="F5" s="170"/>
      <c r="G5" s="170"/>
      <c r="H5" s="170"/>
      <c r="I5" s="170"/>
      <c r="J5" s="2"/>
      <c r="K5" s="116"/>
    </row>
    <row r="6" spans="1:13" s="20" customFormat="1">
      <c r="A6" s="171" t="s">
        <v>7</v>
      </c>
      <c r="B6" s="172"/>
      <c r="C6" s="172"/>
      <c r="D6" s="172"/>
      <c r="E6" s="172"/>
      <c r="F6" s="172"/>
      <c r="G6" s="172"/>
      <c r="H6" s="172"/>
      <c r="I6" s="172"/>
      <c r="J6" s="172"/>
      <c r="K6" s="116"/>
    </row>
    <row r="7" spans="1:13" s="20" customFormat="1">
      <c r="A7" s="90"/>
      <c r="B7" s="2"/>
      <c r="C7" s="2"/>
      <c r="D7" s="2" t="s">
        <v>104</v>
      </c>
      <c r="E7" s="2"/>
      <c r="F7" s="2"/>
      <c r="G7" s="2"/>
      <c r="H7" s="2"/>
      <c r="I7" s="2"/>
      <c r="J7" s="2"/>
      <c r="K7" s="116"/>
      <c r="L7" s="62"/>
    </row>
    <row r="8" spans="1:13" s="20" customFormat="1">
      <c r="A8" s="47"/>
      <c r="B8" s="48"/>
      <c r="C8" s="48"/>
      <c r="D8" s="48"/>
      <c r="E8" s="48"/>
      <c r="F8" s="48"/>
      <c r="G8" s="48"/>
      <c r="H8" s="48"/>
      <c r="I8" s="48"/>
      <c r="J8" s="48"/>
      <c r="K8" s="116"/>
    </row>
    <row r="9" spans="1:13" s="20" customFormat="1">
      <c r="A9" s="90" t="s">
        <v>8</v>
      </c>
      <c r="B9" s="127" t="s">
        <v>9</v>
      </c>
      <c r="C9" s="173" t="s">
        <v>10</v>
      </c>
      <c r="D9" s="174"/>
      <c r="E9" s="175"/>
      <c r="F9" s="171" t="s">
        <v>11</v>
      </c>
      <c r="G9" s="176"/>
      <c r="H9" s="173" t="s">
        <v>12</v>
      </c>
      <c r="I9" s="174"/>
      <c r="J9" s="175"/>
      <c r="K9" s="45"/>
    </row>
    <row r="10" spans="1:13" s="20" customFormat="1">
      <c r="A10" s="47"/>
      <c r="B10" s="46"/>
      <c r="C10" s="47" t="s">
        <v>100</v>
      </c>
      <c r="D10" s="48" t="s">
        <v>15</v>
      </c>
      <c r="E10" s="49" t="s">
        <v>21</v>
      </c>
      <c r="F10" s="48" t="s">
        <v>17</v>
      </c>
      <c r="G10" s="48" t="s">
        <v>18</v>
      </c>
      <c r="H10" s="47" t="s">
        <v>19</v>
      </c>
      <c r="I10" s="48" t="s">
        <v>20</v>
      </c>
      <c r="J10" s="49" t="s">
        <v>21</v>
      </c>
      <c r="K10" s="5" t="s">
        <v>13</v>
      </c>
    </row>
    <row r="11" spans="1:13" s="20" customFormat="1">
      <c r="A11" s="113">
        <v>41641</v>
      </c>
      <c r="B11" s="74" t="s">
        <v>101</v>
      </c>
      <c r="C11" s="67">
        <v>90</v>
      </c>
      <c r="D11" s="67"/>
      <c r="E11" s="67">
        <f>+'[1]Cla Cal 2013'!$E$38</f>
        <v>90</v>
      </c>
      <c r="F11" s="92">
        <f>+H11/C11</f>
        <v>14.479777777777779</v>
      </c>
      <c r="G11" s="92"/>
      <c r="H11" s="128">
        <v>1303.18</v>
      </c>
      <c r="I11" s="92"/>
      <c r="J11" s="128">
        <v>1303.18</v>
      </c>
      <c r="K11" s="125"/>
    </row>
    <row r="12" spans="1:13" s="20" customFormat="1">
      <c r="A12" s="113">
        <v>41646</v>
      </c>
      <c r="B12" s="74" t="s">
        <v>118</v>
      </c>
      <c r="C12" s="67">
        <v>92</v>
      </c>
      <c r="D12" s="67"/>
      <c r="E12" s="67">
        <f>+E11+C12</f>
        <v>182</v>
      </c>
      <c r="F12" s="92">
        <f>+H12/C12</f>
        <v>14.479826086956521</v>
      </c>
      <c r="G12" s="92"/>
      <c r="H12" s="128">
        <f>1531.2*0.87</f>
        <v>1332.144</v>
      </c>
      <c r="I12" s="92"/>
      <c r="J12" s="128">
        <f>+J11+H12</f>
        <v>2635.3240000000001</v>
      </c>
      <c r="K12" s="125"/>
    </row>
    <row r="13" spans="1:13" s="20" customFormat="1">
      <c r="A13" s="113">
        <v>41647</v>
      </c>
      <c r="B13" s="74" t="s">
        <v>105</v>
      </c>
      <c r="C13" s="67"/>
      <c r="D13" s="67">
        <v>1</v>
      </c>
      <c r="E13" s="67">
        <f>+E12-D13</f>
        <v>181</v>
      </c>
      <c r="F13" s="92"/>
      <c r="G13" s="92">
        <f>+J11/E11</f>
        <v>14.479777777777779</v>
      </c>
      <c r="H13" s="92"/>
      <c r="I13" s="92">
        <f>G13*D13</f>
        <v>14.479777777777779</v>
      </c>
      <c r="J13" s="128">
        <f>+J12-I13</f>
        <v>2620.8442222222225</v>
      </c>
      <c r="K13" s="125"/>
    </row>
    <row r="14" spans="1:13" s="20" customFormat="1">
      <c r="A14" s="113">
        <v>41654</v>
      </c>
      <c r="B14" s="74" t="s">
        <v>107</v>
      </c>
      <c r="C14" s="67"/>
      <c r="D14" s="67">
        <v>12</v>
      </c>
      <c r="E14" s="67">
        <f t="shared" ref="E14:E41" si="0">+E13-D14</f>
        <v>169</v>
      </c>
      <c r="F14" s="92"/>
      <c r="G14" s="92">
        <f>+J12/E12</f>
        <v>14.479802197802199</v>
      </c>
      <c r="H14" s="92"/>
      <c r="I14" s="92">
        <f>+D14*G14</f>
        <v>173.75762637362638</v>
      </c>
      <c r="J14" s="128">
        <f t="shared" ref="J14:J25" si="1">+J13-I14</f>
        <v>2447.0865958485961</v>
      </c>
      <c r="K14" s="125"/>
    </row>
    <row r="15" spans="1:13" s="20" customFormat="1">
      <c r="A15" s="113">
        <v>41659</v>
      </c>
      <c r="B15" s="74" t="s">
        <v>109</v>
      </c>
      <c r="C15" s="67"/>
      <c r="D15" s="67">
        <v>2</v>
      </c>
      <c r="E15" s="67">
        <f t="shared" si="0"/>
        <v>167</v>
      </c>
      <c r="F15" s="92"/>
      <c r="G15" s="92">
        <f t="shared" ref="G15:G20" si="2">J14/E14</f>
        <v>14.479802342299385</v>
      </c>
      <c r="H15" s="92"/>
      <c r="I15" s="92">
        <f t="shared" ref="I15:I25" si="3">+D15*G15</f>
        <v>28.959604684598769</v>
      </c>
      <c r="J15" s="128">
        <f t="shared" si="1"/>
        <v>2418.1269911639974</v>
      </c>
      <c r="K15" s="125"/>
      <c r="L15" s="145">
        <v>41659</v>
      </c>
      <c r="M15" s="55">
        <f>SUM(I13:I15)</f>
        <v>217.19700883600291</v>
      </c>
    </row>
    <row r="16" spans="1:13" s="20" customFormat="1">
      <c r="A16" s="113">
        <v>41660</v>
      </c>
      <c r="B16" s="74" t="s">
        <v>111</v>
      </c>
      <c r="C16" s="67"/>
      <c r="D16" s="67">
        <v>3</v>
      </c>
      <c r="E16" s="67">
        <f t="shared" si="0"/>
        <v>164</v>
      </c>
      <c r="F16" s="92"/>
      <c r="G16" s="92">
        <f t="shared" si="2"/>
        <v>14.479802342299386</v>
      </c>
      <c r="H16" s="92"/>
      <c r="I16" s="92">
        <f t="shared" si="3"/>
        <v>43.439407026898159</v>
      </c>
      <c r="J16" s="128">
        <f t="shared" si="1"/>
        <v>2374.6875841370993</v>
      </c>
      <c r="K16" s="125"/>
    </row>
    <row r="17" spans="1:14" s="20" customFormat="1">
      <c r="A17" s="113">
        <v>41660</v>
      </c>
      <c r="B17" s="74" t="s">
        <v>112</v>
      </c>
      <c r="C17" s="67"/>
      <c r="D17" s="67">
        <v>3</v>
      </c>
      <c r="E17" s="67">
        <f t="shared" si="0"/>
        <v>161</v>
      </c>
      <c r="F17" s="92"/>
      <c r="G17" s="92">
        <f t="shared" si="2"/>
        <v>14.479802342299386</v>
      </c>
      <c r="H17" s="92"/>
      <c r="I17" s="92">
        <f t="shared" si="3"/>
        <v>43.439407026898159</v>
      </c>
      <c r="J17" s="128">
        <f t="shared" si="1"/>
        <v>2331.2481771102011</v>
      </c>
      <c r="K17" s="125"/>
    </row>
    <row r="18" spans="1:14" s="20" customFormat="1">
      <c r="A18" s="113">
        <v>41662</v>
      </c>
      <c r="B18" s="74" t="s">
        <v>113</v>
      </c>
      <c r="C18" s="67"/>
      <c r="D18" s="67">
        <v>1</v>
      </c>
      <c r="E18" s="67">
        <f t="shared" si="0"/>
        <v>160</v>
      </c>
      <c r="F18" s="92"/>
      <c r="G18" s="92">
        <f t="shared" si="2"/>
        <v>14.479802342299386</v>
      </c>
      <c r="H18" s="92"/>
      <c r="I18" s="92">
        <f t="shared" si="3"/>
        <v>14.479802342299386</v>
      </c>
      <c r="J18" s="128">
        <f t="shared" si="1"/>
        <v>2316.7683747679016</v>
      </c>
      <c r="K18" s="125"/>
    </row>
    <row r="19" spans="1:14" s="20" customFormat="1">
      <c r="A19" s="113">
        <v>41668</v>
      </c>
      <c r="B19" s="74" t="s">
        <v>116</v>
      </c>
      <c r="C19" s="67"/>
      <c r="D19" s="67">
        <v>2</v>
      </c>
      <c r="E19" s="67">
        <f t="shared" si="0"/>
        <v>158</v>
      </c>
      <c r="F19" s="92"/>
      <c r="G19" s="92">
        <f t="shared" si="2"/>
        <v>14.479802342299385</v>
      </c>
      <c r="H19" s="92"/>
      <c r="I19" s="92">
        <f t="shared" si="3"/>
        <v>28.959604684598769</v>
      </c>
      <c r="J19" s="128">
        <f t="shared" si="1"/>
        <v>2287.808770083303</v>
      </c>
      <c r="K19" s="125"/>
    </row>
    <row r="20" spans="1:14" s="20" customFormat="1">
      <c r="A20" s="113">
        <v>41668</v>
      </c>
      <c r="B20" s="74" t="s">
        <v>117</v>
      </c>
      <c r="C20" s="67"/>
      <c r="D20" s="67">
        <v>6</v>
      </c>
      <c r="E20" s="67">
        <f t="shared" si="0"/>
        <v>152</v>
      </c>
      <c r="F20" s="92"/>
      <c r="G20" s="92">
        <f t="shared" si="2"/>
        <v>14.479802342299386</v>
      </c>
      <c r="H20" s="92"/>
      <c r="I20" s="92">
        <f t="shared" si="3"/>
        <v>86.878814053796319</v>
      </c>
      <c r="J20" s="128">
        <f t="shared" si="1"/>
        <v>2200.9299560295067</v>
      </c>
      <c r="K20" s="125">
        <f>SUM(I13:I20)</f>
        <v>434.39404397049367</v>
      </c>
      <c r="L20" s="145">
        <v>41669</v>
      </c>
      <c r="M20" s="55">
        <f>SUM(I16:I20)</f>
        <v>217.19703513449076</v>
      </c>
      <c r="N20" s="55">
        <f>SUM(M15:M20)</f>
        <v>434.39404397049367</v>
      </c>
    </row>
    <row r="21" spans="1:14" s="20" customFormat="1">
      <c r="A21" s="113">
        <v>41671</v>
      </c>
      <c r="B21" s="74" t="s">
        <v>138</v>
      </c>
      <c r="C21" s="67"/>
      <c r="D21" s="67">
        <v>1</v>
      </c>
      <c r="E21" s="67">
        <f t="shared" si="0"/>
        <v>151</v>
      </c>
      <c r="F21" s="92"/>
      <c r="G21" s="92">
        <f>J20/E20</f>
        <v>14.479802342299386</v>
      </c>
      <c r="H21" s="92"/>
      <c r="I21" s="92">
        <f t="shared" si="3"/>
        <v>14.479802342299386</v>
      </c>
      <c r="J21" s="128">
        <f t="shared" si="1"/>
        <v>2186.4501536872071</v>
      </c>
      <c r="K21" s="125"/>
    </row>
    <row r="22" spans="1:14" s="20" customFormat="1">
      <c r="A22" s="113">
        <v>41676</v>
      </c>
      <c r="B22" s="74" t="s">
        <v>141</v>
      </c>
      <c r="C22" s="67"/>
      <c r="D22" s="67">
        <v>1</v>
      </c>
      <c r="E22" s="67">
        <f t="shared" si="0"/>
        <v>150</v>
      </c>
      <c r="F22" s="92"/>
      <c r="G22" s="92">
        <f>J21/E21</f>
        <v>14.479802342299385</v>
      </c>
      <c r="H22" s="92"/>
      <c r="I22" s="92">
        <f t="shared" si="3"/>
        <v>14.479802342299385</v>
      </c>
      <c r="J22" s="128">
        <f t="shared" si="1"/>
        <v>2171.9703513449076</v>
      </c>
      <c r="K22" s="125"/>
    </row>
    <row r="23" spans="1:14" s="20" customFormat="1">
      <c r="A23" s="113">
        <v>41677</v>
      </c>
      <c r="B23" s="74" t="s">
        <v>142</v>
      </c>
      <c r="C23" s="67"/>
      <c r="D23" s="67">
        <v>3</v>
      </c>
      <c r="E23" s="67">
        <f t="shared" si="0"/>
        <v>147</v>
      </c>
      <c r="F23" s="92"/>
      <c r="G23" s="92">
        <f>J22/E22</f>
        <v>14.479802342299385</v>
      </c>
      <c r="H23" s="92"/>
      <c r="I23" s="92">
        <f t="shared" si="3"/>
        <v>43.439407026898152</v>
      </c>
      <c r="J23" s="128">
        <f t="shared" si="1"/>
        <v>2128.5309443180095</v>
      </c>
      <c r="K23" s="125"/>
    </row>
    <row r="24" spans="1:14" s="20" customFormat="1">
      <c r="A24" s="113">
        <v>41683</v>
      </c>
      <c r="B24" s="74" t="s">
        <v>143</v>
      </c>
      <c r="C24" s="67"/>
      <c r="D24" s="67">
        <v>43</v>
      </c>
      <c r="E24" s="67">
        <f t="shared" si="0"/>
        <v>104</v>
      </c>
      <c r="F24" s="92"/>
      <c r="G24" s="92">
        <f>J23/E23</f>
        <v>14.479802342299385</v>
      </c>
      <c r="H24" s="92"/>
      <c r="I24" s="92">
        <f t="shared" si="3"/>
        <v>622.63150071887355</v>
      </c>
      <c r="J24" s="128">
        <f t="shared" si="1"/>
        <v>1505.8994435991358</v>
      </c>
      <c r="K24" s="125"/>
      <c r="L24" s="145">
        <v>41683</v>
      </c>
      <c r="M24" s="55">
        <f>SUM(I21:I24)</f>
        <v>695.03051243037044</v>
      </c>
    </row>
    <row r="25" spans="1:14" s="20" customFormat="1">
      <c r="A25" s="113">
        <v>41685</v>
      </c>
      <c r="B25" s="74" t="s">
        <v>144</v>
      </c>
      <c r="C25" s="67"/>
      <c r="D25" s="67">
        <v>6</v>
      </c>
      <c r="E25" s="67">
        <f t="shared" si="0"/>
        <v>98</v>
      </c>
      <c r="F25" s="92"/>
      <c r="G25" s="92">
        <f>J24/E24</f>
        <v>14.479802342299383</v>
      </c>
      <c r="H25" s="92"/>
      <c r="I25" s="92">
        <f t="shared" si="3"/>
        <v>86.878814053796305</v>
      </c>
      <c r="J25" s="128">
        <f t="shared" si="1"/>
        <v>1419.0206295453395</v>
      </c>
      <c r="K25" s="125"/>
    </row>
    <row r="26" spans="1:14" s="20" customFormat="1">
      <c r="A26" s="113">
        <v>41687</v>
      </c>
      <c r="B26" s="74" t="s">
        <v>178</v>
      </c>
      <c r="C26" s="67">
        <v>92</v>
      </c>
      <c r="D26" s="67"/>
      <c r="E26" s="67">
        <f>+E25+C26</f>
        <v>190</v>
      </c>
      <c r="F26" s="92">
        <f>+H26/C26</f>
        <v>14.479826086956521</v>
      </c>
      <c r="G26" s="92"/>
      <c r="H26" s="92">
        <f>1531.2*0.87</f>
        <v>1332.144</v>
      </c>
      <c r="I26" s="92"/>
      <c r="J26" s="128">
        <f>+J25+H26</f>
        <v>2751.1646295453393</v>
      </c>
      <c r="K26" s="125"/>
    </row>
    <row r="27" spans="1:14" s="20" customFormat="1">
      <c r="A27" s="113">
        <v>41689</v>
      </c>
      <c r="B27" s="74" t="s">
        <v>145</v>
      </c>
      <c r="C27" s="67"/>
      <c r="D27" s="67">
        <v>3</v>
      </c>
      <c r="E27" s="67">
        <f t="shared" si="0"/>
        <v>187</v>
      </c>
      <c r="F27" s="92"/>
      <c r="G27" s="92">
        <f>+J26/E26</f>
        <v>14.479813839712312</v>
      </c>
      <c r="H27" s="92"/>
      <c r="I27" s="92">
        <f>+D27*G27</f>
        <v>43.439441519136935</v>
      </c>
      <c r="J27" s="128">
        <f>+J26-I27</f>
        <v>2707.7251880262024</v>
      </c>
      <c r="K27" s="125"/>
    </row>
    <row r="28" spans="1:14" s="20" customFormat="1">
      <c r="A28" s="113">
        <v>41690</v>
      </c>
      <c r="B28" s="74" t="s">
        <v>146</v>
      </c>
      <c r="C28" s="67"/>
      <c r="D28" s="67">
        <v>4</v>
      </c>
      <c r="E28" s="67">
        <f t="shared" si="0"/>
        <v>183</v>
      </c>
      <c r="F28" s="92"/>
      <c r="G28" s="92">
        <f>+J27/E27</f>
        <v>14.479813839712312</v>
      </c>
      <c r="H28" s="92"/>
      <c r="I28" s="92">
        <f>+D28*G28</f>
        <v>57.919255358849249</v>
      </c>
      <c r="J28" s="128">
        <f t="shared" ref="J28:J41" si="4">+J27-I28</f>
        <v>2649.8059326673533</v>
      </c>
      <c r="K28" s="125"/>
    </row>
    <row r="29" spans="1:14" s="20" customFormat="1">
      <c r="A29" s="113">
        <v>41694</v>
      </c>
      <c r="B29" s="74" t="s">
        <v>147</v>
      </c>
      <c r="C29" s="67"/>
      <c r="D29" s="67">
        <v>0.5</v>
      </c>
      <c r="E29" s="67">
        <f t="shared" si="0"/>
        <v>182.5</v>
      </c>
      <c r="F29" s="92"/>
      <c r="G29" s="92">
        <f t="shared" ref="G29:G41" si="5">+J28/E28</f>
        <v>14.479813839712314</v>
      </c>
      <c r="H29" s="92"/>
      <c r="I29" s="92">
        <f t="shared" ref="I29:I41" si="6">+D29*G29</f>
        <v>7.239906919856157</v>
      </c>
      <c r="J29" s="128">
        <f t="shared" si="4"/>
        <v>2642.566025747497</v>
      </c>
      <c r="K29" s="125"/>
    </row>
    <row r="30" spans="1:14" s="20" customFormat="1">
      <c r="A30" s="113">
        <v>41695</v>
      </c>
      <c r="B30" s="74" t="s">
        <v>148</v>
      </c>
      <c r="C30" s="67"/>
      <c r="D30" s="67">
        <v>2</v>
      </c>
      <c r="E30" s="67">
        <f t="shared" si="0"/>
        <v>180.5</v>
      </c>
      <c r="F30" s="92"/>
      <c r="G30" s="92">
        <f t="shared" si="5"/>
        <v>14.479813839712312</v>
      </c>
      <c r="H30" s="92"/>
      <c r="I30" s="92">
        <f t="shared" si="6"/>
        <v>28.959627679424624</v>
      </c>
      <c r="J30" s="128">
        <f t="shared" si="4"/>
        <v>2613.6063980680724</v>
      </c>
      <c r="K30" s="125"/>
    </row>
    <row r="31" spans="1:14" s="20" customFormat="1">
      <c r="A31" s="139">
        <v>41698</v>
      </c>
      <c r="B31" s="142" t="s">
        <v>149</v>
      </c>
      <c r="C31" s="94"/>
      <c r="D31" s="94">
        <v>1</v>
      </c>
      <c r="E31" s="94">
        <f t="shared" si="0"/>
        <v>179.5</v>
      </c>
      <c r="F31" s="140"/>
      <c r="G31" s="140">
        <f t="shared" si="5"/>
        <v>14.479813839712312</v>
      </c>
      <c r="H31" s="140"/>
      <c r="I31" s="140">
        <f t="shared" si="6"/>
        <v>14.479813839712312</v>
      </c>
      <c r="J31" s="128">
        <f t="shared" si="4"/>
        <v>2599.1265842283601</v>
      </c>
      <c r="K31" s="125">
        <f>SUM(I21:I31)</f>
        <v>933.94737180114601</v>
      </c>
      <c r="L31" s="145">
        <v>41698</v>
      </c>
      <c r="M31" s="55">
        <f>SUM(I25:I31)</f>
        <v>238.9168593707756</v>
      </c>
      <c r="N31" s="55">
        <f>SUM(M24:M31)</f>
        <v>933.94737180114601</v>
      </c>
    </row>
    <row r="32" spans="1:14" s="20" customFormat="1">
      <c r="A32" s="113">
        <v>41706</v>
      </c>
      <c r="B32" s="74" t="s">
        <v>150</v>
      </c>
      <c r="C32" s="67"/>
      <c r="D32" s="67">
        <v>6</v>
      </c>
      <c r="E32" s="67">
        <f t="shared" si="0"/>
        <v>173.5</v>
      </c>
      <c r="F32" s="92"/>
      <c r="G32" s="92">
        <f t="shared" si="5"/>
        <v>14.479813839712312</v>
      </c>
      <c r="H32" s="92"/>
      <c r="I32" s="92">
        <f t="shared" si="6"/>
        <v>86.878883038273869</v>
      </c>
      <c r="J32" s="128">
        <f t="shared" si="4"/>
        <v>2512.2477011900864</v>
      </c>
      <c r="K32" s="125"/>
    </row>
    <row r="33" spans="1:14" s="20" customFormat="1">
      <c r="A33" s="113">
        <v>41709</v>
      </c>
      <c r="B33" s="74" t="s">
        <v>151</v>
      </c>
      <c r="C33" s="67"/>
      <c r="D33" s="67">
        <v>0.5</v>
      </c>
      <c r="E33" s="67">
        <f t="shared" si="0"/>
        <v>173</v>
      </c>
      <c r="F33" s="92"/>
      <c r="G33" s="92">
        <f t="shared" si="5"/>
        <v>14.479813839712314</v>
      </c>
      <c r="H33" s="92"/>
      <c r="I33" s="92">
        <f t="shared" si="6"/>
        <v>7.239906919856157</v>
      </c>
      <c r="J33" s="128">
        <f t="shared" si="4"/>
        <v>2505.0077942702301</v>
      </c>
      <c r="K33" s="125"/>
    </row>
    <row r="34" spans="1:14" s="20" customFormat="1">
      <c r="A34" s="113">
        <v>41709</v>
      </c>
      <c r="B34" s="74" t="s">
        <v>152</v>
      </c>
      <c r="C34" s="67"/>
      <c r="D34" s="67">
        <v>2</v>
      </c>
      <c r="E34" s="67">
        <f t="shared" si="0"/>
        <v>171</v>
      </c>
      <c r="F34" s="92"/>
      <c r="G34" s="92">
        <f t="shared" si="5"/>
        <v>14.479813839712312</v>
      </c>
      <c r="H34" s="92"/>
      <c r="I34" s="92">
        <f t="shared" si="6"/>
        <v>28.959627679424624</v>
      </c>
      <c r="J34" s="128">
        <f t="shared" si="4"/>
        <v>2476.0481665908055</v>
      </c>
      <c r="K34" s="125"/>
    </row>
    <row r="35" spans="1:14" s="20" customFormat="1">
      <c r="A35" s="113">
        <v>41712</v>
      </c>
      <c r="B35" s="74" t="s">
        <v>154</v>
      </c>
      <c r="C35" s="67"/>
      <c r="D35" s="67">
        <v>3</v>
      </c>
      <c r="E35" s="67">
        <f t="shared" si="0"/>
        <v>168</v>
      </c>
      <c r="F35" s="92"/>
      <c r="G35" s="92">
        <f t="shared" si="5"/>
        <v>14.479813839712312</v>
      </c>
      <c r="H35" s="92"/>
      <c r="I35" s="92">
        <f t="shared" si="6"/>
        <v>43.439441519136935</v>
      </c>
      <c r="J35" s="128">
        <f t="shared" si="4"/>
        <v>2432.6087250716687</v>
      </c>
      <c r="K35" s="125"/>
    </row>
    <row r="36" spans="1:14" s="20" customFormat="1">
      <c r="A36" s="113">
        <v>41713</v>
      </c>
      <c r="B36" s="74" t="s">
        <v>155</v>
      </c>
      <c r="C36" s="67"/>
      <c r="D36" s="67">
        <v>6</v>
      </c>
      <c r="E36" s="67">
        <f t="shared" si="0"/>
        <v>162</v>
      </c>
      <c r="F36" s="92"/>
      <c r="G36" s="92">
        <f t="shared" si="5"/>
        <v>14.479813839712314</v>
      </c>
      <c r="H36" s="92"/>
      <c r="I36" s="92">
        <f t="shared" si="6"/>
        <v>86.878883038273884</v>
      </c>
      <c r="J36" s="128">
        <f t="shared" si="4"/>
        <v>2345.729842033395</v>
      </c>
      <c r="K36" s="125"/>
    </row>
    <row r="37" spans="1:14" s="20" customFormat="1">
      <c r="A37" s="113">
        <v>41715</v>
      </c>
      <c r="B37" s="74" t="s">
        <v>156</v>
      </c>
      <c r="C37" s="67"/>
      <c r="D37" s="67">
        <v>11</v>
      </c>
      <c r="E37" s="67">
        <f t="shared" si="0"/>
        <v>151</v>
      </c>
      <c r="F37" s="92"/>
      <c r="G37" s="92">
        <f t="shared" si="5"/>
        <v>14.479813839712316</v>
      </c>
      <c r="H37" s="92"/>
      <c r="I37" s="92">
        <f t="shared" si="6"/>
        <v>159.27795223683546</v>
      </c>
      <c r="J37" s="128">
        <f t="shared" si="4"/>
        <v>2186.4518897965595</v>
      </c>
      <c r="K37" s="125"/>
      <c r="L37" s="145">
        <v>41715</v>
      </c>
      <c r="M37" s="55">
        <f>SUM(I32:I37)</f>
        <v>412.67469443180096</v>
      </c>
    </row>
    <row r="38" spans="1:14" s="20" customFormat="1">
      <c r="A38" s="113">
        <v>41722</v>
      </c>
      <c r="B38" s="74" t="s">
        <v>157</v>
      </c>
      <c r="C38" s="67"/>
      <c r="D38" s="67">
        <v>1</v>
      </c>
      <c r="E38" s="67">
        <f t="shared" si="0"/>
        <v>150</v>
      </c>
      <c r="F38" s="92"/>
      <c r="G38" s="92">
        <f t="shared" si="5"/>
        <v>14.479813839712314</v>
      </c>
      <c r="H38" s="92"/>
      <c r="I38" s="92">
        <f t="shared" si="6"/>
        <v>14.479813839712314</v>
      </c>
      <c r="J38" s="128">
        <f t="shared" si="4"/>
        <v>2171.9720759568472</v>
      </c>
      <c r="K38" s="125"/>
    </row>
    <row r="39" spans="1:14" s="20" customFormat="1">
      <c r="A39" s="113">
        <v>41727</v>
      </c>
      <c r="B39" s="74" t="s">
        <v>158</v>
      </c>
      <c r="C39" s="67"/>
      <c r="D39" s="67">
        <v>1</v>
      </c>
      <c r="E39" s="67">
        <f t="shared" si="0"/>
        <v>149</v>
      </c>
      <c r="F39" s="92"/>
      <c r="G39" s="92">
        <f t="shared" si="5"/>
        <v>14.479813839712314</v>
      </c>
      <c r="H39" s="92"/>
      <c r="I39" s="92">
        <f t="shared" si="6"/>
        <v>14.479813839712314</v>
      </c>
      <c r="J39" s="128">
        <f t="shared" si="4"/>
        <v>2157.4922621171349</v>
      </c>
      <c r="K39" s="125">
        <f>SUM(I32:I39)</f>
        <v>441.63432211122563</v>
      </c>
      <c r="L39" s="145">
        <v>41728</v>
      </c>
      <c r="M39" s="55">
        <f>SUM(I38:I39)</f>
        <v>28.959627679424628</v>
      </c>
      <c r="N39" s="55">
        <f>SUM(M37:M39)</f>
        <v>441.63432211122557</v>
      </c>
    </row>
    <row r="40" spans="1:14" s="20" customFormat="1">
      <c r="A40" s="113">
        <v>41732</v>
      </c>
      <c r="B40" s="74" t="s">
        <v>159</v>
      </c>
      <c r="C40" s="67"/>
      <c r="D40" s="67">
        <v>2</v>
      </c>
      <c r="E40" s="67">
        <f t="shared" si="0"/>
        <v>147</v>
      </c>
      <c r="F40" s="92"/>
      <c r="G40" s="92">
        <f t="shared" si="5"/>
        <v>14.479813839712316</v>
      </c>
      <c r="H40" s="92"/>
      <c r="I40" s="92">
        <f t="shared" si="6"/>
        <v>28.959627679424631</v>
      </c>
      <c r="J40" s="128">
        <f t="shared" si="4"/>
        <v>2128.5326344377104</v>
      </c>
      <c r="K40" s="125"/>
    </row>
    <row r="41" spans="1:14" s="20" customFormat="1">
      <c r="A41" s="113">
        <v>41734</v>
      </c>
      <c r="B41" s="74" t="s">
        <v>160</v>
      </c>
      <c r="C41" s="67"/>
      <c r="D41" s="67">
        <v>6</v>
      </c>
      <c r="E41" s="67">
        <f t="shared" si="0"/>
        <v>141</v>
      </c>
      <c r="F41" s="92"/>
      <c r="G41" s="92">
        <f t="shared" si="5"/>
        <v>14.479813839712316</v>
      </c>
      <c r="H41" s="92"/>
      <c r="I41" s="92">
        <f t="shared" si="6"/>
        <v>86.878883038273898</v>
      </c>
      <c r="J41" s="128">
        <f t="shared" si="4"/>
        <v>2041.6537513994365</v>
      </c>
      <c r="K41" s="125"/>
    </row>
    <row r="42" spans="1:14" s="20" customFormat="1">
      <c r="A42" s="113">
        <v>41736</v>
      </c>
      <c r="B42" s="74" t="s">
        <v>180</v>
      </c>
      <c r="C42" s="67">
        <v>92</v>
      </c>
      <c r="D42" s="67"/>
      <c r="E42" s="67">
        <f>+E41+C42</f>
        <v>233</v>
      </c>
      <c r="F42" s="92">
        <f>+H42/C42</f>
        <v>14.479826086956521</v>
      </c>
      <c r="G42" s="92"/>
      <c r="H42" s="92">
        <f>1531.2*0.87</f>
        <v>1332.144</v>
      </c>
      <c r="I42" s="92"/>
      <c r="J42" s="128">
        <f>+J41+H42</f>
        <v>3373.7977513994365</v>
      </c>
      <c r="K42" s="125"/>
    </row>
    <row r="43" spans="1:14" s="20" customFormat="1">
      <c r="A43" s="113">
        <v>41739</v>
      </c>
      <c r="B43" s="74" t="s">
        <v>162</v>
      </c>
      <c r="C43" s="67"/>
      <c r="D43" s="67">
        <v>8</v>
      </c>
      <c r="E43" s="67">
        <f>+E42-D43</f>
        <v>225</v>
      </c>
      <c r="F43" s="92"/>
      <c r="G43" s="92">
        <f>+J42/E42</f>
        <v>14.479818675534062</v>
      </c>
      <c r="H43" s="92"/>
      <c r="I43" s="92">
        <f t="shared" ref="I43:I51" si="7">G43*D43</f>
        <v>115.8385494042725</v>
      </c>
      <c r="J43" s="128">
        <f>+J42-I43</f>
        <v>3257.9592019951642</v>
      </c>
      <c r="K43" s="125"/>
    </row>
    <row r="44" spans="1:14" s="20" customFormat="1">
      <c r="A44" s="113">
        <v>41744</v>
      </c>
      <c r="B44" s="74" t="s">
        <v>163</v>
      </c>
      <c r="C44" s="67"/>
      <c r="D44" s="67">
        <v>3</v>
      </c>
      <c r="E44" s="67">
        <f t="shared" ref="E44:E78" si="8">+E43-D44</f>
        <v>222</v>
      </c>
      <c r="F44" s="92"/>
      <c r="G44" s="92">
        <f t="shared" ref="G44:G51" si="9">J43/E43</f>
        <v>14.479818675534062</v>
      </c>
      <c r="H44" s="92"/>
      <c r="I44" s="92">
        <f t="shared" si="7"/>
        <v>43.439456026602187</v>
      </c>
      <c r="J44" s="128">
        <f t="shared" ref="J44:J93" si="10">+J43-I44</f>
        <v>3214.5197459685619</v>
      </c>
      <c r="K44" s="125"/>
      <c r="L44" s="145">
        <v>41744</v>
      </c>
      <c r="M44" s="55">
        <f>SUM(I40:I44)</f>
        <v>275.11651614857317</v>
      </c>
    </row>
    <row r="45" spans="1:14" s="20" customFormat="1">
      <c r="A45" s="113">
        <v>41748</v>
      </c>
      <c r="B45" s="74" t="s">
        <v>164</v>
      </c>
      <c r="C45" s="67"/>
      <c r="D45" s="67">
        <v>4</v>
      </c>
      <c r="E45" s="67">
        <f t="shared" si="8"/>
        <v>218</v>
      </c>
      <c r="F45" s="92"/>
      <c r="G45" s="92">
        <f t="shared" si="9"/>
        <v>14.479818675534062</v>
      </c>
      <c r="H45" s="92"/>
      <c r="I45" s="92">
        <f t="shared" si="7"/>
        <v>57.919274702136249</v>
      </c>
      <c r="J45" s="128">
        <f t="shared" si="10"/>
        <v>3156.6004712664258</v>
      </c>
      <c r="K45" s="125"/>
    </row>
    <row r="46" spans="1:14" s="20" customFormat="1">
      <c r="A46" s="113">
        <v>41750</v>
      </c>
      <c r="B46" s="74" t="s">
        <v>165</v>
      </c>
      <c r="C46" s="67"/>
      <c r="D46" s="67">
        <v>5</v>
      </c>
      <c r="E46" s="67">
        <f t="shared" si="8"/>
        <v>213</v>
      </c>
      <c r="F46" s="92"/>
      <c r="G46" s="92">
        <f t="shared" si="9"/>
        <v>14.479818675534062</v>
      </c>
      <c r="H46" s="92"/>
      <c r="I46" s="92">
        <f t="shared" si="7"/>
        <v>72.399093377670312</v>
      </c>
      <c r="J46" s="128">
        <f t="shared" si="10"/>
        <v>3084.2013778887554</v>
      </c>
      <c r="K46" s="125"/>
    </row>
    <row r="47" spans="1:14" s="20" customFormat="1">
      <c r="A47" s="113">
        <v>41759</v>
      </c>
      <c r="B47" s="74" t="s">
        <v>303</v>
      </c>
      <c r="C47" s="67"/>
      <c r="D47" s="67">
        <v>3</v>
      </c>
      <c r="E47" s="67">
        <f t="shared" si="8"/>
        <v>210</v>
      </c>
      <c r="F47" s="92"/>
      <c r="G47" s="92">
        <f>J46/E46</f>
        <v>14.479818675534062</v>
      </c>
      <c r="H47" s="92"/>
      <c r="I47" s="92">
        <f>G47*D47</f>
        <v>43.439456026602187</v>
      </c>
      <c r="J47" s="128">
        <f t="shared" si="10"/>
        <v>3040.761921862153</v>
      </c>
      <c r="K47" s="125">
        <f>SUM(I40:I47)</f>
        <v>448.87434025498192</v>
      </c>
      <c r="L47" s="145">
        <v>41759</v>
      </c>
      <c r="M47" s="55">
        <f>SUM(I45:I47)</f>
        <v>173.75782410640875</v>
      </c>
      <c r="N47" s="55">
        <f>SUM(M44:M47)</f>
        <v>448.87434025498192</v>
      </c>
    </row>
    <row r="48" spans="1:14" s="20" customFormat="1">
      <c r="A48" s="113">
        <v>41764</v>
      </c>
      <c r="B48" s="74" t="s">
        <v>168</v>
      </c>
      <c r="C48" s="67"/>
      <c r="D48" s="67">
        <v>0.5</v>
      </c>
      <c r="E48" s="67">
        <f t="shared" si="8"/>
        <v>209.5</v>
      </c>
      <c r="F48" s="92"/>
      <c r="G48" s="92">
        <f>J47/E47</f>
        <v>14.479818675534062</v>
      </c>
      <c r="H48" s="92"/>
      <c r="I48" s="92">
        <f>G48*D48</f>
        <v>7.2399093377670312</v>
      </c>
      <c r="J48" s="128">
        <f t="shared" si="10"/>
        <v>3033.5220125243859</v>
      </c>
      <c r="K48" s="125"/>
    </row>
    <row r="49" spans="1:14" s="20" customFormat="1">
      <c r="A49" s="113">
        <v>41766</v>
      </c>
      <c r="B49" s="74" t="s">
        <v>169</v>
      </c>
      <c r="C49" s="67"/>
      <c r="D49" s="67">
        <v>5</v>
      </c>
      <c r="E49" s="67">
        <f t="shared" si="8"/>
        <v>204.5</v>
      </c>
      <c r="F49" s="92"/>
      <c r="G49" s="92">
        <f t="shared" si="9"/>
        <v>14.479818675534062</v>
      </c>
      <c r="H49" s="92"/>
      <c r="I49" s="92">
        <f t="shared" si="7"/>
        <v>72.399093377670312</v>
      </c>
      <c r="J49" s="128">
        <f t="shared" si="10"/>
        <v>2961.1229191467155</v>
      </c>
      <c r="K49" s="125"/>
    </row>
    <row r="50" spans="1:14" s="20" customFormat="1">
      <c r="A50" s="113">
        <v>41768</v>
      </c>
      <c r="B50" s="74" t="s">
        <v>170</v>
      </c>
      <c r="C50" s="67"/>
      <c r="D50" s="67">
        <v>6</v>
      </c>
      <c r="E50" s="67">
        <f t="shared" si="8"/>
        <v>198.5</v>
      </c>
      <c r="F50" s="92"/>
      <c r="G50" s="92">
        <f t="shared" si="9"/>
        <v>14.479818675534061</v>
      </c>
      <c r="H50" s="92"/>
      <c r="I50" s="92">
        <f t="shared" si="7"/>
        <v>86.87891205320436</v>
      </c>
      <c r="J50" s="128">
        <f t="shared" si="10"/>
        <v>2874.2440070935113</v>
      </c>
      <c r="K50" s="125"/>
    </row>
    <row r="51" spans="1:14" s="20" customFormat="1">
      <c r="A51" s="113">
        <v>41769</v>
      </c>
      <c r="B51" s="74" t="s">
        <v>171</v>
      </c>
      <c r="C51" s="67"/>
      <c r="D51" s="67">
        <v>1</v>
      </c>
      <c r="E51" s="67">
        <f t="shared" si="8"/>
        <v>197.5</v>
      </c>
      <c r="F51" s="92"/>
      <c r="G51" s="92">
        <f t="shared" si="9"/>
        <v>14.479818675534062</v>
      </c>
      <c r="H51" s="92"/>
      <c r="I51" s="92">
        <f t="shared" si="7"/>
        <v>14.479818675534062</v>
      </c>
      <c r="J51" s="128">
        <f t="shared" si="10"/>
        <v>2859.764188417977</v>
      </c>
      <c r="K51" s="125"/>
    </row>
    <row r="52" spans="1:14" s="20" customFormat="1">
      <c r="A52" s="113">
        <v>41772</v>
      </c>
      <c r="B52" s="74" t="s">
        <v>172</v>
      </c>
      <c r="C52" s="67"/>
      <c r="D52" s="67">
        <v>2</v>
      </c>
      <c r="E52" s="67">
        <f t="shared" si="8"/>
        <v>195.5</v>
      </c>
      <c r="F52" s="92"/>
      <c r="G52" s="92">
        <f>J51/E51</f>
        <v>14.479818675534061</v>
      </c>
      <c r="H52" s="92"/>
      <c r="I52" s="92">
        <f>G52*D52</f>
        <v>28.959637351068121</v>
      </c>
      <c r="J52" s="128">
        <f t="shared" si="10"/>
        <v>2830.804551066909</v>
      </c>
      <c r="K52" s="125"/>
      <c r="L52" s="145">
        <v>41774</v>
      </c>
      <c r="M52" s="55">
        <f>SUM(I48:I52)</f>
        <v>209.95737079524389</v>
      </c>
    </row>
    <row r="53" spans="1:14" s="20" customFormat="1">
      <c r="A53" s="113">
        <v>41775</v>
      </c>
      <c r="B53" s="74" t="s">
        <v>173</v>
      </c>
      <c r="C53" s="67"/>
      <c r="D53" s="67">
        <v>6</v>
      </c>
      <c r="E53" s="67">
        <f t="shared" si="8"/>
        <v>189.5</v>
      </c>
      <c r="F53" s="92"/>
      <c r="G53" s="92">
        <f>J52/E52</f>
        <v>14.479818675534061</v>
      </c>
      <c r="H53" s="92"/>
      <c r="I53" s="92">
        <f>G53*D53</f>
        <v>86.87891205320436</v>
      </c>
      <c r="J53" s="128">
        <f t="shared" si="10"/>
        <v>2743.9256390137048</v>
      </c>
      <c r="K53" s="125"/>
    </row>
    <row r="54" spans="1:14" s="20" customFormat="1">
      <c r="A54" s="113">
        <v>41782</v>
      </c>
      <c r="B54" s="74" t="s">
        <v>882</v>
      </c>
      <c r="C54" s="67">
        <v>92</v>
      </c>
      <c r="D54" s="67"/>
      <c r="E54" s="67">
        <f>+E53+C54</f>
        <v>281.5</v>
      </c>
      <c r="F54" s="92">
        <f>+H54/C54</f>
        <v>14.479782608695654</v>
      </c>
      <c r="G54" s="92"/>
      <c r="H54" s="92">
        <v>1332.14</v>
      </c>
      <c r="I54" s="92"/>
      <c r="J54" s="128">
        <f>+J53+H54</f>
        <v>4076.0656390137046</v>
      </c>
      <c r="K54" s="125"/>
    </row>
    <row r="55" spans="1:14" s="20" customFormat="1">
      <c r="A55" s="113">
        <v>41783</v>
      </c>
      <c r="B55" s="74" t="s">
        <v>177</v>
      </c>
      <c r="C55" s="67"/>
      <c r="D55" s="67">
        <v>7</v>
      </c>
      <c r="E55" s="67">
        <f>+E54-D55</f>
        <v>274.5</v>
      </c>
      <c r="F55" s="92"/>
      <c r="G55" s="92">
        <f>J53/E53</f>
        <v>14.479818675534062</v>
      </c>
      <c r="H55" s="92"/>
      <c r="I55" s="92">
        <f>G55*D55</f>
        <v>101.35873072873844</v>
      </c>
      <c r="J55" s="128">
        <f>+J54-I55</f>
        <v>3974.7069082849662</v>
      </c>
      <c r="K55" s="125">
        <f>SUM(I48:I55)</f>
        <v>398.19501357718673</v>
      </c>
      <c r="L55" s="145">
        <v>41789</v>
      </c>
      <c r="M55" s="55">
        <f>SUM(I53:I55)</f>
        <v>188.23764278194278</v>
      </c>
      <c r="N55" s="55">
        <f>SUM(M52:M55)</f>
        <v>398.19501357718667</v>
      </c>
    </row>
    <row r="56" spans="1:14" s="20" customFormat="1">
      <c r="A56" s="113">
        <v>41794</v>
      </c>
      <c r="B56" s="74" t="s">
        <v>353</v>
      </c>
      <c r="C56" s="67"/>
      <c r="D56" s="67">
        <v>12</v>
      </c>
      <c r="E56" s="67">
        <f t="shared" si="8"/>
        <v>262.5</v>
      </c>
      <c r="F56" s="92"/>
      <c r="G56" s="92">
        <f t="shared" ref="G56:G64" si="11">J55/E55</f>
        <v>14.479806587559075</v>
      </c>
      <c r="H56" s="92"/>
      <c r="I56" s="92">
        <f t="shared" ref="I56:I64" si="12">G56*D56</f>
        <v>173.7576790507089</v>
      </c>
      <c r="J56" s="128">
        <f t="shared" si="10"/>
        <v>3800.9492292342575</v>
      </c>
      <c r="K56" s="125"/>
    </row>
    <row r="57" spans="1:14" s="20" customFormat="1">
      <c r="A57" s="113">
        <v>41802</v>
      </c>
      <c r="B57" s="74" t="s">
        <v>367</v>
      </c>
      <c r="C57" s="67"/>
      <c r="D57" s="67">
        <v>2</v>
      </c>
      <c r="E57" s="67">
        <f t="shared" si="8"/>
        <v>260.5</v>
      </c>
      <c r="F57" s="92"/>
      <c r="G57" s="92">
        <f t="shared" si="11"/>
        <v>14.479806587559077</v>
      </c>
      <c r="H57" s="92"/>
      <c r="I57" s="92">
        <f t="shared" si="12"/>
        <v>28.959613175118154</v>
      </c>
      <c r="J57" s="128">
        <f t="shared" si="10"/>
        <v>3771.9896160591393</v>
      </c>
      <c r="K57" s="125"/>
    </row>
    <row r="58" spans="1:14" s="20" customFormat="1">
      <c r="A58" s="113">
        <v>41803</v>
      </c>
      <c r="B58" s="74" t="s">
        <v>372</v>
      </c>
      <c r="C58" s="67"/>
      <c r="D58" s="67">
        <v>7</v>
      </c>
      <c r="E58" s="67">
        <f t="shared" si="8"/>
        <v>253.5</v>
      </c>
      <c r="F58" s="92"/>
      <c r="G58" s="92">
        <f t="shared" si="11"/>
        <v>14.479806587559075</v>
      </c>
      <c r="H58" s="92"/>
      <c r="I58" s="92">
        <f t="shared" si="12"/>
        <v>101.35864611291353</v>
      </c>
      <c r="J58" s="128">
        <f t="shared" si="10"/>
        <v>3670.6309699462258</v>
      </c>
      <c r="K58" s="125"/>
      <c r="L58" s="145">
        <v>41804</v>
      </c>
      <c r="M58" s="55">
        <f>SUM(I56:I58)</f>
        <v>304.07593833874057</v>
      </c>
    </row>
    <row r="59" spans="1:14" s="20" customFormat="1">
      <c r="A59" s="113">
        <v>41810</v>
      </c>
      <c r="B59" s="74" t="s">
        <v>385</v>
      </c>
      <c r="C59" s="67"/>
      <c r="D59" s="67">
        <v>3</v>
      </c>
      <c r="E59" s="67">
        <f t="shared" si="8"/>
        <v>250.5</v>
      </c>
      <c r="F59" s="92"/>
      <c r="G59" s="92">
        <f t="shared" si="11"/>
        <v>14.479806587559077</v>
      </c>
      <c r="H59" s="92"/>
      <c r="I59" s="92">
        <f t="shared" si="12"/>
        <v>43.439419762677232</v>
      </c>
      <c r="J59" s="128">
        <f t="shared" si="10"/>
        <v>3627.1915501835488</v>
      </c>
      <c r="K59" s="125"/>
    </row>
    <row r="60" spans="1:14" s="20" customFormat="1">
      <c r="A60" s="113">
        <v>41810</v>
      </c>
      <c r="B60" s="74" t="s">
        <v>387</v>
      </c>
      <c r="C60" s="67"/>
      <c r="D60" s="67">
        <v>1</v>
      </c>
      <c r="E60" s="67">
        <f t="shared" si="8"/>
        <v>249.5</v>
      </c>
      <c r="F60" s="92"/>
      <c r="G60" s="92">
        <f t="shared" si="11"/>
        <v>14.479806587559077</v>
      </c>
      <c r="H60" s="92"/>
      <c r="I60" s="92">
        <f t="shared" si="12"/>
        <v>14.479806587559077</v>
      </c>
      <c r="J60" s="128">
        <f t="shared" si="10"/>
        <v>3612.7117435959899</v>
      </c>
      <c r="K60" s="125"/>
    </row>
    <row r="61" spans="1:14" s="20" customFormat="1">
      <c r="A61" s="113">
        <v>41815</v>
      </c>
      <c r="B61" s="74" t="s">
        <v>390</v>
      </c>
      <c r="C61" s="67"/>
      <c r="D61" s="67">
        <v>2</v>
      </c>
      <c r="E61" s="67">
        <f t="shared" si="8"/>
        <v>247.5</v>
      </c>
      <c r="F61" s="92"/>
      <c r="G61" s="92">
        <f t="shared" si="11"/>
        <v>14.479806587559077</v>
      </c>
      <c r="H61" s="92"/>
      <c r="I61" s="92">
        <f t="shared" si="12"/>
        <v>28.959613175118154</v>
      </c>
      <c r="J61" s="128">
        <f t="shared" si="10"/>
        <v>3583.7521304208717</v>
      </c>
      <c r="K61" s="125"/>
    </row>
    <row r="62" spans="1:14" s="20" customFormat="1">
      <c r="A62" s="113">
        <v>41816</v>
      </c>
      <c r="B62" s="74" t="s">
        <v>394</v>
      </c>
      <c r="C62" s="67"/>
      <c r="D62" s="67">
        <v>3</v>
      </c>
      <c r="E62" s="67">
        <f t="shared" si="8"/>
        <v>244.5</v>
      </c>
      <c r="F62" s="92"/>
      <c r="G62" s="92">
        <f t="shared" si="11"/>
        <v>14.479806587559077</v>
      </c>
      <c r="H62" s="92"/>
      <c r="I62" s="92">
        <f t="shared" si="12"/>
        <v>43.439419762677232</v>
      </c>
      <c r="J62" s="128">
        <f t="shared" si="10"/>
        <v>3540.3127106581946</v>
      </c>
      <c r="K62" s="125">
        <f>SUM(I56:I62)</f>
        <v>434.39419762677227</v>
      </c>
      <c r="L62" s="145">
        <v>41820</v>
      </c>
      <c r="M62" s="55">
        <f>SUM(I59:I62)</f>
        <v>130.3182592880317</v>
      </c>
      <c r="N62" s="55">
        <f>SUM(M58:M62)</f>
        <v>434.39419762677227</v>
      </c>
    </row>
    <row r="63" spans="1:14" s="20" customFormat="1">
      <c r="A63" s="113">
        <v>41824</v>
      </c>
      <c r="B63" s="74" t="s">
        <v>408</v>
      </c>
      <c r="C63" s="67"/>
      <c r="D63" s="67">
        <v>3</v>
      </c>
      <c r="E63" s="67">
        <f t="shared" si="8"/>
        <v>241.5</v>
      </c>
      <c r="F63" s="92"/>
      <c r="G63" s="92">
        <f t="shared" si="11"/>
        <v>14.479806587559079</v>
      </c>
      <c r="H63" s="92"/>
      <c r="I63" s="92">
        <f t="shared" si="12"/>
        <v>43.439419762677232</v>
      </c>
      <c r="J63" s="128">
        <f t="shared" si="10"/>
        <v>3496.8732908955176</v>
      </c>
      <c r="K63" s="125"/>
    </row>
    <row r="64" spans="1:14" s="20" customFormat="1">
      <c r="A64" s="113">
        <v>41827</v>
      </c>
      <c r="B64" s="74" t="s">
        <v>415</v>
      </c>
      <c r="C64" s="67"/>
      <c r="D64" s="67">
        <v>1</v>
      </c>
      <c r="E64" s="67">
        <f t="shared" si="8"/>
        <v>240.5</v>
      </c>
      <c r="F64" s="92"/>
      <c r="G64" s="92">
        <f t="shared" si="11"/>
        <v>14.479806587559079</v>
      </c>
      <c r="H64" s="92"/>
      <c r="I64" s="92">
        <f t="shared" si="12"/>
        <v>14.479806587559079</v>
      </c>
      <c r="J64" s="128">
        <f t="shared" si="10"/>
        <v>3482.3934843079587</v>
      </c>
      <c r="K64" s="125"/>
      <c r="L64" s="145">
        <v>41835</v>
      </c>
      <c r="M64" s="55">
        <f>SUM(I63:I64)</f>
        <v>57.919226350236315</v>
      </c>
    </row>
    <row r="65" spans="1:14" s="20" customFormat="1">
      <c r="A65" s="113">
        <v>41836</v>
      </c>
      <c r="B65" s="74" t="s">
        <v>452</v>
      </c>
      <c r="C65" s="67"/>
      <c r="D65" s="67">
        <v>2</v>
      </c>
      <c r="E65" s="67">
        <f t="shared" si="8"/>
        <v>238.5</v>
      </c>
      <c r="F65" s="92"/>
      <c r="G65" s="92">
        <f t="shared" ref="G65:G92" si="13">J64/E64</f>
        <v>14.47980658755908</v>
      </c>
      <c r="H65" s="92"/>
      <c r="I65" s="92">
        <f t="shared" ref="I65:I92" si="14">G65*D65</f>
        <v>28.959613175118161</v>
      </c>
      <c r="J65" s="128">
        <f t="shared" si="10"/>
        <v>3453.4338711328405</v>
      </c>
      <c r="K65" s="125"/>
    </row>
    <row r="66" spans="1:14" s="20" customFormat="1">
      <c r="A66" s="113">
        <v>41837</v>
      </c>
      <c r="B66" s="74" t="s">
        <v>456</v>
      </c>
      <c r="C66" s="67"/>
      <c r="D66" s="67">
        <v>3</v>
      </c>
      <c r="E66" s="67">
        <f t="shared" si="8"/>
        <v>235.5</v>
      </c>
      <c r="F66" s="92"/>
      <c r="G66" s="92">
        <f t="shared" si="13"/>
        <v>14.47980658755908</v>
      </c>
      <c r="H66" s="92"/>
      <c r="I66" s="92">
        <f t="shared" si="14"/>
        <v>43.43941976267724</v>
      </c>
      <c r="J66" s="128">
        <f t="shared" si="10"/>
        <v>3409.9944513701635</v>
      </c>
      <c r="K66" s="125"/>
    </row>
    <row r="67" spans="1:14" s="20" customFormat="1">
      <c r="A67" s="113">
        <v>41838</v>
      </c>
      <c r="B67" s="74" t="s">
        <v>460</v>
      </c>
      <c r="C67" s="67"/>
      <c r="D67" s="67">
        <v>1</v>
      </c>
      <c r="E67" s="67">
        <f t="shared" si="8"/>
        <v>234.5</v>
      </c>
      <c r="F67" s="92"/>
      <c r="G67" s="92">
        <f t="shared" si="13"/>
        <v>14.47980658755908</v>
      </c>
      <c r="H67" s="92"/>
      <c r="I67" s="92">
        <f t="shared" si="14"/>
        <v>14.47980658755908</v>
      </c>
      <c r="J67" s="128">
        <f t="shared" si="10"/>
        <v>3395.5146447826046</v>
      </c>
      <c r="K67" s="125"/>
    </row>
    <row r="68" spans="1:14" s="20" customFormat="1">
      <c r="A68" s="113">
        <v>41839</v>
      </c>
      <c r="B68" s="74" t="s">
        <v>463</v>
      </c>
      <c r="C68" s="67"/>
      <c r="D68" s="67">
        <v>13</v>
      </c>
      <c r="E68" s="67">
        <f t="shared" si="8"/>
        <v>221.5</v>
      </c>
      <c r="F68" s="92"/>
      <c r="G68" s="92">
        <f t="shared" si="13"/>
        <v>14.479806587559082</v>
      </c>
      <c r="H68" s="92"/>
      <c r="I68" s="92">
        <f t="shared" si="14"/>
        <v>188.23748563826808</v>
      </c>
      <c r="J68" s="128">
        <f t="shared" si="10"/>
        <v>3207.2771591443366</v>
      </c>
      <c r="K68" s="125"/>
    </row>
    <row r="69" spans="1:14" s="20" customFormat="1">
      <c r="A69" s="113">
        <v>41841</v>
      </c>
      <c r="B69" s="74" t="s">
        <v>467</v>
      </c>
      <c r="C69" s="67"/>
      <c r="D69" s="67">
        <v>4</v>
      </c>
      <c r="E69" s="67">
        <f t="shared" si="8"/>
        <v>217.5</v>
      </c>
      <c r="F69" s="92"/>
      <c r="G69" s="92">
        <f t="shared" si="13"/>
        <v>14.479806587559082</v>
      </c>
      <c r="H69" s="92"/>
      <c r="I69" s="92">
        <f t="shared" si="14"/>
        <v>57.919226350236329</v>
      </c>
      <c r="J69" s="128">
        <f t="shared" si="10"/>
        <v>3149.3579327941002</v>
      </c>
      <c r="K69" s="125"/>
    </row>
    <row r="70" spans="1:14" s="20" customFormat="1">
      <c r="A70" s="113">
        <v>41841</v>
      </c>
      <c r="B70" s="74" t="s">
        <v>470</v>
      </c>
      <c r="C70" s="67"/>
      <c r="D70" s="67">
        <v>2</v>
      </c>
      <c r="E70" s="67">
        <f t="shared" si="8"/>
        <v>215.5</v>
      </c>
      <c r="F70" s="92"/>
      <c r="G70" s="92">
        <f t="shared" si="13"/>
        <v>14.47980658755908</v>
      </c>
      <c r="H70" s="92"/>
      <c r="I70" s="92">
        <f t="shared" si="14"/>
        <v>28.959613175118161</v>
      </c>
      <c r="J70" s="128">
        <f t="shared" si="10"/>
        <v>3120.398319618982</v>
      </c>
      <c r="K70" s="125"/>
    </row>
    <row r="71" spans="1:14" s="20" customFormat="1">
      <c r="A71" s="113">
        <v>41849</v>
      </c>
      <c r="B71" s="74" t="s">
        <v>478</v>
      </c>
      <c r="C71" s="67"/>
      <c r="D71" s="67">
        <v>1</v>
      </c>
      <c r="E71" s="67">
        <f t="shared" si="8"/>
        <v>214.5</v>
      </c>
      <c r="F71" s="92"/>
      <c r="G71" s="92">
        <f t="shared" si="13"/>
        <v>14.47980658755908</v>
      </c>
      <c r="H71" s="92"/>
      <c r="I71" s="92">
        <f t="shared" si="14"/>
        <v>14.47980658755908</v>
      </c>
      <c r="J71" s="128">
        <f t="shared" si="10"/>
        <v>3105.9185130314231</v>
      </c>
      <c r="K71" s="125">
        <f>SUM(I63:I71)</f>
        <v>434.39419762677244</v>
      </c>
      <c r="L71" s="145">
        <v>41850</v>
      </c>
      <c r="M71" s="55">
        <f>SUM(I65:I71)</f>
        <v>376.47497127653611</v>
      </c>
      <c r="N71" s="55">
        <f>SUM(M64:M71)</f>
        <v>434.39419762677244</v>
      </c>
    </row>
    <row r="72" spans="1:14" s="20" customFormat="1">
      <c r="A72" s="113">
        <v>41855</v>
      </c>
      <c r="B72" s="74" t="s">
        <v>564</v>
      </c>
      <c r="C72" s="67"/>
      <c r="D72" s="67">
        <v>20</v>
      </c>
      <c r="E72" s="67">
        <f t="shared" si="8"/>
        <v>194.5</v>
      </c>
      <c r="F72" s="92"/>
      <c r="G72" s="92">
        <f t="shared" si="13"/>
        <v>14.479806587559082</v>
      </c>
      <c r="H72" s="92"/>
      <c r="I72" s="92">
        <f t="shared" si="14"/>
        <v>289.59613175118164</v>
      </c>
      <c r="J72" s="128">
        <f t="shared" si="10"/>
        <v>2816.3223812802416</v>
      </c>
      <c r="K72" s="125"/>
    </row>
    <row r="73" spans="1:14" s="20" customFormat="1">
      <c r="A73" s="113">
        <v>41858</v>
      </c>
      <c r="B73" s="74" t="s">
        <v>565</v>
      </c>
      <c r="C73" s="67"/>
      <c r="D73" s="67">
        <v>1</v>
      </c>
      <c r="E73" s="67">
        <f t="shared" si="8"/>
        <v>193.5</v>
      </c>
      <c r="F73" s="92"/>
      <c r="G73" s="92">
        <f t="shared" si="13"/>
        <v>14.479806587559082</v>
      </c>
      <c r="H73" s="92"/>
      <c r="I73" s="92">
        <f t="shared" si="14"/>
        <v>14.479806587559082</v>
      </c>
      <c r="J73" s="128">
        <f t="shared" si="10"/>
        <v>2801.8425746926828</v>
      </c>
      <c r="K73" s="125"/>
    </row>
    <row r="74" spans="1:14" s="20" customFormat="1">
      <c r="A74" s="113">
        <v>41865</v>
      </c>
      <c r="B74" s="74" t="s">
        <v>566</v>
      </c>
      <c r="C74" s="67"/>
      <c r="D74" s="67">
        <v>1</v>
      </c>
      <c r="E74" s="67">
        <f t="shared" si="8"/>
        <v>192.5</v>
      </c>
      <c r="F74" s="92"/>
      <c r="G74" s="92">
        <f t="shared" si="13"/>
        <v>14.479806587559084</v>
      </c>
      <c r="H74" s="92"/>
      <c r="I74" s="92">
        <f t="shared" si="14"/>
        <v>14.479806587559084</v>
      </c>
      <c r="J74" s="128">
        <f t="shared" si="10"/>
        <v>2787.3627681051239</v>
      </c>
      <c r="K74" s="125"/>
    </row>
    <row r="75" spans="1:14" s="20" customFormat="1">
      <c r="A75" s="113">
        <v>41866</v>
      </c>
      <c r="B75" s="74" t="s">
        <v>567</v>
      </c>
      <c r="C75" s="67"/>
      <c r="D75" s="67">
        <v>2</v>
      </c>
      <c r="E75" s="67">
        <f t="shared" si="8"/>
        <v>190.5</v>
      </c>
      <c r="F75" s="92"/>
      <c r="G75" s="92">
        <f t="shared" si="13"/>
        <v>14.479806587559086</v>
      </c>
      <c r="H75" s="92"/>
      <c r="I75" s="92">
        <f t="shared" si="14"/>
        <v>28.959613175118172</v>
      </c>
      <c r="J75" s="128">
        <f t="shared" si="10"/>
        <v>2758.4031549300057</v>
      </c>
      <c r="K75" s="125"/>
      <c r="L75" s="145">
        <v>41866</v>
      </c>
      <c r="M75" s="55">
        <f>SUM(I72:I75)</f>
        <v>347.51535810141803</v>
      </c>
    </row>
    <row r="76" spans="1:14" s="20" customFormat="1">
      <c r="A76" s="113">
        <v>41869</v>
      </c>
      <c r="B76" s="74" t="s">
        <v>568</v>
      </c>
      <c r="C76" s="67"/>
      <c r="D76" s="67">
        <v>3</v>
      </c>
      <c r="E76" s="67">
        <f t="shared" si="8"/>
        <v>187.5</v>
      </c>
      <c r="F76" s="92"/>
      <c r="G76" s="92">
        <f t="shared" si="13"/>
        <v>14.479806587559086</v>
      </c>
      <c r="H76" s="92"/>
      <c r="I76" s="92">
        <f t="shared" si="14"/>
        <v>43.439419762677261</v>
      </c>
      <c r="J76" s="128">
        <f t="shared" si="10"/>
        <v>2714.9637351673287</v>
      </c>
      <c r="K76" s="125"/>
    </row>
    <row r="77" spans="1:14" s="20" customFormat="1">
      <c r="A77" s="113">
        <v>41872</v>
      </c>
      <c r="B77" s="74" t="s">
        <v>569</v>
      </c>
      <c r="C77" s="67"/>
      <c r="D77" s="67">
        <v>4</v>
      </c>
      <c r="E77" s="67">
        <f t="shared" si="8"/>
        <v>183.5</v>
      </c>
      <c r="F77" s="92"/>
      <c r="G77" s="92">
        <f t="shared" si="13"/>
        <v>14.479806587559086</v>
      </c>
      <c r="H77" s="92"/>
      <c r="I77" s="92">
        <f t="shared" si="14"/>
        <v>57.919226350236343</v>
      </c>
      <c r="J77" s="128">
        <f t="shared" si="10"/>
        <v>2657.0445088170923</v>
      </c>
      <c r="K77" s="125"/>
    </row>
    <row r="78" spans="1:14" s="20" customFormat="1">
      <c r="A78" s="113">
        <v>41879</v>
      </c>
      <c r="B78" s="74" t="s">
        <v>570</v>
      </c>
      <c r="C78" s="67"/>
      <c r="D78" s="67">
        <v>2</v>
      </c>
      <c r="E78" s="67">
        <f t="shared" si="8"/>
        <v>181.5</v>
      </c>
      <c r="F78" s="92"/>
      <c r="G78" s="92">
        <f t="shared" si="13"/>
        <v>14.479806587559086</v>
      </c>
      <c r="H78" s="92"/>
      <c r="I78" s="92">
        <f t="shared" si="14"/>
        <v>28.959613175118172</v>
      </c>
      <c r="J78" s="128">
        <f t="shared" si="10"/>
        <v>2628.0848956419741</v>
      </c>
      <c r="K78" s="125">
        <f>SUM(I72:I78)</f>
        <v>477.83361738944978</v>
      </c>
      <c r="L78" s="145">
        <v>41881</v>
      </c>
      <c r="M78" s="55">
        <f>SUM(I76:I78)</f>
        <v>130.31825928803178</v>
      </c>
      <c r="N78" s="55">
        <f>SUM(M75:M78)</f>
        <v>477.83361738944984</v>
      </c>
    </row>
    <row r="79" spans="1:14" s="20" customFormat="1">
      <c r="A79" s="113">
        <v>41887</v>
      </c>
      <c r="B79" s="74" t="s">
        <v>588</v>
      </c>
      <c r="C79" s="67"/>
      <c r="D79" s="67">
        <v>1</v>
      </c>
      <c r="E79" s="67">
        <f t="shared" ref="E79:E93" si="15">+E78-D79</f>
        <v>180.5</v>
      </c>
      <c r="F79" s="92"/>
      <c r="G79" s="92">
        <f t="shared" si="13"/>
        <v>14.479806587559086</v>
      </c>
      <c r="H79" s="92"/>
      <c r="I79" s="92">
        <f t="shared" si="14"/>
        <v>14.479806587559086</v>
      </c>
      <c r="J79" s="128">
        <f t="shared" si="10"/>
        <v>2613.6050890544152</v>
      </c>
      <c r="K79" s="125"/>
      <c r="L79" s="145">
        <v>41902</v>
      </c>
      <c r="M79" s="55">
        <f>SUM(I79)</f>
        <v>14.479806587559086</v>
      </c>
    </row>
    <row r="80" spans="1:14" s="20" customFormat="1">
      <c r="A80" s="113">
        <v>41908</v>
      </c>
      <c r="B80" s="74" t="s">
        <v>619</v>
      </c>
      <c r="C80" s="67"/>
      <c r="D80" s="67">
        <v>3</v>
      </c>
      <c r="E80" s="67">
        <f t="shared" si="15"/>
        <v>177.5</v>
      </c>
      <c r="F80" s="92"/>
      <c r="G80" s="92">
        <f t="shared" si="13"/>
        <v>14.479806587559088</v>
      </c>
      <c r="H80" s="92"/>
      <c r="I80" s="92">
        <f t="shared" si="14"/>
        <v>43.439419762677261</v>
      </c>
      <c r="J80" s="128">
        <f t="shared" si="10"/>
        <v>2570.1656692917381</v>
      </c>
      <c r="K80" s="125"/>
    </row>
    <row r="81" spans="1:14" s="20" customFormat="1">
      <c r="A81" s="113">
        <v>41909</v>
      </c>
      <c r="B81" s="74" t="s">
        <v>623</v>
      </c>
      <c r="C81" s="67"/>
      <c r="D81" s="67">
        <v>4</v>
      </c>
      <c r="E81" s="67">
        <f t="shared" si="15"/>
        <v>173.5</v>
      </c>
      <c r="F81" s="92"/>
      <c r="G81" s="92">
        <f t="shared" si="13"/>
        <v>14.479806587559088</v>
      </c>
      <c r="H81" s="92"/>
      <c r="I81" s="92">
        <f t="shared" si="14"/>
        <v>57.91922635023635</v>
      </c>
      <c r="J81" s="128">
        <f t="shared" si="10"/>
        <v>2512.2464429415018</v>
      </c>
      <c r="K81" s="125"/>
    </row>
    <row r="82" spans="1:14" s="20" customFormat="1">
      <c r="A82" s="113">
        <v>41911</v>
      </c>
      <c r="B82" s="74" t="s">
        <v>625</v>
      </c>
      <c r="C82" s="67"/>
      <c r="D82" s="67">
        <v>1</v>
      </c>
      <c r="E82" s="67">
        <f t="shared" si="15"/>
        <v>172.5</v>
      </c>
      <c r="F82" s="92"/>
      <c r="G82" s="92">
        <f t="shared" si="13"/>
        <v>14.479806587559088</v>
      </c>
      <c r="H82" s="92"/>
      <c r="I82" s="92">
        <f t="shared" si="14"/>
        <v>14.479806587559088</v>
      </c>
      <c r="J82" s="128">
        <f t="shared" si="10"/>
        <v>2497.7666363539429</v>
      </c>
      <c r="K82" s="125"/>
    </row>
    <row r="83" spans="1:14" s="20" customFormat="1">
      <c r="A83" s="113">
        <v>41912</v>
      </c>
      <c r="B83" s="74" t="s">
        <v>628</v>
      </c>
      <c r="C83" s="67"/>
      <c r="D83" s="67">
        <v>4</v>
      </c>
      <c r="E83" s="67">
        <f>+E82-D83</f>
        <v>168.5</v>
      </c>
      <c r="F83" s="92"/>
      <c r="G83" s="92">
        <f>J82/E82</f>
        <v>14.479806587559089</v>
      </c>
      <c r="H83" s="92"/>
      <c r="I83" s="92">
        <f>G83*D83</f>
        <v>57.919226350236357</v>
      </c>
      <c r="J83" s="128">
        <f t="shared" si="10"/>
        <v>2439.8474100037065</v>
      </c>
      <c r="K83" s="125">
        <f>SUM(I79:I83)</f>
        <v>188.23748563826814</v>
      </c>
      <c r="L83" s="145">
        <v>41912</v>
      </c>
      <c r="M83" s="55">
        <f>SUM(I80:I83)</f>
        <v>173.75767905070904</v>
      </c>
      <c r="N83" s="55">
        <f>SUM(M79:M83)</f>
        <v>188.23748563826814</v>
      </c>
    </row>
    <row r="84" spans="1:14" s="20" customFormat="1">
      <c r="A84" s="113">
        <v>41914</v>
      </c>
      <c r="B84" s="74" t="s">
        <v>685</v>
      </c>
      <c r="C84" s="67"/>
      <c r="D84" s="67">
        <v>1</v>
      </c>
      <c r="E84" s="67">
        <f>+E83-D84</f>
        <v>167.5</v>
      </c>
      <c r="F84" s="92"/>
      <c r="G84" s="92">
        <f>J83/E83</f>
        <v>14.479806587559089</v>
      </c>
      <c r="H84" s="92"/>
      <c r="I84" s="92">
        <f>G84*D84</f>
        <v>14.479806587559089</v>
      </c>
      <c r="J84" s="128">
        <f t="shared" si="10"/>
        <v>2425.3676034161476</v>
      </c>
      <c r="K84" s="125"/>
    </row>
    <row r="85" spans="1:14" s="20" customFormat="1">
      <c r="A85" s="113">
        <v>41920</v>
      </c>
      <c r="B85" s="74" t="s">
        <v>686</v>
      </c>
      <c r="C85" s="67"/>
      <c r="D85" s="67">
        <v>1</v>
      </c>
      <c r="E85" s="67">
        <f t="shared" si="15"/>
        <v>166.5</v>
      </c>
      <c r="F85" s="92"/>
      <c r="G85" s="92">
        <f t="shared" si="13"/>
        <v>14.479806587559091</v>
      </c>
      <c r="H85" s="92"/>
      <c r="I85" s="92">
        <f t="shared" si="14"/>
        <v>14.479806587559091</v>
      </c>
      <c r="J85" s="128">
        <f t="shared" si="10"/>
        <v>2410.8877968285888</v>
      </c>
      <c r="K85" s="125"/>
    </row>
    <row r="86" spans="1:14" s="20" customFormat="1">
      <c r="A86" s="113">
        <v>41922</v>
      </c>
      <c r="B86" s="74" t="s">
        <v>687</v>
      </c>
      <c r="C86" s="67"/>
      <c r="D86" s="67">
        <v>3</v>
      </c>
      <c r="E86" s="67">
        <f t="shared" si="15"/>
        <v>163.5</v>
      </c>
      <c r="F86" s="92"/>
      <c r="G86" s="92">
        <f t="shared" si="13"/>
        <v>14.479806587559091</v>
      </c>
      <c r="H86" s="92"/>
      <c r="I86" s="92">
        <f t="shared" si="14"/>
        <v>43.439419762677275</v>
      </c>
      <c r="J86" s="128">
        <f t="shared" si="10"/>
        <v>2367.4483770659117</v>
      </c>
      <c r="K86" s="125"/>
    </row>
    <row r="87" spans="1:14" s="20" customFormat="1">
      <c r="A87" s="113">
        <v>41923</v>
      </c>
      <c r="B87" s="74" t="s">
        <v>688</v>
      </c>
      <c r="C87" s="67"/>
      <c r="D87" s="67">
        <v>6</v>
      </c>
      <c r="E87" s="67">
        <f t="shared" si="15"/>
        <v>157.5</v>
      </c>
      <c r="F87" s="92"/>
      <c r="G87" s="92">
        <f t="shared" si="13"/>
        <v>14.479806587559093</v>
      </c>
      <c r="H87" s="92"/>
      <c r="I87" s="92">
        <f t="shared" si="14"/>
        <v>86.87883952535455</v>
      </c>
      <c r="J87" s="128">
        <f t="shared" si="10"/>
        <v>2280.5695375405571</v>
      </c>
      <c r="K87" s="125"/>
    </row>
    <row r="88" spans="1:14" s="20" customFormat="1">
      <c r="A88" s="113">
        <v>41926</v>
      </c>
      <c r="B88" s="74" t="s">
        <v>689</v>
      </c>
      <c r="C88" s="67"/>
      <c r="D88" s="67">
        <v>1</v>
      </c>
      <c r="E88" s="67">
        <f t="shared" si="15"/>
        <v>156.5</v>
      </c>
      <c r="F88" s="92"/>
      <c r="G88" s="92">
        <f t="shared" si="13"/>
        <v>14.479806587559093</v>
      </c>
      <c r="H88" s="92"/>
      <c r="I88" s="92">
        <f t="shared" si="14"/>
        <v>14.479806587559093</v>
      </c>
      <c r="J88" s="128">
        <f t="shared" si="10"/>
        <v>2266.0897309529983</v>
      </c>
      <c r="K88" s="125"/>
    </row>
    <row r="89" spans="1:14" s="20" customFormat="1">
      <c r="A89" s="113">
        <v>41926</v>
      </c>
      <c r="B89" s="74" t="s">
        <v>690</v>
      </c>
      <c r="C89" s="67"/>
      <c r="D89" s="67">
        <v>12</v>
      </c>
      <c r="E89" s="67">
        <f t="shared" si="15"/>
        <v>144.5</v>
      </c>
      <c r="F89" s="92"/>
      <c r="G89" s="92">
        <f t="shared" si="13"/>
        <v>14.479806587559095</v>
      </c>
      <c r="H89" s="92"/>
      <c r="I89" s="92">
        <f t="shared" si="14"/>
        <v>173.75767905070913</v>
      </c>
      <c r="J89" s="128">
        <f t="shared" si="10"/>
        <v>2092.3320519022891</v>
      </c>
      <c r="K89" s="125"/>
    </row>
    <row r="90" spans="1:14" s="20" customFormat="1">
      <c r="A90" s="113">
        <v>41926</v>
      </c>
      <c r="B90" s="74" t="s">
        <v>691</v>
      </c>
      <c r="C90" s="67"/>
      <c r="D90" s="67">
        <v>2</v>
      </c>
      <c r="E90" s="67">
        <f t="shared" si="15"/>
        <v>142.5</v>
      </c>
      <c r="F90" s="92"/>
      <c r="G90" s="92">
        <f t="shared" si="13"/>
        <v>14.479806587559095</v>
      </c>
      <c r="H90" s="92"/>
      <c r="I90" s="92">
        <f t="shared" si="14"/>
        <v>28.959613175118189</v>
      </c>
      <c r="J90" s="128">
        <f t="shared" si="10"/>
        <v>2063.3724387271709</v>
      </c>
      <c r="K90" s="125"/>
    </row>
    <row r="91" spans="1:14" s="20" customFormat="1">
      <c r="A91" s="113">
        <v>41929</v>
      </c>
      <c r="B91" s="74" t="s">
        <v>692</v>
      </c>
      <c r="C91" s="67"/>
      <c r="D91" s="67">
        <v>9</v>
      </c>
      <c r="E91" s="67">
        <f t="shared" si="15"/>
        <v>133.5</v>
      </c>
      <c r="F91" s="92"/>
      <c r="G91" s="92">
        <f t="shared" si="13"/>
        <v>14.479806587559095</v>
      </c>
      <c r="H91" s="92"/>
      <c r="I91" s="92">
        <f t="shared" si="14"/>
        <v>130.31825928803184</v>
      </c>
      <c r="J91" s="128">
        <f t="shared" si="10"/>
        <v>1933.054179439139</v>
      </c>
      <c r="K91" s="125"/>
    </row>
    <row r="92" spans="1:14" s="62" customFormat="1">
      <c r="A92" s="113">
        <v>41940</v>
      </c>
      <c r="B92" s="74" t="s">
        <v>714</v>
      </c>
      <c r="C92" s="67"/>
      <c r="D92" s="67">
        <v>4</v>
      </c>
      <c r="E92" s="67">
        <f t="shared" si="15"/>
        <v>129.5</v>
      </c>
      <c r="F92" s="92"/>
      <c r="G92" s="92">
        <f t="shared" si="13"/>
        <v>14.479806587559095</v>
      </c>
      <c r="H92" s="92"/>
      <c r="I92" s="92">
        <f t="shared" si="14"/>
        <v>57.919226350236379</v>
      </c>
      <c r="J92" s="128">
        <f t="shared" si="10"/>
        <v>1875.1349530889026</v>
      </c>
      <c r="K92" s="126">
        <f>SUM(I84:I92)</f>
        <v>564.71245691480465</v>
      </c>
      <c r="N92" s="52">
        <f>+K92</f>
        <v>564.71245691480465</v>
      </c>
    </row>
    <row r="93" spans="1:14">
      <c r="A93" s="113">
        <v>41944</v>
      </c>
      <c r="B93" s="74" t="s">
        <v>726</v>
      </c>
      <c r="C93" s="67"/>
      <c r="D93" s="67">
        <v>1</v>
      </c>
      <c r="E93" s="67">
        <f t="shared" si="15"/>
        <v>128.5</v>
      </c>
      <c r="F93" s="92"/>
      <c r="G93" s="92">
        <f t="shared" ref="G93:G107" si="16">J92/E92</f>
        <v>14.479806587559095</v>
      </c>
      <c r="H93" s="92"/>
      <c r="I93" s="92">
        <f>G93*D93</f>
        <v>14.479806587559095</v>
      </c>
      <c r="J93" s="128">
        <f t="shared" si="10"/>
        <v>1860.6551465013436</v>
      </c>
      <c r="K93" s="50"/>
    </row>
    <row r="94" spans="1:14" s="20" customFormat="1">
      <c r="A94" s="113">
        <v>41953</v>
      </c>
      <c r="B94" s="74" t="s">
        <v>773</v>
      </c>
      <c r="C94" s="67">
        <v>92</v>
      </c>
      <c r="D94" s="67"/>
      <c r="E94" s="67">
        <f>+E93+C94</f>
        <v>220.5</v>
      </c>
      <c r="F94" s="92">
        <f>+H94/C94</f>
        <v>14.479826086956521</v>
      </c>
      <c r="G94" s="92"/>
      <c r="H94" s="92">
        <f>1531.2*0.87</f>
        <v>1332.144</v>
      </c>
      <c r="I94" s="92"/>
      <c r="J94" s="128">
        <f>+J93+H94</f>
        <v>3192.7991465013438</v>
      </c>
      <c r="K94" s="50"/>
    </row>
    <row r="95" spans="1:14" s="20" customFormat="1">
      <c r="A95" s="113">
        <v>41953</v>
      </c>
      <c r="B95" s="74" t="s">
        <v>736</v>
      </c>
      <c r="C95" s="67"/>
      <c r="D95" s="67">
        <v>3</v>
      </c>
      <c r="E95" s="67">
        <f>+E94-D95</f>
        <v>217.5</v>
      </c>
      <c r="F95" s="92"/>
      <c r="G95" s="92">
        <f t="shared" si="16"/>
        <v>14.479814723362104</v>
      </c>
      <c r="H95" s="92"/>
      <c r="I95" s="92">
        <f t="shared" ref="I95:I107" si="17">G95*D95</f>
        <v>43.439444170086311</v>
      </c>
      <c r="J95" s="128">
        <f>+J94-I95</f>
        <v>3149.3597023312573</v>
      </c>
      <c r="K95" s="50"/>
    </row>
    <row r="96" spans="1:14" s="20" customFormat="1">
      <c r="A96" s="113">
        <v>41953</v>
      </c>
      <c r="B96" s="74" t="s">
        <v>737</v>
      </c>
      <c r="C96" s="67"/>
      <c r="D96" s="67">
        <v>3</v>
      </c>
      <c r="E96" s="67">
        <f t="shared" ref="E96:E107" si="18">+E95-D96</f>
        <v>214.5</v>
      </c>
      <c r="F96" s="92"/>
      <c r="G96" s="92">
        <f t="shared" si="16"/>
        <v>14.479814723362102</v>
      </c>
      <c r="H96" s="92"/>
      <c r="I96" s="92">
        <f t="shared" si="17"/>
        <v>43.439444170086304</v>
      </c>
      <c r="J96" s="128">
        <f t="shared" ref="J96:J107" si="19">+J95-I96</f>
        <v>3105.9202581611708</v>
      </c>
      <c r="K96" s="50"/>
    </row>
    <row r="97" spans="1:14" s="20" customFormat="1">
      <c r="A97" s="113">
        <v>41958</v>
      </c>
      <c r="B97" s="74" t="s">
        <v>752</v>
      </c>
      <c r="C97" s="67"/>
      <c r="D97" s="67">
        <v>4</v>
      </c>
      <c r="E97" s="67">
        <f t="shared" si="18"/>
        <v>210.5</v>
      </c>
      <c r="F97" s="92"/>
      <c r="G97" s="92">
        <f t="shared" si="16"/>
        <v>14.479814723362102</v>
      </c>
      <c r="H97" s="92"/>
      <c r="I97" s="92">
        <f t="shared" si="17"/>
        <v>57.919258893448408</v>
      </c>
      <c r="J97" s="128">
        <f t="shared" si="19"/>
        <v>3048.0009992677224</v>
      </c>
      <c r="K97" s="50"/>
    </row>
    <row r="98" spans="1:14" s="20" customFormat="1">
      <c r="A98" s="113">
        <v>41967</v>
      </c>
      <c r="B98" s="74" t="s">
        <v>769</v>
      </c>
      <c r="C98" s="67"/>
      <c r="D98" s="67">
        <v>1</v>
      </c>
      <c r="E98" s="67">
        <f t="shared" si="18"/>
        <v>209.5</v>
      </c>
      <c r="F98" s="92"/>
      <c r="G98" s="92">
        <f t="shared" si="16"/>
        <v>14.479814723362102</v>
      </c>
      <c r="H98" s="92"/>
      <c r="I98" s="92">
        <f t="shared" si="17"/>
        <v>14.479814723362102</v>
      </c>
      <c r="J98" s="128">
        <f t="shared" si="19"/>
        <v>3033.52118454436</v>
      </c>
      <c r="K98" s="50"/>
    </row>
    <row r="99" spans="1:14" s="20" customFormat="1">
      <c r="A99" s="113">
        <v>41971</v>
      </c>
      <c r="B99" s="74" t="s">
        <v>850</v>
      </c>
      <c r="C99" s="67"/>
      <c r="D99" s="67">
        <v>1</v>
      </c>
      <c r="E99" s="67">
        <f t="shared" si="18"/>
        <v>208.5</v>
      </c>
      <c r="F99" s="92"/>
      <c r="G99" s="92">
        <f t="shared" si="16"/>
        <v>14.4798147233621</v>
      </c>
      <c r="H99" s="92"/>
      <c r="I99" s="92">
        <f t="shared" si="17"/>
        <v>14.4798147233621</v>
      </c>
      <c r="J99" s="128">
        <f t="shared" si="19"/>
        <v>3019.0413698209977</v>
      </c>
      <c r="K99" s="50"/>
    </row>
    <row r="100" spans="1:14" s="20" customFormat="1">
      <c r="A100" s="139">
        <v>41972</v>
      </c>
      <c r="B100" s="142" t="s">
        <v>851</v>
      </c>
      <c r="C100" s="94"/>
      <c r="D100" s="94">
        <v>1</v>
      </c>
      <c r="E100" s="94">
        <f t="shared" si="18"/>
        <v>207.5</v>
      </c>
      <c r="F100" s="140"/>
      <c r="G100" s="140">
        <f t="shared" si="16"/>
        <v>14.4798147233621</v>
      </c>
      <c r="H100" s="140"/>
      <c r="I100" s="140">
        <f t="shared" si="17"/>
        <v>14.4798147233621</v>
      </c>
      <c r="J100" s="128">
        <f t="shared" si="19"/>
        <v>3004.5615550976354</v>
      </c>
      <c r="K100" s="125">
        <f>SUM(I93:I100)</f>
        <v>202.71739799126641</v>
      </c>
      <c r="N100" s="55">
        <f>+K100</f>
        <v>202.71739799126641</v>
      </c>
    </row>
    <row r="101" spans="1:14" s="20" customFormat="1">
      <c r="A101" s="113">
        <v>41975</v>
      </c>
      <c r="B101" s="74" t="s">
        <v>852</v>
      </c>
      <c r="C101" s="67"/>
      <c r="D101" s="67">
        <v>4</v>
      </c>
      <c r="E101" s="67">
        <f t="shared" si="18"/>
        <v>203.5</v>
      </c>
      <c r="F101" s="92"/>
      <c r="G101" s="92">
        <f t="shared" si="16"/>
        <v>14.479814723362098</v>
      </c>
      <c r="H101" s="92"/>
      <c r="I101" s="92">
        <f t="shared" si="17"/>
        <v>57.919258893448394</v>
      </c>
      <c r="J101" s="128">
        <f t="shared" si="19"/>
        <v>2946.642296204187</v>
      </c>
      <c r="K101" s="50"/>
    </row>
    <row r="102" spans="1:14" s="20" customFormat="1">
      <c r="A102" s="113">
        <v>41976</v>
      </c>
      <c r="B102" s="74" t="s">
        <v>853</v>
      </c>
      <c r="C102" s="67"/>
      <c r="D102" s="67">
        <v>1</v>
      </c>
      <c r="E102" s="67">
        <f t="shared" si="18"/>
        <v>202.5</v>
      </c>
      <c r="F102" s="92"/>
      <c r="G102" s="92">
        <f t="shared" si="16"/>
        <v>14.479814723362098</v>
      </c>
      <c r="H102" s="92"/>
      <c r="I102" s="92">
        <f t="shared" si="17"/>
        <v>14.479814723362098</v>
      </c>
      <c r="J102" s="128">
        <f t="shared" si="19"/>
        <v>2932.1624814808247</v>
      </c>
      <c r="K102" s="50"/>
    </row>
    <row r="103" spans="1:14" s="20" customFormat="1">
      <c r="A103" s="113">
        <v>41986</v>
      </c>
      <c r="B103" s="74" t="s">
        <v>854</v>
      </c>
      <c r="C103" s="67"/>
      <c r="D103" s="67">
        <v>3</v>
      </c>
      <c r="E103" s="67">
        <f t="shared" si="18"/>
        <v>199.5</v>
      </c>
      <c r="F103" s="92"/>
      <c r="G103" s="92">
        <f t="shared" si="16"/>
        <v>14.479814723362097</v>
      </c>
      <c r="H103" s="92"/>
      <c r="I103" s="92">
        <f t="shared" si="17"/>
        <v>43.43944417008629</v>
      </c>
      <c r="J103" s="128">
        <f t="shared" si="19"/>
        <v>2888.7230373107386</v>
      </c>
      <c r="K103" s="50"/>
    </row>
    <row r="104" spans="1:14" s="20" customFormat="1">
      <c r="A104" s="113">
        <v>41995</v>
      </c>
      <c r="B104" s="74" t="s">
        <v>855</v>
      </c>
      <c r="C104" s="67"/>
      <c r="D104" s="67">
        <v>1</v>
      </c>
      <c r="E104" s="67">
        <f t="shared" si="18"/>
        <v>198.5</v>
      </c>
      <c r="F104" s="92"/>
      <c r="G104" s="92">
        <f t="shared" si="16"/>
        <v>14.479814723362098</v>
      </c>
      <c r="H104" s="92"/>
      <c r="I104" s="92">
        <f t="shared" si="17"/>
        <v>14.479814723362098</v>
      </c>
      <c r="J104" s="128">
        <f t="shared" si="19"/>
        <v>2874.2432225873763</v>
      </c>
      <c r="K104" s="50"/>
    </row>
    <row r="105" spans="1:14" s="20" customFormat="1">
      <c r="A105" s="113">
        <v>41995</v>
      </c>
      <c r="B105" s="74" t="s">
        <v>856</v>
      </c>
      <c r="C105" s="67"/>
      <c r="D105" s="67">
        <v>1</v>
      </c>
      <c r="E105" s="67">
        <f t="shared" si="18"/>
        <v>197.5</v>
      </c>
      <c r="F105" s="92"/>
      <c r="G105" s="92">
        <f t="shared" si="16"/>
        <v>14.479814723362097</v>
      </c>
      <c r="H105" s="92"/>
      <c r="I105" s="92">
        <f t="shared" si="17"/>
        <v>14.479814723362097</v>
      </c>
      <c r="J105" s="128">
        <f t="shared" si="19"/>
        <v>2859.763407864014</v>
      </c>
      <c r="K105" s="50"/>
    </row>
    <row r="106" spans="1:14" s="20" customFormat="1">
      <c r="A106" s="113">
        <v>41997</v>
      </c>
      <c r="B106" s="74" t="s">
        <v>857</v>
      </c>
      <c r="C106" s="67"/>
      <c r="D106" s="67">
        <v>1</v>
      </c>
      <c r="E106" s="67">
        <f t="shared" si="18"/>
        <v>196.5</v>
      </c>
      <c r="F106" s="92"/>
      <c r="G106" s="92">
        <f t="shared" si="16"/>
        <v>14.479814723362097</v>
      </c>
      <c r="H106" s="92"/>
      <c r="I106" s="92">
        <f t="shared" si="17"/>
        <v>14.479814723362097</v>
      </c>
      <c r="J106" s="128">
        <f t="shared" si="19"/>
        <v>2845.2835931406516</v>
      </c>
      <c r="K106" s="50"/>
    </row>
    <row r="107" spans="1:14" s="20" customFormat="1">
      <c r="A107" s="113">
        <v>41997</v>
      </c>
      <c r="B107" s="74" t="s">
        <v>858</v>
      </c>
      <c r="C107" s="67"/>
      <c r="D107" s="67">
        <v>3</v>
      </c>
      <c r="E107" s="67">
        <f t="shared" si="18"/>
        <v>193.5</v>
      </c>
      <c r="F107" s="92"/>
      <c r="G107" s="92">
        <f t="shared" si="16"/>
        <v>14.479814723362095</v>
      </c>
      <c r="H107" s="92"/>
      <c r="I107" s="92">
        <f t="shared" si="17"/>
        <v>43.439444170086283</v>
      </c>
      <c r="J107" s="128">
        <f t="shared" si="19"/>
        <v>2801.8441489705656</v>
      </c>
      <c r="K107" s="125">
        <f>SUM(I101:I107)</f>
        <v>202.71740612706938</v>
      </c>
      <c r="N107" s="55">
        <f>+K107</f>
        <v>202.71740612706938</v>
      </c>
    </row>
    <row r="108" spans="1:14" s="20" customFormat="1">
      <c r="A108" s="67"/>
      <c r="B108" s="74"/>
      <c r="C108" s="67"/>
      <c r="D108" s="67"/>
      <c r="E108" s="67"/>
      <c r="F108" s="67"/>
      <c r="G108" s="92"/>
      <c r="H108" s="67"/>
      <c r="I108" s="67"/>
      <c r="J108" s="128"/>
      <c r="K108" s="50"/>
    </row>
    <row r="109" spans="1:14" s="20" customFormat="1">
      <c r="A109" s="67"/>
      <c r="B109" s="18" t="s">
        <v>862</v>
      </c>
      <c r="C109" s="67">
        <f>SUM(C11:C107)</f>
        <v>550</v>
      </c>
      <c r="D109" s="67">
        <f>SUM(D12:D108)</f>
        <v>356.5</v>
      </c>
      <c r="E109" s="67">
        <f>+C109-D109</f>
        <v>193.5</v>
      </c>
      <c r="F109" s="67"/>
      <c r="G109" s="92"/>
      <c r="H109" s="128">
        <f>SUM(H11:H108)</f>
        <v>7963.8960000000006</v>
      </c>
      <c r="I109" s="128">
        <f>SUM(I12:I108)</f>
        <v>5162.0518510294351</v>
      </c>
      <c r="J109" s="128">
        <f>+H109-I109</f>
        <v>2801.8441489705656</v>
      </c>
      <c r="K109" s="50"/>
      <c r="N109" s="55">
        <f>SUM(N20:N108)</f>
        <v>5162.0518510294378</v>
      </c>
    </row>
    <row r="110" spans="1:14" s="20" customFormat="1">
      <c r="A110" s="67"/>
      <c r="B110" s="74"/>
      <c r="C110" s="67"/>
      <c r="D110" s="143"/>
      <c r="E110" s="67"/>
      <c r="F110" s="67"/>
      <c r="G110" s="92"/>
      <c r="H110" s="67"/>
      <c r="I110" s="67"/>
      <c r="J110" s="128"/>
      <c r="K110" s="50"/>
    </row>
    <row r="111" spans="1:14">
      <c r="J111" s="123"/>
    </row>
    <row r="112" spans="1:14">
      <c r="J112" s="123"/>
    </row>
    <row r="113" spans="1:10">
      <c r="A113" s="96" t="s">
        <v>863</v>
      </c>
      <c r="B113" s="32"/>
      <c r="C113" s="2"/>
      <c r="D113" s="2"/>
      <c r="E113" s="2"/>
      <c r="F113" s="2"/>
      <c r="J113" s="123"/>
    </row>
    <row r="114" spans="1:10">
      <c r="A114" s="96"/>
      <c r="B114" s="32"/>
      <c r="C114" s="2"/>
      <c r="D114" s="2"/>
      <c r="E114" s="2"/>
      <c r="F114" s="2"/>
      <c r="J114" s="123"/>
    </row>
    <row r="115" spans="1:10">
      <c r="A115" s="96" t="s">
        <v>864</v>
      </c>
      <c r="B115" s="32"/>
      <c r="C115" s="2"/>
      <c r="D115" s="2"/>
      <c r="E115" s="2"/>
      <c r="F115" s="2"/>
      <c r="J115" s="123">
        <f>+E109*F94</f>
        <v>2801.8463478260869</v>
      </c>
    </row>
    <row r="116" spans="1:10">
      <c r="A116" s="96" t="s">
        <v>865</v>
      </c>
      <c r="B116" s="32"/>
      <c r="C116" s="2"/>
      <c r="D116" s="2"/>
      <c r="E116" s="2"/>
      <c r="F116" s="2"/>
      <c r="J116" s="121">
        <f>+J109</f>
        <v>2801.8441489705656</v>
      </c>
    </row>
    <row r="117" spans="1:10">
      <c r="A117" s="96"/>
      <c r="B117" s="32" t="s">
        <v>866</v>
      </c>
      <c r="C117" s="2"/>
      <c r="D117" s="2"/>
      <c r="E117" s="2"/>
      <c r="F117" s="2"/>
      <c r="J117" s="55">
        <f>+J115-J116</f>
        <v>2.1988555213283689E-3</v>
      </c>
    </row>
  </sheetData>
  <mergeCells count="5">
    <mergeCell ref="A5:I5"/>
    <mergeCell ref="A6:J6"/>
    <mergeCell ref="C9:E9"/>
    <mergeCell ref="F9:G9"/>
    <mergeCell ref="H9:J9"/>
  </mergeCells>
  <pageMargins left="1.299212598425197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N39"/>
  <sheetViews>
    <sheetView topLeftCell="A15" workbookViewId="0">
      <selection activeCell="N34" sqref="N34"/>
    </sheetView>
  </sheetViews>
  <sheetFormatPr baseColWidth="10" defaultRowHeight="15"/>
  <cols>
    <col min="2" max="2" width="23" customWidth="1"/>
    <col min="11" max="11" width="14.140625" customWidth="1"/>
  </cols>
  <sheetData>
    <row r="1" spans="1:14" s="20" customFormat="1">
      <c r="A1" s="82" t="s">
        <v>0</v>
      </c>
      <c r="B1" s="83"/>
      <c r="C1" s="84"/>
      <c r="D1" s="84"/>
      <c r="E1" s="84"/>
      <c r="F1" s="84"/>
      <c r="G1" s="84"/>
      <c r="H1" s="85" t="s">
        <v>1</v>
      </c>
      <c r="I1" s="84"/>
      <c r="J1" s="84"/>
      <c r="K1" s="86"/>
    </row>
    <row r="2" spans="1:14" s="20" customFormat="1">
      <c r="A2" s="87" t="s">
        <v>2</v>
      </c>
      <c r="B2" s="1"/>
      <c r="C2" s="2"/>
      <c r="D2" s="2"/>
      <c r="E2" s="2"/>
      <c r="F2" s="2"/>
      <c r="G2" s="2"/>
      <c r="H2" s="21" t="s">
        <v>3</v>
      </c>
      <c r="I2" s="2"/>
      <c r="J2" s="2"/>
      <c r="K2" s="88"/>
    </row>
    <row r="3" spans="1:14" s="20" customFormat="1">
      <c r="A3" s="89" t="s">
        <v>4</v>
      </c>
      <c r="B3" s="3"/>
      <c r="C3" s="2"/>
      <c r="D3" s="2"/>
      <c r="E3" s="2"/>
      <c r="F3" s="2"/>
      <c r="G3" s="2"/>
      <c r="H3" s="21" t="s">
        <v>5</v>
      </c>
      <c r="I3" s="2"/>
      <c r="J3" s="2"/>
      <c r="K3" s="88"/>
    </row>
    <row r="4" spans="1:14" s="20" customFormat="1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2"/>
      <c r="K4" s="88"/>
    </row>
    <row r="5" spans="1:14" s="20" customFormat="1">
      <c r="A5" s="90"/>
      <c r="B5" s="4"/>
      <c r="C5" s="2"/>
      <c r="D5" s="21" t="s">
        <v>23</v>
      </c>
      <c r="E5" s="4"/>
      <c r="F5" s="4"/>
      <c r="G5" s="2"/>
      <c r="H5" s="2"/>
      <c r="I5" s="2"/>
      <c r="J5" s="2"/>
      <c r="K5" s="88"/>
    </row>
    <row r="6" spans="1:14" s="20" customFormat="1">
      <c r="A6" s="91"/>
      <c r="B6" s="4"/>
      <c r="C6" s="2"/>
      <c r="D6" s="2" t="s">
        <v>7</v>
      </c>
      <c r="E6" s="4"/>
      <c r="F6" s="4"/>
      <c r="G6" s="2"/>
      <c r="H6" s="2"/>
      <c r="I6" s="2"/>
      <c r="J6" s="2"/>
      <c r="K6" s="88"/>
    </row>
    <row r="7" spans="1:14" s="20" customFormat="1">
      <c r="A7" s="35" t="s">
        <v>8</v>
      </c>
      <c r="B7" s="7" t="s">
        <v>9</v>
      </c>
      <c r="C7" s="151" t="s">
        <v>10</v>
      </c>
      <c r="D7" s="151"/>
      <c r="E7" s="152"/>
      <c r="F7" s="153" t="s">
        <v>11</v>
      </c>
      <c r="G7" s="153"/>
      <c r="H7" s="154" t="s">
        <v>12</v>
      </c>
      <c r="I7" s="155"/>
      <c r="J7" s="155"/>
      <c r="K7" s="5" t="s">
        <v>13</v>
      </c>
    </row>
    <row r="8" spans="1:14" s="20" customFormat="1">
      <c r="A8" s="37"/>
      <c r="B8" s="8"/>
      <c r="C8" s="8" t="s">
        <v>14</v>
      </c>
      <c r="D8" s="6" t="s">
        <v>15</v>
      </c>
      <c r="E8" s="9" t="s">
        <v>16</v>
      </c>
      <c r="F8" s="10" t="s">
        <v>17</v>
      </c>
      <c r="G8" s="10" t="s">
        <v>18</v>
      </c>
      <c r="H8" s="6" t="s">
        <v>19</v>
      </c>
      <c r="I8" s="11" t="s">
        <v>20</v>
      </c>
      <c r="J8" s="12" t="s">
        <v>21</v>
      </c>
      <c r="K8" s="13"/>
    </row>
    <row r="9" spans="1:14" s="20" customFormat="1" ht="14.25" customHeight="1">
      <c r="A9" s="118">
        <v>41669</v>
      </c>
      <c r="B9" s="144" t="s">
        <v>417</v>
      </c>
      <c r="C9" s="97">
        <v>1552.61</v>
      </c>
      <c r="D9" s="97"/>
      <c r="E9" s="131">
        <f>+C9</f>
        <v>1552.61</v>
      </c>
      <c r="F9" s="59">
        <f>+H9/C9</f>
        <v>24.684118999619994</v>
      </c>
      <c r="G9" s="59"/>
      <c r="H9" s="64">
        <v>38324.81</v>
      </c>
      <c r="I9" s="57"/>
      <c r="J9" s="61">
        <f>+H9</f>
        <v>38324.81</v>
      </c>
      <c r="K9" s="144"/>
    </row>
    <row r="10" spans="1:14" s="20" customFormat="1">
      <c r="A10" s="118">
        <v>41669</v>
      </c>
      <c r="B10" s="18" t="s">
        <v>120</v>
      </c>
      <c r="C10" s="63"/>
      <c r="D10" s="63">
        <f>76*5.4+76*5.25</f>
        <v>809.40000000000009</v>
      </c>
      <c r="E10" s="44">
        <f>+E9-D10</f>
        <v>743.20999999999981</v>
      </c>
      <c r="F10" s="19"/>
      <c r="G10" s="59">
        <f>+J9/E9</f>
        <v>24.684118999619994</v>
      </c>
      <c r="H10" s="18"/>
      <c r="I10" s="60">
        <f>D10*G10</f>
        <v>19979.325918292427</v>
      </c>
      <c r="J10" s="61">
        <f>+J9-I10</f>
        <v>18345.484081707571</v>
      </c>
      <c r="K10" s="63"/>
    </row>
    <row r="11" spans="1:14" s="20" customFormat="1">
      <c r="A11" s="118">
        <v>41670</v>
      </c>
      <c r="B11" s="18" t="s">
        <v>121</v>
      </c>
      <c r="C11" s="63"/>
      <c r="D11" s="63">
        <f>9*5.35</f>
        <v>48.15</v>
      </c>
      <c r="E11" s="44">
        <f>E10-D11</f>
        <v>695.05999999999983</v>
      </c>
      <c r="F11" s="19"/>
      <c r="G11" s="59">
        <f>J10/E10</f>
        <v>24.684118999619994</v>
      </c>
      <c r="H11" s="18"/>
      <c r="I11" s="60">
        <f>D11*G11</f>
        <v>1188.5403298317026</v>
      </c>
      <c r="J11" s="61">
        <f>J10-I11</f>
        <v>17156.943751875868</v>
      </c>
      <c r="K11" s="63"/>
    </row>
    <row r="12" spans="1:14" s="20" customFormat="1">
      <c r="A12" s="118">
        <v>41670</v>
      </c>
      <c r="B12" s="18" t="s">
        <v>122</v>
      </c>
      <c r="C12" s="63"/>
      <c r="D12" s="63">
        <f>25*7</f>
        <v>175</v>
      </c>
      <c r="E12" s="44">
        <f t="shared" ref="E12:E29" si="0">E11-D12</f>
        <v>520.05999999999983</v>
      </c>
      <c r="F12" s="19"/>
      <c r="G12" s="59">
        <f t="shared" ref="G12:G29" si="1">J11/E11</f>
        <v>24.684118999619994</v>
      </c>
      <c r="H12" s="18"/>
      <c r="I12" s="60">
        <f t="shared" ref="I12:I29" si="2">D12*G12</f>
        <v>4319.720824933499</v>
      </c>
      <c r="J12" s="61">
        <f t="shared" ref="J12:J29" si="3">J11-I12</f>
        <v>12837.22292694237</v>
      </c>
      <c r="K12" s="80">
        <f>SUM(I10:I12)</f>
        <v>25487.587073057628</v>
      </c>
      <c r="L12" s="145">
        <v>41670</v>
      </c>
      <c r="N12" s="123">
        <f>+K12</f>
        <v>25487.587073057628</v>
      </c>
    </row>
    <row r="13" spans="1:14" s="20" customFormat="1">
      <c r="A13" s="118">
        <v>41671</v>
      </c>
      <c r="B13" s="18" t="s">
        <v>123</v>
      </c>
      <c r="C13" s="63"/>
      <c r="D13" s="63">
        <f>4*2.5</f>
        <v>10</v>
      </c>
      <c r="E13" s="44">
        <f t="shared" si="0"/>
        <v>510.05999999999983</v>
      </c>
      <c r="F13" s="19"/>
      <c r="G13" s="59">
        <f t="shared" si="1"/>
        <v>24.684118999619994</v>
      </c>
      <c r="H13" s="18"/>
      <c r="I13" s="60">
        <f t="shared" si="2"/>
        <v>246.84118999619994</v>
      </c>
      <c r="J13" s="61">
        <f t="shared" si="3"/>
        <v>12590.38173694617</v>
      </c>
      <c r="K13" s="63"/>
    </row>
    <row r="14" spans="1:14" s="20" customFormat="1">
      <c r="A14" s="118">
        <v>41671</v>
      </c>
      <c r="B14" s="18" t="s">
        <v>124</v>
      </c>
      <c r="C14" s="63"/>
      <c r="D14" s="63">
        <f>10*4.25</f>
        <v>42.5</v>
      </c>
      <c r="E14" s="44">
        <f t="shared" si="0"/>
        <v>467.55999999999983</v>
      </c>
      <c r="F14" s="19"/>
      <c r="G14" s="59">
        <f t="shared" si="1"/>
        <v>24.684118999619994</v>
      </c>
      <c r="H14" s="18"/>
      <c r="I14" s="60">
        <f t="shared" si="2"/>
        <v>1049.0750574838498</v>
      </c>
      <c r="J14" s="61">
        <f t="shared" si="3"/>
        <v>11541.306679462321</v>
      </c>
      <c r="K14" s="63"/>
    </row>
    <row r="15" spans="1:14" s="20" customFormat="1">
      <c r="A15" s="118">
        <v>41673</v>
      </c>
      <c r="B15" s="18" t="s">
        <v>125</v>
      </c>
      <c r="C15" s="63"/>
      <c r="D15" s="63">
        <f>3.3</f>
        <v>3.3</v>
      </c>
      <c r="E15" s="44">
        <f t="shared" si="0"/>
        <v>464.25999999999982</v>
      </c>
      <c r="F15" s="19"/>
      <c r="G15" s="59">
        <f t="shared" si="1"/>
        <v>24.684118999619997</v>
      </c>
      <c r="H15" s="18"/>
      <c r="I15" s="60">
        <f t="shared" si="2"/>
        <v>81.457592698745984</v>
      </c>
      <c r="J15" s="61">
        <f t="shared" si="3"/>
        <v>11459.849086763576</v>
      </c>
      <c r="K15" s="63"/>
    </row>
    <row r="16" spans="1:14" s="20" customFormat="1">
      <c r="A16" s="118">
        <v>41673</v>
      </c>
      <c r="B16" s="18" t="s">
        <v>126</v>
      </c>
      <c r="C16" s="63"/>
      <c r="D16" s="63">
        <f>3*1.8</f>
        <v>5.4</v>
      </c>
      <c r="E16" s="44">
        <f t="shared" si="0"/>
        <v>458.85999999999984</v>
      </c>
      <c r="F16" s="19"/>
      <c r="G16" s="59">
        <f t="shared" si="1"/>
        <v>24.684118999619997</v>
      </c>
      <c r="H16" s="18"/>
      <c r="I16" s="60">
        <f t="shared" si="2"/>
        <v>133.294242597948</v>
      </c>
      <c r="J16" s="61">
        <f t="shared" si="3"/>
        <v>11326.554844165628</v>
      </c>
      <c r="K16" s="63"/>
    </row>
    <row r="17" spans="1:14" s="20" customFormat="1">
      <c r="A17" s="118">
        <v>41677</v>
      </c>
      <c r="B17" s="18" t="s">
        <v>127</v>
      </c>
      <c r="C17" s="63"/>
      <c r="D17" s="63">
        <f>2*4</f>
        <v>8</v>
      </c>
      <c r="E17" s="44">
        <f t="shared" si="0"/>
        <v>450.85999999999984</v>
      </c>
      <c r="F17" s="19"/>
      <c r="G17" s="59">
        <f t="shared" si="1"/>
        <v>24.684118999619997</v>
      </c>
      <c r="H17" s="18"/>
      <c r="I17" s="60">
        <f t="shared" si="2"/>
        <v>197.47295199695998</v>
      </c>
      <c r="J17" s="61">
        <f t="shared" si="3"/>
        <v>11129.081892168668</v>
      </c>
      <c r="K17" s="63"/>
    </row>
    <row r="18" spans="1:14" s="20" customFormat="1">
      <c r="A18" s="118">
        <v>41677</v>
      </c>
      <c r="B18" s="18" t="s">
        <v>128</v>
      </c>
      <c r="C18" s="63"/>
      <c r="D18" s="63">
        <f>4*4.7</f>
        <v>18.8</v>
      </c>
      <c r="E18" s="44">
        <f t="shared" si="0"/>
        <v>432.05999999999983</v>
      </c>
      <c r="F18" s="19"/>
      <c r="G18" s="59">
        <f t="shared" si="1"/>
        <v>24.684118999619997</v>
      </c>
      <c r="H18" s="18"/>
      <c r="I18" s="60">
        <f t="shared" si="2"/>
        <v>464.06143719285598</v>
      </c>
      <c r="J18" s="61">
        <f t="shared" si="3"/>
        <v>10665.020454975811</v>
      </c>
      <c r="K18" s="63"/>
    </row>
    <row r="19" spans="1:14" s="20" customFormat="1">
      <c r="A19" s="118">
        <v>41677</v>
      </c>
      <c r="B19" s="18" t="s">
        <v>129</v>
      </c>
      <c r="C19" s="63"/>
      <c r="D19" s="63">
        <f>15*4.5</f>
        <v>67.5</v>
      </c>
      <c r="E19" s="44">
        <f t="shared" si="0"/>
        <v>364.55999999999983</v>
      </c>
      <c r="F19" s="19"/>
      <c r="G19" s="59">
        <f t="shared" si="1"/>
        <v>24.684118999619994</v>
      </c>
      <c r="H19" s="18"/>
      <c r="I19" s="60">
        <f t="shared" si="2"/>
        <v>1666.1780324743495</v>
      </c>
      <c r="J19" s="61">
        <f t="shared" si="3"/>
        <v>8998.8424225014605</v>
      </c>
      <c r="K19" s="63"/>
    </row>
    <row r="20" spans="1:14" s="20" customFormat="1">
      <c r="A20" s="118">
        <v>41678</v>
      </c>
      <c r="B20" s="18" t="s">
        <v>130</v>
      </c>
      <c r="C20" s="63"/>
      <c r="D20" s="63">
        <f>10*4</f>
        <v>40</v>
      </c>
      <c r="E20" s="44">
        <f t="shared" si="0"/>
        <v>324.55999999999983</v>
      </c>
      <c r="F20" s="19"/>
      <c r="G20" s="59">
        <f t="shared" si="1"/>
        <v>24.684118999619994</v>
      </c>
      <c r="H20" s="18"/>
      <c r="I20" s="60">
        <f t="shared" si="2"/>
        <v>987.36475998479978</v>
      </c>
      <c r="J20" s="61">
        <f t="shared" si="3"/>
        <v>8011.4776625166605</v>
      </c>
      <c r="K20" s="63"/>
      <c r="L20" s="145">
        <v>41683</v>
      </c>
      <c r="M20" s="123"/>
      <c r="N20" s="123">
        <f>+M20</f>
        <v>0</v>
      </c>
    </row>
    <row r="21" spans="1:14" s="20" customFormat="1">
      <c r="A21" s="118">
        <v>41684</v>
      </c>
      <c r="B21" s="18" t="s">
        <v>131</v>
      </c>
      <c r="C21" s="63"/>
      <c r="D21" s="63">
        <f>5*11.4</f>
        <v>57</v>
      </c>
      <c r="E21" s="44">
        <f t="shared" si="0"/>
        <v>267.55999999999983</v>
      </c>
      <c r="F21" s="19"/>
      <c r="G21" s="59">
        <f t="shared" si="1"/>
        <v>24.684118999619994</v>
      </c>
      <c r="H21" s="18"/>
      <c r="I21" s="60">
        <f t="shared" si="2"/>
        <v>1406.9947829783396</v>
      </c>
      <c r="J21" s="61">
        <f t="shared" si="3"/>
        <v>6604.482879538321</v>
      </c>
      <c r="K21" s="63"/>
    </row>
    <row r="22" spans="1:14" s="20" customFormat="1">
      <c r="A22" s="118">
        <v>41685</v>
      </c>
      <c r="B22" s="18" t="s">
        <v>214</v>
      </c>
      <c r="C22" s="63"/>
      <c r="D22" s="63">
        <f>2*2.5</f>
        <v>5</v>
      </c>
      <c r="E22" s="44">
        <f t="shared" si="0"/>
        <v>262.55999999999983</v>
      </c>
      <c r="F22" s="19"/>
      <c r="G22" s="59">
        <f>J21/E21</f>
        <v>24.684118999619994</v>
      </c>
      <c r="H22" s="18"/>
      <c r="I22" s="60">
        <f>D22*G22</f>
        <v>123.42059499809997</v>
      </c>
      <c r="J22" s="61">
        <f>J21-I22</f>
        <v>6481.0622845402213</v>
      </c>
      <c r="K22" s="63"/>
    </row>
    <row r="23" spans="1:14" s="20" customFormat="1">
      <c r="A23" s="118">
        <v>41685</v>
      </c>
      <c r="B23" s="18" t="s">
        <v>132</v>
      </c>
      <c r="C23" s="63"/>
      <c r="D23" s="63">
        <f>17*5.18+13*7+3*5.85</f>
        <v>196.61</v>
      </c>
      <c r="E23" s="44">
        <f t="shared" si="0"/>
        <v>65.949999999999818</v>
      </c>
      <c r="F23" s="19"/>
      <c r="G23" s="59">
        <f>J22/E22</f>
        <v>24.684118999619994</v>
      </c>
      <c r="H23" s="18"/>
      <c r="I23" s="60">
        <f>D23*G23</f>
        <v>4853.1446365152869</v>
      </c>
      <c r="J23" s="61">
        <f>J22-I23</f>
        <v>1627.9176480249344</v>
      </c>
      <c r="K23" s="63"/>
    </row>
    <row r="24" spans="1:14" s="20" customFormat="1">
      <c r="A24" s="118">
        <v>41687</v>
      </c>
      <c r="B24" s="18" t="s">
        <v>133</v>
      </c>
      <c r="C24" s="63"/>
      <c r="D24" s="63">
        <f>2*1.2</f>
        <v>2.4</v>
      </c>
      <c r="E24" s="44">
        <f t="shared" si="0"/>
        <v>63.54999999999982</v>
      </c>
      <c r="F24" s="19"/>
      <c r="G24" s="59">
        <f>J23/E23</f>
        <v>24.684118999619997</v>
      </c>
      <c r="H24" s="18"/>
      <c r="I24" s="60">
        <f>D24*G24</f>
        <v>59.241885599087993</v>
      </c>
      <c r="J24" s="61">
        <f>J23-I24</f>
        <v>1568.6757624258464</v>
      </c>
      <c r="K24" s="63"/>
    </row>
    <row r="25" spans="1:14" s="20" customFormat="1">
      <c r="A25" s="118">
        <v>41689</v>
      </c>
      <c r="B25" s="18" t="s">
        <v>134</v>
      </c>
      <c r="C25" s="63"/>
      <c r="D25" s="63">
        <f>12*2</f>
        <v>24</v>
      </c>
      <c r="E25" s="44">
        <f t="shared" si="0"/>
        <v>39.54999999999982</v>
      </c>
      <c r="F25" s="19"/>
      <c r="G25" s="59">
        <f t="shared" si="1"/>
        <v>24.684118999619997</v>
      </c>
      <c r="H25" s="18"/>
      <c r="I25" s="60">
        <f t="shared" si="2"/>
        <v>592.41885599087993</v>
      </c>
      <c r="J25" s="61">
        <f t="shared" si="3"/>
        <v>976.25690643496648</v>
      </c>
      <c r="K25" s="63"/>
    </row>
    <row r="26" spans="1:14" s="20" customFormat="1">
      <c r="A26" s="118">
        <v>41687</v>
      </c>
      <c r="B26" s="18" t="s">
        <v>135</v>
      </c>
      <c r="C26" s="63"/>
      <c r="D26" s="63">
        <f>12*2.6+3.1</f>
        <v>34.300000000000004</v>
      </c>
      <c r="E26" s="44">
        <f t="shared" si="0"/>
        <v>5.2499999999998153</v>
      </c>
      <c r="F26" s="19"/>
      <c r="G26" s="59">
        <f t="shared" si="1"/>
        <v>24.684118999619997</v>
      </c>
      <c r="H26" s="18"/>
      <c r="I26" s="60">
        <f t="shared" si="2"/>
        <v>846.66528168696595</v>
      </c>
      <c r="J26" s="61">
        <f t="shared" si="3"/>
        <v>129.59162474800053</v>
      </c>
      <c r="K26" s="63"/>
    </row>
    <row r="27" spans="1:14" s="20" customFormat="1">
      <c r="A27" s="118">
        <v>41690</v>
      </c>
      <c r="B27" s="18" t="s">
        <v>136</v>
      </c>
      <c r="C27" s="63"/>
      <c r="D27" s="63">
        <f>5*0.35</f>
        <v>1.75</v>
      </c>
      <c r="E27" s="44">
        <f t="shared" si="0"/>
        <v>3.4999999999998153</v>
      </c>
      <c r="F27" s="19"/>
      <c r="G27" s="59">
        <f t="shared" si="1"/>
        <v>24.684118999620015</v>
      </c>
      <c r="H27" s="18"/>
      <c r="I27" s="60">
        <f t="shared" si="2"/>
        <v>43.197208249335027</v>
      </c>
      <c r="J27" s="61">
        <f t="shared" si="3"/>
        <v>86.394416498665493</v>
      </c>
      <c r="K27" s="63"/>
    </row>
    <row r="28" spans="1:14" s="20" customFormat="1">
      <c r="A28" s="118">
        <v>41691</v>
      </c>
      <c r="B28" s="18" t="s">
        <v>137</v>
      </c>
      <c r="C28" s="63"/>
      <c r="D28" s="63">
        <f>2*1</f>
        <v>2</v>
      </c>
      <c r="E28" s="44">
        <f t="shared" si="0"/>
        <v>1.4999999999998153</v>
      </c>
      <c r="F28" s="19"/>
      <c r="G28" s="59">
        <f t="shared" si="1"/>
        <v>24.684118999620015</v>
      </c>
      <c r="H28" s="18"/>
      <c r="I28" s="60">
        <f t="shared" si="2"/>
        <v>49.36823799924003</v>
      </c>
      <c r="J28" s="61">
        <f t="shared" si="3"/>
        <v>37.026178499425463</v>
      </c>
      <c r="K28" s="80">
        <f>SUM(I13:I28)</f>
        <v>12800.196748442946</v>
      </c>
      <c r="L28" s="145">
        <v>41698</v>
      </c>
      <c r="M28" s="123"/>
      <c r="N28" s="123">
        <f>+K28</f>
        <v>12800.196748442946</v>
      </c>
    </row>
    <row r="29" spans="1:14" s="62" customFormat="1" ht="14.25" customHeight="1">
      <c r="A29" s="118">
        <v>41709</v>
      </c>
      <c r="B29" s="18" t="s">
        <v>241</v>
      </c>
      <c r="C29" s="63"/>
      <c r="D29" s="63">
        <f>3*0.5</f>
        <v>1.5</v>
      </c>
      <c r="E29" s="44">
        <f t="shared" si="0"/>
        <v>-1.8474111129762605E-13</v>
      </c>
      <c r="F29" s="19"/>
      <c r="G29" s="59">
        <f t="shared" si="1"/>
        <v>24.684118999620015</v>
      </c>
      <c r="H29" s="18"/>
      <c r="I29" s="60">
        <f t="shared" si="2"/>
        <v>37.026178499430024</v>
      </c>
      <c r="J29" s="61">
        <f t="shared" si="3"/>
        <v>-4.5616843635798432E-12</v>
      </c>
      <c r="K29" s="81">
        <f>SUM(I29)</f>
        <v>37.026178499430024</v>
      </c>
      <c r="L29" s="147">
        <v>41728</v>
      </c>
      <c r="N29" s="146">
        <f>+K29</f>
        <v>37.026178499430024</v>
      </c>
    </row>
    <row r="30" spans="1:14" s="20" customFormat="1">
      <c r="A30" s="118"/>
      <c r="B30" s="18"/>
      <c r="C30" s="63"/>
      <c r="D30" s="63"/>
      <c r="E30" s="44"/>
      <c r="F30" s="19"/>
      <c r="G30" s="59"/>
      <c r="H30" s="18"/>
      <c r="I30" s="60"/>
      <c r="J30" s="61"/>
      <c r="K30" s="63"/>
    </row>
    <row r="31" spans="1:14" s="20" customFormat="1">
      <c r="A31" s="118"/>
      <c r="B31" s="18"/>
      <c r="C31" s="63"/>
      <c r="D31" s="63"/>
      <c r="E31" s="44"/>
      <c r="F31" s="19"/>
      <c r="G31" s="59"/>
      <c r="H31" s="18"/>
      <c r="I31" s="60"/>
      <c r="J31" s="61"/>
      <c r="K31" s="63"/>
    </row>
    <row r="32" spans="1:14" s="20" customFormat="1">
      <c r="A32" s="118"/>
      <c r="B32" s="18" t="s">
        <v>862</v>
      </c>
      <c r="C32" s="61">
        <f>SUM(C9:C31)</f>
        <v>1552.61</v>
      </c>
      <c r="D32" s="61">
        <f t="shared" ref="D32:I32" si="4">SUM(D9:D31)</f>
        <v>1552.6100000000004</v>
      </c>
      <c r="E32" s="61">
        <f>+C32-D32</f>
        <v>0</v>
      </c>
      <c r="F32" s="61"/>
      <c r="G32" s="61"/>
      <c r="H32" s="61">
        <f t="shared" si="4"/>
        <v>38324.81</v>
      </c>
      <c r="I32" s="61">
        <f t="shared" si="4"/>
        <v>38324.810000000005</v>
      </c>
      <c r="J32" s="133">
        <f>+H32-I32</f>
        <v>0</v>
      </c>
      <c r="K32" s="63"/>
      <c r="N32" s="20">
        <f>SUM(N12:N31)</f>
        <v>38324.810000000005</v>
      </c>
    </row>
    <row r="33" spans="1:11" s="20" customFormat="1">
      <c r="A33" s="118"/>
      <c r="B33" s="18"/>
      <c r="C33" s="63"/>
      <c r="D33" s="63"/>
      <c r="E33" s="44"/>
      <c r="F33" s="19"/>
      <c r="G33" s="59"/>
      <c r="H33" s="18"/>
      <c r="I33" s="60"/>
      <c r="J33" s="61"/>
      <c r="K33" s="63"/>
    </row>
    <row r="34" spans="1:1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>
      <c r="A35" s="96" t="s">
        <v>863</v>
      </c>
      <c r="B35" s="32"/>
      <c r="C35" s="2"/>
      <c r="D35" s="2"/>
      <c r="E35" s="2"/>
      <c r="F35" s="2"/>
    </row>
    <row r="36" spans="1:11">
      <c r="A36" s="96"/>
      <c r="B36" s="32"/>
      <c r="C36" s="2"/>
      <c r="D36" s="2"/>
      <c r="E36" s="2"/>
      <c r="F36" s="2"/>
    </row>
    <row r="37" spans="1:11">
      <c r="A37" s="96" t="s">
        <v>864</v>
      </c>
      <c r="B37" s="32"/>
      <c r="C37" s="2"/>
      <c r="D37" s="2"/>
      <c r="E37" s="2"/>
      <c r="F37" s="2"/>
      <c r="J37" s="55">
        <f>+J32</f>
        <v>0</v>
      </c>
    </row>
    <row r="38" spans="1:11">
      <c r="A38" s="96" t="s">
        <v>865</v>
      </c>
      <c r="B38" s="32"/>
      <c r="C38" s="2"/>
      <c r="D38" s="2"/>
      <c r="E38" s="2"/>
      <c r="F38" s="2"/>
      <c r="J38" s="122">
        <f>+J32</f>
        <v>0</v>
      </c>
    </row>
    <row r="39" spans="1:11">
      <c r="A39" s="96"/>
      <c r="B39" s="32" t="s">
        <v>866</v>
      </c>
      <c r="C39" s="2"/>
      <c r="D39" s="2"/>
      <c r="E39" s="2"/>
      <c r="F39" s="2"/>
      <c r="J39" s="55">
        <f>+J37-J38</f>
        <v>0</v>
      </c>
    </row>
  </sheetData>
  <mergeCells count="4">
    <mergeCell ref="D4:H4"/>
    <mergeCell ref="C7:E7"/>
    <mergeCell ref="F7:G7"/>
    <mergeCell ref="H7:J7"/>
  </mergeCells>
  <pageMargins left="1.1811023622047245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topLeftCell="E13" workbookViewId="0">
      <selection activeCell="N31" sqref="N31"/>
    </sheetView>
  </sheetViews>
  <sheetFormatPr baseColWidth="10" defaultRowHeight="15"/>
  <cols>
    <col min="2" max="2" width="26.42578125" customWidth="1"/>
    <col min="11" max="11" width="11.85546875" customWidth="1"/>
  </cols>
  <sheetData>
    <row r="1" spans="1:13" s="20" customFormat="1">
      <c r="A1" s="82" t="s">
        <v>0</v>
      </c>
      <c r="B1" s="83"/>
      <c r="C1" s="84"/>
      <c r="D1" s="84"/>
      <c r="E1" s="84"/>
      <c r="F1" s="84"/>
      <c r="G1" s="84"/>
      <c r="H1" s="85" t="s">
        <v>1</v>
      </c>
      <c r="I1" s="84"/>
      <c r="J1" s="84"/>
      <c r="K1" s="86"/>
    </row>
    <row r="2" spans="1:13" s="20" customFormat="1">
      <c r="A2" s="87" t="s">
        <v>2</v>
      </c>
      <c r="B2" s="1"/>
      <c r="C2" s="2"/>
      <c r="D2" s="2"/>
      <c r="E2" s="2"/>
      <c r="F2" s="2"/>
      <c r="G2" s="2"/>
      <c r="H2" s="21" t="s">
        <v>876</v>
      </c>
      <c r="I2" s="2"/>
      <c r="J2" s="2"/>
      <c r="K2" s="88"/>
    </row>
    <row r="3" spans="1:13" s="20" customFormat="1">
      <c r="A3" s="89" t="s">
        <v>4</v>
      </c>
      <c r="B3" s="3"/>
      <c r="C3" s="2"/>
      <c r="D3" s="2"/>
      <c r="E3" s="2"/>
      <c r="F3" s="2"/>
      <c r="G3" s="2"/>
      <c r="H3" s="21" t="s">
        <v>5</v>
      </c>
      <c r="I3" s="2"/>
      <c r="J3" s="2"/>
      <c r="K3" s="88"/>
    </row>
    <row r="4" spans="1:13" s="20" customFormat="1" ht="18">
      <c r="A4" s="90"/>
      <c r="B4" s="2"/>
      <c r="C4" s="2"/>
      <c r="D4" s="150" t="s">
        <v>6</v>
      </c>
      <c r="E4" s="150"/>
      <c r="F4" s="150"/>
      <c r="G4" s="150"/>
      <c r="H4" s="150"/>
      <c r="I4" s="2"/>
      <c r="J4" s="2"/>
      <c r="K4" s="88"/>
    </row>
    <row r="5" spans="1:13" s="20" customFormat="1">
      <c r="A5" s="90"/>
      <c r="B5" s="4"/>
      <c r="C5" s="2"/>
      <c r="D5" s="21" t="s">
        <v>23</v>
      </c>
      <c r="E5" s="4"/>
      <c r="F5" s="4"/>
      <c r="G5" s="2"/>
      <c r="H5" s="2"/>
      <c r="I5" s="2"/>
      <c r="J5" s="2"/>
      <c r="K5" s="88"/>
    </row>
    <row r="6" spans="1:13" s="20" customFormat="1">
      <c r="A6" s="91"/>
      <c r="B6" s="4"/>
      <c r="C6" s="2"/>
      <c r="D6" s="2" t="s">
        <v>7</v>
      </c>
      <c r="E6" s="4"/>
      <c r="F6" s="4"/>
      <c r="G6" s="2"/>
      <c r="H6" s="2"/>
      <c r="I6" s="2"/>
      <c r="J6" s="2"/>
      <c r="K6" s="88"/>
    </row>
    <row r="7" spans="1:13" s="20" customFormat="1">
      <c r="A7" s="35" t="s">
        <v>8</v>
      </c>
      <c r="B7" s="7" t="s">
        <v>9</v>
      </c>
      <c r="C7" s="151" t="s">
        <v>10</v>
      </c>
      <c r="D7" s="151"/>
      <c r="E7" s="152"/>
      <c r="F7" s="153" t="s">
        <v>11</v>
      </c>
      <c r="G7" s="153"/>
      <c r="H7" s="154" t="s">
        <v>12</v>
      </c>
      <c r="I7" s="155"/>
      <c r="J7" s="155"/>
      <c r="K7" s="5" t="s">
        <v>13</v>
      </c>
    </row>
    <row r="8" spans="1:13" s="20" customFormat="1">
      <c r="A8" s="37"/>
      <c r="B8" s="8"/>
      <c r="C8" s="8" t="s">
        <v>14</v>
      </c>
      <c r="D8" s="6" t="s">
        <v>15</v>
      </c>
      <c r="E8" s="9" t="s">
        <v>16</v>
      </c>
      <c r="F8" s="10" t="s">
        <v>17</v>
      </c>
      <c r="G8" s="10" t="s">
        <v>18</v>
      </c>
      <c r="H8" s="6" t="s">
        <v>19</v>
      </c>
      <c r="I8" s="11" t="s">
        <v>20</v>
      </c>
      <c r="J8" s="12" t="s">
        <v>21</v>
      </c>
      <c r="K8" s="13"/>
    </row>
    <row r="9" spans="1:13" s="20" customFormat="1" ht="14.25" customHeight="1">
      <c r="A9" s="114"/>
      <c r="B9" s="28" t="s">
        <v>22</v>
      </c>
      <c r="C9" s="14">
        <v>6592.2</v>
      </c>
      <c r="D9" s="15"/>
      <c r="E9" s="17">
        <f>+C9</f>
        <v>6592.2</v>
      </c>
      <c r="F9" s="29">
        <f>+H9/C9</f>
        <v>19.821282728072571</v>
      </c>
      <c r="G9" s="29"/>
      <c r="H9" s="16">
        <v>130665.86</v>
      </c>
      <c r="I9" s="30"/>
      <c r="J9" s="26">
        <f>+H9</f>
        <v>130665.86</v>
      </c>
      <c r="K9" s="28"/>
    </row>
    <row r="10" spans="1:13" s="20" customFormat="1">
      <c r="A10" s="118">
        <v>41641</v>
      </c>
      <c r="B10" s="18" t="s">
        <v>228</v>
      </c>
      <c r="C10" s="63"/>
      <c r="D10" s="63">
        <f>4*3</f>
        <v>12</v>
      </c>
      <c r="E10" s="44">
        <f>+E9-D10</f>
        <v>6580.2</v>
      </c>
      <c r="F10" s="19"/>
      <c r="G10" s="59">
        <f>+J9/E9</f>
        <v>19.821282728072571</v>
      </c>
      <c r="H10" s="18"/>
      <c r="I10" s="60">
        <f>+D10*G10</f>
        <v>237.85539273687084</v>
      </c>
      <c r="J10" s="61">
        <f>+J9-I10</f>
        <v>130428.00460726312</v>
      </c>
      <c r="K10" s="23"/>
    </row>
    <row r="11" spans="1:13" s="20" customFormat="1">
      <c r="A11" s="118">
        <v>41642</v>
      </c>
      <c r="B11" s="18" t="s">
        <v>229</v>
      </c>
      <c r="C11" s="63"/>
      <c r="D11" s="63">
        <f>9*3</f>
        <v>27</v>
      </c>
      <c r="E11" s="44">
        <f t="shared" ref="E11:E28" si="0">+E10-D11</f>
        <v>6553.2</v>
      </c>
      <c r="F11" s="19"/>
      <c r="G11" s="59">
        <f t="shared" ref="G11:G28" si="1">+J10/E10</f>
        <v>19.821282728072571</v>
      </c>
      <c r="H11" s="18"/>
      <c r="I11" s="60">
        <f t="shared" ref="I11:I28" si="2">+D11*G11</f>
        <v>535.17463365795948</v>
      </c>
      <c r="J11" s="61">
        <f t="shared" ref="J11:J28" si="3">+J10-I11</f>
        <v>129892.82997360517</v>
      </c>
      <c r="K11" s="23"/>
    </row>
    <row r="12" spans="1:13" s="20" customFormat="1">
      <c r="A12" s="118">
        <v>41642</v>
      </c>
      <c r="B12" s="18" t="s">
        <v>231</v>
      </c>
      <c r="C12" s="63"/>
      <c r="D12" s="18">
        <f>39*3</f>
        <v>117</v>
      </c>
      <c r="E12" s="44">
        <f t="shared" si="0"/>
        <v>6436.2</v>
      </c>
      <c r="F12" s="19"/>
      <c r="G12" s="59">
        <f t="shared" si="1"/>
        <v>19.821282728072571</v>
      </c>
      <c r="H12" s="18"/>
      <c r="I12" s="60">
        <f t="shared" si="2"/>
        <v>2319.0900791844906</v>
      </c>
      <c r="J12" s="61">
        <f t="shared" si="3"/>
        <v>127573.73989442068</v>
      </c>
      <c r="K12" s="23"/>
      <c r="L12" s="145">
        <v>41642</v>
      </c>
      <c r="M12" s="123">
        <f>SUM(I10:I12)</f>
        <v>3092.1201055793208</v>
      </c>
    </row>
    <row r="13" spans="1:13" s="20" customFormat="1">
      <c r="A13" s="118">
        <v>41648</v>
      </c>
      <c r="B13" s="18" t="s">
        <v>230</v>
      </c>
      <c r="C13" s="63"/>
      <c r="D13" s="63">
        <f>2*3</f>
        <v>6</v>
      </c>
      <c r="E13" s="44">
        <f t="shared" si="0"/>
        <v>6430.2</v>
      </c>
      <c r="F13" s="19"/>
      <c r="G13" s="59">
        <f t="shared" si="1"/>
        <v>19.821282728072571</v>
      </c>
      <c r="H13" s="18"/>
      <c r="I13" s="60">
        <f t="shared" si="2"/>
        <v>118.92769636843542</v>
      </c>
      <c r="J13" s="61">
        <f t="shared" si="3"/>
        <v>127454.81219805224</v>
      </c>
      <c r="K13" s="63"/>
    </row>
    <row r="14" spans="1:13" s="20" customFormat="1">
      <c r="A14" s="118">
        <v>41652</v>
      </c>
      <c r="B14" s="18" t="s">
        <v>232</v>
      </c>
      <c r="C14" s="63"/>
      <c r="D14" s="18">
        <f>16*3</f>
        <v>48</v>
      </c>
      <c r="E14" s="44">
        <f t="shared" si="0"/>
        <v>6382.2</v>
      </c>
      <c r="F14" s="59"/>
      <c r="G14" s="59">
        <f t="shared" si="1"/>
        <v>19.821282728072571</v>
      </c>
      <c r="H14" s="64"/>
      <c r="I14" s="60">
        <f t="shared" si="2"/>
        <v>951.42157094748336</v>
      </c>
      <c r="J14" s="61">
        <f t="shared" si="3"/>
        <v>126503.39062710476</v>
      </c>
      <c r="K14" s="97"/>
    </row>
    <row r="15" spans="1:13" s="20" customFormat="1">
      <c r="A15" s="118">
        <v>41656</v>
      </c>
      <c r="B15" s="18" t="s">
        <v>233</v>
      </c>
      <c r="C15" s="63"/>
      <c r="D15" s="18">
        <f>4*3</f>
        <v>12</v>
      </c>
      <c r="E15" s="44">
        <f t="shared" si="0"/>
        <v>6370.2</v>
      </c>
      <c r="F15" s="59"/>
      <c r="G15" s="59">
        <f t="shared" si="1"/>
        <v>19.821282728072571</v>
      </c>
      <c r="H15" s="64"/>
      <c r="I15" s="60">
        <f t="shared" si="2"/>
        <v>237.85539273687084</v>
      </c>
      <c r="J15" s="61">
        <f t="shared" si="3"/>
        <v>126265.53523436788</v>
      </c>
      <c r="K15" s="97"/>
      <c r="L15" s="145">
        <v>41659</v>
      </c>
      <c r="M15" s="123">
        <f>SUM(I13:I15)</f>
        <v>1308.2046600527897</v>
      </c>
    </row>
    <row r="16" spans="1:13" s="20" customFormat="1">
      <c r="A16" s="118">
        <v>41663</v>
      </c>
      <c r="B16" s="18" t="s">
        <v>234</v>
      </c>
      <c r="C16" s="63"/>
      <c r="D16" s="18">
        <f>4*3</f>
        <v>12</v>
      </c>
      <c r="E16" s="44">
        <f t="shared" si="0"/>
        <v>6358.2</v>
      </c>
      <c r="F16" s="59"/>
      <c r="G16" s="59">
        <f t="shared" si="1"/>
        <v>19.821282728072571</v>
      </c>
      <c r="H16" s="64"/>
      <c r="I16" s="60">
        <f t="shared" si="2"/>
        <v>237.85539273687084</v>
      </c>
      <c r="J16" s="61">
        <f t="shared" si="3"/>
        <v>126027.679841631</v>
      </c>
      <c r="K16" s="97"/>
    </row>
    <row r="17" spans="1:14" s="20" customFormat="1">
      <c r="A17" s="118">
        <v>41664</v>
      </c>
      <c r="B17" s="18" t="s">
        <v>235</v>
      </c>
      <c r="C17" s="63"/>
      <c r="D17" s="18">
        <f>3*3</f>
        <v>9</v>
      </c>
      <c r="E17" s="44">
        <f t="shared" si="0"/>
        <v>6349.2</v>
      </c>
      <c r="F17" s="59"/>
      <c r="G17" s="59">
        <f t="shared" si="1"/>
        <v>19.821282728072568</v>
      </c>
      <c r="H17" s="64"/>
      <c r="I17" s="60">
        <f t="shared" si="2"/>
        <v>178.3915445526531</v>
      </c>
      <c r="J17" s="61">
        <f t="shared" si="3"/>
        <v>125849.28829707835</v>
      </c>
      <c r="K17" s="80">
        <f>SUM(I10:I17)</f>
        <v>4816.5717029216348</v>
      </c>
      <c r="L17" s="145">
        <v>41669</v>
      </c>
      <c r="M17" s="123">
        <f>SUM(I16:I17)</f>
        <v>416.24693728952394</v>
      </c>
      <c r="N17" s="123">
        <f>SUM(M12:M17)</f>
        <v>4816.5717029216348</v>
      </c>
    </row>
    <row r="18" spans="1:14" s="20" customFormat="1">
      <c r="A18" s="118">
        <v>41675</v>
      </c>
      <c r="B18" s="18" t="s">
        <v>212</v>
      </c>
      <c r="C18" s="63"/>
      <c r="D18" s="18">
        <f>30*3</f>
        <v>90</v>
      </c>
      <c r="E18" s="44">
        <f t="shared" si="0"/>
        <v>6259.2</v>
      </c>
      <c r="F18" s="59"/>
      <c r="G18" s="59">
        <f t="shared" si="1"/>
        <v>19.821282728072568</v>
      </c>
      <c r="H18" s="64"/>
      <c r="I18" s="60">
        <f t="shared" si="2"/>
        <v>1783.9154455265311</v>
      </c>
      <c r="J18" s="61">
        <f t="shared" si="3"/>
        <v>124065.37285155182</v>
      </c>
      <c r="K18" s="50"/>
    </row>
    <row r="19" spans="1:14" s="20" customFormat="1">
      <c r="A19" s="118">
        <v>41683</v>
      </c>
      <c r="B19" s="18" t="s">
        <v>211</v>
      </c>
      <c r="C19" s="63"/>
      <c r="D19" s="18">
        <f>2*3</f>
        <v>6</v>
      </c>
      <c r="E19" s="44">
        <f t="shared" si="0"/>
        <v>6253.2</v>
      </c>
      <c r="F19" s="59"/>
      <c r="G19" s="59">
        <f t="shared" si="1"/>
        <v>19.821282728072568</v>
      </c>
      <c r="H19" s="64"/>
      <c r="I19" s="60">
        <f t="shared" si="2"/>
        <v>118.92769636843541</v>
      </c>
      <c r="J19" s="61">
        <f t="shared" si="3"/>
        <v>123946.44515518338</v>
      </c>
      <c r="K19" s="50"/>
      <c r="L19" s="145">
        <v>41683</v>
      </c>
      <c r="M19" s="123">
        <f>SUM(I18:I19)</f>
        <v>1902.8431418949665</v>
      </c>
    </row>
    <row r="20" spans="1:14" s="20" customFormat="1">
      <c r="A20" s="118">
        <v>41684</v>
      </c>
      <c r="B20" s="18" t="s">
        <v>246</v>
      </c>
      <c r="C20" s="63"/>
      <c r="D20" s="18">
        <f>3*3</f>
        <v>9</v>
      </c>
      <c r="E20" s="44">
        <f t="shared" si="0"/>
        <v>6244.2</v>
      </c>
      <c r="F20" s="59"/>
      <c r="G20" s="59">
        <f t="shared" si="1"/>
        <v>19.821282728072568</v>
      </c>
      <c r="H20" s="64"/>
      <c r="I20" s="60">
        <f t="shared" si="2"/>
        <v>178.3915445526531</v>
      </c>
      <c r="J20" s="61">
        <f t="shared" si="3"/>
        <v>123768.05361063073</v>
      </c>
      <c r="K20" s="50"/>
    </row>
    <row r="21" spans="1:14" s="20" customFormat="1">
      <c r="A21" s="118">
        <v>41685</v>
      </c>
      <c r="B21" s="18" t="s">
        <v>216</v>
      </c>
      <c r="C21" s="63"/>
      <c r="D21" s="18">
        <f>3*2</f>
        <v>6</v>
      </c>
      <c r="E21" s="44">
        <f t="shared" si="0"/>
        <v>6238.2</v>
      </c>
      <c r="F21" s="59"/>
      <c r="G21" s="59">
        <f t="shared" si="1"/>
        <v>19.821282728072568</v>
      </c>
      <c r="H21" s="64"/>
      <c r="I21" s="60">
        <f t="shared" si="2"/>
        <v>118.92769636843541</v>
      </c>
      <c r="J21" s="61">
        <f t="shared" si="3"/>
        <v>123649.12591426229</v>
      </c>
      <c r="K21" s="80">
        <f>SUM(I18:I21)</f>
        <v>2200.162382816055</v>
      </c>
      <c r="L21" s="145">
        <v>41698</v>
      </c>
      <c r="M21" s="123">
        <f>SUM(I20:I21)</f>
        <v>297.31924092108852</v>
      </c>
      <c r="N21" s="123">
        <f>SUM(M19:M21)</f>
        <v>2200.162382816055</v>
      </c>
    </row>
    <row r="22" spans="1:14" s="20" customFormat="1">
      <c r="A22" s="118">
        <v>41822</v>
      </c>
      <c r="B22" s="18" t="s">
        <v>405</v>
      </c>
      <c r="C22" s="63"/>
      <c r="D22" s="18">
        <f>11*3</f>
        <v>33</v>
      </c>
      <c r="E22" s="44">
        <f t="shared" si="0"/>
        <v>6205.2</v>
      </c>
      <c r="F22" s="59"/>
      <c r="G22" s="59">
        <f t="shared" si="1"/>
        <v>19.821282728072568</v>
      </c>
      <c r="H22" s="64"/>
      <c r="I22" s="60">
        <f t="shared" si="2"/>
        <v>654.10233002639472</v>
      </c>
      <c r="J22" s="61">
        <f t="shared" si="3"/>
        <v>122995.0235842359</v>
      </c>
      <c r="K22" s="80">
        <f>SUM(I22)</f>
        <v>654.10233002639472</v>
      </c>
      <c r="L22" s="145">
        <v>41835</v>
      </c>
      <c r="N22" s="123">
        <f>+K22</f>
        <v>654.10233002639472</v>
      </c>
    </row>
    <row r="23" spans="1:14" s="62" customFormat="1">
      <c r="A23" s="118">
        <v>41909</v>
      </c>
      <c r="B23" s="18" t="s">
        <v>622</v>
      </c>
      <c r="C23" s="63"/>
      <c r="D23" s="18">
        <f>24*3</f>
        <v>72</v>
      </c>
      <c r="E23" s="44">
        <f t="shared" si="0"/>
        <v>6133.2</v>
      </c>
      <c r="F23" s="59"/>
      <c r="G23" s="59">
        <f t="shared" si="1"/>
        <v>19.821282728072568</v>
      </c>
      <c r="H23" s="64"/>
      <c r="I23" s="60">
        <f t="shared" si="2"/>
        <v>1427.1323564212248</v>
      </c>
      <c r="J23" s="61">
        <f t="shared" si="3"/>
        <v>121567.89122781467</v>
      </c>
      <c r="K23" s="81">
        <f>SUM(I23)</f>
        <v>1427.1323564212248</v>
      </c>
      <c r="L23" s="147">
        <v>41912</v>
      </c>
      <c r="N23" s="146">
        <f>+K23</f>
        <v>1427.1323564212248</v>
      </c>
    </row>
    <row r="24" spans="1:14" s="20" customFormat="1">
      <c r="A24" s="118">
        <v>41926</v>
      </c>
      <c r="B24" s="18" t="s">
        <v>693</v>
      </c>
      <c r="C24" s="63"/>
      <c r="D24" s="18">
        <f>3*3</f>
        <v>9</v>
      </c>
      <c r="E24" s="44">
        <f t="shared" si="0"/>
        <v>6124.2</v>
      </c>
      <c r="F24" s="59"/>
      <c r="G24" s="59">
        <f t="shared" si="1"/>
        <v>19.821282728072568</v>
      </c>
      <c r="H24" s="64"/>
      <c r="I24" s="60">
        <f t="shared" si="2"/>
        <v>178.3915445526531</v>
      </c>
      <c r="J24" s="61">
        <f t="shared" si="3"/>
        <v>121389.49968326202</v>
      </c>
      <c r="K24" s="50"/>
    </row>
    <row r="25" spans="1:14" s="62" customFormat="1">
      <c r="A25" s="118">
        <v>41934</v>
      </c>
      <c r="B25" s="18" t="s">
        <v>705</v>
      </c>
      <c r="C25" s="63"/>
      <c r="D25" s="18">
        <f>5*3</f>
        <v>15</v>
      </c>
      <c r="E25" s="44">
        <f t="shared" si="0"/>
        <v>6109.2</v>
      </c>
      <c r="F25" s="59"/>
      <c r="G25" s="59">
        <f t="shared" si="1"/>
        <v>19.821282728072568</v>
      </c>
      <c r="H25" s="64"/>
      <c r="I25" s="60">
        <f t="shared" si="2"/>
        <v>297.31924092108852</v>
      </c>
      <c r="J25" s="61">
        <f t="shared" si="3"/>
        <v>121092.18044234093</v>
      </c>
      <c r="K25" s="81">
        <f>SUM(I24:I25)</f>
        <v>475.71078547374162</v>
      </c>
      <c r="N25" s="146">
        <f>+K25</f>
        <v>475.71078547374162</v>
      </c>
    </row>
    <row r="26" spans="1:14" s="20" customFormat="1">
      <c r="A26" s="118">
        <v>41954</v>
      </c>
      <c r="B26" s="18" t="s">
        <v>741</v>
      </c>
      <c r="C26" s="63"/>
      <c r="D26" s="18">
        <f>2*3</f>
        <v>6</v>
      </c>
      <c r="E26" s="44">
        <f t="shared" si="0"/>
        <v>6103.2</v>
      </c>
      <c r="F26" s="59"/>
      <c r="G26" s="59">
        <f t="shared" si="1"/>
        <v>19.821282728072568</v>
      </c>
      <c r="H26" s="64"/>
      <c r="I26" s="60">
        <f t="shared" si="2"/>
        <v>118.92769636843541</v>
      </c>
      <c r="J26" s="61">
        <f t="shared" si="3"/>
        <v>120973.2527459725</v>
      </c>
      <c r="K26" s="50"/>
    </row>
    <row r="27" spans="1:14" s="20" customFormat="1">
      <c r="A27" s="118">
        <v>41972</v>
      </c>
      <c r="B27" s="18" t="s">
        <v>859</v>
      </c>
      <c r="C27" s="63"/>
      <c r="D27" s="18">
        <f>4*3</f>
        <v>12</v>
      </c>
      <c r="E27" s="44">
        <f t="shared" si="0"/>
        <v>6091.2</v>
      </c>
      <c r="F27" s="59"/>
      <c r="G27" s="59">
        <f t="shared" si="1"/>
        <v>19.821282728072568</v>
      </c>
      <c r="H27" s="64"/>
      <c r="I27" s="60">
        <f t="shared" si="2"/>
        <v>237.85539273687081</v>
      </c>
      <c r="J27" s="61">
        <f t="shared" si="3"/>
        <v>120735.39735323562</v>
      </c>
      <c r="K27" s="80">
        <f>SUM(I26:I27)</f>
        <v>356.7830891053062</v>
      </c>
      <c r="N27" s="123">
        <f>+K27</f>
        <v>356.7830891053062</v>
      </c>
    </row>
    <row r="28" spans="1:14" s="20" customFormat="1">
      <c r="A28" s="118">
        <v>41975</v>
      </c>
      <c r="B28" s="18" t="s">
        <v>860</v>
      </c>
      <c r="C28" s="63"/>
      <c r="D28" s="18">
        <f>15*3</f>
        <v>45</v>
      </c>
      <c r="E28" s="44">
        <f t="shared" si="0"/>
        <v>6046.2</v>
      </c>
      <c r="F28" s="59"/>
      <c r="G28" s="59">
        <f t="shared" si="1"/>
        <v>19.821282728072568</v>
      </c>
      <c r="H28" s="64"/>
      <c r="I28" s="60">
        <f t="shared" si="2"/>
        <v>891.95772276326556</v>
      </c>
      <c r="J28" s="61">
        <f t="shared" si="3"/>
        <v>119843.43963047235</v>
      </c>
      <c r="K28" s="80">
        <f>SUM(I28)</f>
        <v>891.95772276326556</v>
      </c>
      <c r="N28" s="123">
        <f>+K28</f>
        <v>891.95772276326556</v>
      </c>
    </row>
    <row r="29" spans="1:14" s="20" customFormat="1">
      <c r="A29" s="118"/>
      <c r="B29" s="18"/>
      <c r="C29" s="63"/>
      <c r="D29" s="18"/>
      <c r="E29" s="44"/>
      <c r="F29" s="59"/>
      <c r="G29" s="59"/>
      <c r="H29" s="64"/>
      <c r="I29" s="60"/>
      <c r="J29" s="61"/>
      <c r="K29" s="50"/>
    </row>
    <row r="30" spans="1:14" s="20" customFormat="1">
      <c r="A30" s="118"/>
      <c r="B30" s="18" t="s">
        <v>862</v>
      </c>
      <c r="C30" s="63">
        <f>SUM(C9:C29)</f>
        <v>6592.2</v>
      </c>
      <c r="D30" s="63">
        <f>SUM(D9:D29)</f>
        <v>546</v>
      </c>
      <c r="E30" s="44">
        <f>+C30-D30</f>
        <v>6046.2</v>
      </c>
      <c r="F30" s="59"/>
      <c r="G30" s="59"/>
      <c r="H30" s="61">
        <f>SUM(H9:H29)</f>
        <v>130665.86</v>
      </c>
      <c r="I30" s="61">
        <f>SUM(I9:I29)</f>
        <v>10822.420369527621</v>
      </c>
      <c r="J30" s="61">
        <f>+H30-I30</f>
        <v>119843.43963047238</v>
      </c>
      <c r="K30" s="50"/>
      <c r="N30" s="123">
        <f>SUM(N17:N29)</f>
        <v>10822.420369527623</v>
      </c>
    </row>
    <row r="31" spans="1:14" s="20" customFormat="1">
      <c r="A31" s="118"/>
      <c r="B31" s="18"/>
      <c r="C31" s="63"/>
      <c r="D31" s="18"/>
      <c r="E31" s="44"/>
      <c r="F31" s="59"/>
      <c r="G31" s="59"/>
      <c r="H31" s="64"/>
      <c r="I31" s="60"/>
      <c r="J31" s="61"/>
      <c r="K31" s="119"/>
    </row>
    <row r="32" spans="1:14">
      <c r="K32" s="62"/>
    </row>
    <row r="33" spans="1:10">
      <c r="A33" s="96" t="s">
        <v>863</v>
      </c>
      <c r="B33" s="32"/>
      <c r="C33" s="2"/>
      <c r="D33" s="2"/>
      <c r="E33" s="2"/>
      <c r="F33" s="2"/>
    </row>
    <row r="34" spans="1:10">
      <c r="A34" s="96"/>
      <c r="B34" s="32"/>
      <c r="C34" s="2"/>
      <c r="D34" s="2"/>
      <c r="E34" s="2"/>
      <c r="F34" s="2"/>
    </row>
    <row r="35" spans="1:10">
      <c r="A35" s="96" t="s">
        <v>864</v>
      </c>
      <c r="B35" s="32"/>
      <c r="C35" s="2"/>
      <c r="D35" s="2"/>
      <c r="E35" s="2"/>
      <c r="F35" s="2"/>
      <c r="J35" s="123">
        <f>+E30*F9</f>
        <v>119843.43963047238</v>
      </c>
    </row>
    <row r="36" spans="1:10">
      <c r="A36" s="96" t="s">
        <v>865</v>
      </c>
      <c r="B36" s="32"/>
      <c r="C36" s="2"/>
      <c r="D36" s="2"/>
      <c r="E36" s="2"/>
      <c r="F36" s="2"/>
      <c r="J36" s="121">
        <f>+J28</f>
        <v>119843.43963047235</v>
      </c>
    </row>
    <row r="37" spans="1:10">
      <c r="A37" s="96"/>
      <c r="B37" s="32" t="s">
        <v>866</v>
      </c>
      <c r="C37" s="2"/>
      <c r="D37" s="2"/>
      <c r="E37" s="2"/>
      <c r="F37" s="2"/>
      <c r="J37" s="123">
        <f>+J35-J36</f>
        <v>0</v>
      </c>
    </row>
  </sheetData>
  <mergeCells count="4">
    <mergeCell ref="D4:H4"/>
    <mergeCell ref="C7:E7"/>
    <mergeCell ref="F7:G7"/>
    <mergeCell ref="H7:J7"/>
  </mergeCells>
  <pageMargins left="1.1023622047244095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12</vt:i4>
      </vt:variant>
    </vt:vector>
  </HeadingPairs>
  <TitlesOfParts>
    <vt:vector size="26" baseType="lpstr">
      <vt:lpstr>Cal.ond.2014</vt:lpstr>
      <vt:lpstr>Cal.RAL-2009#26- 2014</vt:lpstr>
      <vt:lpstr>Cal.BLUE2014</vt:lpstr>
      <vt:lpstr>Cal.RAL28-2014</vt:lpstr>
      <vt:lpstr>Gan.J-50 2014</vt:lpstr>
      <vt:lpstr>Gan.J-60-2014</vt:lpstr>
      <vt:lpstr>CLAVOS-2014</vt:lpstr>
      <vt:lpstr>FAC.CAMP.-2014</vt:lpstr>
      <vt:lpstr>Galvanizada-2014</vt:lpstr>
      <vt:lpstr>CALRAL 2010 # 26</vt:lpstr>
      <vt:lpstr>GANCHOS J-70</vt:lpstr>
      <vt:lpstr>BLANCO #28</vt:lpstr>
      <vt:lpstr>Hoja1</vt:lpstr>
      <vt:lpstr>Hoja2</vt:lpstr>
      <vt:lpstr>'BLANCO #28'!Área_de_impresión</vt:lpstr>
      <vt:lpstr>Cal.BLUE2014!Área_de_impresión</vt:lpstr>
      <vt:lpstr>Cal.ond.2014!Área_de_impresión</vt:lpstr>
      <vt:lpstr>'Cal.RAL-2009#26- 2014'!Área_de_impresión</vt:lpstr>
      <vt:lpstr>'Cal.RAL28-2014'!Área_de_impresión</vt:lpstr>
      <vt:lpstr>'CALRAL 2010 # 26'!Área_de_impresión</vt:lpstr>
      <vt:lpstr>'CLAVOS-2014'!Área_de_impresión</vt:lpstr>
      <vt:lpstr>'FAC.CAMP.-2014'!Área_de_impresión</vt:lpstr>
      <vt:lpstr>'Galvanizada-2014'!Área_de_impresión</vt:lpstr>
      <vt:lpstr>'Gan.J-50 2014'!Área_de_impresión</vt:lpstr>
      <vt:lpstr>'Gan.J-60-2014'!Área_de_impresión</vt:lpstr>
      <vt:lpstr>'GANCHOS J-70'!Área_de_impresión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PEDF</dc:creator>
  <cp:lastModifiedBy>HJPE</cp:lastModifiedBy>
  <cp:lastPrinted>2015-04-17T13:36:16Z</cp:lastPrinted>
  <dcterms:created xsi:type="dcterms:W3CDTF">2014-01-29T16:24:24Z</dcterms:created>
  <dcterms:modified xsi:type="dcterms:W3CDTF">2015-04-17T13:37:36Z</dcterms:modified>
</cp:coreProperties>
</file>