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GUILAR (E)\Fiscal Felix 2015\"/>
    </mc:Choice>
  </mc:AlternateContent>
  <bookViews>
    <workbookView xWindow="120" yWindow="96" windowWidth="19320" windowHeight="12120" firstSheet="1" activeTab="12"/>
  </bookViews>
  <sheets>
    <sheet name="ondulada" sheetId="1" r:id="rId1"/>
    <sheet name="azul" sheetId="2" r:id="rId2"/>
    <sheet name="ral #28" sheetId="3" r:id="rId3"/>
    <sheet name="j-50" sheetId="4" r:id="rId4"/>
    <sheet name="j-60" sheetId="5" r:id="rId5"/>
    <sheet name="clavos" sheetId="6" r:id="rId6"/>
    <sheet name="ral #26" sheetId="7" r:id="rId7"/>
    <sheet name="blanco" sheetId="8" r:id="rId8"/>
    <sheet name="galva." sheetId="9" r:id="rId9"/>
    <sheet name="J-   70" sheetId="10" r:id="rId10"/>
    <sheet name="tiraf63-76" sheetId="11" r:id="rId11"/>
    <sheet name="tiraf 63-63" sheetId="12" r:id="rId12"/>
    <sheet name="JuntaGoma" sheetId="13" r:id="rId13"/>
    <sheet name="Hoja1" sheetId="14" r:id="rId14"/>
  </sheets>
  <calcPr calcId="152511"/>
</workbook>
</file>

<file path=xl/calcChain.xml><?xml version="1.0" encoding="utf-8"?>
<calcChain xmlns="http://schemas.openxmlformats.org/spreadsheetml/2006/main">
  <c r="F62" i="6" l="1"/>
  <c r="I13" i="13"/>
  <c r="H13" i="13"/>
  <c r="D13" i="13"/>
  <c r="C13" i="13"/>
  <c r="H44" i="12" l="1"/>
  <c r="D44" i="12"/>
  <c r="C44" i="12"/>
  <c r="H128" i="11"/>
  <c r="D128" i="11"/>
  <c r="C128" i="11"/>
  <c r="H14" i="10"/>
  <c r="D14" i="10"/>
  <c r="C14" i="10"/>
  <c r="H62" i="9"/>
  <c r="C62" i="9"/>
  <c r="H62" i="8"/>
  <c r="C62" i="8"/>
  <c r="H301" i="7"/>
  <c r="C301" i="7"/>
  <c r="H133" i="6"/>
  <c r="D133" i="6"/>
  <c r="C133" i="6"/>
  <c r="H36" i="5"/>
  <c r="D36" i="5"/>
  <c r="C36" i="5"/>
  <c r="H46" i="4"/>
  <c r="D46" i="4"/>
  <c r="C46" i="4"/>
  <c r="C81" i="3"/>
  <c r="H81" i="3"/>
  <c r="H17" i="2"/>
  <c r="C17" i="2"/>
  <c r="H151" i="1"/>
  <c r="C151" i="1"/>
  <c r="F22" i="5" l="1"/>
  <c r="D150" i="1"/>
  <c r="D149" i="1"/>
  <c r="D148" i="1"/>
  <c r="D147" i="1"/>
  <c r="D146" i="1"/>
  <c r="D61" i="8"/>
  <c r="D145" i="1"/>
  <c r="D144" i="1"/>
  <c r="D143" i="1"/>
  <c r="D142" i="1"/>
  <c r="D141" i="1"/>
  <c r="D140" i="1"/>
  <c r="D80" i="3"/>
  <c r="D60" i="8"/>
  <c r="D139" i="1"/>
  <c r="D138" i="1"/>
  <c r="D79" i="3"/>
  <c r="D78" i="3"/>
  <c r="D15" i="2"/>
  <c r="F128" i="1"/>
  <c r="D77" i="3" l="1"/>
  <c r="D59" i="8" l="1"/>
  <c r="D76" i="3"/>
  <c r="D14" i="2"/>
  <c r="D137" i="1"/>
  <c r="D75" i="3"/>
  <c r="D74" i="3"/>
  <c r="D61" i="9"/>
  <c r="D136" i="1"/>
  <c r="D135" i="1"/>
  <c r="D60" i="9"/>
  <c r="D59" i="9"/>
  <c r="D58" i="8"/>
  <c r="D56" i="8"/>
  <c r="D73" i="3"/>
  <c r="D71" i="3"/>
  <c r="D58" i="9"/>
  <c r="D70" i="3"/>
  <c r="D295" i="7"/>
  <c r="D294" i="7"/>
  <c r="D68" i="3"/>
  <c r="D293" i="7"/>
  <c r="D13" i="2"/>
  <c r="D66" i="3"/>
  <c r="D65" i="3"/>
  <c r="D64" i="3"/>
  <c r="D292" i="7"/>
  <c r="D291" i="7"/>
  <c r="D290" i="7"/>
  <c r="D287" i="7"/>
  <c r="D281" i="7"/>
  <c r="D289" i="7" l="1"/>
  <c r="D288" i="7"/>
  <c r="D286" i="7"/>
  <c r="D285" i="7"/>
  <c r="D283" i="7"/>
  <c r="D132" i="1" l="1"/>
  <c r="D57" i="9"/>
  <c r="D282" i="7"/>
  <c r="D56" i="9"/>
  <c r="D130" i="1"/>
  <c r="D55" i="9"/>
  <c r="D280" i="7"/>
  <c r="D279" i="7"/>
  <c r="D278" i="7"/>
  <c r="D54" i="9"/>
  <c r="D277" i="7"/>
  <c r="D63" i="3"/>
  <c r="D275" i="7"/>
  <c r="D274" i="7"/>
  <c r="D129" i="1"/>
  <c r="D273" i="7"/>
  <c r="D272" i="7"/>
  <c r="D271" i="7"/>
  <c r="D270" i="7"/>
  <c r="D269" i="7"/>
  <c r="D268" i="7"/>
  <c r="D12" i="2"/>
  <c r="D267" i="7"/>
  <c r="D266" i="7"/>
  <c r="D265" i="7"/>
  <c r="D62" i="3"/>
  <c r="D263" i="7"/>
  <c r="D262" i="7" l="1"/>
  <c r="D261" i="7"/>
  <c r="D61" i="3"/>
  <c r="D260" i="7"/>
  <c r="D259" i="7"/>
  <c r="D258" i="7"/>
  <c r="D257" i="7"/>
  <c r="D52" i="9"/>
  <c r="F44" i="4" l="1"/>
  <c r="D256" i="7"/>
  <c r="D255" i="7"/>
  <c r="D11" i="2"/>
  <c r="D254" i="7"/>
  <c r="D253" i="7"/>
  <c r="D251" i="7"/>
  <c r="D59" i="3"/>
  <c r="D250" i="7"/>
  <c r="D249" i="7"/>
  <c r="D248" i="7"/>
  <c r="D247" i="7"/>
  <c r="D246" i="7"/>
  <c r="D245" i="7"/>
  <c r="D57" i="3"/>
  <c r="D244" i="7"/>
  <c r="D243" i="7"/>
  <c r="D126" i="1"/>
  <c r="D56" i="3"/>
  <c r="D242" i="7"/>
  <c r="D51" i="9"/>
  <c r="D55" i="3"/>
  <c r="D240" i="7"/>
  <c r="D10" i="2"/>
  <c r="D17" i="2" s="1"/>
  <c r="D53" i="3" l="1"/>
  <c r="D237" i="7"/>
  <c r="D236" i="7"/>
  <c r="D235" i="7"/>
  <c r="D234" i="7"/>
  <c r="D233" i="7"/>
  <c r="D232" i="7"/>
  <c r="D52" i="3"/>
  <c r="D231" i="7"/>
  <c r="D55" i="8"/>
  <c r="D50" i="9"/>
  <c r="D230" i="7"/>
  <c r="D229" i="7"/>
  <c r="D228" i="7"/>
  <c r="D227" i="7"/>
  <c r="D226" i="7"/>
  <c r="D225" i="7"/>
  <c r="D224" i="7" l="1"/>
  <c r="D223" i="7"/>
  <c r="D222" i="7"/>
  <c r="D221" i="7"/>
  <c r="D125" i="1"/>
  <c r="D49" i="9"/>
  <c r="D51" i="3"/>
  <c r="D220" i="7"/>
  <c r="D219" i="7"/>
  <c r="D218" i="7"/>
  <c r="D50" i="3"/>
  <c r="D217" i="7"/>
  <c r="D216" i="7"/>
  <c r="D215" i="7"/>
  <c r="D48" i="9"/>
  <c r="D214" i="7"/>
  <c r="D213" i="7"/>
  <c r="D212" i="7"/>
  <c r="D211" i="7"/>
  <c r="D210" i="7"/>
  <c r="D54" i="8"/>
  <c r="D53" i="8"/>
  <c r="D49" i="3"/>
  <c r="D208" i="7" l="1"/>
  <c r="D207" i="7"/>
  <c r="D52" i="8"/>
  <c r="D206" i="7"/>
  <c r="D46" i="9"/>
  <c r="D205" i="7"/>
  <c r="D203" i="7"/>
  <c r="D202" i="7"/>
  <c r="D201" i="7"/>
  <c r="D200" i="7"/>
  <c r="D199" i="7"/>
  <c r="D48" i="3"/>
  <c r="D47" i="3"/>
  <c r="D196" i="7"/>
  <c r="D46" i="3"/>
  <c r="D194" i="7"/>
  <c r="D193" i="7"/>
  <c r="D192" i="7"/>
  <c r="D191" i="7"/>
  <c r="D45" i="3"/>
  <c r="D190" i="7"/>
  <c r="D44" i="3"/>
  <c r="D189" i="7"/>
  <c r="D188" i="7"/>
  <c r="D187" i="7"/>
  <c r="D186" i="7"/>
  <c r="D185" i="7"/>
  <c r="D184" i="7"/>
  <c r="D183" i="7"/>
  <c r="D181" i="7"/>
  <c r="D123" i="1"/>
  <c r="D43" i="3"/>
  <c r="D122" i="1"/>
  <c r="D50" i="8"/>
  <c r="D179" i="7"/>
  <c r="D178" i="7"/>
  <c r="D175" i="7"/>
  <c r="D174" i="7"/>
  <c r="D173" i="7"/>
  <c r="D45" i="9"/>
  <c r="D172" i="7"/>
  <c r="D171" i="7"/>
  <c r="D170" i="7"/>
  <c r="D169" i="7"/>
  <c r="D168" i="7"/>
  <c r="D44" i="9"/>
  <c r="D167" i="7"/>
  <c r="D166" i="7"/>
  <c r="D165" i="7"/>
  <c r="D40" i="9"/>
  <c r="D164" i="7" l="1"/>
  <c r="D163" i="7"/>
  <c r="D43" i="9"/>
  <c r="D162" i="7"/>
  <c r="D161" i="7"/>
  <c r="D49" i="8"/>
  <c r="D160" i="7"/>
  <c r="D159" i="7"/>
  <c r="D158" i="7"/>
  <c r="D157" i="7"/>
  <c r="D42" i="3"/>
  <c r="D156" i="7"/>
  <c r="D155" i="7"/>
  <c r="D154" i="7"/>
  <c r="D153" i="7"/>
  <c r="D48" i="8"/>
  <c r="D41" i="3"/>
  <c r="D41" i="9"/>
  <c r="D120" i="1"/>
  <c r="D47" i="8"/>
  <c r="D152" i="7"/>
  <c r="D151" i="7"/>
  <c r="D150" i="7"/>
  <c r="D149" i="7"/>
  <c r="D148" i="7"/>
  <c r="D40" i="3"/>
  <c r="D147" i="7"/>
  <c r="D146" i="7"/>
  <c r="D145" i="7"/>
  <c r="D143" i="7"/>
  <c r="D142" i="7"/>
  <c r="D141" i="7"/>
  <c r="D140" i="7"/>
  <c r="D139" i="7"/>
  <c r="D138" i="7"/>
  <c r="D39" i="3"/>
  <c r="J11" i="13"/>
  <c r="F11" i="13"/>
  <c r="E11" i="13"/>
  <c r="D137" i="7"/>
  <c r="D119" i="1"/>
  <c r="D136" i="7"/>
  <c r="D39" i="9"/>
  <c r="D38" i="9"/>
  <c r="D46" i="8"/>
  <c r="D37" i="9"/>
  <c r="D134" i="7"/>
  <c r="J11" i="12"/>
  <c r="F11" i="12"/>
  <c r="E11" i="12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D38" i="3"/>
  <c r="J11" i="11"/>
  <c r="F11" i="11"/>
  <c r="E11" i="1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D133" i="7"/>
  <c r="D45" i="8"/>
  <c r="D132" i="7"/>
  <c r="D131" i="7"/>
  <c r="F26" i="4"/>
  <c r="D44" i="8"/>
  <c r="D129" i="7"/>
  <c r="D128" i="7"/>
  <c r="D127" i="7"/>
  <c r="D37" i="3"/>
  <c r="D126" i="7"/>
  <c r="D36" i="3"/>
  <c r="D125" i="7"/>
  <c r="D124" i="7"/>
  <c r="D123" i="7"/>
  <c r="D121" i="7"/>
  <c r="D36" i="9"/>
  <c r="D120" i="7"/>
  <c r="D119" i="7"/>
  <c r="D118" i="7"/>
  <c r="D117" i="7"/>
  <c r="D115" i="7"/>
  <c r="D43" i="8"/>
  <c r="D114" i="7"/>
  <c r="D34" i="9"/>
  <c r="D35" i="9"/>
  <c r="D113" i="7"/>
  <c r="D111" i="7"/>
  <c r="D110" i="7"/>
  <c r="D33" i="9"/>
  <c r="D109" i="7"/>
  <c r="D108" i="7"/>
  <c r="D42" i="8"/>
  <c r="D32" i="9"/>
  <c r="D112" i="1"/>
  <c r="D41" i="8"/>
  <c r="D107" i="7"/>
  <c r="D106" i="7"/>
  <c r="D104" i="7"/>
  <c r="D105" i="7"/>
  <c r="D35" i="3"/>
  <c r="D103" i="7"/>
  <c r="D102" i="7"/>
  <c r="D101" i="7"/>
  <c r="D99" i="7"/>
  <c r="D31" i="9"/>
  <c r="D30" i="9"/>
  <c r="D98" i="7"/>
  <c r="D29" i="9"/>
  <c r="D28" i="9"/>
  <c r="D97" i="7"/>
  <c r="D27" i="9"/>
  <c r="D96" i="7"/>
  <c r="D95" i="7"/>
  <c r="D25" i="9"/>
  <c r="D26" i="9"/>
  <c r="D39" i="8"/>
  <c r="D94" i="7"/>
  <c r="D93" i="7"/>
  <c r="D92" i="7"/>
  <c r="D91" i="7"/>
  <c r="D90" i="7"/>
  <c r="D89" i="7"/>
  <c r="D38" i="8"/>
  <c r="D88" i="7"/>
  <c r="D87" i="7"/>
  <c r="D85" i="7"/>
  <c r="D83" i="7"/>
  <c r="D82" i="7"/>
  <c r="D75" i="7"/>
  <c r="D76" i="7"/>
  <c r="D79" i="7"/>
  <c r="D80" i="7"/>
  <c r="D81" i="7"/>
  <c r="D33" i="3"/>
  <c r="D78" i="7"/>
  <c r="D74" i="7"/>
  <c r="D77" i="7"/>
  <c r="D73" i="7"/>
  <c r="D72" i="7"/>
  <c r="D71" i="7"/>
  <c r="D32" i="3"/>
  <c r="D31" i="3"/>
  <c r="D111" i="1"/>
  <c r="D110" i="1"/>
  <c r="D24" i="9"/>
  <c r="D70" i="7"/>
  <c r="D69" i="7"/>
  <c r="D68" i="7"/>
  <c r="D67" i="7"/>
  <c r="D30" i="3"/>
  <c r="D29" i="3"/>
  <c r="D37" i="8"/>
  <c r="D109" i="1"/>
  <c r="D66" i="7"/>
  <c r="D65" i="7"/>
  <c r="D64" i="7"/>
  <c r="D63" i="7"/>
  <c r="D108" i="1"/>
  <c r="D28" i="3"/>
  <c r="D107" i="1"/>
  <c r="D62" i="7"/>
  <c r="D106" i="1"/>
  <c r="D105" i="1"/>
  <c r="D61" i="7"/>
  <c r="D104" i="1"/>
  <c r="D27" i="3"/>
  <c r="D26" i="3"/>
  <c r="D60" i="7"/>
  <c r="D59" i="7"/>
  <c r="D23" i="9"/>
  <c r="D58" i="7"/>
  <c r="D103" i="1"/>
  <c r="D36" i="8"/>
  <c r="D57" i="7"/>
  <c r="D25" i="3"/>
  <c r="D56" i="7"/>
  <c r="D54" i="7"/>
  <c r="D53" i="7"/>
  <c r="D52" i="7"/>
  <c r="D51" i="7"/>
  <c r="D50" i="7"/>
  <c r="D35" i="8"/>
  <c r="D49" i="7"/>
  <c r="D22" i="9"/>
  <c r="D34" i="8"/>
  <c r="D102" i="1"/>
  <c r="D33" i="8"/>
  <c r="D101" i="1"/>
  <c r="D32" i="8"/>
  <c r="F30" i="7"/>
  <c r="D48" i="7"/>
  <c r="D47" i="7"/>
  <c r="D24" i="3"/>
  <c r="D84" i="1"/>
  <c r="D35" i="7"/>
  <c r="D66" i="1"/>
  <c r="D64" i="1"/>
  <c r="D49" i="1"/>
  <c r="D16" i="7"/>
  <c r="E11" i="10"/>
  <c r="E12" i="10" s="1"/>
  <c r="J11" i="10"/>
  <c r="F11" i="10"/>
  <c r="I12" i="10" s="1"/>
  <c r="J9" i="2"/>
  <c r="D46" i="7"/>
  <c r="D21" i="9"/>
  <c r="D100" i="1"/>
  <c r="D99" i="1"/>
  <c r="D97" i="1"/>
  <c r="D96" i="1"/>
  <c r="D95" i="1"/>
  <c r="D20" i="9"/>
  <c r="D45" i="7"/>
  <c r="D44" i="7"/>
  <c r="D43" i="7"/>
  <c r="D42" i="7"/>
  <c r="D31" i="8"/>
  <c r="D94" i="1"/>
  <c r="D41" i="7"/>
  <c r="D40" i="7"/>
  <c r="D93" i="1"/>
  <c r="D30" i="8"/>
  <c r="D92" i="1"/>
  <c r="D91" i="1"/>
  <c r="D39" i="7"/>
  <c r="D90" i="1"/>
  <c r="D89" i="1"/>
  <c r="D38" i="7"/>
  <c r="D37" i="7"/>
  <c r="D88" i="1"/>
  <c r="D87" i="1"/>
  <c r="K12" i="10" l="1"/>
  <c r="L12" i="10" s="1"/>
  <c r="I14" i="10"/>
  <c r="J20" i="10"/>
  <c r="E64" i="1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103" i="11" s="1"/>
  <c r="E104" i="11" s="1"/>
  <c r="E105" i="11" s="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E120" i="11" s="1"/>
  <c r="E121" i="11" s="1"/>
  <c r="E122" i="11" s="1"/>
  <c r="E123" i="11" s="1"/>
  <c r="E124" i="11" s="1"/>
  <c r="E125" i="11" s="1"/>
  <c r="E126" i="11" s="1"/>
  <c r="E127" i="11" s="1"/>
  <c r="J133" i="11" s="1"/>
  <c r="J12" i="10"/>
  <c r="J21" i="10" s="1"/>
  <c r="E23" i="12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J47" i="12" s="1"/>
  <c r="G12" i="11"/>
  <c r="I12" i="11" s="1"/>
  <c r="G12" i="12"/>
  <c r="I12" i="12" s="1"/>
  <c r="D86" i="1"/>
  <c r="D85" i="1"/>
  <c r="D29" i="8"/>
  <c r="D36" i="7"/>
  <c r="D34" i="7"/>
  <c r="J22" i="10" l="1"/>
  <c r="J12" i="12"/>
  <c r="G13" i="12" s="1"/>
  <c r="I13" i="12" s="1"/>
  <c r="K12" i="12"/>
  <c r="L12" i="12" s="1"/>
  <c r="J12" i="11"/>
  <c r="G13" i="11" s="1"/>
  <c r="I13" i="11" s="1"/>
  <c r="D19" i="9"/>
  <c r="D33" i="7"/>
  <c r="D83" i="1"/>
  <c r="D32" i="7"/>
  <c r="D28" i="8"/>
  <c r="D82" i="1"/>
  <c r="D27" i="8"/>
  <c r="D81" i="1"/>
  <c r="D80" i="1"/>
  <c r="D18" i="9"/>
  <c r="D79" i="1"/>
  <c r="D78" i="1"/>
  <c r="D77" i="1"/>
  <c r="D76" i="1"/>
  <c r="D75" i="1"/>
  <c r="D74" i="1"/>
  <c r="D73" i="1"/>
  <c r="D26" i="8"/>
  <c r="D72" i="1"/>
  <c r="D71" i="1"/>
  <c r="J13" i="11" l="1"/>
  <c r="G14" i="11" s="1"/>
  <c r="I14" i="11" s="1"/>
  <c r="K13" i="11"/>
  <c r="L13" i="11" s="1"/>
  <c r="J13" i="12"/>
  <c r="G14" i="12" s="1"/>
  <c r="I14" i="12" s="1"/>
  <c r="F12" i="6"/>
  <c r="E12" i="6"/>
  <c r="E13" i="6" s="1"/>
  <c r="F18" i="6"/>
  <c r="J14" i="12" l="1"/>
  <c r="G15" i="12" s="1"/>
  <c r="I15" i="12" s="1"/>
  <c r="J15" i="12" s="1"/>
  <c r="G16" i="12" s="1"/>
  <c r="I16" i="12" s="1"/>
  <c r="J14" i="11"/>
  <c r="G15" i="11" s="1"/>
  <c r="I15" i="11" s="1"/>
  <c r="J15" i="11" s="1"/>
  <c r="G16" i="11" s="1"/>
  <c r="I16" i="11" s="1"/>
  <c r="J16" i="11" s="1"/>
  <c r="G17" i="11" s="1"/>
  <c r="I17" i="11" s="1"/>
  <c r="J17" i="11" s="1"/>
  <c r="G18" i="11" s="1"/>
  <c r="I18" i="11" s="1"/>
  <c r="J18" i="11" s="1"/>
  <c r="G19" i="11" s="1"/>
  <c r="I19" i="11" s="1"/>
  <c r="J19" i="11" s="1"/>
  <c r="F16" i="5"/>
  <c r="D31" i="7"/>
  <c r="D70" i="1"/>
  <c r="D69" i="1"/>
  <c r="D25" i="8"/>
  <c r="D23" i="3"/>
  <c r="D68" i="1"/>
  <c r="D67" i="1"/>
  <c r="D24" i="8"/>
  <c r="D23" i="8"/>
  <c r="D22" i="8"/>
  <c r="D65" i="1"/>
  <c r="D21" i="8"/>
  <c r="D17" i="9"/>
  <c r="D16" i="9"/>
  <c r="D20" i="8"/>
  <c r="D63" i="1"/>
  <c r="D19" i="8"/>
  <c r="D62" i="1"/>
  <c r="D15" i="9"/>
  <c r="K19" i="11" l="1"/>
  <c r="K15" i="12"/>
  <c r="L15" i="12" s="1"/>
  <c r="J16" i="12"/>
  <c r="G17" i="12" s="1"/>
  <c r="I17" i="12" s="1"/>
  <c r="K16" i="12"/>
  <c r="G20" i="11"/>
  <c r="I20" i="11" s="1"/>
  <c r="D61" i="1"/>
  <c r="D14" i="9"/>
  <c r="D29" i="7"/>
  <c r="D60" i="1"/>
  <c r="D17" i="8"/>
  <c r="D59" i="1"/>
  <c r="D58" i="1"/>
  <c r="D57" i="1"/>
  <c r="D56" i="1"/>
  <c r="D55" i="1"/>
  <c r="D54" i="1"/>
  <c r="D16" i="8"/>
  <c r="D53" i="1"/>
  <c r="D52" i="1"/>
  <c r="D15" i="8"/>
  <c r="D28" i="7"/>
  <c r="D14" i="8"/>
  <c r="D51" i="1"/>
  <c r="D50" i="1"/>
  <c r="D48" i="1"/>
  <c r="D47" i="1"/>
  <c r="D46" i="1"/>
  <c r="J17" i="12" l="1"/>
  <c r="G18" i="12" s="1"/>
  <c r="I18" i="12" s="1"/>
  <c r="J18" i="12" s="1"/>
  <c r="G19" i="12" s="1"/>
  <c r="I19" i="12" s="1"/>
  <c r="J20" i="11"/>
  <c r="G21" i="11" s="1"/>
  <c r="I21" i="11" s="1"/>
  <c r="J21" i="11" s="1"/>
  <c r="D45" i="1"/>
  <c r="D44" i="1"/>
  <c r="D42" i="1"/>
  <c r="D41" i="1"/>
  <c r="K18" i="12" l="1"/>
  <c r="L18" i="12" s="1"/>
  <c r="J19" i="12"/>
  <c r="G20" i="12" s="1"/>
  <c r="I20" i="12" s="1"/>
  <c r="J20" i="12" s="1"/>
  <c r="G21" i="12" s="1"/>
  <c r="I21" i="12" s="1"/>
  <c r="J21" i="12" s="1"/>
  <c r="G22" i="12" s="1"/>
  <c r="I22" i="12" s="1"/>
  <c r="J22" i="12" s="1"/>
  <c r="G23" i="12" s="1"/>
  <c r="I23" i="12" s="1"/>
  <c r="J23" i="12" s="1"/>
  <c r="G24" i="12" s="1"/>
  <c r="I24" i="12" s="1"/>
  <c r="J24" i="12" s="1"/>
  <c r="G22" i="11"/>
  <c r="I22" i="11" s="1"/>
  <c r="D27" i="7"/>
  <c r="J22" i="11" l="1"/>
  <c r="G23" i="11" s="1"/>
  <c r="I23" i="11" s="1"/>
  <c r="J23" i="11" s="1"/>
  <c r="G25" i="12"/>
  <c r="I25" i="12" s="1"/>
  <c r="J25" i="12" s="1"/>
  <c r="D26" i="7"/>
  <c r="D25" i="7"/>
  <c r="D40" i="1"/>
  <c r="D24" i="7"/>
  <c r="D23" i="7"/>
  <c r="D22" i="3"/>
  <c r="D22" i="7"/>
  <c r="D21" i="3"/>
  <c r="D13" i="8"/>
  <c r="D21" i="7"/>
  <c r="D20" i="7"/>
  <c r="D39" i="1"/>
  <c r="D38" i="1"/>
  <c r="D19" i="7"/>
  <c r="D17" i="7"/>
  <c r="D12" i="8"/>
  <c r="D37" i="1"/>
  <c r="G26" i="12" l="1"/>
  <c r="I26" i="12" s="1"/>
  <c r="G24" i="11"/>
  <c r="I24" i="11" s="1"/>
  <c r="J24" i="11" s="1"/>
  <c r="D36" i="1"/>
  <c r="D15" i="7"/>
  <c r="J26" i="12" l="1"/>
  <c r="G27" i="12" s="1"/>
  <c r="I27" i="12" s="1"/>
  <c r="G25" i="11"/>
  <c r="I25" i="11" s="1"/>
  <c r="D35" i="1"/>
  <c r="D34" i="1"/>
  <c r="D33" i="1"/>
  <c r="J27" i="12" l="1"/>
  <c r="G28" i="12" s="1"/>
  <c r="I28" i="12" s="1"/>
  <c r="K27" i="12"/>
  <c r="J25" i="11"/>
  <c r="G26" i="11" s="1"/>
  <c r="I26" i="11" s="1"/>
  <c r="F9" i="8"/>
  <c r="J9" i="8"/>
  <c r="E9" i="8"/>
  <c r="E10" i="8" s="1"/>
  <c r="F9" i="7"/>
  <c r="J9" i="7"/>
  <c r="F11" i="6"/>
  <c r="J11" i="6"/>
  <c r="J12" i="6" s="1"/>
  <c r="G13" i="6" s="1"/>
  <c r="I13" i="6" s="1"/>
  <c r="F11" i="5"/>
  <c r="J11" i="5"/>
  <c r="F11" i="4"/>
  <c r="J11" i="4"/>
  <c r="G12" i="4" s="1"/>
  <c r="I12" i="4" s="1"/>
  <c r="J26" i="11" l="1"/>
  <c r="G27" i="11" s="1"/>
  <c r="I27" i="11" s="1"/>
  <c r="K26" i="11"/>
  <c r="L26" i="11" s="1"/>
  <c r="J28" i="12"/>
  <c r="G29" i="12" s="1"/>
  <c r="I29" i="12" s="1"/>
  <c r="K28" i="12"/>
  <c r="L28" i="12" s="1"/>
  <c r="J12" i="4"/>
  <c r="J13" i="6"/>
  <c r="G14" i="6" s="1"/>
  <c r="I14" i="6" s="1"/>
  <c r="G10" i="8"/>
  <c r="I10" i="8" s="1"/>
  <c r="G12" i="5"/>
  <c r="I12" i="5" s="1"/>
  <c r="E9" i="7"/>
  <c r="D20" i="3"/>
  <c r="D19" i="3"/>
  <c r="D11" i="8"/>
  <c r="D13" i="9"/>
  <c r="D18" i="3"/>
  <c r="D17" i="3"/>
  <c r="D14" i="7"/>
  <c r="D12" i="9"/>
  <c r="D32" i="1"/>
  <c r="E14" i="6"/>
  <c r="E15" i="6" s="1"/>
  <c r="E16" i="6" s="1"/>
  <c r="E17" i="6" s="1"/>
  <c r="E12" i="5"/>
  <c r="E13" i="5" s="1"/>
  <c r="E14" i="5" s="1"/>
  <c r="E15" i="5" s="1"/>
  <c r="E11" i="8" l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D62" i="8"/>
  <c r="J29" i="12"/>
  <c r="G30" i="12" s="1"/>
  <c r="I30" i="12" s="1"/>
  <c r="J14" i="6"/>
  <c r="G15" i="6" s="1"/>
  <c r="I15" i="6" s="1"/>
  <c r="J27" i="11"/>
  <c r="J12" i="5"/>
  <c r="G13" i="5" s="1"/>
  <c r="I13" i="5" s="1"/>
  <c r="J10" i="8"/>
  <c r="G11" i="8" s="1"/>
  <c r="G10" i="7"/>
  <c r="G28" i="11"/>
  <c r="I28" i="11" s="1"/>
  <c r="J28" i="11" s="1"/>
  <c r="E45" i="8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J65" i="8" s="1"/>
  <c r="I11" i="8"/>
  <c r="J11" i="8" s="1"/>
  <c r="E16" i="5"/>
  <c r="E17" i="5" s="1"/>
  <c r="E18" i="5" s="1"/>
  <c r="E19" i="5" s="1"/>
  <c r="E20" i="5" s="1"/>
  <c r="E21" i="5" s="1"/>
  <c r="E18" i="6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J137" i="6" s="1"/>
  <c r="G12" i="8"/>
  <c r="I12" i="8" s="1"/>
  <c r="D15" i="3"/>
  <c r="D30" i="1"/>
  <c r="D13" i="7"/>
  <c r="D29" i="1"/>
  <c r="D11" i="9"/>
  <c r="D14" i="3"/>
  <c r="D28" i="1"/>
  <c r="D27" i="1"/>
  <c r="D26" i="1"/>
  <c r="D25" i="1"/>
  <c r="D24" i="1"/>
  <c r="D13" i="3"/>
  <c r="D23" i="1"/>
  <c r="D22" i="1"/>
  <c r="D21" i="1"/>
  <c r="D20" i="1"/>
  <c r="D19" i="1"/>
  <c r="D12" i="3"/>
  <c r="J13" i="5" l="1"/>
  <c r="G14" i="5" s="1"/>
  <c r="J15" i="6"/>
  <c r="G16" i="6" s="1"/>
  <c r="I16" i="6" s="1"/>
  <c r="J16" i="6" s="1"/>
  <c r="J30" i="12"/>
  <c r="G31" i="12" s="1"/>
  <c r="I31" i="12" s="1"/>
  <c r="J12" i="8"/>
  <c r="G13" i="8" s="1"/>
  <c r="I13" i="8" s="1"/>
  <c r="J13" i="8" s="1"/>
  <c r="L11" i="8"/>
  <c r="M11" i="8" s="1"/>
  <c r="G29" i="11"/>
  <c r="I29" i="11" s="1"/>
  <c r="J29" i="11" s="1"/>
  <c r="E22" i="5"/>
  <c r="D18" i="1"/>
  <c r="D12" i="7"/>
  <c r="D10" i="9"/>
  <c r="D62" i="9" s="1"/>
  <c r="J9" i="9"/>
  <c r="F9" i="9"/>
  <c r="E9" i="9"/>
  <c r="E23" i="5" l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J39" i="5" s="1"/>
  <c r="I14" i="5"/>
  <c r="J31" i="12"/>
  <c r="G32" i="12" s="1"/>
  <c r="I32" i="12" s="1"/>
  <c r="K31" i="12"/>
  <c r="L13" i="8"/>
  <c r="K16" i="6"/>
  <c r="G30" i="11"/>
  <c r="I30" i="11" s="1"/>
  <c r="J30" i="11" s="1"/>
  <c r="G10" i="9"/>
  <c r="G14" i="8"/>
  <c r="I14" i="8" s="1"/>
  <c r="G17" i="6"/>
  <c r="I17" i="6" s="1"/>
  <c r="I10" i="9"/>
  <c r="E10" i="9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J66" i="9" s="1"/>
  <c r="J14" i="5" l="1"/>
  <c r="J15" i="5" s="1"/>
  <c r="G15" i="5"/>
  <c r="I15" i="5" s="1"/>
  <c r="K15" i="5" s="1"/>
  <c r="K14" i="5"/>
  <c r="J10" i="9"/>
  <c r="G11" i="9" s="1"/>
  <c r="I11" i="9" s="1"/>
  <c r="J17" i="6"/>
  <c r="J18" i="6" s="1"/>
  <c r="G19" i="6" s="1"/>
  <c r="I19" i="6" s="1"/>
  <c r="K17" i="6"/>
  <c r="L17" i="6" s="1"/>
  <c r="J14" i="8"/>
  <c r="G15" i="8" s="1"/>
  <c r="I15" i="8" s="1"/>
  <c r="J32" i="12"/>
  <c r="G33" i="12" s="1"/>
  <c r="I33" i="12" s="1"/>
  <c r="J33" i="12" s="1"/>
  <c r="G34" i="12" s="1"/>
  <c r="I34" i="12" s="1"/>
  <c r="J34" i="12" s="1"/>
  <c r="G35" i="12" s="1"/>
  <c r="I35" i="12" s="1"/>
  <c r="J35" i="12" s="1"/>
  <c r="G36" i="12" s="1"/>
  <c r="I36" i="12" s="1"/>
  <c r="G31" i="11"/>
  <c r="I31" i="11" s="1"/>
  <c r="J31" i="11" s="1"/>
  <c r="J11" i="9" l="1"/>
  <c r="L15" i="5"/>
  <c r="J16" i="5"/>
  <c r="G17" i="5"/>
  <c r="I17" i="5" s="1"/>
  <c r="J36" i="12"/>
  <c r="G37" i="12" s="1"/>
  <c r="I37" i="12" s="1"/>
  <c r="K36" i="12"/>
  <c r="L11" i="9"/>
  <c r="K35" i="12"/>
  <c r="L35" i="12" s="1"/>
  <c r="J15" i="8"/>
  <c r="G16" i="8" s="1"/>
  <c r="I16" i="8" s="1"/>
  <c r="J19" i="6"/>
  <c r="G20" i="6" s="1"/>
  <c r="I20" i="6" s="1"/>
  <c r="J20" i="6" s="1"/>
  <c r="G21" i="6" s="1"/>
  <c r="G32" i="11"/>
  <c r="I32" i="11" s="1"/>
  <c r="J32" i="11" s="1"/>
  <c r="G12" i="9"/>
  <c r="I12" i="9" s="1"/>
  <c r="J17" i="5" l="1"/>
  <c r="G18" i="5" s="1"/>
  <c r="J16" i="8"/>
  <c r="G17" i="8" s="1"/>
  <c r="I17" i="8" s="1"/>
  <c r="L16" i="8"/>
  <c r="M16" i="8" s="1"/>
  <c r="J37" i="12"/>
  <c r="G38" i="12" s="1"/>
  <c r="I38" i="12" s="1"/>
  <c r="J38" i="12" s="1"/>
  <c r="G39" i="12" s="1"/>
  <c r="I39" i="12" s="1"/>
  <c r="J39" i="12" s="1"/>
  <c r="G40" i="12" s="1"/>
  <c r="I40" i="12" s="1"/>
  <c r="J40" i="12" s="1"/>
  <c r="G41" i="12" s="1"/>
  <c r="I41" i="12" s="1"/>
  <c r="J41" i="12" s="1"/>
  <c r="G42" i="12" s="1"/>
  <c r="I42" i="12" s="1"/>
  <c r="J42" i="12" s="1"/>
  <c r="G43" i="12" s="1"/>
  <c r="I43" i="12" s="1"/>
  <c r="J12" i="9"/>
  <c r="G13" i="9" s="1"/>
  <c r="I13" i="9" s="1"/>
  <c r="J13" i="9" s="1"/>
  <c r="G33" i="11"/>
  <c r="I33" i="11" s="1"/>
  <c r="J33" i="11" s="1"/>
  <c r="I21" i="6"/>
  <c r="J43" i="12" l="1"/>
  <c r="J48" i="12" s="1"/>
  <c r="J49" i="12" s="1"/>
  <c r="I44" i="12"/>
  <c r="I18" i="5"/>
  <c r="K18" i="5" s="1"/>
  <c r="L18" i="5" s="1"/>
  <c r="K43" i="12"/>
  <c r="L43" i="12" s="1"/>
  <c r="L44" i="12" s="1"/>
  <c r="L13" i="9"/>
  <c r="M13" i="9" s="1"/>
  <c r="J17" i="8"/>
  <c r="G18" i="8" s="1"/>
  <c r="I18" i="8" s="1"/>
  <c r="L17" i="8"/>
  <c r="J21" i="6"/>
  <c r="G22" i="6" s="1"/>
  <c r="I22" i="6" s="1"/>
  <c r="G34" i="11"/>
  <c r="I34" i="11" s="1"/>
  <c r="J34" i="11" s="1"/>
  <c r="G14" i="9"/>
  <c r="I14" i="9" s="1"/>
  <c r="J18" i="5" l="1"/>
  <c r="J22" i="6"/>
  <c r="G23" i="6" s="1"/>
  <c r="I23" i="6" s="1"/>
  <c r="K22" i="6"/>
  <c r="J18" i="8"/>
  <c r="J14" i="9"/>
  <c r="G15" i="9" s="1"/>
  <c r="I15" i="9" s="1"/>
  <c r="G35" i="11"/>
  <c r="I35" i="11" s="1"/>
  <c r="J35" i="11" s="1"/>
  <c r="G19" i="8"/>
  <c r="I19" i="8" s="1"/>
  <c r="J19" i="8" s="1"/>
  <c r="G19" i="5" l="1"/>
  <c r="I19" i="5" s="1"/>
  <c r="K19" i="5" s="1"/>
  <c r="J15" i="9"/>
  <c r="G16" i="9" s="1"/>
  <c r="I16" i="9" s="1"/>
  <c r="L15" i="9"/>
  <c r="J23" i="6"/>
  <c r="G24" i="6" s="1"/>
  <c r="I24" i="6" s="1"/>
  <c r="K23" i="6"/>
  <c r="L23" i="6" s="1"/>
  <c r="G36" i="11"/>
  <c r="I36" i="11" s="1"/>
  <c r="J36" i="11" s="1"/>
  <c r="G20" i="8"/>
  <c r="I20" i="8" s="1"/>
  <c r="J20" i="8" s="1"/>
  <c r="J19" i="5" l="1"/>
  <c r="G20" i="5" s="1"/>
  <c r="I20" i="5" s="1"/>
  <c r="J24" i="6"/>
  <c r="G25" i="6" s="1"/>
  <c r="I25" i="6" s="1"/>
  <c r="K24" i="6"/>
  <c r="J16" i="9"/>
  <c r="G17" i="9" s="1"/>
  <c r="I17" i="9" s="1"/>
  <c r="J17" i="9" s="1"/>
  <c r="G37" i="11"/>
  <c r="I37" i="11" s="1"/>
  <c r="J37" i="11" s="1"/>
  <c r="G21" i="8"/>
  <c r="I21" i="8" s="1"/>
  <c r="J21" i="8" s="1"/>
  <c r="J20" i="5" l="1"/>
  <c r="G21" i="5" s="1"/>
  <c r="I21" i="5" s="1"/>
  <c r="J21" i="5" s="1"/>
  <c r="J22" i="5" s="1"/>
  <c r="G23" i="5" s="1"/>
  <c r="I23" i="5" s="1"/>
  <c r="K21" i="5"/>
  <c r="L21" i="5" s="1"/>
  <c r="J25" i="6"/>
  <c r="G26" i="6" s="1"/>
  <c r="I26" i="6" s="1"/>
  <c r="J26" i="6" s="1"/>
  <c r="L17" i="9"/>
  <c r="M17" i="9" s="1"/>
  <c r="G38" i="11"/>
  <c r="I38" i="11" s="1"/>
  <c r="J38" i="11" s="1"/>
  <c r="G22" i="8"/>
  <c r="I22" i="8" s="1"/>
  <c r="J22" i="8" s="1"/>
  <c r="G18" i="9"/>
  <c r="I18" i="9" s="1"/>
  <c r="J23" i="5" l="1"/>
  <c r="G24" i="5"/>
  <c r="I24" i="5" s="1"/>
  <c r="J18" i="9"/>
  <c r="G19" i="9" s="1"/>
  <c r="I19" i="9" s="1"/>
  <c r="L18" i="9"/>
  <c r="K26" i="6"/>
  <c r="L26" i="6" s="1"/>
  <c r="G39" i="11"/>
  <c r="I39" i="11" s="1"/>
  <c r="J39" i="11" s="1"/>
  <c r="G23" i="8"/>
  <c r="I23" i="8" s="1"/>
  <c r="G27" i="6"/>
  <c r="I27" i="6" s="1"/>
  <c r="J24" i="5" l="1"/>
  <c r="G25" i="5" s="1"/>
  <c r="I25" i="5" s="1"/>
  <c r="J25" i="5" s="1"/>
  <c r="J19" i="9"/>
  <c r="G20" i="9" s="1"/>
  <c r="I20" i="9" s="1"/>
  <c r="J27" i="6"/>
  <c r="G28" i="6" s="1"/>
  <c r="I28" i="6" s="1"/>
  <c r="J23" i="8"/>
  <c r="G24" i="8" s="1"/>
  <c r="I24" i="8" s="1"/>
  <c r="J24" i="8" s="1"/>
  <c r="G40" i="11"/>
  <c r="I40" i="11" s="1"/>
  <c r="J40" i="11" s="1"/>
  <c r="G26" i="5" l="1"/>
  <c r="I26" i="5" s="1"/>
  <c r="J26" i="5" s="1"/>
  <c r="J28" i="6"/>
  <c r="G29" i="6" s="1"/>
  <c r="I29" i="6" s="1"/>
  <c r="K28" i="6"/>
  <c r="L28" i="6" s="1"/>
  <c r="J20" i="9"/>
  <c r="G21" i="9" s="1"/>
  <c r="I21" i="9" s="1"/>
  <c r="L20" i="9"/>
  <c r="M20" i="9" s="1"/>
  <c r="G41" i="11"/>
  <c r="I41" i="11" s="1"/>
  <c r="J41" i="11" s="1"/>
  <c r="G25" i="8"/>
  <c r="I25" i="8" s="1"/>
  <c r="D11" i="7"/>
  <c r="D17" i="1"/>
  <c r="D16" i="1"/>
  <c r="E12" i="4"/>
  <c r="D15" i="1"/>
  <c r="D14" i="1"/>
  <c r="D13" i="1"/>
  <c r="D10" i="7"/>
  <c r="D301" i="7" s="1"/>
  <c r="D11" i="3"/>
  <c r="D12" i="1"/>
  <c r="K26" i="5" l="1"/>
  <c r="L26" i="5" s="1"/>
  <c r="G27" i="5"/>
  <c r="I27" i="5" s="1"/>
  <c r="K27" i="5" s="1"/>
  <c r="L27" i="5" s="1"/>
  <c r="J29" i="6"/>
  <c r="G30" i="6" s="1"/>
  <c r="I30" i="6" s="1"/>
  <c r="J21" i="9"/>
  <c r="J25" i="8"/>
  <c r="G26" i="8" s="1"/>
  <c r="I26" i="8" s="1"/>
  <c r="L25" i="8"/>
  <c r="M25" i="8" s="1"/>
  <c r="I10" i="7"/>
  <c r="E10" i="7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J305" i="7" s="1"/>
  <c r="G42" i="11"/>
  <c r="I42" i="11" s="1"/>
  <c r="J42" i="11" s="1"/>
  <c r="E13" i="4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G13" i="4"/>
  <c r="I13" i="4" s="1"/>
  <c r="G22" i="9"/>
  <c r="I22" i="9" s="1"/>
  <c r="J22" i="9" s="1"/>
  <c r="D10" i="1"/>
  <c r="D151" i="1" s="1"/>
  <c r="D10" i="3"/>
  <c r="D81" i="3" s="1"/>
  <c r="F9" i="3"/>
  <c r="J9" i="3"/>
  <c r="E9" i="3"/>
  <c r="F9" i="2"/>
  <c r="E9" i="2"/>
  <c r="F9" i="1"/>
  <c r="J9" i="1"/>
  <c r="E9" i="1"/>
  <c r="J27" i="5" l="1"/>
  <c r="G28" i="5"/>
  <c r="I28" i="5" s="1"/>
  <c r="J26" i="8"/>
  <c r="G27" i="8" s="1"/>
  <c r="I27" i="8" s="1"/>
  <c r="J30" i="6"/>
  <c r="L22" i="9"/>
  <c r="M22" i="9" s="1"/>
  <c r="J13" i="4"/>
  <c r="G14" i="4" s="1"/>
  <c r="I14" i="4" s="1"/>
  <c r="J10" i="7"/>
  <c r="G11" i="7" s="1"/>
  <c r="I11" i="7" s="1"/>
  <c r="J11" i="7" s="1"/>
  <c r="E10" i="2"/>
  <c r="E11" i="2" s="1"/>
  <c r="E12" i="2" s="1"/>
  <c r="E13" i="2" s="1"/>
  <c r="E14" i="2" s="1"/>
  <c r="E15" i="2" s="1"/>
  <c r="E16" i="2" s="1"/>
  <c r="J21" i="2" s="1"/>
  <c r="G10" i="2"/>
  <c r="I10" i="2" s="1"/>
  <c r="G43" i="11"/>
  <c r="I43" i="11" s="1"/>
  <c r="E26" i="4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G10" i="1"/>
  <c r="I10" i="1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G10" i="3"/>
  <c r="I10" i="3" s="1"/>
  <c r="E10" i="3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J84" i="3" s="1"/>
  <c r="G23" i="9"/>
  <c r="I23" i="9" s="1"/>
  <c r="G31" i="6"/>
  <c r="I31" i="6" s="1"/>
  <c r="J31" i="6" s="1"/>
  <c r="J28" i="5" l="1"/>
  <c r="G29" i="5" s="1"/>
  <c r="I29" i="5" s="1"/>
  <c r="J14" i="4"/>
  <c r="G15" i="4" s="1"/>
  <c r="I15" i="4" s="1"/>
  <c r="K14" i="4"/>
  <c r="J27" i="8"/>
  <c r="G28" i="8" s="1"/>
  <c r="I28" i="8" s="1"/>
  <c r="E128" i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J154" i="1" s="1"/>
  <c r="J43" i="11"/>
  <c r="K43" i="11"/>
  <c r="J23" i="9"/>
  <c r="J10" i="2"/>
  <c r="G11" i="2" s="1"/>
  <c r="I11" i="2" s="1"/>
  <c r="J10" i="3"/>
  <c r="J10" i="1"/>
  <c r="E44" i="4"/>
  <c r="E45" i="4" s="1"/>
  <c r="J49" i="4" s="1"/>
  <c r="G44" i="11"/>
  <c r="I44" i="11" s="1"/>
  <c r="G12" i="7"/>
  <c r="I12" i="7" s="1"/>
  <c r="J12" i="7" s="1"/>
  <c r="G13" i="7" s="1"/>
  <c r="I13" i="7" s="1"/>
  <c r="J13" i="7" s="1"/>
  <c r="G14" i="7" s="1"/>
  <c r="I14" i="7" s="1"/>
  <c r="G11" i="1"/>
  <c r="I11" i="1" s="1"/>
  <c r="J11" i="1" s="1"/>
  <c r="G12" i="1" s="1"/>
  <c r="I12" i="1" s="1"/>
  <c r="J12" i="1" s="1"/>
  <c r="G13" i="1" s="1"/>
  <c r="I13" i="1" s="1"/>
  <c r="J13" i="1" s="1"/>
  <c r="G11" i="3"/>
  <c r="I11" i="3" s="1"/>
  <c r="J11" i="3" s="1"/>
  <c r="G12" i="3" s="1"/>
  <c r="I12" i="3" s="1"/>
  <c r="J12" i="3" s="1"/>
  <c r="G24" i="9"/>
  <c r="I24" i="9" s="1"/>
  <c r="J24" i="9" s="1"/>
  <c r="G32" i="6"/>
  <c r="I32" i="6" s="1"/>
  <c r="J32" i="6" s="1"/>
  <c r="J29" i="5" l="1"/>
  <c r="G30" i="5" s="1"/>
  <c r="I30" i="5" s="1"/>
  <c r="K30" i="5" s="1"/>
  <c r="L13" i="7"/>
  <c r="J11" i="2"/>
  <c r="G12" i="2" s="1"/>
  <c r="I12" i="2" s="1"/>
  <c r="L11" i="2"/>
  <c r="J28" i="8"/>
  <c r="L28" i="8"/>
  <c r="M14" i="7"/>
  <c r="J14" i="7"/>
  <c r="G15" i="7" s="1"/>
  <c r="I15" i="7" s="1"/>
  <c r="L14" i="7"/>
  <c r="J44" i="11"/>
  <c r="G45" i="11" s="1"/>
  <c r="I45" i="11" s="1"/>
  <c r="J45" i="11" s="1"/>
  <c r="K32" i="6"/>
  <c r="L32" i="6" s="1"/>
  <c r="J15" i="4"/>
  <c r="G16" i="4" s="1"/>
  <c r="I16" i="4" s="1"/>
  <c r="J16" i="4" s="1"/>
  <c r="G17" i="4" s="1"/>
  <c r="I17" i="4" s="1"/>
  <c r="J17" i="4" s="1"/>
  <c r="G18" i="4" s="1"/>
  <c r="I18" i="4" s="1"/>
  <c r="G14" i="1"/>
  <c r="I14" i="1" s="1"/>
  <c r="J14" i="1" s="1"/>
  <c r="G13" i="3"/>
  <c r="I13" i="3" s="1"/>
  <c r="J13" i="3" s="1"/>
  <c r="G25" i="9"/>
  <c r="I25" i="9" s="1"/>
  <c r="G29" i="8"/>
  <c r="I29" i="8" s="1"/>
  <c r="G33" i="6"/>
  <c r="I33" i="6" s="1"/>
  <c r="J30" i="5" l="1"/>
  <c r="J12" i="2"/>
  <c r="L12" i="2"/>
  <c r="J33" i="6"/>
  <c r="J29" i="8"/>
  <c r="G30" i="8" s="1"/>
  <c r="I30" i="8" s="1"/>
  <c r="J30" i="8" s="1"/>
  <c r="J25" i="9"/>
  <c r="G26" i="9" s="1"/>
  <c r="I26" i="9" s="1"/>
  <c r="L25" i="9"/>
  <c r="M25" i="9" s="1"/>
  <c r="J18" i="4"/>
  <c r="G19" i="4" s="1"/>
  <c r="I19" i="4" s="1"/>
  <c r="K18" i="4"/>
  <c r="L18" i="4" s="1"/>
  <c r="J15" i="7"/>
  <c r="G16" i="7" s="1"/>
  <c r="I16" i="7" s="1"/>
  <c r="J16" i="7" s="1"/>
  <c r="M12" i="2"/>
  <c r="K17" i="4"/>
  <c r="L17" i="4" s="1"/>
  <c r="G13" i="2"/>
  <c r="I13" i="2" s="1"/>
  <c r="G46" i="11"/>
  <c r="I46" i="11" s="1"/>
  <c r="J46" i="11" s="1"/>
  <c r="G15" i="1"/>
  <c r="I15" i="1" s="1"/>
  <c r="J15" i="1" s="1"/>
  <c r="G16" i="1" s="1"/>
  <c r="I16" i="1" s="1"/>
  <c r="J16" i="1" s="1"/>
  <c r="G14" i="3"/>
  <c r="I14" i="3" s="1"/>
  <c r="J14" i="3" s="1"/>
  <c r="G15" i="3" s="1"/>
  <c r="I15" i="3" s="1"/>
  <c r="J15" i="3" s="1"/>
  <c r="G16" i="3" s="1"/>
  <c r="I16" i="3" s="1"/>
  <c r="G34" i="6"/>
  <c r="I34" i="6" s="1"/>
  <c r="J34" i="6" s="1"/>
  <c r="G31" i="5" l="1"/>
  <c r="I31" i="5" s="1"/>
  <c r="K31" i="5" s="1"/>
  <c r="L31" i="5" s="1"/>
  <c r="J26" i="9"/>
  <c r="J16" i="3"/>
  <c r="G17" i="3" s="1"/>
  <c r="I17" i="3" s="1"/>
  <c r="L15" i="3"/>
  <c r="G17" i="7"/>
  <c r="I17" i="7" s="1"/>
  <c r="J17" i="7" s="1"/>
  <c r="G18" i="7" s="1"/>
  <c r="I18" i="7" s="1"/>
  <c r="J13" i="2"/>
  <c r="G14" i="2" s="1"/>
  <c r="I14" i="2" s="1"/>
  <c r="L13" i="2"/>
  <c r="M13" i="2" s="1"/>
  <c r="J19" i="4"/>
  <c r="G20" i="4" s="1"/>
  <c r="I20" i="4" s="1"/>
  <c r="K19" i="4"/>
  <c r="G47" i="11"/>
  <c r="I47" i="11" s="1"/>
  <c r="J47" i="11" s="1"/>
  <c r="G17" i="1"/>
  <c r="I17" i="1" s="1"/>
  <c r="J17" i="1" s="1"/>
  <c r="G27" i="9"/>
  <c r="I27" i="9" s="1"/>
  <c r="J27" i="9" s="1"/>
  <c r="G31" i="8"/>
  <c r="I31" i="8" s="1"/>
  <c r="J31" i="8" s="1"/>
  <c r="G35" i="6"/>
  <c r="I35" i="6" s="1"/>
  <c r="J35" i="6" s="1"/>
  <c r="J31" i="5" l="1"/>
  <c r="G32" i="5"/>
  <c r="I32" i="5" s="1"/>
  <c r="L31" i="8"/>
  <c r="M31" i="8" s="1"/>
  <c r="J18" i="7"/>
  <c r="G19" i="7" s="1"/>
  <c r="I19" i="7" s="1"/>
  <c r="J19" i="7" s="1"/>
  <c r="J17" i="3"/>
  <c r="J20" i="4"/>
  <c r="G21" i="4" s="1"/>
  <c r="I21" i="4" s="1"/>
  <c r="K20" i="4"/>
  <c r="L20" i="4" s="1"/>
  <c r="J14" i="2"/>
  <c r="G15" i="2" s="1"/>
  <c r="I15" i="2" s="1"/>
  <c r="L14" i="2"/>
  <c r="G48" i="11"/>
  <c r="I48" i="11" s="1"/>
  <c r="J48" i="11" s="1"/>
  <c r="G18" i="1"/>
  <c r="I18" i="1" s="1"/>
  <c r="G18" i="3"/>
  <c r="I18" i="3" s="1"/>
  <c r="J18" i="3" s="1"/>
  <c r="G19" i="3" s="1"/>
  <c r="I19" i="3" s="1"/>
  <c r="J19" i="3" s="1"/>
  <c r="G20" i="3" s="1"/>
  <c r="I20" i="3" s="1"/>
  <c r="J20" i="3" s="1"/>
  <c r="G21" i="3" s="1"/>
  <c r="I21" i="3" s="1"/>
  <c r="G28" i="9"/>
  <c r="I28" i="9" s="1"/>
  <c r="J28" i="9" s="1"/>
  <c r="G32" i="8"/>
  <c r="I32" i="8" s="1"/>
  <c r="G36" i="6"/>
  <c r="I36" i="6" s="1"/>
  <c r="J36" i="6" s="1"/>
  <c r="J32" i="5" l="1"/>
  <c r="J21" i="3"/>
  <c r="G22" i="3" s="1"/>
  <c r="I22" i="3" s="1"/>
  <c r="J22" i="3" s="1"/>
  <c r="G23" i="3" s="1"/>
  <c r="I23" i="3" s="1"/>
  <c r="J32" i="8"/>
  <c r="J15" i="2"/>
  <c r="G16" i="2" s="1"/>
  <c r="I16" i="2" s="1"/>
  <c r="L20" i="3"/>
  <c r="M20" i="3" s="1"/>
  <c r="J21" i="4"/>
  <c r="G22" i="4" s="1"/>
  <c r="I22" i="4" s="1"/>
  <c r="K21" i="4"/>
  <c r="G20" i="7"/>
  <c r="I20" i="7" s="1"/>
  <c r="J20" i="7" s="1"/>
  <c r="J18" i="1"/>
  <c r="G19" i="1" s="1"/>
  <c r="I19" i="1" s="1"/>
  <c r="J19" i="1" s="1"/>
  <c r="G20" i="1" s="1"/>
  <c r="I20" i="1" s="1"/>
  <c r="J20" i="1" s="1"/>
  <c r="G49" i="11"/>
  <c r="I49" i="11" s="1"/>
  <c r="J49" i="11" s="1"/>
  <c r="G29" i="9"/>
  <c r="I29" i="9" s="1"/>
  <c r="G33" i="8"/>
  <c r="I33" i="8" s="1"/>
  <c r="J33" i="8" s="1"/>
  <c r="G37" i="6"/>
  <c r="I37" i="6" s="1"/>
  <c r="J37" i="6" s="1"/>
  <c r="J16" i="2" l="1"/>
  <c r="J22" i="2" s="1"/>
  <c r="J23" i="2" s="1"/>
  <c r="I17" i="2"/>
  <c r="G33" i="5"/>
  <c r="I33" i="5" s="1"/>
  <c r="J33" i="5" s="1"/>
  <c r="L16" i="2"/>
  <c r="M16" i="2" s="1"/>
  <c r="M17" i="2" s="1"/>
  <c r="J29" i="9"/>
  <c r="G21" i="7"/>
  <c r="I21" i="7" s="1"/>
  <c r="J22" i="4"/>
  <c r="G23" i="4" s="1"/>
  <c r="I23" i="4" s="1"/>
  <c r="J23" i="4" s="1"/>
  <c r="G24" i="4" s="1"/>
  <c r="I24" i="4" s="1"/>
  <c r="J24" i="4" s="1"/>
  <c r="G25" i="4" s="1"/>
  <c r="I25" i="4" s="1"/>
  <c r="K37" i="6"/>
  <c r="L22" i="3"/>
  <c r="M22" i="3" s="1"/>
  <c r="J23" i="3"/>
  <c r="G24" i="3" s="1"/>
  <c r="I24" i="3" s="1"/>
  <c r="L23" i="3"/>
  <c r="M23" i="3" s="1"/>
  <c r="G50" i="11"/>
  <c r="I50" i="11" s="1"/>
  <c r="J50" i="11" s="1"/>
  <c r="G21" i="1"/>
  <c r="I21" i="1" s="1"/>
  <c r="J21" i="1" s="1"/>
  <c r="G30" i="9"/>
  <c r="I30" i="9" s="1"/>
  <c r="J30" i="9" s="1"/>
  <c r="G34" i="8"/>
  <c r="I34" i="8" s="1"/>
  <c r="G38" i="6"/>
  <c r="I38" i="6" s="1"/>
  <c r="G34" i="5" l="1"/>
  <c r="I34" i="5" s="1"/>
  <c r="J34" i="5" s="1"/>
  <c r="K24" i="4"/>
  <c r="L24" i="4" s="1"/>
  <c r="J38" i="6"/>
  <c r="J24" i="3"/>
  <c r="G25" i="3" s="1"/>
  <c r="I25" i="3" s="1"/>
  <c r="L24" i="3"/>
  <c r="M24" i="3" s="1"/>
  <c r="J25" i="4"/>
  <c r="J26" i="4" s="1"/>
  <c r="G27" i="4" s="1"/>
  <c r="I27" i="4" s="1"/>
  <c r="K25" i="4"/>
  <c r="L25" i="4" s="1"/>
  <c r="J34" i="8"/>
  <c r="L34" i="8"/>
  <c r="J21" i="7"/>
  <c r="G22" i="7" s="1"/>
  <c r="I22" i="7" s="1"/>
  <c r="J22" i="7" s="1"/>
  <c r="G23" i="7" s="1"/>
  <c r="I23" i="7" s="1"/>
  <c r="J23" i="7" s="1"/>
  <c r="G24" i="7" s="1"/>
  <c r="I24" i="7" s="1"/>
  <c r="J24" i="7" s="1"/>
  <c r="G25" i="7" s="1"/>
  <c r="I25" i="7" s="1"/>
  <c r="J25" i="7" s="1"/>
  <c r="G26" i="7" s="1"/>
  <c r="I26" i="7" s="1"/>
  <c r="J26" i="7" s="1"/>
  <c r="G27" i="7" s="1"/>
  <c r="I27" i="7" s="1"/>
  <c r="J27" i="7" s="1"/>
  <c r="G51" i="11"/>
  <c r="I51" i="11" s="1"/>
  <c r="J51" i="11" s="1"/>
  <c r="G22" i="1"/>
  <c r="I22" i="1" s="1"/>
  <c r="J22" i="1" s="1"/>
  <c r="G31" i="9"/>
  <c r="I31" i="9" s="1"/>
  <c r="J31" i="9" s="1"/>
  <c r="G35" i="8"/>
  <c r="I35" i="8" s="1"/>
  <c r="G39" i="6"/>
  <c r="I39" i="6" s="1"/>
  <c r="J39" i="6" s="1"/>
  <c r="G35" i="5" l="1"/>
  <c r="I35" i="5" s="1"/>
  <c r="I36" i="5" s="1"/>
  <c r="J27" i="4"/>
  <c r="G28" i="4" s="1"/>
  <c r="I28" i="4" s="1"/>
  <c r="K27" i="4"/>
  <c r="L27" i="4" s="1"/>
  <c r="J25" i="3"/>
  <c r="G26" i="3" s="1"/>
  <c r="I26" i="3" s="1"/>
  <c r="J26" i="3" s="1"/>
  <c r="G27" i="3" s="1"/>
  <c r="I27" i="3" s="1"/>
  <c r="J27" i="3" s="1"/>
  <c r="G28" i="3" s="1"/>
  <c r="I28" i="3" s="1"/>
  <c r="J28" i="3" s="1"/>
  <c r="G29" i="3" s="1"/>
  <c r="I29" i="3" s="1"/>
  <c r="J29" i="3" s="1"/>
  <c r="J35" i="8"/>
  <c r="G36" i="8" s="1"/>
  <c r="I36" i="8" s="1"/>
  <c r="L35" i="8"/>
  <c r="M35" i="8" s="1"/>
  <c r="L27" i="7"/>
  <c r="K39" i="6"/>
  <c r="L39" i="6" s="1"/>
  <c r="G52" i="11"/>
  <c r="I52" i="11" s="1"/>
  <c r="J52" i="11" s="1"/>
  <c r="G23" i="1"/>
  <c r="I23" i="1" s="1"/>
  <c r="J23" i="1" s="1"/>
  <c r="G24" i="1" s="1"/>
  <c r="I24" i="1" s="1"/>
  <c r="J24" i="1" s="1"/>
  <c r="G25" i="1" s="1"/>
  <c r="I25" i="1" s="1"/>
  <c r="J25" i="1" s="1"/>
  <c r="G32" i="9"/>
  <c r="I32" i="9" s="1"/>
  <c r="J32" i="9" s="1"/>
  <c r="G40" i="6"/>
  <c r="I40" i="6" s="1"/>
  <c r="G28" i="7"/>
  <c r="I28" i="7" s="1"/>
  <c r="K35" i="5" l="1"/>
  <c r="L35" i="5" s="1"/>
  <c r="L36" i="5" s="1"/>
  <c r="J35" i="5"/>
  <c r="J40" i="5" s="1"/>
  <c r="J41" i="5" s="1"/>
  <c r="J40" i="6"/>
  <c r="J36" i="8"/>
  <c r="J28" i="7"/>
  <c r="G29" i="7" s="1"/>
  <c r="I29" i="7" s="1"/>
  <c r="L28" i="7"/>
  <c r="M28" i="7" s="1"/>
  <c r="L32" i="9"/>
  <c r="J28" i="4"/>
  <c r="G29" i="4" s="1"/>
  <c r="I29" i="4" s="1"/>
  <c r="J29" i="4" s="1"/>
  <c r="G30" i="4" s="1"/>
  <c r="I30" i="4" s="1"/>
  <c r="G53" i="11"/>
  <c r="I53" i="11" s="1"/>
  <c r="J53" i="11" s="1"/>
  <c r="G26" i="1"/>
  <c r="I26" i="1" s="1"/>
  <c r="J26" i="1" s="1"/>
  <c r="G30" i="3"/>
  <c r="I30" i="3" s="1"/>
  <c r="J30" i="3" s="1"/>
  <c r="G33" i="9"/>
  <c r="I33" i="9" s="1"/>
  <c r="G37" i="8"/>
  <c r="I37" i="8" s="1"/>
  <c r="J37" i="8" s="1"/>
  <c r="G41" i="6"/>
  <c r="I41" i="6" s="1"/>
  <c r="J41" i="6" s="1"/>
  <c r="L37" i="8" l="1"/>
  <c r="K29" i="4"/>
  <c r="L29" i="4" s="1"/>
  <c r="J29" i="7"/>
  <c r="J30" i="7" s="1"/>
  <c r="G31" i="7" s="1"/>
  <c r="I31" i="7" s="1"/>
  <c r="L29" i="7"/>
  <c r="J33" i="9"/>
  <c r="G34" i="9" s="1"/>
  <c r="I34" i="9" s="1"/>
  <c r="J30" i="4"/>
  <c r="G31" i="4" s="1"/>
  <c r="I31" i="4" s="1"/>
  <c r="J31" i="4" s="1"/>
  <c r="G32" i="4" s="1"/>
  <c r="I32" i="4" s="1"/>
  <c r="J32" i="4" s="1"/>
  <c r="G33" i="4" s="1"/>
  <c r="I33" i="4" s="1"/>
  <c r="J33" i="4" s="1"/>
  <c r="G34" i="4" s="1"/>
  <c r="I34" i="4" s="1"/>
  <c r="G54" i="11"/>
  <c r="I54" i="11" s="1"/>
  <c r="J54" i="11" s="1"/>
  <c r="G27" i="1"/>
  <c r="I27" i="1" s="1"/>
  <c r="J27" i="1" s="1"/>
  <c r="G28" i="1" s="1"/>
  <c r="I28" i="1" s="1"/>
  <c r="J28" i="1" s="1"/>
  <c r="G29" i="1" s="1"/>
  <c r="I29" i="1" s="1"/>
  <c r="J29" i="1" s="1"/>
  <c r="G30" i="1" s="1"/>
  <c r="I30" i="1" s="1"/>
  <c r="J30" i="1" s="1"/>
  <c r="G31" i="3"/>
  <c r="I31" i="3" s="1"/>
  <c r="J31" i="3" s="1"/>
  <c r="G38" i="8"/>
  <c r="I38" i="8" s="1"/>
  <c r="G42" i="6"/>
  <c r="I42" i="6" s="1"/>
  <c r="K33" i="4" l="1"/>
  <c r="J31" i="7"/>
  <c r="G32" i="7" s="1"/>
  <c r="I32" i="7" s="1"/>
  <c r="L31" i="7"/>
  <c r="M31" i="7" s="1"/>
  <c r="J34" i="9"/>
  <c r="G35" i="9" s="1"/>
  <c r="I35" i="9" s="1"/>
  <c r="J42" i="6"/>
  <c r="G43" i="6" s="1"/>
  <c r="L31" i="3"/>
  <c r="J34" i="4"/>
  <c r="G35" i="4" s="1"/>
  <c r="I35" i="4" s="1"/>
  <c r="J35" i="4" s="1"/>
  <c r="G36" i="4" s="1"/>
  <c r="I36" i="4" s="1"/>
  <c r="J36" i="4" s="1"/>
  <c r="G37" i="4" s="1"/>
  <c r="I37" i="4" s="1"/>
  <c r="J37" i="4" s="1"/>
  <c r="G38" i="4" s="1"/>
  <c r="I38" i="4" s="1"/>
  <c r="J38" i="8"/>
  <c r="G39" i="8" s="1"/>
  <c r="I39" i="8" s="1"/>
  <c r="L38" i="8"/>
  <c r="M38" i="8" s="1"/>
  <c r="G55" i="11"/>
  <c r="I55" i="11" s="1"/>
  <c r="J55" i="11" s="1"/>
  <c r="G31" i="1"/>
  <c r="I31" i="1" s="1"/>
  <c r="J31" i="1" s="1"/>
  <c r="G32" i="1" s="1"/>
  <c r="I32" i="1" s="1"/>
  <c r="G32" i="3"/>
  <c r="I32" i="3" s="1"/>
  <c r="K37" i="4" l="1"/>
  <c r="L37" i="4" s="1"/>
  <c r="J35" i="9"/>
  <c r="J39" i="8"/>
  <c r="J38" i="4"/>
  <c r="G39" i="4" s="1"/>
  <c r="I39" i="4" s="1"/>
  <c r="K38" i="4"/>
  <c r="J32" i="7"/>
  <c r="G33" i="7" s="1"/>
  <c r="I33" i="7" s="1"/>
  <c r="L32" i="7"/>
  <c r="J32" i="3"/>
  <c r="G33" i="3" s="1"/>
  <c r="I33" i="3" s="1"/>
  <c r="J33" i="3" s="1"/>
  <c r="J32" i="1"/>
  <c r="G33" i="1" s="1"/>
  <c r="I33" i="1" s="1"/>
  <c r="L32" i="1"/>
  <c r="M32" i="1" s="1"/>
  <c r="G56" i="11"/>
  <c r="I56" i="11" s="1"/>
  <c r="J56" i="11" s="1"/>
  <c r="I43" i="6"/>
  <c r="G36" i="9"/>
  <c r="I36" i="9" s="1"/>
  <c r="J36" i="9" s="1"/>
  <c r="G40" i="8"/>
  <c r="I40" i="8" s="1"/>
  <c r="J40" i="8" s="1"/>
  <c r="J33" i="7" l="1"/>
  <c r="G34" i="7" s="1"/>
  <c r="I34" i="7" s="1"/>
  <c r="J34" i="7" s="1"/>
  <c r="L36" i="9"/>
  <c r="M36" i="9" s="1"/>
  <c r="J39" i="4"/>
  <c r="G40" i="4" s="1"/>
  <c r="I40" i="4" s="1"/>
  <c r="J40" i="4" s="1"/>
  <c r="G41" i="4" s="1"/>
  <c r="I41" i="4" s="1"/>
  <c r="J41" i="4" s="1"/>
  <c r="G42" i="4" s="1"/>
  <c r="I42" i="4" s="1"/>
  <c r="J43" i="6"/>
  <c r="G44" i="6" s="1"/>
  <c r="I44" i="6" s="1"/>
  <c r="J44" i="6" s="1"/>
  <c r="G45" i="6" s="1"/>
  <c r="I45" i="6" s="1"/>
  <c r="J45" i="6" s="1"/>
  <c r="G46" i="6" s="1"/>
  <c r="I46" i="6" s="1"/>
  <c r="J46" i="6" s="1"/>
  <c r="J33" i="1"/>
  <c r="G34" i="1" s="1"/>
  <c r="I34" i="1" s="1"/>
  <c r="J34" i="1" s="1"/>
  <c r="G35" i="1" s="1"/>
  <c r="I35" i="1" s="1"/>
  <c r="J35" i="1" s="1"/>
  <c r="G36" i="1" s="1"/>
  <c r="I36" i="1" s="1"/>
  <c r="J36" i="1" s="1"/>
  <c r="G37" i="1" s="1"/>
  <c r="I37" i="1" s="1"/>
  <c r="J37" i="1" s="1"/>
  <c r="G38" i="1" s="1"/>
  <c r="I38" i="1" s="1"/>
  <c r="J38" i="1" s="1"/>
  <c r="G39" i="1" s="1"/>
  <c r="I39" i="1" s="1"/>
  <c r="J39" i="1" s="1"/>
  <c r="G40" i="1" s="1"/>
  <c r="I40" i="1" s="1"/>
  <c r="J40" i="1" s="1"/>
  <c r="G41" i="1" s="1"/>
  <c r="I41" i="1" s="1"/>
  <c r="J41" i="1" s="1"/>
  <c r="G57" i="11"/>
  <c r="I57" i="11" s="1"/>
  <c r="J57" i="11" s="1"/>
  <c r="G34" i="3"/>
  <c r="I34" i="3" s="1"/>
  <c r="G37" i="9"/>
  <c r="I37" i="9" s="1"/>
  <c r="G41" i="8"/>
  <c r="I41" i="8" s="1"/>
  <c r="J41" i="8" s="1"/>
  <c r="K41" i="4" l="1"/>
  <c r="L41" i="4" s="1"/>
  <c r="J37" i="9"/>
  <c r="J34" i="3"/>
  <c r="G35" i="3" s="1"/>
  <c r="I35" i="3" s="1"/>
  <c r="L34" i="3"/>
  <c r="M34" i="3" s="1"/>
  <c r="J42" i="4"/>
  <c r="G43" i="4" s="1"/>
  <c r="I43" i="4" s="1"/>
  <c r="K42" i="4"/>
  <c r="G58" i="11"/>
  <c r="I58" i="11" s="1"/>
  <c r="J58" i="11" s="1"/>
  <c r="G47" i="6"/>
  <c r="I47" i="6" s="1"/>
  <c r="J47" i="6" s="1"/>
  <c r="G48" i="6" s="1"/>
  <c r="I48" i="6" s="1"/>
  <c r="J48" i="6" s="1"/>
  <c r="G35" i="7"/>
  <c r="I35" i="7" s="1"/>
  <c r="J35" i="7" s="1"/>
  <c r="G38" i="9"/>
  <c r="I38" i="9" s="1"/>
  <c r="J38" i="9" s="1"/>
  <c r="G42" i="8"/>
  <c r="I42" i="8" s="1"/>
  <c r="J42" i="8" s="1"/>
  <c r="G42" i="1"/>
  <c r="I42" i="1" s="1"/>
  <c r="J43" i="4" l="1"/>
  <c r="J44" i="4" s="1"/>
  <c r="G45" i="4" s="1"/>
  <c r="I45" i="4" s="1"/>
  <c r="L42" i="8"/>
  <c r="J35" i="3"/>
  <c r="G36" i="3" s="1"/>
  <c r="I36" i="3" s="1"/>
  <c r="L35" i="3"/>
  <c r="J42" i="1"/>
  <c r="L42" i="1"/>
  <c r="G59" i="11"/>
  <c r="I59" i="11" s="1"/>
  <c r="J59" i="11" s="1"/>
  <c r="G49" i="6"/>
  <c r="I49" i="6" s="1"/>
  <c r="J49" i="6" s="1"/>
  <c r="G50" i="6" s="1"/>
  <c r="I50" i="6" s="1"/>
  <c r="J50" i="6" s="1"/>
  <c r="G51" i="6" s="1"/>
  <c r="I51" i="6" s="1"/>
  <c r="J51" i="6" s="1"/>
  <c r="G52" i="6" s="1"/>
  <c r="I52" i="6" s="1"/>
  <c r="G36" i="7"/>
  <c r="I36" i="7" s="1"/>
  <c r="J36" i="7" s="1"/>
  <c r="G39" i="9"/>
  <c r="I39" i="9" s="1"/>
  <c r="J39" i="9" s="1"/>
  <c r="G43" i="8"/>
  <c r="I43" i="8" s="1"/>
  <c r="G43" i="1"/>
  <c r="I43" i="1" s="1"/>
  <c r="J45" i="4" l="1"/>
  <c r="J50" i="4" s="1"/>
  <c r="J51" i="4" s="1"/>
  <c r="I46" i="4"/>
  <c r="K51" i="6"/>
  <c r="K45" i="4"/>
  <c r="L45" i="4" s="1"/>
  <c r="L46" i="4" s="1"/>
  <c r="J36" i="3"/>
  <c r="G37" i="3" s="1"/>
  <c r="I37" i="3" s="1"/>
  <c r="J43" i="8"/>
  <c r="G44" i="8" s="1"/>
  <c r="I44" i="8" s="1"/>
  <c r="J44" i="8" s="1"/>
  <c r="G45" i="8" s="1"/>
  <c r="I45" i="8" s="1"/>
  <c r="J45" i="8" s="1"/>
  <c r="G46" i="8" s="1"/>
  <c r="I46" i="8" s="1"/>
  <c r="J52" i="6"/>
  <c r="G53" i="6" s="1"/>
  <c r="I53" i="6" s="1"/>
  <c r="J53" i="6" s="1"/>
  <c r="G54" i="6" s="1"/>
  <c r="I54" i="6" s="1"/>
  <c r="J54" i="6" s="1"/>
  <c r="G55" i="6" s="1"/>
  <c r="I55" i="6" s="1"/>
  <c r="J55" i="6" s="1"/>
  <c r="G56" i="6" s="1"/>
  <c r="I56" i="6" s="1"/>
  <c r="J56" i="6" s="1"/>
  <c r="G57" i="6" s="1"/>
  <c r="I57" i="6" s="1"/>
  <c r="J57" i="6" s="1"/>
  <c r="G58" i="6" s="1"/>
  <c r="I58" i="6" s="1"/>
  <c r="J58" i="6" s="1"/>
  <c r="G59" i="6" s="1"/>
  <c r="I59" i="6" s="1"/>
  <c r="J59" i="6" s="1"/>
  <c r="G60" i="6" s="1"/>
  <c r="I60" i="6" s="1"/>
  <c r="J60" i="6" s="1"/>
  <c r="G61" i="6" s="1"/>
  <c r="I61" i="6" s="1"/>
  <c r="J61" i="6" s="1"/>
  <c r="J43" i="1"/>
  <c r="G60" i="11"/>
  <c r="I60" i="11" s="1"/>
  <c r="J60" i="11" s="1"/>
  <c r="G37" i="7"/>
  <c r="I37" i="7" s="1"/>
  <c r="J37" i="7" s="1"/>
  <c r="G40" i="9"/>
  <c r="I40" i="9" s="1"/>
  <c r="J40" i="9" s="1"/>
  <c r="G44" i="1"/>
  <c r="I44" i="1" s="1"/>
  <c r="J44" i="1" s="1"/>
  <c r="J62" i="6" l="1"/>
  <c r="G63" i="6" s="1"/>
  <c r="I63" i="6" s="1"/>
  <c r="L45" i="8"/>
  <c r="M45" i="8" s="1"/>
  <c r="J37" i="3"/>
  <c r="G38" i="3" s="1"/>
  <c r="I38" i="3" s="1"/>
  <c r="J38" i="3" s="1"/>
  <c r="J46" i="8"/>
  <c r="G47" i="8" s="1"/>
  <c r="I47" i="8" s="1"/>
  <c r="J47" i="8" s="1"/>
  <c r="G48" i="8" s="1"/>
  <c r="I48" i="8" s="1"/>
  <c r="J48" i="8" s="1"/>
  <c r="G49" i="8" s="1"/>
  <c r="I49" i="8" s="1"/>
  <c r="G61" i="11"/>
  <c r="I61" i="11" s="1"/>
  <c r="J61" i="11" s="1"/>
  <c r="G38" i="7"/>
  <c r="I38" i="7" s="1"/>
  <c r="J38" i="7" s="1"/>
  <c r="G41" i="9"/>
  <c r="I41" i="9" s="1"/>
  <c r="G45" i="1"/>
  <c r="I45" i="1" s="1"/>
  <c r="J45" i="1" s="1"/>
  <c r="J63" i="6" l="1"/>
  <c r="K63" i="6"/>
  <c r="L63" i="6" s="1"/>
  <c r="L48" i="8"/>
  <c r="L38" i="3"/>
  <c r="M38" i="3" s="1"/>
  <c r="J41" i="9"/>
  <c r="L41" i="9"/>
  <c r="J49" i="8"/>
  <c r="G50" i="8" s="1"/>
  <c r="I50" i="8" s="1"/>
  <c r="L49" i="8"/>
  <c r="G62" i="11"/>
  <c r="I62" i="11" s="1"/>
  <c r="G39" i="7"/>
  <c r="I39" i="7" s="1"/>
  <c r="J39" i="7" s="1"/>
  <c r="G39" i="3"/>
  <c r="I39" i="3" s="1"/>
  <c r="G42" i="9"/>
  <c r="I42" i="9" s="1"/>
  <c r="G46" i="1"/>
  <c r="I46" i="1" s="1"/>
  <c r="J46" i="1" s="1"/>
  <c r="M49" i="8" l="1"/>
  <c r="G64" i="6"/>
  <c r="I64" i="6" s="1"/>
  <c r="J64" i="6" s="1"/>
  <c r="G65" i="6" s="1"/>
  <c r="I65" i="6" s="1"/>
  <c r="J65" i="6" s="1"/>
  <c r="G66" i="6" s="1"/>
  <c r="I66" i="6" s="1"/>
  <c r="J66" i="6" s="1"/>
  <c r="G67" i="6" s="1"/>
  <c r="J50" i="8"/>
  <c r="G51" i="8" s="1"/>
  <c r="I51" i="8" s="1"/>
  <c r="J51" i="8" s="1"/>
  <c r="G52" i="8" s="1"/>
  <c r="I52" i="8" s="1"/>
  <c r="J52" i="8" s="1"/>
  <c r="G53" i="8" s="1"/>
  <c r="I53" i="8" s="1"/>
  <c r="J62" i="11"/>
  <c r="G63" i="11" s="1"/>
  <c r="I63" i="11" s="1"/>
  <c r="K62" i="11"/>
  <c r="L62" i="11" s="1"/>
  <c r="J42" i="9"/>
  <c r="G43" i="9" s="1"/>
  <c r="I43" i="9" s="1"/>
  <c r="J39" i="3"/>
  <c r="G40" i="3" s="1"/>
  <c r="I40" i="3" s="1"/>
  <c r="G40" i="7"/>
  <c r="I40" i="7" s="1"/>
  <c r="J40" i="7" s="1"/>
  <c r="G47" i="1"/>
  <c r="I47" i="1" s="1"/>
  <c r="J47" i="1" s="1"/>
  <c r="I67" i="6" l="1"/>
  <c r="L52" i="8"/>
  <c r="J63" i="11"/>
  <c r="G64" i="11" s="1"/>
  <c r="I64" i="11" s="1"/>
  <c r="J64" i="11" s="1"/>
  <c r="J43" i="9"/>
  <c r="G44" i="9" s="1"/>
  <c r="I44" i="9" s="1"/>
  <c r="J44" i="9" s="1"/>
  <c r="J40" i="3"/>
  <c r="G41" i="3" s="1"/>
  <c r="I41" i="3" s="1"/>
  <c r="J41" i="3" s="1"/>
  <c r="J53" i="8"/>
  <c r="G54" i="8" s="1"/>
  <c r="I54" i="8" s="1"/>
  <c r="J54" i="8" s="1"/>
  <c r="G55" i="8" s="1"/>
  <c r="I55" i="8" s="1"/>
  <c r="J55" i="8" s="1"/>
  <c r="G56" i="8" s="1"/>
  <c r="I56" i="8" s="1"/>
  <c r="G41" i="7"/>
  <c r="I41" i="7" s="1"/>
  <c r="J41" i="7" s="1"/>
  <c r="G48" i="1"/>
  <c r="I48" i="1" s="1"/>
  <c r="J48" i="1" s="1"/>
  <c r="K67" i="6" l="1"/>
  <c r="L67" i="6" s="1"/>
  <c r="J67" i="6"/>
  <c r="G68" i="6" s="1"/>
  <c r="L55" i="8"/>
  <c r="M55" i="8" s="1"/>
  <c r="J56" i="8"/>
  <c r="G57" i="8" s="1"/>
  <c r="I57" i="8" s="1"/>
  <c r="J57" i="8" s="1"/>
  <c r="G58" i="8" s="1"/>
  <c r="I58" i="8" s="1"/>
  <c r="J58" i="8" s="1"/>
  <c r="G59" i="8" s="1"/>
  <c r="I59" i="8" s="1"/>
  <c r="L41" i="3"/>
  <c r="G42" i="7"/>
  <c r="I42" i="7" s="1"/>
  <c r="J42" i="7" s="1"/>
  <c r="G42" i="3"/>
  <c r="I42" i="3" s="1"/>
  <c r="G45" i="9"/>
  <c r="I45" i="9" s="1"/>
  <c r="J45" i="9" s="1"/>
  <c r="G49" i="1"/>
  <c r="I49" i="1" s="1"/>
  <c r="J49" i="1" s="1"/>
  <c r="I68" i="6" l="1"/>
  <c r="L58" i="8"/>
  <c r="M58" i="8" s="1"/>
  <c r="J59" i="8"/>
  <c r="G60" i="8" s="1"/>
  <c r="I60" i="8" s="1"/>
  <c r="L59" i="8"/>
  <c r="L45" i="9"/>
  <c r="M45" i="9" s="1"/>
  <c r="J42" i="3"/>
  <c r="G43" i="3" s="1"/>
  <c r="I43" i="3" s="1"/>
  <c r="L42" i="3"/>
  <c r="M42" i="3" s="1"/>
  <c r="G65" i="11"/>
  <c r="I65" i="11" s="1"/>
  <c r="G43" i="7"/>
  <c r="I43" i="7" s="1"/>
  <c r="J43" i="7" s="1"/>
  <c r="G46" i="9"/>
  <c r="I46" i="9" s="1"/>
  <c r="G50" i="1"/>
  <c r="I50" i="1" s="1"/>
  <c r="J50" i="1" s="1"/>
  <c r="J68" i="6" l="1"/>
  <c r="G69" i="6" s="1"/>
  <c r="J60" i="8"/>
  <c r="G61" i="8" s="1"/>
  <c r="I61" i="8" s="1"/>
  <c r="J46" i="9"/>
  <c r="G47" i="9" s="1"/>
  <c r="I47" i="9" s="1"/>
  <c r="J43" i="3"/>
  <c r="G44" i="3" s="1"/>
  <c r="I44" i="3" s="1"/>
  <c r="J44" i="3" s="1"/>
  <c r="G45" i="3" s="1"/>
  <c r="I45" i="3" s="1"/>
  <c r="J45" i="3" s="1"/>
  <c r="J65" i="11"/>
  <c r="G66" i="11" s="1"/>
  <c r="I66" i="11" s="1"/>
  <c r="G44" i="7"/>
  <c r="I44" i="7" s="1"/>
  <c r="J44" i="7" s="1"/>
  <c r="G51" i="1"/>
  <c r="I51" i="1" s="1"/>
  <c r="J51" i="1" s="1"/>
  <c r="J61" i="8" l="1"/>
  <c r="J66" i="8" s="1"/>
  <c r="J67" i="8" s="1"/>
  <c r="I62" i="8"/>
  <c r="I69" i="6"/>
  <c r="L61" i="8"/>
  <c r="M61" i="8" s="1"/>
  <c r="M62" i="8" s="1"/>
  <c r="J66" i="11"/>
  <c r="G67" i="11" s="1"/>
  <c r="I67" i="11" s="1"/>
  <c r="J67" i="11" s="1"/>
  <c r="J47" i="9"/>
  <c r="G48" i="9" s="1"/>
  <c r="I48" i="9" s="1"/>
  <c r="L47" i="9"/>
  <c r="G46" i="3"/>
  <c r="I46" i="3" s="1"/>
  <c r="J46" i="3" s="1"/>
  <c r="G45" i="7"/>
  <c r="I45" i="7" s="1"/>
  <c r="G52" i="1"/>
  <c r="I52" i="1" s="1"/>
  <c r="J52" i="1" s="1"/>
  <c r="J69" i="6" l="1"/>
  <c r="G70" i="6" s="1"/>
  <c r="J48" i="9"/>
  <c r="J45" i="7"/>
  <c r="G46" i="7" s="1"/>
  <c r="I46" i="7" s="1"/>
  <c r="L45" i="7"/>
  <c r="M45" i="7" s="1"/>
  <c r="G68" i="11"/>
  <c r="I68" i="11" s="1"/>
  <c r="J68" i="11" s="1"/>
  <c r="G49" i="9"/>
  <c r="I49" i="9" s="1"/>
  <c r="J49" i="9" s="1"/>
  <c r="G47" i="3"/>
  <c r="I47" i="3" s="1"/>
  <c r="G53" i="1"/>
  <c r="I53" i="1" s="1"/>
  <c r="I70" i="6" l="1"/>
  <c r="J46" i="7"/>
  <c r="G47" i="7" s="1"/>
  <c r="I47" i="7" s="1"/>
  <c r="J47" i="7" s="1"/>
  <c r="J47" i="3"/>
  <c r="G48" i="3" s="1"/>
  <c r="I48" i="3" s="1"/>
  <c r="J53" i="1"/>
  <c r="G54" i="1" s="1"/>
  <c r="I54" i="1" s="1"/>
  <c r="L53" i="1"/>
  <c r="M53" i="1" s="1"/>
  <c r="G69" i="11"/>
  <c r="I69" i="11" s="1"/>
  <c r="J69" i="11" s="1"/>
  <c r="G50" i="9"/>
  <c r="I50" i="9" s="1"/>
  <c r="J50" i="9" s="1"/>
  <c r="J70" i="6" l="1"/>
  <c r="G71" i="6" s="1"/>
  <c r="K69" i="11"/>
  <c r="J48" i="3"/>
  <c r="G49" i="3" s="1"/>
  <c r="I49" i="3" s="1"/>
  <c r="L48" i="3"/>
  <c r="L50" i="9"/>
  <c r="M50" i="9" s="1"/>
  <c r="J54" i="1"/>
  <c r="G55" i="1" s="1"/>
  <c r="I55" i="1" s="1"/>
  <c r="J55" i="1" s="1"/>
  <c r="G70" i="11"/>
  <c r="I70" i="11" s="1"/>
  <c r="G51" i="9"/>
  <c r="I51" i="9" s="1"/>
  <c r="G48" i="7"/>
  <c r="I48" i="7" s="1"/>
  <c r="J48" i="7" s="1"/>
  <c r="I71" i="6" l="1"/>
  <c r="J49" i="3"/>
  <c r="G50" i="3" s="1"/>
  <c r="I50" i="3" s="1"/>
  <c r="J51" i="9"/>
  <c r="J70" i="11"/>
  <c r="G71" i="11" s="1"/>
  <c r="I71" i="11" s="1"/>
  <c r="J71" i="11" s="1"/>
  <c r="L48" i="7"/>
  <c r="G52" i="9"/>
  <c r="I52" i="9" s="1"/>
  <c r="J52" i="9" s="1"/>
  <c r="G49" i="7"/>
  <c r="I49" i="7" s="1"/>
  <c r="G56" i="1"/>
  <c r="I56" i="1" s="1"/>
  <c r="J56" i="1" s="1"/>
  <c r="J71" i="6" l="1"/>
  <c r="G72" i="6" s="1"/>
  <c r="J50" i="3"/>
  <c r="G51" i="3" s="1"/>
  <c r="I51" i="3" s="1"/>
  <c r="J49" i="7"/>
  <c r="G50" i="7" s="1"/>
  <c r="I50" i="7" s="1"/>
  <c r="L52" i="9"/>
  <c r="G72" i="11"/>
  <c r="I72" i="11" s="1"/>
  <c r="G53" i="9"/>
  <c r="I53" i="9" s="1"/>
  <c r="G57" i="1"/>
  <c r="I57" i="1" s="1"/>
  <c r="J57" i="1" s="1"/>
  <c r="I72" i="6" l="1"/>
  <c r="J50" i="7"/>
  <c r="G51" i="7" s="1"/>
  <c r="I51" i="7" s="1"/>
  <c r="J51" i="7" s="1"/>
  <c r="J51" i="3"/>
  <c r="G52" i="3" s="1"/>
  <c r="I52" i="3" s="1"/>
  <c r="L51" i="3"/>
  <c r="M51" i="3" s="1"/>
  <c r="J53" i="9"/>
  <c r="G54" i="9" s="1"/>
  <c r="I54" i="9" s="1"/>
  <c r="J54" i="9" s="1"/>
  <c r="J72" i="11"/>
  <c r="G73" i="11" s="1"/>
  <c r="I73" i="11" s="1"/>
  <c r="G58" i="1"/>
  <c r="I58" i="1" s="1"/>
  <c r="J58" i="1" s="1"/>
  <c r="J72" i="6" l="1"/>
  <c r="G73" i="6" s="1"/>
  <c r="J52" i="3"/>
  <c r="J73" i="11"/>
  <c r="G74" i="11" s="1"/>
  <c r="I74" i="11" s="1"/>
  <c r="J74" i="11" s="1"/>
  <c r="L54" i="9"/>
  <c r="M54" i="9" s="1"/>
  <c r="G55" i="9"/>
  <c r="I55" i="9" s="1"/>
  <c r="G53" i="3"/>
  <c r="I53" i="3" s="1"/>
  <c r="J53" i="3" s="1"/>
  <c r="G52" i="7"/>
  <c r="I52" i="7" s="1"/>
  <c r="G59" i="1"/>
  <c r="I59" i="1" s="1"/>
  <c r="J59" i="1" s="1"/>
  <c r="I73" i="6" l="1"/>
  <c r="J55" i="9"/>
  <c r="G56" i="9" s="1"/>
  <c r="I56" i="9" s="1"/>
  <c r="J52" i="7"/>
  <c r="G53" i="7" s="1"/>
  <c r="I53" i="7" s="1"/>
  <c r="G75" i="11"/>
  <c r="I75" i="11" s="1"/>
  <c r="G54" i="3"/>
  <c r="I54" i="3" s="1"/>
  <c r="J54" i="3" s="1"/>
  <c r="G60" i="1"/>
  <c r="I60" i="1" s="1"/>
  <c r="J60" i="1" s="1"/>
  <c r="J73" i="6" l="1"/>
  <c r="G74" i="6" s="1"/>
  <c r="J53" i="7"/>
  <c r="G54" i="7" s="1"/>
  <c r="I54" i="7" s="1"/>
  <c r="J54" i="7" s="1"/>
  <c r="J56" i="9"/>
  <c r="G57" i="9" s="1"/>
  <c r="I57" i="9" s="1"/>
  <c r="J75" i="11"/>
  <c r="G76" i="11" s="1"/>
  <c r="I76" i="11" s="1"/>
  <c r="J76" i="11" s="1"/>
  <c r="G55" i="3"/>
  <c r="I55" i="3" s="1"/>
  <c r="J55" i="3" s="1"/>
  <c r="G61" i="1"/>
  <c r="I61" i="1" s="1"/>
  <c r="J61" i="1" s="1"/>
  <c r="I74" i="6" l="1"/>
  <c r="J57" i="9"/>
  <c r="G58" i="9" s="1"/>
  <c r="I58" i="9" s="1"/>
  <c r="L57" i="9"/>
  <c r="G77" i="11"/>
  <c r="I77" i="11" s="1"/>
  <c r="J77" i="11" s="1"/>
  <c r="G56" i="3"/>
  <c r="I56" i="3" s="1"/>
  <c r="G55" i="7"/>
  <c r="I55" i="7" s="1"/>
  <c r="J55" i="7" s="1"/>
  <c r="G62" i="1"/>
  <c r="I62" i="1" s="1"/>
  <c r="K74" i="6" l="1"/>
  <c r="J74" i="6"/>
  <c r="G75" i="6" s="1"/>
  <c r="J58" i="9"/>
  <c r="J56" i="3"/>
  <c r="G57" i="3" s="1"/>
  <c r="I57" i="3" s="1"/>
  <c r="J57" i="3" s="1"/>
  <c r="J62" i="1"/>
  <c r="G63" i="1" s="1"/>
  <c r="I63" i="1" s="1"/>
  <c r="L62" i="1"/>
  <c r="G78" i="11"/>
  <c r="I78" i="11" s="1"/>
  <c r="J78" i="11" s="1"/>
  <c r="G59" i="9"/>
  <c r="I59" i="9" s="1"/>
  <c r="J59" i="9" s="1"/>
  <c r="G56" i="7"/>
  <c r="I56" i="7" s="1"/>
  <c r="I75" i="6" l="1"/>
  <c r="L59" i="9"/>
  <c r="M59" i="9" s="1"/>
  <c r="J56" i="7"/>
  <c r="G57" i="7" s="1"/>
  <c r="I57" i="7" s="1"/>
  <c r="L56" i="7"/>
  <c r="M56" i="7" s="1"/>
  <c r="J63" i="1"/>
  <c r="G79" i="11"/>
  <c r="I79" i="11" s="1"/>
  <c r="G60" i="9"/>
  <c r="I60" i="9" s="1"/>
  <c r="G58" i="3"/>
  <c r="I58" i="3" s="1"/>
  <c r="J58" i="3" s="1"/>
  <c r="G64" i="1"/>
  <c r="I64" i="1" s="1"/>
  <c r="J64" i="1" s="1"/>
  <c r="J75" i="6" l="1"/>
  <c r="G76" i="6" s="1"/>
  <c r="J60" i="9"/>
  <c r="J57" i="7"/>
  <c r="G58" i="7" s="1"/>
  <c r="I58" i="7" s="1"/>
  <c r="J79" i="11"/>
  <c r="G80" i="11" s="1"/>
  <c r="I80" i="11" s="1"/>
  <c r="K79" i="11"/>
  <c r="L79" i="11" s="1"/>
  <c r="G61" i="9"/>
  <c r="I61" i="9" s="1"/>
  <c r="G59" i="3"/>
  <c r="I59" i="3" s="1"/>
  <c r="J59" i="3" s="1"/>
  <c r="G65" i="1"/>
  <c r="I65" i="1" s="1"/>
  <c r="J65" i="1" s="1"/>
  <c r="J61" i="9" l="1"/>
  <c r="J67" i="9" s="1"/>
  <c r="J68" i="9" s="1"/>
  <c r="I62" i="9"/>
  <c r="I76" i="6"/>
  <c r="L61" i="9"/>
  <c r="M61" i="9" s="1"/>
  <c r="M62" i="9" s="1"/>
  <c r="J80" i="11"/>
  <c r="G81" i="11" s="1"/>
  <c r="I81" i="11" s="1"/>
  <c r="J81" i="11" s="1"/>
  <c r="J58" i="7"/>
  <c r="G59" i="7" s="1"/>
  <c r="I59" i="7" s="1"/>
  <c r="J59" i="7" s="1"/>
  <c r="G60" i="3"/>
  <c r="I60" i="3" s="1"/>
  <c r="G66" i="1"/>
  <c r="I66" i="1" s="1"/>
  <c r="J66" i="1" s="1"/>
  <c r="J76" i="6" l="1"/>
  <c r="G77" i="6" s="1"/>
  <c r="J60" i="3"/>
  <c r="G61" i="3" s="1"/>
  <c r="I61" i="3" s="1"/>
  <c r="L60" i="3"/>
  <c r="G82" i="11"/>
  <c r="I82" i="11" s="1"/>
  <c r="G60" i="7"/>
  <c r="I60" i="7" s="1"/>
  <c r="J60" i="7" s="1"/>
  <c r="G67" i="1"/>
  <c r="I67" i="1" s="1"/>
  <c r="J67" i="1" s="1"/>
  <c r="I77" i="6" l="1"/>
  <c r="J61" i="3"/>
  <c r="G62" i="3" s="1"/>
  <c r="I62" i="3" s="1"/>
  <c r="J62" i="3" s="1"/>
  <c r="J82" i="11"/>
  <c r="G83" i="11" s="1"/>
  <c r="I83" i="11" s="1"/>
  <c r="J83" i="11" s="1"/>
  <c r="G61" i="7"/>
  <c r="I61" i="7" s="1"/>
  <c r="G68" i="1"/>
  <c r="I68" i="1" s="1"/>
  <c r="J68" i="1" s="1"/>
  <c r="J77" i="6" l="1"/>
  <c r="G78" i="6" s="1"/>
  <c r="J61" i="7"/>
  <c r="G62" i="7" s="1"/>
  <c r="I62" i="7" s="1"/>
  <c r="J62" i="7" s="1"/>
  <c r="G84" i="11"/>
  <c r="I84" i="11" s="1"/>
  <c r="J84" i="11" s="1"/>
  <c r="G63" i="3"/>
  <c r="I63" i="3" s="1"/>
  <c r="J63" i="3" s="1"/>
  <c r="G69" i="1"/>
  <c r="I69" i="1" s="1"/>
  <c r="J69" i="1" s="1"/>
  <c r="I78" i="6" l="1"/>
  <c r="L63" i="3"/>
  <c r="M63" i="3" s="1"/>
  <c r="G85" i="11"/>
  <c r="I85" i="11" s="1"/>
  <c r="G64" i="3"/>
  <c r="I64" i="3" s="1"/>
  <c r="G63" i="7"/>
  <c r="I63" i="7" s="1"/>
  <c r="J63" i="7" s="1"/>
  <c r="G70" i="1"/>
  <c r="I70" i="1" s="1"/>
  <c r="J70" i="1" s="1"/>
  <c r="J78" i="6" l="1"/>
  <c r="J64" i="3"/>
  <c r="G65" i="3" s="1"/>
  <c r="I65" i="3" s="1"/>
  <c r="L64" i="3"/>
  <c r="J85" i="11"/>
  <c r="G86" i="11" s="1"/>
  <c r="I86" i="11" s="1"/>
  <c r="J86" i="11" s="1"/>
  <c r="G64" i="7"/>
  <c r="I64" i="7" s="1"/>
  <c r="J64" i="7" s="1"/>
  <c r="G71" i="1"/>
  <c r="I71" i="1" s="1"/>
  <c r="J71" i="1" s="1"/>
  <c r="G79" i="6" l="1"/>
  <c r="I79" i="6" s="1"/>
  <c r="J65" i="3"/>
  <c r="G66" i="3" s="1"/>
  <c r="I66" i="3" s="1"/>
  <c r="G87" i="11"/>
  <c r="I87" i="11" s="1"/>
  <c r="J87" i="11" s="1"/>
  <c r="G65" i="7"/>
  <c r="I65" i="7" s="1"/>
  <c r="J65" i="7" s="1"/>
  <c r="G72" i="1"/>
  <c r="I72" i="1" s="1"/>
  <c r="K79" i="6" l="1"/>
  <c r="L79" i="6" s="1"/>
  <c r="J79" i="6"/>
  <c r="G80" i="6" s="1"/>
  <c r="I80" i="6" s="1"/>
  <c r="J66" i="3"/>
  <c r="J72" i="1"/>
  <c r="G73" i="1" s="1"/>
  <c r="I73" i="1" s="1"/>
  <c r="L72" i="1"/>
  <c r="M72" i="1" s="1"/>
  <c r="G88" i="11"/>
  <c r="I88" i="11" s="1"/>
  <c r="J88" i="11" s="1"/>
  <c r="G67" i="3"/>
  <c r="I67" i="3" s="1"/>
  <c r="J67" i="3" s="1"/>
  <c r="G66" i="7"/>
  <c r="I66" i="7" s="1"/>
  <c r="J66" i="7" s="1"/>
  <c r="J80" i="6" l="1"/>
  <c r="G81" i="6" s="1"/>
  <c r="J73" i="1"/>
  <c r="G89" i="11"/>
  <c r="I89" i="11" s="1"/>
  <c r="G68" i="3"/>
  <c r="I68" i="3" s="1"/>
  <c r="J68" i="3" s="1"/>
  <c r="G67" i="7"/>
  <c r="I67" i="7" s="1"/>
  <c r="J67" i="7" s="1"/>
  <c r="G74" i="1"/>
  <c r="I74" i="1" s="1"/>
  <c r="J74" i="1" s="1"/>
  <c r="I81" i="6" l="1"/>
  <c r="J89" i="11"/>
  <c r="G90" i="11" s="1"/>
  <c r="I90" i="11" s="1"/>
  <c r="K89" i="11"/>
  <c r="G69" i="3"/>
  <c r="I69" i="3" s="1"/>
  <c r="J69" i="3" s="1"/>
  <c r="G68" i="7"/>
  <c r="I68" i="7" s="1"/>
  <c r="J68" i="7" s="1"/>
  <c r="G75" i="1"/>
  <c r="I75" i="1" s="1"/>
  <c r="J75" i="1" s="1"/>
  <c r="J81" i="6" l="1"/>
  <c r="G82" i="6" s="1"/>
  <c r="J90" i="11"/>
  <c r="G91" i="11" s="1"/>
  <c r="I91" i="11" s="1"/>
  <c r="G70" i="3"/>
  <c r="I70" i="3" s="1"/>
  <c r="G69" i="7"/>
  <c r="I69" i="7" s="1"/>
  <c r="J69" i="7" s="1"/>
  <c r="G76" i="1"/>
  <c r="I76" i="1" s="1"/>
  <c r="J76" i="1" s="1"/>
  <c r="I82" i="6" l="1"/>
  <c r="J91" i="11"/>
  <c r="G92" i="11" s="1"/>
  <c r="I92" i="11" s="1"/>
  <c r="J92" i="11" s="1"/>
  <c r="J70" i="3"/>
  <c r="G71" i="3" s="1"/>
  <c r="I71" i="3" s="1"/>
  <c r="J71" i="3" s="1"/>
  <c r="G70" i="7"/>
  <c r="I70" i="7" s="1"/>
  <c r="J70" i="7" s="1"/>
  <c r="G77" i="1"/>
  <c r="I77" i="1" s="1"/>
  <c r="J77" i="1" s="1"/>
  <c r="J82" i="6" l="1"/>
  <c r="G83" i="6" s="1"/>
  <c r="G93" i="11"/>
  <c r="I93" i="11" s="1"/>
  <c r="G72" i="3"/>
  <c r="I72" i="3" s="1"/>
  <c r="J72" i="3" s="1"/>
  <c r="G71" i="7"/>
  <c r="I71" i="7" s="1"/>
  <c r="G78" i="1"/>
  <c r="I78" i="1" s="1"/>
  <c r="J78" i="1" s="1"/>
  <c r="I83" i="6" l="1"/>
  <c r="J71" i="7"/>
  <c r="L71" i="7"/>
  <c r="J93" i="11"/>
  <c r="G94" i="11" s="1"/>
  <c r="I94" i="11" s="1"/>
  <c r="G73" i="3"/>
  <c r="I73" i="3" s="1"/>
  <c r="G72" i="7"/>
  <c r="I72" i="7" s="1"/>
  <c r="G79" i="1"/>
  <c r="I79" i="1" s="1"/>
  <c r="J79" i="1" s="1"/>
  <c r="J83" i="6" l="1"/>
  <c r="G84" i="6" s="1"/>
  <c r="J94" i="11"/>
  <c r="G95" i="11" s="1"/>
  <c r="I95" i="11" s="1"/>
  <c r="J95" i="11" s="1"/>
  <c r="J72" i="7"/>
  <c r="G73" i="7" s="1"/>
  <c r="I73" i="7" s="1"/>
  <c r="J73" i="3"/>
  <c r="G74" i="3" s="1"/>
  <c r="I74" i="3" s="1"/>
  <c r="L73" i="3"/>
  <c r="M73" i="3" s="1"/>
  <c r="G80" i="1"/>
  <c r="I80" i="1" s="1"/>
  <c r="J80" i="1" s="1"/>
  <c r="I84" i="6" l="1"/>
  <c r="J73" i="7"/>
  <c r="G74" i="7" s="1"/>
  <c r="I74" i="7" s="1"/>
  <c r="J74" i="7" s="1"/>
  <c r="J74" i="3"/>
  <c r="G75" i="3" s="1"/>
  <c r="I75" i="3" s="1"/>
  <c r="J75" i="3" s="1"/>
  <c r="G96" i="11"/>
  <c r="I96" i="11" s="1"/>
  <c r="J96" i="11" s="1"/>
  <c r="G81" i="1"/>
  <c r="I81" i="1" s="1"/>
  <c r="J81" i="1" s="1"/>
  <c r="J84" i="6" l="1"/>
  <c r="G85" i="6" s="1"/>
  <c r="G97" i="11"/>
  <c r="I97" i="11" s="1"/>
  <c r="J97" i="11" s="1"/>
  <c r="G76" i="3"/>
  <c r="I76" i="3" s="1"/>
  <c r="J76" i="3" s="1"/>
  <c r="G75" i="7"/>
  <c r="I75" i="7" s="1"/>
  <c r="J75" i="7" s="1"/>
  <c r="G82" i="1"/>
  <c r="I82" i="1" s="1"/>
  <c r="J82" i="1" s="1"/>
  <c r="I85" i="6" l="1"/>
  <c r="L76" i="3"/>
  <c r="G98" i="11"/>
  <c r="I98" i="11" s="1"/>
  <c r="J98" i="11" s="1"/>
  <c r="G77" i="3"/>
  <c r="I77" i="3" s="1"/>
  <c r="G76" i="7"/>
  <c r="I76" i="7" s="1"/>
  <c r="J76" i="7" s="1"/>
  <c r="G83" i="1"/>
  <c r="I83" i="1" s="1"/>
  <c r="J85" i="6" l="1"/>
  <c r="G86" i="6" s="1"/>
  <c r="J77" i="3"/>
  <c r="G78" i="3" s="1"/>
  <c r="I78" i="3" s="1"/>
  <c r="J78" i="3" s="1"/>
  <c r="J83" i="1"/>
  <c r="L83" i="1"/>
  <c r="G99" i="11"/>
  <c r="I99" i="11" s="1"/>
  <c r="J99" i="11" s="1"/>
  <c r="G77" i="7"/>
  <c r="I77" i="7" s="1"/>
  <c r="J77" i="7" s="1"/>
  <c r="G84" i="1"/>
  <c r="I84" i="1" s="1"/>
  <c r="I86" i="6" l="1"/>
  <c r="J84" i="1"/>
  <c r="G85" i="1" s="1"/>
  <c r="I85" i="1" s="1"/>
  <c r="G100" i="11"/>
  <c r="I100" i="11" s="1"/>
  <c r="J100" i="11" s="1"/>
  <c r="G79" i="3"/>
  <c r="I79" i="3" s="1"/>
  <c r="J79" i="3" s="1"/>
  <c r="G78" i="7"/>
  <c r="I78" i="7" s="1"/>
  <c r="J78" i="7" s="1"/>
  <c r="K86" i="6" l="1"/>
  <c r="J86" i="6"/>
  <c r="G87" i="6" s="1"/>
  <c r="J85" i="1"/>
  <c r="G86" i="1" s="1"/>
  <c r="I86" i="1" s="1"/>
  <c r="J86" i="1" s="1"/>
  <c r="G101" i="11"/>
  <c r="I101" i="11" s="1"/>
  <c r="J101" i="11" s="1"/>
  <c r="G80" i="3"/>
  <c r="I80" i="3" s="1"/>
  <c r="I81" i="3" s="1"/>
  <c r="G79" i="7"/>
  <c r="I79" i="7" s="1"/>
  <c r="J79" i="7" s="1"/>
  <c r="I87" i="6" l="1"/>
  <c r="J80" i="3"/>
  <c r="J85" i="3" s="1"/>
  <c r="J86" i="3" s="1"/>
  <c r="L80" i="3"/>
  <c r="M80" i="3" s="1"/>
  <c r="M81" i="3" s="1"/>
  <c r="G102" i="11"/>
  <c r="I102" i="11" s="1"/>
  <c r="G80" i="7"/>
  <c r="I80" i="7" s="1"/>
  <c r="J80" i="7" s="1"/>
  <c r="G87" i="1"/>
  <c r="I87" i="1" s="1"/>
  <c r="J87" i="6" l="1"/>
  <c r="G88" i="6" s="1"/>
  <c r="J102" i="11"/>
  <c r="G103" i="11" s="1"/>
  <c r="I103" i="11" s="1"/>
  <c r="K102" i="11"/>
  <c r="L102" i="11" s="1"/>
  <c r="J87" i="1"/>
  <c r="G88" i="1" s="1"/>
  <c r="I88" i="1" s="1"/>
  <c r="J88" i="1" s="1"/>
  <c r="G81" i="7"/>
  <c r="I81" i="7" s="1"/>
  <c r="J81" i="7" s="1"/>
  <c r="I88" i="6" l="1"/>
  <c r="J103" i="11"/>
  <c r="G104" i="11" s="1"/>
  <c r="I104" i="11" s="1"/>
  <c r="G82" i="7"/>
  <c r="I82" i="7" s="1"/>
  <c r="J82" i="7" s="1"/>
  <c r="G89" i="1"/>
  <c r="I89" i="1" s="1"/>
  <c r="J88" i="6" l="1"/>
  <c r="G89" i="6" s="1"/>
  <c r="J104" i="11"/>
  <c r="G105" i="11" s="1"/>
  <c r="I105" i="11" s="1"/>
  <c r="J105" i="11" s="1"/>
  <c r="J89" i="1"/>
  <c r="G90" i="1" s="1"/>
  <c r="I90" i="1" s="1"/>
  <c r="J90" i="1" s="1"/>
  <c r="G83" i="7"/>
  <c r="I83" i="7" s="1"/>
  <c r="I89" i="6" l="1"/>
  <c r="G106" i="11"/>
  <c r="I106" i="11" s="1"/>
  <c r="J106" i="11" s="1"/>
  <c r="J83" i="7"/>
  <c r="G91" i="1"/>
  <c r="I91" i="1" s="1"/>
  <c r="J89" i="6" l="1"/>
  <c r="G90" i="6" s="1"/>
  <c r="J91" i="1"/>
  <c r="G92" i="1" s="1"/>
  <c r="I92" i="1" s="1"/>
  <c r="J92" i="1" s="1"/>
  <c r="G107" i="11"/>
  <c r="I107" i="11" s="1"/>
  <c r="J107" i="11" s="1"/>
  <c r="G84" i="7"/>
  <c r="I84" i="7" s="1"/>
  <c r="I90" i="6" l="1"/>
  <c r="G108" i="11"/>
  <c r="I108" i="11" s="1"/>
  <c r="J84" i="7"/>
  <c r="G93" i="1"/>
  <c r="I93" i="1" s="1"/>
  <c r="J93" i="1" s="1"/>
  <c r="J90" i="6" l="1"/>
  <c r="G91" i="6" s="1"/>
  <c r="J108" i="11"/>
  <c r="G109" i="11" s="1"/>
  <c r="I109" i="11" s="1"/>
  <c r="J109" i="11" s="1"/>
  <c r="G85" i="7"/>
  <c r="I85" i="7" s="1"/>
  <c r="G94" i="1"/>
  <c r="I94" i="1" s="1"/>
  <c r="J94" i="1" s="1"/>
  <c r="I91" i="6" l="1"/>
  <c r="G110" i="11"/>
  <c r="I110" i="11" s="1"/>
  <c r="J110" i="11" s="1"/>
  <c r="J85" i="7"/>
  <c r="G95" i="1"/>
  <c r="I95" i="1" s="1"/>
  <c r="J95" i="1" s="1"/>
  <c r="J91" i="6" l="1"/>
  <c r="G92" i="6" s="1"/>
  <c r="G111" i="11"/>
  <c r="I111" i="11" s="1"/>
  <c r="J111" i="11" s="1"/>
  <c r="G86" i="7"/>
  <c r="I86" i="7" s="1"/>
  <c r="G96" i="1"/>
  <c r="I96" i="1" s="1"/>
  <c r="J96" i="1" s="1"/>
  <c r="I92" i="6" l="1"/>
  <c r="G112" i="11"/>
  <c r="I112" i="11" s="1"/>
  <c r="J112" i="11" s="1"/>
  <c r="J86" i="7"/>
  <c r="G97" i="1"/>
  <c r="I97" i="1" s="1"/>
  <c r="J92" i="6" l="1"/>
  <c r="G93" i="6" s="1"/>
  <c r="J97" i="1"/>
  <c r="G98" i="1" s="1"/>
  <c r="I98" i="1" s="1"/>
  <c r="L97" i="1"/>
  <c r="M97" i="1" s="1"/>
  <c r="G113" i="11"/>
  <c r="I113" i="11" s="1"/>
  <c r="J113" i="11" s="1"/>
  <c r="G87" i="7"/>
  <c r="I87" i="7" s="1"/>
  <c r="I93" i="6" l="1"/>
  <c r="J98" i="1"/>
  <c r="G99" i="1" s="1"/>
  <c r="I99" i="1" s="1"/>
  <c r="J99" i="1" s="1"/>
  <c r="G114" i="11"/>
  <c r="I114" i="11" s="1"/>
  <c r="J87" i="7"/>
  <c r="J93" i="6" l="1"/>
  <c r="G94" i="6" s="1"/>
  <c r="J114" i="11"/>
  <c r="G115" i="11" s="1"/>
  <c r="I115" i="11" s="1"/>
  <c r="K114" i="11"/>
  <c r="G88" i="7"/>
  <c r="I88" i="7" s="1"/>
  <c r="G100" i="1"/>
  <c r="I100" i="1" s="1"/>
  <c r="I94" i="6" l="1"/>
  <c r="J115" i="11"/>
  <c r="G116" i="11" s="1"/>
  <c r="I116" i="11" s="1"/>
  <c r="J100" i="1"/>
  <c r="G101" i="1" s="1"/>
  <c r="I101" i="1" s="1"/>
  <c r="J101" i="1" s="1"/>
  <c r="J88" i="7"/>
  <c r="J94" i="6" l="1"/>
  <c r="G95" i="6" s="1"/>
  <c r="J116" i="11"/>
  <c r="G117" i="11" s="1"/>
  <c r="I117" i="11" s="1"/>
  <c r="J117" i="11" s="1"/>
  <c r="G89" i="7"/>
  <c r="I89" i="7" s="1"/>
  <c r="G102" i="1"/>
  <c r="I102" i="1" s="1"/>
  <c r="I95" i="6" l="1"/>
  <c r="J102" i="1"/>
  <c r="L102" i="1"/>
  <c r="M102" i="1" s="1"/>
  <c r="G118" i="11"/>
  <c r="I118" i="11" s="1"/>
  <c r="J89" i="7"/>
  <c r="G103" i="1"/>
  <c r="I103" i="1" s="1"/>
  <c r="J103" i="1" s="1"/>
  <c r="K95" i="6" l="1"/>
  <c r="L95" i="6" s="1"/>
  <c r="J95" i="6"/>
  <c r="G96" i="6" s="1"/>
  <c r="J118" i="11"/>
  <c r="G119" i="11" s="1"/>
  <c r="I119" i="11" s="1"/>
  <c r="J119" i="11" s="1"/>
  <c r="G90" i="7"/>
  <c r="I90" i="7" s="1"/>
  <c r="G104" i="1"/>
  <c r="I104" i="1" s="1"/>
  <c r="J104" i="1" s="1"/>
  <c r="I96" i="6" l="1"/>
  <c r="G120" i="11"/>
  <c r="I120" i="11" s="1"/>
  <c r="J90" i="7"/>
  <c r="G105" i="1"/>
  <c r="I105" i="1" s="1"/>
  <c r="J105" i="1" s="1"/>
  <c r="J96" i="6" l="1"/>
  <c r="G97" i="6" s="1"/>
  <c r="J120" i="11"/>
  <c r="G121" i="11" s="1"/>
  <c r="I121" i="11" s="1"/>
  <c r="J121" i="11" s="1"/>
  <c r="G91" i="7"/>
  <c r="I91" i="7" s="1"/>
  <c r="G106" i="1"/>
  <c r="I106" i="1" s="1"/>
  <c r="I97" i="6" l="1"/>
  <c r="J106" i="1"/>
  <c r="G107" i="1" s="1"/>
  <c r="I107" i="1" s="1"/>
  <c r="J107" i="1" s="1"/>
  <c r="G122" i="11"/>
  <c r="I122" i="11" s="1"/>
  <c r="J91" i="7"/>
  <c r="J97" i="6" l="1"/>
  <c r="G98" i="6" s="1"/>
  <c r="J122" i="11"/>
  <c r="G123" i="11" s="1"/>
  <c r="I123" i="11" s="1"/>
  <c r="J123" i="11" s="1"/>
  <c r="G92" i="7"/>
  <c r="I92" i="7" s="1"/>
  <c r="L92" i="7" s="1"/>
  <c r="M92" i="7" s="1"/>
  <c r="G108" i="1"/>
  <c r="I108" i="1" s="1"/>
  <c r="I98" i="6" l="1"/>
  <c r="J108" i="1"/>
  <c r="G109" i="1" s="1"/>
  <c r="I109" i="1" s="1"/>
  <c r="J109" i="1" s="1"/>
  <c r="G124" i="11"/>
  <c r="I124" i="11" s="1"/>
  <c r="J124" i="11" s="1"/>
  <c r="J92" i="7"/>
  <c r="J98" i="6" l="1"/>
  <c r="G99" i="6" s="1"/>
  <c r="G125" i="11"/>
  <c r="I125" i="11" s="1"/>
  <c r="J125" i="11" s="1"/>
  <c r="G93" i="7"/>
  <c r="I93" i="7" s="1"/>
  <c r="G110" i="1"/>
  <c r="I110" i="1" s="1"/>
  <c r="I99" i="6" l="1"/>
  <c r="J99" i="6" s="1"/>
  <c r="G100" i="6" s="1"/>
  <c r="J110" i="1"/>
  <c r="G111" i="1" s="1"/>
  <c r="I111" i="1" s="1"/>
  <c r="J111" i="1" s="1"/>
  <c r="G126" i="11"/>
  <c r="I126" i="11" s="1"/>
  <c r="J126" i="11" s="1"/>
  <c r="J93" i="7"/>
  <c r="I100" i="6" l="1"/>
  <c r="J100" i="6" s="1"/>
  <c r="G101" i="6" s="1"/>
  <c r="L111" i="1"/>
  <c r="M111" i="1" s="1"/>
  <c r="G127" i="11"/>
  <c r="I127" i="11" s="1"/>
  <c r="I128" i="11" s="1"/>
  <c r="G94" i="7"/>
  <c r="I94" i="7" s="1"/>
  <c r="G112" i="1"/>
  <c r="I112" i="1" s="1"/>
  <c r="I101" i="6" l="1"/>
  <c r="J101" i="6" s="1"/>
  <c r="G102" i="6" s="1"/>
  <c r="J127" i="11"/>
  <c r="J134" i="11" s="1"/>
  <c r="J135" i="11" s="1"/>
  <c r="K127" i="11"/>
  <c r="L127" i="11" s="1"/>
  <c r="L128" i="11" s="1"/>
  <c r="J112" i="1"/>
  <c r="G113" i="1" s="1"/>
  <c r="I113" i="1" s="1"/>
  <c r="J113" i="1" s="1"/>
  <c r="J94" i="7"/>
  <c r="G95" i="7" s="1"/>
  <c r="I95" i="7" s="1"/>
  <c r="J95" i="7" s="1"/>
  <c r="I102" i="6" l="1"/>
  <c r="J102" i="6" s="1"/>
  <c r="G103" i="6" s="1"/>
  <c r="L113" i="1"/>
  <c r="G96" i="7"/>
  <c r="I96" i="7" s="1"/>
  <c r="G114" i="1"/>
  <c r="I114" i="1" s="1"/>
  <c r="I103" i="6" l="1"/>
  <c r="K103" i="6" s="1"/>
  <c r="J96" i="7"/>
  <c r="G97" i="7" s="1"/>
  <c r="I97" i="7" s="1"/>
  <c r="J97" i="7" s="1"/>
  <c r="G98" i="7" s="1"/>
  <c r="I98" i="7" s="1"/>
  <c r="J98" i="7" s="1"/>
  <c r="G99" i="7" s="1"/>
  <c r="I99" i="7" s="1"/>
  <c r="J99" i="7" s="1"/>
  <c r="J114" i="1"/>
  <c r="G115" i="1" s="1"/>
  <c r="I115" i="1" s="1"/>
  <c r="J103" i="6" l="1"/>
  <c r="G104" i="6" s="1"/>
  <c r="J115" i="1"/>
  <c r="G116" i="1" s="1"/>
  <c r="I116" i="1" s="1"/>
  <c r="J116" i="1" s="1"/>
  <c r="G100" i="7"/>
  <c r="I100" i="7" s="1"/>
  <c r="J100" i="7" s="1"/>
  <c r="G101" i="7" s="1"/>
  <c r="I101" i="7" s="1"/>
  <c r="J101" i="7" s="1"/>
  <c r="I104" i="6" l="1"/>
  <c r="G102" i="7"/>
  <c r="I102" i="7" s="1"/>
  <c r="J102" i="7" s="1"/>
  <c r="G103" i="7" s="1"/>
  <c r="I103" i="7" s="1"/>
  <c r="J103" i="7" s="1"/>
  <c r="G104" i="7" s="1"/>
  <c r="I104" i="7" s="1"/>
  <c r="J104" i="7" s="1"/>
  <c r="G105" i="7" s="1"/>
  <c r="I105" i="7" s="1"/>
  <c r="J105" i="7" s="1"/>
  <c r="G106" i="7" s="1"/>
  <c r="I106" i="7" s="1"/>
  <c r="J106" i="7" s="1"/>
  <c r="G107" i="7" s="1"/>
  <c r="I107" i="7" s="1"/>
  <c r="J107" i="7" s="1"/>
  <c r="G117" i="1"/>
  <c r="I117" i="1" s="1"/>
  <c r="J104" i="6" l="1"/>
  <c r="G105" i="6" s="1"/>
  <c r="J117" i="1"/>
  <c r="G118" i="1" s="1"/>
  <c r="I118" i="1" s="1"/>
  <c r="J118" i="1" s="1"/>
  <c r="G108" i="7"/>
  <c r="I108" i="7" s="1"/>
  <c r="I105" i="6" l="1"/>
  <c r="J108" i="7"/>
  <c r="G109" i="7" s="1"/>
  <c r="I109" i="7" s="1"/>
  <c r="L108" i="7"/>
  <c r="L118" i="1"/>
  <c r="M118" i="1" s="1"/>
  <c r="G119" i="1"/>
  <c r="I119" i="1" s="1"/>
  <c r="J105" i="6" l="1"/>
  <c r="G106" i="6" s="1"/>
  <c r="J109" i="7"/>
  <c r="G110" i="7" s="1"/>
  <c r="I110" i="7" s="1"/>
  <c r="J110" i="7" s="1"/>
  <c r="G111" i="7" s="1"/>
  <c r="I111" i="7" s="1"/>
  <c r="J111" i="7" s="1"/>
  <c r="G112" i="7" s="1"/>
  <c r="I112" i="7" s="1"/>
  <c r="J112" i="7" s="1"/>
  <c r="G113" i="7" s="1"/>
  <c r="I113" i="7" s="1"/>
  <c r="J113" i="7" s="1"/>
  <c r="G114" i="7" s="1"/>
  <c r="I114" i="7" s="1"/>
  <c r="J114" i="7" s="1"/>
  <c r="G115" i="7" s="1"/>
  <c r="I115" i="7" s="1"/>
  <c r="J115" i="7" s="1"/>
  <c r="G116" i="7" s="1"/>
  <c r="I116" i="7" s="1"/>
  <c r="J116" i="7" s="1"/>
  <c r="G117" i="7" s="1"/>
  <c r="I117" i="7" s="1"/>
  <c r="J117" i="7" s="1"/>
  <c r="G118" i="7" s="1"/>
  <c r="I118" i="7" s="1"/>
  <c r="J118" i="7" s="1"/>
  <c r="G119" i="7" s="1"/>
  <c r="I119" i="7" s="1"/>
  <c r="J119" i="7" s="1"/>
  <c r="G120" i="7" s="1"/>
  <c r="I120" i="7" s="1"/>
  <c r="J120" i="7" s="1"/>
  <c r="G121" i="7" s="1"/>
  <c r="I121" i="7" s="1"/>
  <c r="J121" i="7" s="1"/>
  <c r="G122" i="7" s="1"/>
  <c r="I122" i="7" s="1"/>
  <c r="J122" i="7" s="1"/>
  <c r="G123" i="7" s="1"/>
  <c r="I123" i="7" s="1"/>
  <c r="J123" i="7" s="1"/>
  <c r="G124" i="7" s="1"/>
  <c r="I124" i="7" s="1"/>
  <c r="J124" i="7" s="1"/>
  <c r="G125" i="7" s="1"/>
  <c r="I125" i="7" s="1"/>
  <c r="J125" i="7" s="1"/>
  <c r="G126" i="7" s="1"/>
  <c r="I126" i="7" s="1"/>
  <c r="J126" i="7" s="1"/>
  <c r="G127" i="7" s="1"/>
  <c r="I127" i="7" s="1"/>
  <c r="J127" i="7" s="1"/>
  <c r="G128" i="7" s="1"/>
  <c r="I128" i="7" s="1"/>
  <c r="J128" i="7" s="1"/>
  <c r="G129" i="7" s="1"/>
  <c r="I129" i="7" s="1"/>
  <c r="J129" i="7" s="1"/>
  <c r="G130" i="7" s="1"/>
  <c r="I130" i="7" s="1"/>
  <c r="J130" i="7" s="1"/>
  <c r="G131" i="7" s="1"/>
  <c r="I131" i="7" s="1"/>
  <c r="J131" i="7" s="1"/>
  <c r="G132" i="7" s="1"/>
  <c r="I132" i="7" s="1"/>
  <c r="J132" i="7" s="1"/>
  <c r="G133" i="7" s="1"/>
  <c r="I133" i="7" s="1"/>
  <c r="J133" i="7" s="1"/>
  <c r="G134" i="7" s="1"/>
  <c r="I134" i="7" s="1"/>
  <c r="J134" i="7" s="1"/>
  <c r="G135" i="7" s="1"/>
  <c r="I135" i="7" s="1"/>
  <c r="J135" i="7" s="1"/>
  <c r="G136" i="7" s="1"/>
  <c r="I136" i="7" s="1"/>
  <c r="J119" i="1"/>
  <c r="G120" i="1" s="1"/>
  <c r="I120" i="1" s="1"/>
  <c r="J120" i="1" s="1"/>
  <c r="I106" i="6" l="1"/>
  <c r="J136" i="7"/>
  <c r="G137" i="7" s="1"/>
  <c r="I137" i="7" s="1"/>
  <c r="J137" i="7" s="1"/>
  <c r="G138" i="7" s="1"/>
  <c r="I138" i="7" s="1"/>
  <c r="J138" i="7" s="1"/>
  <c r="G139" i="7" s="1"/>
  <c r="I139" i="7" s="1"/>
  <c r="J139" i="7" s="1"/>
  <c r="G140" i="7" s="1"/>
  <c r="I140" i="7" s="1"/>
  <c r="J140" i="7" s="1"/>
  <c r="G141" i="7" s="1"/>
  <c r="I141" i="7" s="1"/>
  <c r="J141" i="7" s="1"/>
  <c r="G142" i="7" s="1"/>
  <c r="I142" i="7" s="1"/>
  <c r="J142" i="7" s="1"/>
  <c r="G143" i="7" s="1"/>
  <c r="I143" i="7" s="1"/>
  <c r="J143" i="7" s="1"/>
  <c r="G144" i="7" s="1"/>
  <c r="I144" i="7" s="1"/>
  <c r="J144" i="7" s="1"/>
  <c r="G145" i="7" s="1"/>
  <c r="I145" i="7" s="1"/>
  <c r="J145" i="7" s="1"/>
  <c r="G146" i="7" s="1"/>
  <c r="I146" i="7" s="1"/>
  <c r="J146" i="7" s="1"/>
  <c r="G147" i="7" s="1"/>
  <c r="I147" i="7" s="1"/>
  <c r="J147" i="7" s="1"/>
  <c r="G148" i="7" s="1"/>
  <c r="I148" i="7" s="1"/>
  <c r="J148" i="7" s="1"/>
  <c r="G149" i="7" s="1"/>
  <c r="I149" i="7" s="1"/>
  <c r="J149" i="7" s="1"/>
  <c r="G150" i="7" s="1"/>
  <c r="I150" i="7" s="1"/>
  <c r="J150" i="7" s="1"/>
  <c r="G151" i="7" s="1"/>
  <c r="I151" i="7" s="1"/>
  <c r="J151" i="7" s="1"/>
  <c r="G152" i="7" s="1"/>
  <c r="I152" i="7" s="1"/>
  <c r="J152" i="7" s="1"/>
  <c r="G153" i="7" s="1"/>
  <c r="I153" i="7" s="1"/>
  <c r="L135" i="7"/>
  <c r="M135" i="7" s="1"/>
  <c r="L120" i="1"/>
  <c r="G121" i="1"/>
  <c r="I121" i="1" s="1"/>
  <c r="J106" i="6" l="1"/>
  <c r="G107" i="6" s="1"/>
  <c r="L152" i="7"/>
  <c r="J153" i="7"/>
  <c r="G154" i="7" s="1"/>
  <c r="I154" i="7" s="1"/>
  <c r="J154" i="7" s="1"/>
  <c r="G155" i="7" s="1"/>
  <c r="I155" i="7" s="1"/>
  <c r="J155" i="7" s="1"/>
  <c r="J121" i="1"/>
  <c r="G122" i="1" s="1"/>
  <c r="I122" i="1" s="1"/>
  <c r="L121" i="1"/>
  <c r="M121" i="1" s="1"/>
  <c r="I107" i="6" l="1"/>
  <c r="J107" i="6" s="1"/>
  <c r="G108" i="6" s="1"/>
  <c r="J122" i="1"/>
  <c r="G156" i="7"/>
  <c r="I156" i="7" s="1"/>
  <c r="J156" i="7" s="1"/>
  <c r="G123" i="1"/>
  <c r="I123" i="1" s="1"/>
  <c r="J123" i="1" s="1"/>
  <c r="I108" i="6" l="1"/>
  <c r="J108" i="6" s="1"/>
  <c r="G109" i="6" s="1"/>
  <c r="G157" i="7"/>
  <c r="I157" i="7" s="1"/>
  <c r="G124" i="1"/>
  <c r="I124" i="1" s="1"/>
  <c r="J124" i="1" s="1"/>
  <c r="I109" i="6" l="1"/>
  <c r="J157" i="7"/>
  <c r="G158" i="7" s="1"/>
  <c r="I158" i="7" s="1"/>
  <c r="L124" i="1"/>
  <c r="G125" i="1"/>
  <c r="I125" i="1" s="1"/>
  <c r="J109" i="6" l="1"/>
  <c r="G110" i="6" s="1"/>
  <c r="J158" i="7"/>
  <c r="G159" i="7" s="1"/>
  <c r="I159" i="7" s="1"/>
  <c r="J159" i="7" s="1"/>
  <c r="J125" i="1"/>
  <c r="G126" i="1" s="1"/>
  <c r="I126" i="1" s="1"/>
  <c r="L125" i="1"/>
  <c r="M125" i="1" s="1"/>
  <c r="I110" i="6" l="1"/>
  <c r="J126" i="1"/>
  <c r="G127" i="1" s="1"/>
  <c r="I127" i="1" s="1"/>
  <c r="J127" i="1" s="1"/>
  <c r="J128" i="1" s="1"/>
  <c r="G129" i="1" s="1"/>
  <c r="G160" i="7"/>
  <c r="I160" i="7" s="1"/>
  <c r="J110" i="6" l="1"/>
  <c r="G111" i="6" s="1"/>
  <c r="J160" i="7"/>
  <c r="G161" i="7" s="1"/>
  <c r="I161" i="7" s="1"/>
  <c r="J161" i="7" s="1"/>
  <c r="L127" i="1"/>
  <c r="I129" i="1"/>
  <c r="J129" i="1" s="1"/>
  <c r="I111" i="6" l="1"/>
  <c r="L129" i="1"/>
  <c r="M129" i="1" s="1"/>
  <c r="G162" i="7"/>
  <c r="I162" i="7" s="1"/>
  <c r="J162" i="7" s="1"/>
  <c r="G130" i="1"/>
  <c r="I130" i="1" s="1"/>
  <c r="J111" i="6" l="1"/>
  <c r="G112" i="6" s="1"/>
  <c r="J130" i="1"/>
  <c r="G131" i="1" s="1"/>
  <c r="I131" i="1" s="1"/>
  <c r="J131" i="1" s="1"/>
  <c r="G163" i="7"/>
  <c r="I163" i="7" s="1"/>
  <c r="J163" i="7" s="1"/>
  <c r="I112" i="6" l="1"/>
  <c r="G164" i="7"/>
  <c r="I164" i="7" s="1"/>
  <c r="J164" i="7" s="1"/>
  <c r="G132" i="1"/>
  <c r="I132" i="1" s="1"/>
  <c r="J132" i="1" s="1"/>
  <c r="J112" i="6" l="1"/>
  <c r="G113" i="6" s="1"/>
  <c r="G133" i="1"/>
  <c r="I133" i="1" s="1"/>
  <c r="J133" i="1" s="1"/>
  <c r="G165" i="7"/>
  <c r="I165" i="7" s="1"/>
  <c r="J165" i="7" s="1"/>
  <c r="I113" i="6" l="1"/>
  <c r="L133" i="1"/>
  <c r="G134" i="1"/>
  <c r="I134" i="1" s="1"/>
  <c r="G166" i="7"/>
  <c r="I166" i="7" s="1"/>
  <c r="J166" i="7" s="1"/>
  <c r="J113" i="6" l="1"/>
  <c r="G114" i="6" s="1"/>
  <c r="J134" i="1"/>
  <c r="G135" i="1" s="1"/>
  <c r="I135" i="1" s="1"/>
  <c r="L134" i="1"/>
  <c r="M134" i="1" s="1"/>
  <c r="G167" i="7"/>
  <c r="I167" i="7" s="1"/>
  <c r="J167" i="7" s="1"/>
  <c r="I114" i="6" l="1"/>
  <c r="J135" i="1"/>
  <c r="G136" i="1" s="1"/>
  <c r="I136" i="1" s="1"/>
  <c r="J136" i="1" s="1"/>
  <c r="G168" i="7"/>
  <c r="I168" i="7" s="1"/>
  <c r="J168" i="7" s="1"/>
  <c r="K114" i="6" l="1"/>
  <c r="L114" i="6" s="1"/>
  <c r="J114" i="6"/>
  <c r="G115" i="6" s="1"/>
  <c r="G137" i="1"/>
  <c r="I137" i="1" s="1"/>
  <c r="G169" i="7"/>
  <c r="I169" i="7" s="1"/>
  <c r="J169" i="7" s="1"/>
  <c r="I115" i="6" l="1"/>
  <c r="J137" i="1"/>
  <c r="G138" i="1" s="1"/>
  <c r="I138" i="1" s="1"/>
  <c r="L137" i="1"/>
  <c r="G170" i="7"/>
  <c r="I170" i="7" s="1"/>
  <c r="J170" i="7" s="1"/>
  <c r="J115" i="6" l="1"/>
  <c r="G116" i="6" s="1"/>
  <c r="J138" i="1"/>
  <c r="G139" i="1" s="1"/>
  <c r="I139" i="1" s="1"/>
  <c r="J139" i="1" s="1"/>
  <c r="G171" i="7"/>
  <c r="I171" i="7" s="1"/>
  <c r="J171" i="7" s="1"/>
  <c r="I116" i="6" l="1"/>
  <c r="G140" i="1"/>
  <c r="I140" i="1" s="1"/>
  <c r="J140" i="1" s="1"/>
  <c r="G172" i="7"/>
  <c r="I172" i="7" s="1"/>
  <c r="J116" i="6" l="1"/>
  <c r="G117" i="6" s="1"/>
  <c r="J172" i="7"/>
  <c r="G173" i="7" s="1"/>
  <c r="I173" i="7" s="1"/>
  <c r="L172" i="7"/>
  <c r="M172" i="7" s="1"/>
  <c r="G141" i="1"/>
  <c r="I141" i="1" s="1"/>
  <c r="J141" i="1" s="1"/>
  <c r="I117" i="6" l="1"/>
  <c r="J173" i="7"/>
  <c r="G174" i="7" s="1"/>
  <c r="I174" i="7" s="1"/>
  <c r="G142" i="1"/>
  <c r="I142" i="1" s="1"/>
  <c r="J142" i="1" s="1"/>
  <c r="J117" i="6" l="1"/>
  <c r="G118" i="6" s="1"/>
  <c r="J174" i="7"/>
  <c r="G175" i="7" s="1"/>
  <c r="I175" i="7" s="1"/>
  <c r="J175" i="7" s="1"/>
  <c r="G143" i="1"/>
  <c r="I143" i="1" s="1"/>
  <c r="J143" i="1" s="1"/>
  <c r="I118" i="6" l="1"/>
  <c r="G144" i="1"/>
  <c r="I144" i="1" s="1"/>
  <c r="J144" i="1" s="1"/>
  <c r="G176" i="7"/>
  <c r="I176" i="7" s="1"/>
  <c r="J176" i="7" s="1"/>
  <c r="J118" i="6" l="1"/>
  <c r="G119" i="6" s="1"/>
  <c r="G145" i="1"/>
  <c r="I145" i="1" s="1"/>
  <c r="J145" i="1" s="1"/>
  <c r="G177" i="7"/>
  <c r="I177" i="7" s="1"/>
  <c r="J177" i="7" s="1"/>
  <c r="G178" i="7" s="1"/>
  <c r="I178" i="7" s="1"/>
  <c r="J178" i="7" s="1"/>
  <c r="G179" i="7" s="1"/>
  <c r="I179" i="7" s="1"/>
  <c r="J179" i="7" s="1"/>
  <c r="G180" i="7" s="1"/>
  <c r="I180" i="7" s="1"/>
  <c r="J180" i="7" s="1"/>
  <c r="G181" i="7" s="1"/>
  <c r="I181" i="7" s="1"/>
  <c r="J181" i="7" s="1"/>
  <c r="G182" i="7" s="1"/>
  <c r="I182" i="7" s="1"/>
  <c r="J182" i="7" s="1"/>
  <c r="G183" i="7" s="1"/>
  <c r="I183" i="7" s="1"/>
  <c r="J183" i="7" s="1"/>
  <c r="G184" i="7" s="1"/>
  <c r="I184" i="7" s="1"/>
  <c r="J184" i="7" s="1"/>
  <c r="G185" i="7" s="1"/>
  <c r="I185" i="7" s="1"/>
  <c r="J185" i="7" s="1"/>
  <c r="G186" i="7" s="1"/>
  <c r="I186" i="7" s="1"/>
  <c r="J186" i="7" s="1"/>
  <c r="G187" i="7" s="1"/>
  <c r="I187" i="7" s="1"/>
  <c r="J187" i="7" s="1"/>
  <c r="G188" i="7" s="1"/>
  <c r="I188" i="7" s="1"/>
  <c r="J188" i="7" s="1"/>
  <c r="G189" i="7" s="1"/>
  <c r="I189" i="7" s="1"/>
  <c r="J189" i="7" s="1"/>
  <c r="G190" i="7" s="1"/>
  <c r="I190" i="7" s="1"/>
  <c r="J190" i="7" s="1"/>
  <c r="G191" i="7" s="1"/>
  <c r="I191" i="7" s="1"/>
  <c r="J191" i="7" s="1"/>
  <c r="G192" i="7" s="1"/>
  <c r="I192" i="7" s="1"/>
  <c r="J192" i="7" s="1"/>
  <c r="G193" i="7" s="1"/>
  <c r="I193" i="7" s="1"/>
  <c r="J193" i="7" s="1"/>
  <c r="G194" i="7" s="1"/>
  <c r="I194" i="7" s="1"/>
  <c r="J194" i="7" s="1"/>
  <c r="G195" i="7" s="1"/>
  <c r="I195" i="7" s="1"/>
  <c r="J195" i="7" s="1"/>
  <c r="G196" i="7" s="1"/>
  <c r="I196" i="7" s="1"/>
  <c r="J196" i="7" s="1"/>
  <c r="G197" i="7" s="1"/>
  <c r="I197" i="7" s="1"/>
  <c r="J197" i="7" s="1"/>
  <c r="G198" i="7" s="1"/>
  <c r="I198" i="7" s="1"/>
  <c r="J198" i="7" s="1"/>
  <c r="G199" i="7" s="1"/>
  <c r="I199" i="7" s="1"/>
  <c r="J199" i="7" s="1"/>
  <c r="G200" i="7" s="1"/>
  <c r="I200" i="7" s="1"/>
  <c r="J200" i="7" s="1"/>
  <c r="G201" i="7" s="1"/>
  <c r="I201" i="7" s="1"/>
  <c r="J201" i="7" s="1"/>
  <c r="I119" i="6" l="1"/>
  <c r="G146" i="1"/>
  <c r="I146" i="1" s="1"/>
  <c r="J146" i="1" s="1"/>
  <c r="G202" i="7"/>
  <c r="I202" i="7" s="1"/>
  <c r="J202" i="7" s="1"/>
  <c r="J119" i="6" l="1"/>
  <c r="G120" i="6" s="1"/>
  <c r="G147" i="1"/>
  <c r="I147" i="1" s="1"/>
  <c r="J147" i="1" s="1"/>
  <c r="G203" i="7"/>
  <c r="I203" i="7" s="1"/>
  <c r="J203" i="7" s="1"/>
  <c r="I120" i="6" l="1"/>
  <c r="G148" i="1"/>
  <c r="I148" i="1" s="1"/>
  <c r="J148" i="1" s="1"/>
  <c r="G204" i="7"/>
  <c r="I204" i="7" s="1"/>
  <c r="J204" i="7" s="1"/>
  <c r="J120" i="6" l="1"/>
  <c r="G121" i="6" s="1"/>
  <c r="G149" i="1"/>
  <c r="I149" i="1" s="1"/>
  <c r="J149" i="1" s="1"/>
  <c r="G150" i="1" s="1"/>
  <c r="I150" i="1" s="1"/>
  <c r="I151" i="1" s="1"/>
  <c r="G205" i="7"/>
  <c r="I205" i="7" s="1"/>
  <c r="J205" i="7" s="1"/>
  <c r="I121" i="6" l="1"/>
  <c r="J150" i="1"/>
  <c r="J155" i="1" s="1"/>
  <c r="J156" i="1" s="1"/>
  <c r="L150" i="1"/>
  <c r="M150" i="1" s="1"/>
  <c r="M151" i="1" s="1"/>
  <c r="G206" i="7"/>
  <c r="I206" i="7" s="1"/>
  <c r="J206" i="7" s="1"/>
  <c r="K121" i="6" l="1"/>
  <c r="J121" i="6"/>
  <c r="G122" i="6" s="1"/>
  <c r="G207" i="7"/>
  <c r="I207" i="7" s="1"/>
  <c r="J207" i="7" s="1"/>
  <c r="I122" i="6" l="1"/>
  <c r="G208" i="7"/>
  <c r="I208" i="7" s="1"/>
  <c r="J122" i="6" l="1"/>
  <c r="G123" i="6" s="1"/>
  <c r="J208" i="7"/>
  <c r="G209" i="7" s="1"/>
  <c r="I209" i="7" s="1"/>
  <c r="L208" i="7"/>
  <c r="I123" i="6" l="1"/>
  <c r="J209" i="7"/>
  <c r="G210" i="7" s="1"/>
  <c r="I210" i="7" s="1"/>
  <c r="J210" i="7" s="1"/>
  <c r="J123" i="6" l="1"/>
  <c r="G124" i="6" s="1"/>
  <c r="G211" i="7"/>
  <c r="I211" i="7" s="1"/>
  <c r="J211" i="7" s="1"/>
  <c r="I124" i="6" l="1"/>
  <c r="G212" i="7"/>
  <c r="I212" i="7" s="1"/>
  <c r="J212" i="7" s="1"/>
  <c r="J124" i="6" l="1"/>
  <c r="G125" i="6" s="1"/>
  <c r="G213" i="7"/>
  <c r="I213" i="7" s="1"/>
  <c r="J213" i="7" s="1"/>
  <c r="I125" i="6" l="1"/>
  <c r="G214" i="7"/>
  <c r="I214" i="7" s="1"/>
  <c r="J214" i="7" s="1"/>
  <c r="J125" i="6" l="1"/>
  <c r="G126" i="6" s="1"/>
  <c r="G215" i="7"/>
  <c r="I215" i="7" s="1"/>
  <c r="J215" i="7" s="1"/>
  <c r="I126" i="6" l="1"/>
  <c r="G216" i="7"/>
  <c r="I216" i="7" s="1"/>
  <c r="J216" i="7" s="1"/>
  <c r="J126" i="6" l="1"/>
  <c r="G127" i="6" s="1"/>
  <c r="G217" i="7"/>
  <c r="I217" i="7" s="1"/>
  <c r="J217" i="7" s="1"/>
  <c r="I127" i="6" l="1"/>
  <c r="G218" i="7"/>
  <c r="I218" i="7" s="1"/>
  <c r="J218" i="7" s="1"/>
  <c r="J127" i="6" l="1"/>
  <c r="G128" i="6" s="1"/>
  <c r="G219" i="7"/>
  <c r="I219" i="7" s="1"/>
  <c r="J219" i="7" s="1"/>
  <c r="I128" i="6" l="1"/>
  <c r="G220" i="7"/>
  <c r="I220" i="7" s="1"/>
  <c r="J220" i="7" s="1"/>
  <c r="J128" i="6" l="1"/>
  <c r="G129" i="6" s="1"/>
  <c r="G221" i="7"/>
  <c r="I221" i="7" s="1"/>
  <c r="J221" i="7" s="1"/>
  <c r="I129" i="6" l="1"/>
  <c r="G222" i="7"/>
  <c r="I222" i="7" s="1"/>
  <c r="J222" i="7" s="1"/>
  <c r="J129" i="6" l="1"/>
  <c r="G130" i="6" s="1"/>
  <c r="G223" i="7"/>
  <c r="I223" i="7" s="1"/>
  <c r="J223" i="7" s="1"/>
  <c r="I130" i="6" l="1"/>
  <c r="G224" i="7"/>
  <c r="I224" i="7" s="1"/>
  <c r="J224" i="7" s="1"/>
  <c r="J130" i="6" l="1"/>
  <c r="G131" i="6" s="1"/>
  <c r="G225" i="7"/>
  <c r="I225" i="7" s="1"/>
  <c r="J225" i="7" s="1"/>
  <c r="I131" i="6" l="1"/>
  <c r="G226" i="7"/>
  <c r="I226" i="7" s="1"/>
  <c r="J226" i="7" s="1"/>
  <c r="J131" i="6" l="1"/>
  <c r="G132" i="6" s="1"/>
  <c r="G227" i="7"/>
  <c r="I227" i="7" s="1"/>
  <c r="J227" i="7" s="1"/>
  <c r="I132" i="6" l="1"/>
  <c r="G228" i="7"/>
  <c r="I228" i="7" s="1"/>
  <c r="J228" i="7" s="1"/>
  <c r="I133" i="6" l="1"/>
  <c r="K132" i="6"/>
  <c r="L132" i="6" s="1"/>
  <c r="L133" i="6" s="1"/>
  <c r="J132" i="6"/>
  <c r="J138" i="6" s="1"/>
  <c r="J139" i="6" s="1"/>
  <c r="G229" i="7"/>
  <c r="I229" i="7" s="1"/>
  <c r="J229" i="7" s="1"/>
  <c r="G230" i="7" l="1"/>
  <c r="I230" i="7" s="1"/>
  <c r="J230" i="7" l="1"/>
  <c r="G231" i="7" s="1"/>
  <c r="I231" i="7" s="1"/>
  <c r="L230" i="7"/>
  <c r="M230" i="7" s="1"/>
  <c r="J231" i="7" l="1"/>
  <c r="G232" i="7" s="1"/>
  <c r="I232" i="7" s="1"/>
  <c r="J232" i="7" l="1"/>
  <c r="G233" i="7" s="1"/>
  <c r="I233" i="7" s="1"/>
  <c r="J233" i="7" s="1"/>
  <c r="G234" i="7" l="1"/>
  <c r="I234" i="7" s="1"/>
  <c r="J234" i="7" s="1"/>
  <c r="G235" i="7" l="1"/>
  <c r="I235" i="7" s="1"/>
  <c r="J235" i="7" s="1"/>
  <c r="G236" i="7" l="1"/>
  <c r="I236" i="7" s="1"/>
  <c r="J236" i="7" s="1"/>
  <c r="G237" i="7" l="1"/>
  <c r="I237" i="7" s="1"/>
  <c r="J237" i="7" s="1"/>
  <c r="G238" i="7" l="1"/>
  <c r="I238" i="7" s="1"/>
  <c r="J238" i="7" s="1"/>
  <c r="G239" i="7" l="1"/>
  <c r="I239" i="7" s="1"/>
  <c r="J239" i="7" s="1"/>
  <c r="G240" i="7" l="1"/>
  <c r="I240" i="7" s="1"/>
  <c r="J240" i="7" s="1"/>
  <c r="G241" i="7" l="1"/>
  <c r="I241" i="7" s="1"/>
  <c r="J241" i="7" s="1"/>
  <c r="G242" i="7" l="1"/>
  <c r="I242" i="7" s="1"/>
  <c r="J242" i="7" s="1"/>
  <c r="G243" i="7" l="1"/>
  <c r="I243" i="7" s="1"/>
  <c r="J243" i="7" s="1"/>
  <c r="G244" i="7" l="1"/>
  <c r="I244" i="7" s="1"/>
  <c r="J244" i="7" s="1"/>
  <c r="G245" i="7" l="1"/>
  <c r="I245" i="7" s="1"/>
  <c r="J245" i="7" s="1"/>
  <c r="G246" i="7" l="1"/>
  <c r="I246" i="7" s="1"/>
  <c r="J246" i="7" s="1"/>
  <c r="G247" i="7" l="1"/>
  <c r="I247" i="7" s="1"/>
  <c r="J247" i="7" s="1"/>
  <c r="G248" i="7" l="1"/>
  <c r="I248" i="7" s="1"/>
  <c r="J248" i="7" s="1"/>
  <c r="G249" i="7" l="1"/>
  <c r="I249" i="7" s="1"/>
  <c r="J249" i="7" s="1"/>
  <c r="G250" i="7" l="1"/>
  <c r="I250" i="7" s="1"/>
  <c r="J250" i="7" s="1"/>
  <c r="G251" i="7" l="1"/>
  <c r="I251" i="7" s="1"/>
  <c r="J251" i="7" s="1"/>
  <c r="G252" i="7" l="1"/>
  <c r="I252" i="7" s="1"/>
  <c r="J252" i="7" s="1"/>
  <c r="G253" i="7" l="1"/>
  <c r="I253" i="7" s="1"/>
  <c r="J253" i="7" s="1"/>
  <c r="G254" i="7" l="1"/>
  <c r="I254" i="7" s="1"/>
  <c r="J254" i="7" s="1"/>
  <c r="G255" i="7" l="1"/>
  <c r="I255" i="7" s="1"/>
  <c r="J255" i="7" l="1"/>
  <c r="G256" i="7" s="1"/>
  <c r="I256" i="7" s="1"/>
  <c r="L255" i="7"/>
  <c r="J256" i="7" l="1"/>
  <c r="G257" i="7" s="1"/>
  <c r="I257" i="7" s="1"/>
  <c r="J257" i="7" s="1"/>
  <c r="G258" i="7" l="1"/>
  <c r="I258" i="7" s="1"/>
  <c r="J258" i="7" s="1"/>
  <c r="G259" i="7" l="1"/>
  <c r="I259" i="7" s="1"/>
  <c r="J259" i="7" s="1"/>
  <c r="G260" i="7" l="1"/>
  <c r="I260" i="7" s="1"/>
  <c r="J260" i="7" s="1"/>
  <c r="G261" i="7" l="1"/>
  <c r="I261" i="7" s="1"/>
  <c r="J261" i="7" s="1"/>
  <c r="G262" i="7" l="1"/>
  <c r="I262" i="7" s="1"/>
  <c r="J262" i="7" s="1"/>
  <c r="G263" i="7" l="1"/>
  <c r="I263" i="7" s="1"/>
  <c r="J263" i="7" s="1"/>
  <c r="G264" i="7" l="1"/>
  <c r="I264" i="7" s="1"/>
  <c r="J264" i="7" s="1"/>
  <c r="G265" i="7" l="1"/>
  <c r="I265" i="7" s="1"/>
  <c r="J265" i="7" s="1"/>
  <c r="G266" i="7" l="1"/>
  <c r="I266" i="7" s="1"/>
  <c r="J266" i="7" s="1"/>
  <c r="G267" i="7" l="1"/>
  <c r="I267" i="7" s="1"/>
  <c r="J267" i="7" s="1"/>
  <c r="G268" i="7" l="1"/>
  <c r="I268" i="7" s="1"/>
  <c r="J268" i="7" s="1"/>
  <c r="G269" i="7" l="1"/>
  <c r="I269" i="7" s="1"/>
  <c r="J269" i="7" s="1"/>
  <c r="G270" i="7" l="1"/>
  <c r="I270" i="7" s="1"/>
  <c r="J270" i="7" s="1"/>
  <c r="G271" i="7" l="1"/>
  <c r="I271" i="7" s="1"/>
  <c r="J271" i="7" s="1"/>
  <c r="G272" i="7" l="1"/>
  <c r="I272" i="7" s="1"/>
  <c r="J272" i="7" s="1"/>
  <c r="G273" i="7" l="1"/>
  <c r="I273" i="7" s="1"/>
  <c r="J273" i="7" s="1"/>
  <c r="G274" i="7" l="1"/>
  <c r="I274" i="7" s="1"/>
  <c r="J274" i="7" s="1"/>
  <c r="G275" i="7" l="1"/>
  <c r="I275" i="7" s="1"/>
  <c r="J275" i="7" s="1"/>
  <c r="G276" i="7" l="1"/>
  <c r="I276" i="7" s="1"/>
  <c r="J276" i="7" s="1"/>
  <c r="G277" i="7" l="1"/>
  <c r="I277" i="7" s="1"/>
  <c r="J277" i="7" s="1"/>
  <c r="G278" i="7" l="1"/>
  <c r="I278" i="7" s="1"/>
  <c r="J278" i="7" l="1"/>
  <c r="G279" i="7" s="1"/>
  <c r="I279" i="7" s="1"/>
  <c r="L278" i="7"/>
  <c r="M278" i="7" s="1"/>
  <c r="J279" i="7" l="1"/>
  <c r="G281" i="7" s="1"/>
  <c r="I281" i="7" s="1"/>
  <c r="G280" i="7" l="1"/>
  <c r="I280" i="7" s="1"/>
  <c r="J280" i="7" l="1"/>
  <c r="G282" i="7" l="1"/>
  <c r="I282" i="7" s="1"/>
  <c r="J281" i="7"/>
  <c r="J282" i="7" l="1"/>
  <c r="G284" i="7" s="1"/>
  <c r="I284" i="7" s="1"/>
  <c r="G283" i="7"/>
  <c r="I283" i="7" s="1"/>
  <c r="J283" i="7" s="1"/>
  <c r="G285" i="7" s="1"/>
  <c r="I285" i="7" s="1"/>
  <c r="J284" i="7" l="1"/>
  <c r="G286" i="7" s="1"/>
  <c r="I286" i="7" s="1"/>
  <c r="J285" i="7"/>
  <c r="J286" i="7" l="1"/>
  <c r="G287" i="7"/>
  <c r="I287" i="7" s="1"/>
  <c r="J287" i="7" l="1"/>
  <c r="G289" i="7" s="1"/>
  <c r="I289" i="7" s="1"/>
  <c r="G288" i="7"/>
  <c r="I288" i="7" s="1"/>
  <c r="J288" i="7" s="1"/>
  <c r="G290" i="7" s="1"/>
  <c r="I290" i="7" s="1"/>
  <c r="J289" i="7" l="1"/>
  <c r="J290" i="7" l="1"/>
  <c r="G292" i="7" s="1"/>
  <c r="I292" i="7" s="1"/>
  <c r="G291" i="7"/>
  <c r="I291" i="7" s="1"/>
  <c r="J291" i="7" l="1"/>
  <c r="L292" i="7"/>
  <c r="J292" i="7" l="1"/>
  <c r="G293" i="7"/>
  <c r="I293" i="7" s="1"/>
  <c r="J293" i="7" l="1"/>
  <c r="G295" i="7" s="1"/>
  <c r="I295" i="7" s="1"/>
  <c r="G294" i="7"/>
  <c r="I294" i="7" s="1"/>
  <c r="J294" i="7" s="1"/>
  <c r="J295" i="7" l="1"/>
  <c r="G297" i="7" s="1"/>
  <c r="I297" i="7" s="1"/>
  <c r="G296" i="7"/>
  <c r="I296" i="7" s="1"/>
  <c r="J296" i="7" s="1"/>
  <c r="J297" i="7" l="1"/>
  <c r="G298" i="7"/>
  <c r="I298" i="7" s="1"/>
  <c r="J298" i="7" l="1"/>
  <c r="G299" i="7"/>
  <c r="I299" i="7" s="1"/>
  <c r="G300" i="7" l="1"/>
  <c r="I300" i="7" s="1"/>
  <c r="J299" i="7"/>
  <c r="L300" i="7" l="1"/>
  <c r="M300" i="7" s="1"/>
  <c r="M301" i="7" s="1"/>
  <c r="I301" i="7"/>
  <c r="J300" i="7"/>
  <c r="J306" i="7" s="1"/>
  <c r="J307" i="7" s="1"/>
</calcChain>
</file>

<file path=xl/sharedStrings.xml><?xml version="1.0" encoding="utf-8"?>
<sst xmlns="http://schemas.openxmlformats.org/spreadsheetml/2006/main" count="1309" uniqueCount="986">
  <si>
    <t>FELIX DELGADILLO MEJIA</t>
  </si>
  <si>
    <t>Metodo:Promedio Ponderado</t>
  </si>
  <si>
    <t>NIT  358900018</t>
  </si>
  <si>
    <t>Cochabamba - Bolivia</t>
  </si>
  <si>
    <t>Unidad de Medida:Metros lineales</t>
  </si>
  <si>
    <t>KARDEX  FISICO VALORADO</t>
  </si>
  <si>
    <t xml:space="preserve">               (Expresado en bolivianos)</t>
  </si>
  <si>
    <t>FECHA</t>
  </si>
  <si>
    <t>DETALLE</t>
  </si>
  <si>
    <t>KARDEX FISICO</t>
  </si>
  <si>
    <t>COSTO UNITARIO</t>
  </si>
  <si>
    <t>KARDEX VALORADO</t>
  </si>
  <si>
    <t>OBSERVACIONES</t>
  </si>
  <si>
    <t>ENTRADA</t>
  </si>
  <si>
    <t>SALIDA</t>
  </si>
  <si>
    <t xml:space="preserve">SALDO </t>
  </si>
  <si>
    <t>ADQ.</t>
  </si>
  <si>
    <t>PROM.</t>
  </si>
  <si>
    <t>DEBE</t>
  </si>
  <si>
    <t>HABER</t>
  </si>
  <si>
    <t>SALDO</t>
  </si>
  <si>
    <t>Mercaderia:Plancha BLUE para calaminas # 28</t>
  </si>
  <si>
    <t>inventario inicial</t>
  </si>
  <si>
    <t>Mercaderia:Planchas RAL 0,35 mm para calaminas</t>
  </si>
  <si>
    <t>Nº 28</t>
  </si>
  <si>
    <t>Inventario Inicial</t>
  </si>
  <si>
    <t xml:space="preserve">ENTRADA </t>
  </si>
  <si>
    <t>INVENTARIO INICIAL</t>
  </si>
  <si>
    <t>COMPRA DUI3012014C30312</t>
  </si>
  <si>
    <t>COMPRA DUI 2014301C40629</t>
  </si>
  <si>
    <t>Venta Calamina RAL F- 1516</t>
  </si>
  <si>
    <t>Calamina Ondulada F-1517</t>
  </si>
  <si>
    <t>Calamina Ondulada F-1518</t>
  </si>
  <si>
    <t>Calamina Ondulada F-1519</t>
  </si>
  <si>
    <t>Venta Calamina RAL F- 1520</t>
  </si>
  <si>
    <t>Venta Calamina RAL F- 1521</t>
  </si>
  <si>
    <t>Calamina Ondulada F-1522</t>
  </si>
  <si>
    <t>Calamina Ondulada F-1523</t>
  </si>
  <si>
    <t>Calamina Ondulada F-1524</t>
  </si>
  <si>
    <t>Venta Ganchos J -50 F- 1524</t>
  </si>
  <si>
    <t>Calamina Ondulada F-1525</t>
  </si>
  <si>
    <t>Calamina Ondulada F-1526</t>
  </si>
  <si>
    <t>Venta Calamina RAL F- 1527</t>
  </si>
  <si>
    <t>Venta Calamina Galvanizada F- 1528</t>
  </si>
  <si>
    <t>Venta Calamina RAL F- 1529</t>
  </si>
  <si>
    <t>Calamina Ondulada F-1530</t>
  </si>
  <si>
    <t>Venta Calamina RAL F- 1531</t>
  </si>
  <si>
    <t>Venta Ganchos J -60 F-1531</t>
  </si>
  <si>
    <t>Calamina Ondulada F-1532</t>
  </si>
  <si>
    <t>Venta Ganchos J -60 F-1532</t>
  </si>
  <si>
    <t>Calamina Ondulada F-1533</t>
  </si>
  <si>
    <t>VENTA CLAVOS DE CALAMINA F- 1533</t>
  </si>
  <si>
    <t>Calamina Ondulada F-1534</t>
  </si>
  <si>
    <t>Venta Ganchos J -50 F- 1534</t>
  </si>
  <si>
    <t>Calamina Ondulada F-1535</t>
  </si>
  <si>
    <t>Calamina Ondulada F-1536</t>
  </si>
  <si>
    <t>Venta Calamina RAL F- 1537</t>
  </si>
  <si>
    <t>Venta Ganchos J -60 F-1537</t>
  </si>
  <si>
    <t>Venta Ganchos J -50 F- 1538</t>
  </si>
  <si>
    <t>Calamina Ondulada F-1539</t>
  </si>
  <si>
    <t>Calamina Ondulada F-1540</t>
  </si>
  <si>
    <t>Calamina Ondulada F-1541</t>
  </si>
  <si>
    <t>Calamina Ondulada F-1542</t>
  </si>
  <si>
    <t>Calamina Ondulada F-1543</t>
  </si>
  <si>
    <t>VENTA CLAVOS DE CALAMINA F- 1543</t>
  </si>
  <si>
    <t>VENTA CLAVOS DE CALAMINA F- 1544</t>
  </si>
  <si>
    <t>Venta Calamina RAL F- 1544</t>
  </si>
  <si>
    <t>Venta Calamina Galvanizada F- 1545</t>
  </si>
  <si>
    <t>Calamina Ondulada F-1546</t>
  </si>
  <si>
    <t>VENTA CLAVOS DE CALAMINA F- 1546</t>
  </si>
  <si>
    <t>Venta Calamina RAL F- 1547</t>
  </si>
  <si>
    <t>Calamina Ondulada F-1548</t>
  </si>
  <si>
    <t>Venta Calamina RAL F- 1549</t>
  </si>
  <si>
    <t>Calamina Ondulada F-1550</t>
  </si>
  <si>
    <t>Calamina Ondulada F-1551</t>
  </si>
  <si>
    <t>Venta Ganchos J -50 F- 1552</t>
  </si>
  <si>
    <t>Venta Calamina Galvanizada F- 1553</t>
  </si>
  <si>
    <t>Venta Ganchos J -50 F- 1554</t>
  </si>
  <si>
    <t>Venta Calamina RAL F- 1555</t>
  </si>
  <si>
    <t>Venta Calamina WHITE GREY F- 1556</t>
  </si>
  <si>
    <t>Venta Calamina RAL F- 1557</t>
  </si>
  <si>
    <t>Venta Calamina RAL F- 1558</t>
  </si>
  <si>
    <t>VENTA CLAVOS DE CALAMINA F- 1558</t>
  </si>
  <si>
    <t>Venta Ganchos J -60 F-1559</t>
  </si>
  <si>
    <t>Venta Calamina Galvanizada F- 1560</t>
  </si>
  <si>
    <t>Venta Calamina WHITE GREY F- 1561</t>
  </si>
  <si>
    <t>Venta Ganchos J -50 F- 1562</t>
  </si>
  <si>
    <t>Venta Calamina RAL F- 1563</t>
  </si>
  <si>
    <t>Venta Calamina RAL F- 1564</t>
  </si>
  <si>
    <t>Calamina Ondulada F-1565</t>
  </si>
  <si>
    <t>VENTA CLAVOS DE CALAMINA F- 1565</t>
  </si>
  <si>
    <t>Calamina Ondulada F-1566</t>
  </si>
  <si>
    <t>VENTA CLAVOS DE CALAMINA F- 1566</t>
  </si>
  <si>
    <t>Calamina Ondulada F-1567</t>
  </si>
  <si>
    <t>Venta Calamina RAL F- 1568</t>
  </si>
  <si>
    <t>Calamina Ondulada F-1569</t>
  </si>
  <si>
    <t>Venta Calamina RAL F- 1570</t>
  </si>
  <si>
    <t>Calamina Ondulada F-1571</t>
  </si>
  <si>
    <t>Venta Calamina WHITE GREY F- 1572</t>
  </si>
  <si>
    <t>Venta Calamina RAL F- 1573</t>
  </si>
  <si>
    <t>ANULADO F-1574</t>
  </si>
  <si>
    <t>Venta Calamina RAL F- 1575</t>
  </si>
  <si>
    <t>Calamina Ondulada F-1576</t>
  </si>
  <si>
    <t>Calamina Ondulada F-1577</t>
  </si>
  <si>
    <t>Venta Calamina RAL F- 1578</t>
  </si>
  <si>
    <t>Venta Calamina RAL F- 1579</t>
  </si>
  <si>
    <t>Venta Calamina WHITE GREY F- 1580</t>
  </si>
  <si>
    <t>Venta Calamina RAL F- 1581</t>
  </si>
  <si>
    <t>Venta Calamina RAL F- 1582</t>
  </si>
  <si>
    <t>Venta Calamina RAL F- 1583</t>
  </si>
  <si>
    <t>Venta Calamina RAL F- 1584</t>
  </si>
  <si>
    <t>Venta Calamina RAL F- 1585</t>
  </si>
  <si>
    <t>Calamina Ondulada F-1586</t>
  </si>
  <si>
    <t>VENTA CLAVOS DE CALAMINA F- 1586</t>
  </si>
  <si>
    <t>Venta Calamina RAL F- 1587</t>
  </si>
  <si>
    <t>Venta Calamina RAL F- 1588</t>
  </si>
  <si>
    <t>Venta Calamina RAL F- 1589</t>
  </si>
  <si>
    <t>Calamina Ondulada F-1590</t>
  </si>
  <si>
    <t>Calamina Ondulada F-1591</t>
  </si>
  <si>
    <t>VENTA CLAVOS DE CALAMINA F- 1591</t>
  </si>
  <si>
    <t>Calamina Ondulada F-1592</t>
  </si>
  <si>
    <t>Calamina Ondulada F-1593</t>
  </si>
  <si>
    <t>Calamina Ondulada F-1594</t>
  </si>
  <si>
    <t>Calamina Ondulada F-1595</t>
  </si>
  <si>
    <t>Calamina Ondulada F-1596</t>
  </si>
  <si>
    <t>Calamina Ondulada F-1597</t>
  </si>
  <si>
    <t>Calamina Ondulada F-1598</t>
  </si>
  <si>
    <t>Calamina Ondulada F-1599</t>
  </si>
  <si>
    <t>Calamina Ondulada F-1600</t>
  </si>
  <si>
    <t>Venta Calamina WHITE GREY F- 1601</t>
  </si>
  <si>
    <t>Venta Calamina RAL F- 1602</t>
  </si>
  <si>
    <t>Venta Calamina WHITE GREY F- 1603</t>
  </si>
  <si>
    <t>Venta Ganchos J -50 F- 1604</t>
  </si>
  <si>
    <t>Calamina Ondulada F-1605</t>
  </si>
  <si>
    <t>VENTA CLAVOS DE CALAMINA F- 1605</t>
  </si>
  <si>
    <t>Calamina Ondulada F-1606</t>
  </si>
  <si>
    <t>Venta Calamina WHITE GREY F- 1607</t>
  </si>
  <si>
    <t>Calamina Ondulada F-1608</t>
  </si>
  <si>
    <t>Calamina Ondulada F-1609</t>
  </si>
  <si>
    <t>Calamina Ondulada F-1610</t>
  </si>
  <si>
    <t>VENTA CLAVOS DE CALAMINA F- 1610</t>
  </si>
  <si>
    <t>Calamina Ondulada F-1611</t>
  </si>
  <si>
    <t>Calamina Ondulada F-1612</t>
  </si>
  <si>
    <t>Calamina Ondulada F-1613</t>
  </si>
  <si>
    <t>Venta Calamina WHITE GREY F- 1614</t>
  </si>
  <si>
    <t>Calamina Ondulada F-1615</t>
  </si>
  <si>
    <t>Venta Calamina RAL F- 1616</t>
  </si>
  <si>
    <t>Venta Calamina Galvanizada F- 1617</t>
  </si>
  <si>
    <t>Calamina Ondulada F-1618</t>
  </si>
  <si>
    <t>Venta Calamina Galvanizada F- 1619</t>
  </si>
  <si>
    <t>Venta Ganchos J -50 F- 1619</t>
  </si>
  <si>
    <t>Calamina Ondulada F-1620</t>
  </si>
  <si>
    <t>Venta Calamina WHITE GREY F- 1621</t>
  </si>
  <si>
    <t>Venta Calamina WHITE GREY F- 1622</t>
  </si>
  <si>
    <t>Calamina Ondulada F-1623</t>
  </si>
  <si>
    <t>Venta Calamina WHITE GREY F- 1624</t>
  </si>
  <si>
    <t>Venta Calamina Galvanizada F- 1625</t>
  </si>
  <si>
    <t>Venta Calamina Galvanizada F- 1626</t>
  </si>
  <si>
    <t>Venta Calamina WHITE GREY F- 1627</t>
  </si>
  <si>
    <t>Calamina Ondulada F-1628</t>
  </si>
  <si>
    <t>Calamina Ondulada F-1629</t>
  </si>
  <si>
    <t>Venta Calamina WHITE GREY F- 1630</t>
  </si>
  <si>
    <t>Venta Ganchos J -60 F-1630</t>
  </si>
  <si>
    <t>Calamina Ondulada F-1631</t>
  </si>
  <si>
    <t>VENTA CLAVOS DE CALAMINA F- 1631</t>
  </si>
  <si>
    <t>Venta Calamina WHITE GREY F- 1632</t>
  </si>
  <si>
    <t>Venta Calamina WHITE GREY F- 1633</t>
  </si>
  <si>
    <t>Venta Ganchos J -60 F-1633</t>
  </si>
  <si>
    <t>Calamina Ondulada F-1634</t>
  </si>
  <si>
    <t>Calamina Ondulada F-1635</t>
  </si>
  <si>
    <t>Venta Calamina RAL F- 1636</t>
  </si>
  <si>
    <t>Venta Calamina WHITE GREY F- 1637</t>
  </si>
  <si>
    <t>Calamina Ondulada F-1638</t>
  </si>
  <si>
    <t>Calamina Ondulada F-1639</t>
  </si>
  <si>
    <t>Venta Calamina RAL F- 1640</t>
  </si>
  <si>
    <t>COMPRA GANCHOS  F-3422</t>
  </si>
  <si>
    <t>COMPRA CLAVOS DE CALAMINA F-1377</t>
  </si>
  <si>
    <t>COMPRA CLAVOS DE CALAMINA F-943</t>
  </si>
  <si>
    <t>Calamina Ondulada F- 1642</t>
  </si>
  <si>
    <t>VENTA CLAVOS DE CALAMINA F- 1642</t>
  </si>
  <si>
    <t>Calamina Ondulada F-1643</t>
  </si>
  <si>
    <t>Venta Ganchos J -50 F- 1643</t>
  </si>
  <si>
    <t>Venta Calamina WHITE GREY F- 1644</t>
  </si>
  <si>
    <t>Calamina Ondulada F-1645</t>
  </si>
  <si>
    <t>Calamina Ondulada F-1646</t>
  </si>
  <si>
    <t>Venta Ganchos J -60 F-1646</t>
  </si>
  <si>
    <t>Calamina Ondulada F-1647</t>
  </si>
  <si>
    <t>Calamina Ondulada F-1648</t>
  </si>
  <si>
    <t>Calamina Ondulada F-1649</t>
  </si>
  <si>
    <t>Calamina Ondulada F-1650</t>
  </si>
  <si>
    <t>Calamina Ondulada F-1651</t>
  </si>
  <si>
    <t>Venta Calamina Galvanizada F- 1652</t>
  </si>
  <si>
    <t>VENTA CLAVOS DE CALAMINA F- 1652</t>
  </si>
  <si>
    <t>VENTA CLAVOS DE CALAMINA F- 1653</t>
  </si>
  <si>
    <t>Calamina Ondulada F-1654</t>
  </si>
  <si>
    <t>Venta Ganchos J -50 F- 1654</t>
  </si>
  <si>
    <t>Calamina Ondulada F-1655</t>
  </si>
  <si>
    <t>Venta Calamina WHITE GREY F- 1656</t>
  </si>
  <si>
    <t>Calamina Ondulada F-1657</t>
  </si>
  <si>
    <t>Venta Calamina WHITE GREY F- 1658</t>
  </si>
  <si>
    <t>Venta Calamina RAL F- 1659</t>
  </si>
  <si>
    <t>Calamina Ondulada F-1660</t>
  </si>
  <si>
    <t>Venta Ganchos J -60 F-1661</t>
  </si>
  <si>
    <t>Venta Calamina RAL F- 1662</t>
  </si>
  <si>
    <t>Venta Calamina Galvanizada F- 1663</t>
  </si>
  <si>
    <t>Venta Ganchos J -60 F-1664</t>
  </si>
  <si>
    <t>Venta Calamina RAL F- 1665</t>
  </si>
  <si>
    <t>Venta Calamina RAL F- 1666</t>
  </si>
  <si>
    <t>Venta Calamina RAL F- 1667</t>
  </si>
  <si>
    <t>Venta Calamina WHITE GREY F- 1668</t>
  </si>
  <si>
    <t>Calamina Ondulada F-1669</t>
  </si>
  <si>
    <t>Calamina Ondulada F-1670</t>
  </si>
  <si>
    <t>Venta Ganchos J -50 F- 1670</t>
  </si>
  <si>
    <t>Calamina Ondulada F-1671</t>
  </si>
  <si>
    <t>Calamina Ondulada F-1672</t>
  </si>
  <si>
    <t>Calamina Ondulada F-1673</t>
  </si>
  <si>
    <t>Venta Calamina RAL F- 1674</t>
  </si>
  <si>
    <t>Venta Calamina RAL F- 1675</t>
  </si>
  <si>
    <t>Calamina Ondulada F-1676</t>
  </si>
  <si>
    <t>Venta Ganchos J -50 F- 1676</t>
  </si>
  <si>
    <t>Calamina Ondulada F-1677</t>
  </si>
  <si>
    <t>Venta Calamina RAL F- 1678</t>
  </si>
  <si>
    <t>Venta Ganchos J -50 F- 1678</t>
  </si>
  <si>
    <t>Calamina Ondulada F-1679</t>
  </si>
  <si>
    <t>Calamina Ondulada F-1680</t>
  </si>
  <si>
    <t>Venta Calamina WHITE GREY F- 1681</t>
  </si>
  <si>
    <t>Calamina Ondulada F-1682</t>
  </si>
  <si>
    <t>Venta Calamina RAL F- 1683</t>
  </si>
  <si>
    <t>Venta Calamina RAL F- 1684</t>
  </si>
  <si>
    <t>Calamina Ondulada F-1685</t>
  </si>
  <si>
    <t>Venta Calamina WHITE GREY F- 1686</t>
  </si>
  <si>
    <t>Venta Calamina RAL F- 1687</t>
  </si>
  <si>
    <t>Venta Calamina RAL F- 1688</t>
  </si>
  <si>
    <t>Venta Calamina RAL F- 1689</t>
  </si>
  <si>
    <t>Venta Calamina RAL F- 1690</t>
  </si>
  <si>
    <t>Venta Calamina Galvanizada F- 1691</t>
  </si>
  <si>
    <t>Calamina Ondulada F-1691</t>
  </si>
  <si>
    <t>Calamina Ondulada F-1692</t>
  </si>
  <si>
    <t>Calamina Ondulada F-1693</t>
  </si>
  <si>
    <t>ANULADO F-1694</t>
  </si>
  <si>
    <t>Calamina Ondulada F-1695</t>
  </si>
  <si>
    <t>VENTA CLAVOS DE CALAMINA F- 1695</t>
  </si>
  <si>
    <t>VENTA CLAVOS DE CALAMINA F- 1696</t>
  </si>
  <si>
    <t>Calamina Ondulada F-1696</t>
  </si>
  <si>
    <t>Venta Calamina Galvanizada F- 1696</t>
  </si>
  <si>
    <t>Venta Calamina RAL F- 1697</t>
  </si>
  <si>
    <t>Inv Inic gancho j-60</t>
  </si>
  <si>
    <t xml:space="preserve">inventario inicial </t>
  </si>
  <si>
    <t>Inv Inic gancho j-70</t>
  </si>
  <si>
    <t>COMPRA DUI2014301C17130</t>
  </si>
  <si>
    <t>Venta Calamina RAL F- 1698</t>
  </si>
  <si>
    <t>Venta Calamina RAL F- 1699</t>
  </si>
  <si>
    <t>Venta Calamina RAL F- 1700</t>
  </si>
  <si>
    <t>Venta Calamina WHITE GREY F- 1701</t>
  </si>
  <si>
    <t>Calamina Ondulada F-1702</t>
  </si>
  <si>
    <t>Venta Ganchos J -50 F- 1702</t>
  </si>
  <si>
    <t>Venta Calamina WHITE GREY F- 1703</t>
  </si>
  <si>
    <t>VENTA CLAVOS DE CALAMINA F- 1703</t>
  </si>
  <si>
    <t>Calamina Ondulada F-1703</t>
  </si>
  <si>
    <t>Venta Calamina WHITE GREY F- 1704</t>
  </si>
  <si>
    <t>VENTA CLAVOS DE CALAMINA F- 1704</t>
  </si>
  <si>
    <t>Venta Calamina Galvanizada F- 1705</t>
  </si>
  <si>
    <t>Venta Calamina RAL F- 1706</t>
  </si>
  <si>
    <t>Venta Calamina WHITE GREY F- 1707</t>
  </si>
  <si>
    <t>Venta Calamina RAL F- 1708</t>
  </si>
  <si>
    <t>Venta Calamina RAL F- 1709</t>
  </si>
  <si>
    <t>Venta Calamina RAL F- 1710</t>
  </si>
  <si>
    <t>Venta Calamina RAL F- 1711</t>
  </si>
  <si>
    <t>Venta Calamina RAL F- 1712</t>
  </si>
  <si>
    <t>ANULADO F-1713</t>
  </si>
  <si>
    <t>Venta Calamina RAL F- 1714</t>
  </si>
  <si>
    <t>Venta Calamina RAL F- 1715</t>
  </si>
  <si>
    <t>Venta Calamina RAL F- 1716</t>
  </si>
  <si>
    <t>Venta Calamina WHITE GREY F- 1717</t>
  </si>
  <si>
    <t xml:space="preserve">                Practicado al 31 de diciembre DE 2015</t>
  </si>
  <si>
    <t>Calamina Ondulada F-1718</t>
  </si>
  <si>
    <t>Venta Calamina RAL F- 1719</t>
  </si>
  <si>
    <t>Venta Calamina Galvanizada F- 1720</t>
  </si>
  <si>
    <t>Venta Calamina RAL F- 1721</t>
  </si>
  <si>
    <t>Venta Calamina RAL F- 1722</t>
  </si>
  <si>
    <t>Venta Calamina RAL F- 1723</t>
  </si>
  <si>
    <t>Calamina Ondulada F-1723</t>
  </si>
  <si>
    <t>Calamina Ondulada F-1724</t>
  </si>
  <si>
    <t>VENTA CLAVOS DE CALAMINA F- 1724</t>
  </si>
  <si>
    <t>Calamina Ondulada F-1725</t>
  </si>
  <si>
    <t>VENTA CLAVOS DE CALAMINA F- 1725</t>
  </si>
  <si>
    <t>Venta Calamina RAL F- 1726</t>
  </si>
  <si>
    <t>Calamina Ondulada F-1726</t>
  </si>
  <si>
    <t>Venta Calamina RAL F- 1727</t>
  </si>
  <si>
    <t>Calamina Ondulada F-1728</t>
  </si>
  <si>
    <t>Venta Calamina RAL F- 1729</t>
  </si>
  <si>
    <t>Venta Calamina RAL F- 1730</t>
  </si>
  <si>
    <t>Venta Calamina RAL F- 1731</t>
  </si>
  <si>
    <t>Venta Calamina RAL F- 1732</t>
  </si>
  <si>
    <t>Calamina Ondulada F-1733</t>
  </si>
  <si>
    <t>VENTA CLAVOS DE CALAMINA F- 1733</t>
  </si>
  <si>
    <t>Venta Calamina WHITE GREY F- 1734</t>
  </si>
  <si>
    <t>Venta Calamina RAL F- 1735</t>
  </si>
  <si>
    <t>Venta Calamina RAL F- 1736</t>
  </si>
  <si>
    <t>Venta Calamina RAL F- 1737</t>
  </si>
  <si>
    <t>Venta Calamina RAL F- 1738</t>
  </si>
  <si>
    <t>Venta Calamina RAL F- 1739</t>
  </si>
  <si>
    <t>Venta Calamina RAL F- 1740</t>
  </si>
  <si>
    <t>Venta Calamina Galvanizada F- 1741</t>
  </si>
  <si>
    <t>VENTA CLAVOS DE CALAMINA F- 1741</t>
  </si>
  <si>
    <t>Calamina Ondulada F-1742</t>
  </si>
  <si>
    <t>Calamina Ondulada F-1743</t>
  </si>
  <si>
    <t>VENTA CLAVOS DE CALAMINA F- 1744</t>
  </si>
  <si>
    <t>Venta Calamina Galvanizada F- 1744</t>
  </si>
  <si>
    <t>Venta Calamina RAL F- 1745</t>
  </si>
  <si>
    <t>Venta Ganchos J -70 F-1746</t>
  </si>
  <si>
    <t>Venta Calamina RAL F- 1747</t>
  </si>
  <si>
    <t>Venta Calamina RAL F- 1748</t>
  </si>
  <si>
    <t>Venta Calamina RAL F- 1749</t>
  </si>
  <si>
    <t>Venta Calamina RAL F- 1750</t>
  </si>
  <si>
    <t>Venta Calamina RAL F- 1751</t>
  </si>
  <si>
    <t>Venta Calamina RAL F- 1752</t>
  </si>
  <si>
    <t>Venta Calamina RAL F- 1753</t>
  </si>
  <si>
    <t>Venta Calamina RAL F- 1754</t>
  </si>
  <si>
    <t>Venta Calamina RAL F- 1755</t>
  </si>
  <si>
    <t>Venta Calamina RAL F- 1756</t>
  </si>
  <si>
    <t>Venta Calamina RAL F- 1757</t>
  </si>
  <si>
    <t>Venta Calamina RAL F- 1758</t>
  </si>
  <si>
    <t>Venta Calamina RAL F- 1759</t>
  </si>
  <si>
    <t>VENTA CLAVOS DE CALAMINA F- 1760</t>
  </si>
  <si>
    <t>Venta Calamina RAL F- 1761</t>
  </si>
  <si>
    <t>Venta Calamina RAL F- 1762</t>
  </si>
  <si>
    <t>Venta Calamina RAL F- 1763</t>
  </si>
  <si>
    <t>Venta Calamina RAL F- 1764</t>
  </si>
  <si>
    <t>VENTA CLAVOS DE CALAMINA F- 1765</t>
  </si>
  <si>
    <t>Venta Calamina RAL F- 1766</t>
  </si>
  <si>
    <t>Venta Calamina RAL F- 1767</t>
  </si>
  <si>
    <t>Venta Calamina RAL F- 1768</t>
  </si>
  <si>
    <t>Venta Calamina WHITE GREY F- 1769</t>
  </si>
  <si>
    <t>Venta Ganchos J -50 F- 1770</t>
  </si>
  <si>
    <t>Venta Calamina RAL F- 1771</t>
  </si>
  <si>
    <t>Venta Calamina RAL F- 1772</t>
  </si>
  <si>
    <t>Venta Calamina RAL F- 1773</t>
  </si>
  <si>
    <t>Venta Calamina RAL F- 1774</t>
  </si>
  <si>
    <t>Venta Calamina RAL F- 1775</t>
  </si>
  <si>
    <t>Venta Calamina RAL F- 1776</t>
  </si>
  <si>
    <t>Venta Calamina WHITE GREY F- 1777</t>
  </si>
  <si>
    <t>Venta Calamina Galvanizada F- 1778</t>
  </si>
  <si>
    <t>VENTA CLAVOS DE CALAMINA F- 1778</t>
  </si>
  <si>
    <t>Venta Calamina RAL F- 1779</t>
  </si>
  <si>
    <t>Venta Calamina WHITE GREY F- 1780</t>
  </si>
  <si>
    <t>Venta Calamina RAL F- 1781</t>
  </si>
  <si>
    <t>Venta Calamina Galvanizada F- 1783</t>
  </si>
  <si>
    <t>Venta Calamina RAL F- 1784</t>
  </si>
  <si>
    <t>Venta Calamina Galvanizada F- 1785</t>
  </si>
  <si>
    <t>Venta Calamina Galvanizada F- 1786</t>
  </si>
  <si>
    <t>Venta Calamina RAL F- 1787</t>
  </si>
  <si>
    <t>Venta Calamina Galvanizada F- 1788</t>
  </si>
  <si>
    <t>VENTA CLAVOS DE CALAMINA F- 1789</t>
  </si>
  <si>
    <t>VENTA CLAVOS DE CALAMINA F- 1782</t>
  </si>
  <si>
    <t>Venta Ganchos J -60 F-1790</t>
  </si>
  <si>
    <t>Venta Calamina Galvanizada F- 1791</t>
  </si>
  <si>
    <t>Venta Ganchos J -60 F-1792</t>
  </si>
  <si>
    <t>VENTA CLAVOS DE CALAMINA F- 1793</t>
  </si>
  <si>
    <t>VENTA CLAVOS DE CALAMINA F- 1794</t>
  </si>
  <si>
    <t>VENTA CLAVOS DE CALAMINA F- 1795</t>
  </si>
  <si>
    <t>VENTA CLAVOS DE CALAMINA F- 1796</t>
  </si>
  <si>
    <t>Venta Calamina RAL F- 1797</t>
  </si>
  <si>
    <t>VENTA CLAVOS DE CALAMINA F-1798</t>
  </si>
  <si>
    <t>Venta Calamina RAL F- 1799</t>
  </si>
  <si>
    <t>Venta Calamina RAL F- 1800</t>
  </si>
  <si>
    <t>Venta Calamina RAL F- 1801</t>
  </si>
  <si>
    <t>Venta Calamina RAL F- 1082</t>
  </si>
  <si>
    <t>VENTA CLAVOS DE CALAMINA F- 1803</t>
  </si>
  <si>
    <t>Venta Calamina RAL F- 1804</t>
  </si>
  <si>
    <t>Venta Calamina RAL F- 1805</t>
  </si>
  <si>
    <t>Venta Calamina RAL F- 1806</t>
  </si>
  <si>
    <t>Venta Ganchos J -60 F-1807</t>
  </si>
  <si>
    <t>VENTA CLAVOS DE CALAMINA F- 1808</t>
  </si>
  <si>
    <t>Venta Calamina RAL F- 1808</t>
  </si>
  <si>
    <t>Venta Calamina RAL F- 1809</t>
  </si>
  <si>
    <t>Venta Ganchos J -60 F-1809</t>
  </si>
  <si>
    <t>Venta Calamina WHITE GREY F- 1810</t>
  </si>
  <si>
    <t>Calamina Ondulada F-1811</t>
  </si>
  <si>
    <t>Calamina Ondulada F-1812</t>
  </si>
  <si>
    <t>Venta Calamina Galvanizada F- 1813</t>
  </si>
  <si>
    <t>VENTA CLAVOS DE CALAMINA F- 1814</t>
  </si>
  <si>
    <t>Venta Calamina WHITE GREY F- 1811</t>
  </si>
  <si>
    <t>Venta Calamina RAL F- 1816</t>
  </si>
  <si>
    <t>Venta Calamina RAL F- 1817</t>
  </si>
  <si>
    <t>Venta Calamina Galvanizada F- 1818</t>
  </si>
  <si>
    <t>Venta Calamina RAL F- 1819</t>
  </si>
  <si>
    <t>Venta Calamina RAL F- 1820</t>
  </si>
  <si>
    <t>Venta Ganchos J -50 F- 1821</t>
  </si>
  <si>
    <t>Venta Calamina RAL F- 1822</t>
  </si>
  <si>
    <t>Venta Calamina RAL F- 1823</t>
  </si>
  <si>
    <t>Venta Calamina Galvanizada F- 1824</t>
  </si>
  <si>
    <t>Venta Calamina Galvanizada F- 1825</t>
  </si>
  <si>
    <t>VENTA CLAVOS DE CALAMINA F- 1825</t>
  </si>
  <si>
    <t>Venta Calamina RAL F- 1826</t>
  </si>
  <si>
    <t>Venta Calamina WHITE GREY F- 1827</t>
  </si>
  <si>
    <t>VENTA CLAVOS DE CALAMINA F- 1827</t>
  </si>
  <si>
    <t>Venta Calamina RAL F- 1828</t>
  </si>
  <si>
    <t>Venta Calamina RAL F- 1829</t>
  </si>
  <si>
    <t>Venta Calamina RAL F- 1830</t>
  </si>
  <si>
    <t>Venta Calamina RAL F- 1831</t>
  </si>
  <si>
    <t>VENTA CLAVOS DE CALAMINA F- 1832</t>
  </si>
  <si>
    <t>VENTA CLAVOS DE CALAMINA F- 1833</t>
  </si>
  <si>
    <t>Venta Calamina RAL F- 1833</t>
  </si>
  <si>
    <t>Calamina Ondulada F-1833</t>
  </si>
  <si>
    <t>Venta Calamina RAL F- 1834</t>
  </si>
  <si>
    <t>Venta Calamina Galvanizada F- 1835</t>
  </si>
  <si>
    <t>VENTA CLAVOS DE CALAMINA F- 1835</t>
  </si>
  <si>
    <t>Venta Calamina RAL F- 1836</t>
  </si>
  <si>
    <t>Venta Calamina RAL F- 1837</t>
  </si>
  <si>
    <t>Venta Calamina RAL F- 1838</t>
  </si>
  <si>
    <t>Venta Calamina RAL F- 1839</t>
  </si>
  <si>
    <t>VENTA CLAVOS DE CALAMINA F- 1840</t>
  </si>
  <si>
    <t>Calamina Ondulada F-1840</t>
  </si>
  <si>
    <t>Venta Calamina RAL F- 1841</t>
  </si>
  <si>
    <t>Venta Calamina RAL F- 1842</t>
  </si>
  <si>
    <t>Venta Calamina RAL F- 1843</t>
  </si>
  <si>
    <t>VENTA CLAVOS DE CALAMINA F- 1844</t>
  </si>
  <si>
    <t>Calamina Ondulada F-1844</t>
  </si>
  <si>
    <t>Venta Calamina RAL F- 1845</t>
  </si>
  <si>
    <t>Venta Ganchos J -50 F- 1846</t>
  </si>
  <si>
    <t>Venta Calamina RAL F- 1847</t>
  </si>
  <si>
    <t>Venta Calamina RAL F- 1848</t>
  </si>
  <si>
    <t>Venta Calamina RAL F- 1849</t>
  </si>
  <si>
    <t>Calamina Ondulada F-1849</t>
  </si>
  <si>
    <t>VENTA CLAVOS DE CALAMINA F- 1849</t>
  </si>
  <si>
    <t>VENTA CLAVOS DE CALAMINA F- 1850</t>
  </si>
  <si>
    <t>Venta Calamina WHITE GREY F- 1850</t>
  </si>
  <si>
    <t>Compra Ganchos J-50  F- 3570</t>
  </si>
  <si>
    <t>Compra GANCHOS  F-3570</t>
  </si>
  <si>
    <t>Venta Calamina RAL F- 1851</t>
  </si>
  <si>
    <t>Venta Calamina RAL F- 2852</t>
  </si>
  <si>
    <t>Calamina Ondulada F-1852</t>
  </si>
  <si>
    <t>VENTA CLAVOS DE CALAMINA F- 1852</t>
  </si>
  <si>
    <t>Venta Calamina RAL F- 1853</t>
  </si>
  <si>
    <t>Venta Calamina WHITE GREY F- 1854</t>
  </si>
  <si>
    <t>Venta Calamina RAL F- 1855</t>
  </si>
  <si>
    <t>Mercaderia:Tirafondos 6.3*76.2c/gomas</t>
  </si>
  <si>
    <t>Unidad de Medida:Uds.</t>
  </si>
  <si>
    <t xml:space="preserve">                Practicado al 31 de diciembre de 2015</t>
  </si>
  <si>
    <t>Compra poliza c-33699</t>
  </si>
  <si>
    <t>Venta Calamina RAL F- 1857</t>
  </si>
  <si>
    <t>VENTA CLAVOS DE CALAMINA F- 1857</t>
  </si>
  <si>
    <t>Mercaderia:Tirafondos 6.3*63.5c/gomas</t>
  </si>
  <si>
    <t>Venta Calamina RAL F- 1858</t>
  </si>
  <si>
    <t>Venta tirafondos 63*76.2 c/gomas F-1856</t>
  </si>
  <si>
    <t>Venta tirafondos 63*63.5 c/gomas F-1857</t>
  </si>
  <si>
    <t>Venta tirafondos 63*76.2 c/gomasF-1858</t>
  </si>
  <si>
    <t>Venta Calamina RAL F- 1859</t>
  </si>
  <si>
    <t>Venta Calamina Galvanizada F- 1860</t>
  </si>
  <si>
    <t>Venta Calamina WHITE GREY F- 1861</t>
  </si>
  <si>
    <t>Venta Calamina Galvanizada F- 1862</t>
  </si>
  <si>
    <t>Venta Ganchos J -50 F- 1862</t>
  </si>
  <si>
    <t>Venta Calamina Galvanizada F- 1863</t>
  </si>
  <si>
    <t>VENTA CLAVOS DE CALAMINA F- 1865</t>
  </si>
  <si>
    <t>VENTA CLAVOS DE CALAMINA F- 1864</t>
  </si>
  <si>
    <t>Venta Calamina RAL F- 1866</t>
  </si>
  <si>
    <t>Venta tirafondos 63*76.2 c/gomasF-1866</t>
  </si>
  <si>
    <t>Calamina Ondulada F-1867</t>
  </si>
  <si>
    <t>Venta Calamina RAL F- 1868</t>
  </si>
  <si>
    <t>Venta Calamina RAL F- 1869</t>
  </si>
  <si>
    <t>Venta Calamina RAL F- 1870</t>
  </si>
  <si>
    <t>Venta tirafondos 63*63.5 c/gomas F-1871</t>
  </si>
  <si>
    <t>Venta tirafondos 63*76.2 c/gomasF-1872</t>
  </si>
  <si>
    <t>Venta Calamina RAL F- 1872</t>
  </si>
  <si>
    <t>VENTA CLAVOS DE CALAMINA F-1873</t>
  </si>
  <si>
    <t>Venta Calamina RAL F- 1874</t>
  </si>
  <si>
    <t>Venta Calamina RAL F- 1875</t>
  </si>
  <si>
    <t>Venta Calamina RAL F- 1876</t>
  </si>
  <si>
    <t>Venta tirafondos 63*76.2 c/gomasF-1877</t>
  </si>
  <si>
    <t>Venta Calamina RAL F- 1878</t>
  </si>
  <si>
    <t>Venta Calamina RAL F- 1879</t>
  </si>
  <si>
    <t>Venta tirafondos 63*76.2 c/gomasF-1880</t>
  </si>
  <si>
    <t>Venta Calamina RAL F- 1881</t>
  </si>
  <si>
    <t>Venta Calamina RAL F- 1882</t>
  </si>
  <si>
    <t>Venta Calamina Galvanizada F- 1883</t>
  </si>
  <si>
    <t>Venta Calamina RAL F- 1884</t>
  </si>
  <si>
    <t>Venta Ganchos J -50 F- 1885</t>
  </si>
  <si>
    <t>Venta tirafondos 63*63.5 c/gomas F-1886</t>
  </si>
  <si>
    <t>Venta Calamina RAL F- 1887</t>
  </si>
  <si>
    <t>Venta Ganchos J -50 F- 1887</t>
  </si>
  <si>
    <t>Venta Calamina RAL F- 1888</t>
  </si>
  <si>
    <t>Venta Calamina RAL F- 1889</t>
  </si>
  <si>
    <t>Venta Calamina RAL F- 1890</t>
  </si>
  <si>
    <t>Venta Calamina RAL F- 1891</t>
  </si>
  <si>
    <t>Venta tirafondos 63*76.2 c/gomasF-1891</t>
  </si>
  <si>
    <t>Venta tirafondos 63*63.5 c/gomas F-1892</t>
  </si>
  <si>
    <t>Venta Calamina RAL F- 1893</t>
  </si>
  <si>
    <t>Venta tirafondos 63*76.2 c/gomasF-1893</t>
  </si>
  <si>
    <t>Venta Calamina WHITE GREY F- 1894</t>
  </si>
  <si>
    <t>Venta Ganchos J -50 F- 1895</t>
  </si>
  <si>
    <t>Calamina Ondulada F-1896</t>
  </si>
  <si>
    <t>VENTA CLAVOS DE CALAMINA F- 1896</t>
  </si>
  <si>
    <t>Venta Calamina Galvanizada F- 1897</t>
  </si>
  <si>
    <t>Venta Calamina RAL F- 1898</t>
  </si>
  <si>
    <t>Venta Calamina WHITE GREY F- 1899</t>
  </si>
  <si>
    <t>Venta Calamina RAL F- 1900</t>
  </si>
  <si>
    <t>Venta Calamina RAL F- 1901</t>
  </si>
  <si>
    <t>Venta tirafondos 63*76.2 c/gomasF-1902</t>
  </si>
  <si>
    <t>Venta Calamina RAL F- 1903</t>
  </si>
  <si>
    <t>Venta Calamina RAL F- 1904</t>
  </si>
  <si>
    <t>Venta tirafondos 63*76.2 c/gomasF-1904</t>
  </si>
  <si>
    <t>Venta Calamina RAL F- 1905</t>
  </si>
  <si>
    <t>Venta Ganchos J -50 F- 1905</t>
  </si>
  <si>
    <t>Venta Calamina RAL F- 1906</t>
  </si>
  <si>
    <t>Venta Calamina Galvanizada F- 1907</t>
  </si>
  <si>
    <t>Venta Calamina RAL F- 1908</t>
  </si>
  <si>
    <t>Venta Calamina RAL F- 1909</t>
  </si>
  <si>
    <t>Venta tirafondos 63*76.2 c/gomasF-1910</t>
  </si>
  <si>
    <t>Venta Calamina RAL F- 1911</t>
  </si>
  <si>
    <t>Venta tirafondos 63*76.2 c/gomasF-1912</t>
  </si>
  <si>
    <t>Venta Calamina WHITE GREY F- 1913</t>
  </si>
  <si>
    <t>Venta Calamina RAL F- 1914</t>
  </si>
  <si>
    <t>Venta Calamina RAL F- 1915</t>
  </si>
  <si>
    <t>Venta Calamina Galvanizada F- 1916</t>
  </si>
  <si>
    <t>Venta Calamina RAL F- 1917</t>
  </si>
  <si>
    <t>Venta Calamina RAL F- 1918</t>
  </si>
  <si>
    <t>Venta Ganchos J -50 F- 1919</t>
  </si>
  <si>
    <t>Venta Ganchos J -50 F- 1920</t>
  </si>
  <si>
    <t>Venta Calamina RAL F- 1921</t>
  </si>
  <si>
    <t>Venta tirafondos 63*76.2 c/gomasF-1922</t>
  </si>
  <si>
    <t>Venta Calamina RAL F- 1923</t>
  </si>
  <si>
    <t xml:space="preserve">Venta Ganchos J -50 F-1924 </t>
  </si>
  <si>
    <t xml:space="preserve">Venta Calamina RAL F-1925 </t>
  </si>
  <si>
    <t>Venta Calamina Galvanizada F- 1926</t>
  </si>
  <si>
    <t>Calamina Ondulada F-1926</t>
  </si>
  <si>
    <t>Venta Ganchos J -60 F-1927</t>
  </si>
  <si>
    <t>Venta Calamina RAL F- 1928</t>
  </si>
  <si>
    <t>Venta tirafondos 63*76.2 c/gomasF-1928</t>
  </si>
  <si>
    <t>Venta Calamina RAL F- 1929</t>
  </si>
  <si>
    <t>Venta Calamina RAL F- 1930</t>
  </si>
  <si>
    <t>Venta tirafondos 63*76.2 c/gomasF-1930</t>
  </si>
  <si>
    <t>Venta Calamina RAL F- 1931</t>
  </si>
  <si>
    <t>Venta Calamina RAL F-1932</t>
  </si>
  <si>
    <t>Venta Calamina Galvanizada F- 1933</t>
  </si>
  <si>
    <t>Venta tirafondos 63*76.2 c/gomasF-1934</t>
  </si>
  <si>
    <t>Venta tirafondos 63*76.2 c/gomasF-1935</t>
  </si>
  <si>
    <t>Venta Calamina RAL F- 1935</t>
  </si>
  <si>
    <t>Venta Calamina RAL F- 1936</t>
  </si>
  <si>
    <t>Venta Calamina RAL F- 1937</t>
  </si>
  <si>
    <t>Venta tirafondos 63*76.2 c/gomasF-1937</t>
  </si>
  <si>
    <t>Venta Ganchos J -60 F-1938</t>
  </si>
  <si>
    <t>Venta Calamina RAL F- 1939</t>
  </si>
  <si>
    <t>Venta Calamina RAL F- 1940</t>
  </si>
  <si>
    <t>Venta Calamina RAL F- 1941</t>
  </si>
  <si>
    <t>Venta Calamina RAL F- 1942</t>
  </si>
  <si>
    <t>Venta tirafondos 63*76.2 c/gomasF-1943</t>
  </si>
  <si>
    <t>Venta Calamina WHITE GREY F- 1944</t>
  </si>
  <si>
    <t>Venta Ganchos J -60 F-1944</t>
  </si>
  <si>
    <t>Venta tirafondos 63*63.5 c/gomas F-1945</t>
  </si>
  <si>
    <t>Calamina Ondulada F-1946</t>
  </si>
  <si>
    <t>VENTA CLAVOS DE CALAMINA F- 1946</t>
  </si>
  <si>
    <t>Venta Calamina RAL F- 1947</t>
  </si>
  <si>
    <t>Calamina Ondulada F-1947</t>
  </si>
  <si>
    <t>Venta Calamina RAL F- 1948</t>
  </si>
  <si>
    <t>Venta Calamina RAL F- 1949</t>
  </si>
  <si>
    <t>Venta Calamina RAL F- 1950</t>
  </si>
  <si>
    <t>Venta tirafondos 63*76.2 c/gomasF-1950</t>
  </si>
  <si>
    <t>Venta Calamina RAL F- 1951</t>
  </si>
  <si>
    <t>Venta Calamina RAL F- 1952</t>
  </si>
  <si>
    <t>Venta tirafondos 63*76.2 c/gomasF-1952</t>
  </si>
  <si>
    <t>Venta Calamina RAL F- 1953</t>
  </si>
  <si>
    <t>Venta Calamina RAL F- 1954</t>
  </si>
  <si>
    <t>Venta tirafondos 63*76.2 c/gomasF-1954</t>
  </si>
  <si>
    <t>Venta Calamina RAL F- 1955</t>
  </si>
  <si>
    <t>Venta tirafondos 63*76.2 c/gomasF-1955</t>
  </si>
  <si>
    <t>Venta Calamina RAL F- 1956</t>
  </si>
  <si>
    <t>Venta Calamina RAL F- 1957</t>
  </si>
  <si>
    <t>Venta Calamina RAL F- 1958</t>
  </si>
  <si>
    <t>Venta Ganchos J -50 F- 1959</t>
  </si>
  <si>
    <t>Venta tirafondos 63*76.2 c/gomasF-1960</t>
  </si>
  <si>
    <t>Venta Calamina RAL F- 1961</t>
  </si>
  <si>
    <t>VENTA CLAVOS DE CALAMINA F- 1962</t>
  </si>
  <si>
    <t>Venta Calamina RAL F- 1963</t>
  </si>
  <si>
    <t>Venta Calamina WHITE GREY F- 1963</t>
  </si>
  <si>
    <t>Calamina Ondulada F-1963</t>
  </si>
  <si>
    <t>VENTA CLAVOS DE CALAMINA F- 1964</t>
  </si>
  <si>
    <t>VENTA CLAVOS DE CALAMINA F- 1965</t>
  </si>
  <si>
    <t>Venta Calamina RAL F- 1966</t>
  </si>
  <si>
    <t>Venta Calamina RAL F- 1967</t>
  </si>
  <si>
    <t>Venta Calamina RAL F- 1968</t>
  </si>
  <si>
    <t>VENTA CLAVOS DE CALAMINA F- 1968</t>
  </si>
  <si>
    <t>Venta Calamina RAL F- 1969</t>
  </si>
  <si>
    <t>Venta Calamina RAL F- 1970</t>
  </si>
  <si>
    <t>Venta tirafondos 63*76.2 c/gomasF-1970</t>
  </si>
  <si>
    <t>Venta Calamina RAL F- 1971</t>
  </si>
  <si>
    <t>Venta Calamina RAL F- 1972</t>
  </si>
  <si>
    <t>Venta Calamina RAL F- 1973</t>
  </si>
  <si>
    <t>Venta Calamina RAL F- 1974</t>
  </si>
  <si>
    <t>Venta Calamina RAL F- 1975</t>
  </si>
  <si>
    <t>Venta tirafondos 63*76.2 c/gomasF-1975</t>
  </si>
  <si>
    <t>Venta Calamina RAL F- 1976</t>
  </si>
  <si>
    <t>Venta tirafondos 63*76.2 c/gomasF-1976</t>
  </si>
  <si>
    <t>Venta Calamina RAL F- 1977</t>
  </si>
  <si>
    <t>Venta tirafondos 63*76.2 c/gomasF-1977</t>
  </si>
  <si>
    <t>Venta Calamina RAL F- 1978</t>
  </si>
  <si>
    <t>VENTA CLAVOS DE CALAMINA F- 1979</t>
  </si>
  <si>
    <t>Venta Calamina RAL F- 1980</t>
  </si>
  <si>
    <t>Venta Ganchos J -60 F-1980</t>
  </si>
  <si>
    <t>ANULADO F- 1981</t>
  </si>
  <si>
    <t>Venta Calamina RAL F- 1982</t>
  </si>
  <si>
    <t>Venta Calamina Galvanizada F- 1983</t>
  </si>
  <si>
    <t>VENTA CLAVOS DE CALAMINA F- 1984</t>
  </si>
  <si>
    <t>Venta tirafondos 63*76.2 c/gomasF-1985</t>
  </si>
  <si>
    <t>Venta Calamina RAL F- 1986</t>
  </si>
  <si>
    <t>Venta Calamina WHITE GREY F- 1987</t>
  </si>
  <si>
    <t>Venta Calamina RAL F- 1988</t>
  </si>
  <si>
    <t>Venta tirafondos 63*76.2 c/gomasF-1988</t>
  </si>
  <si>
    <t>Venta Calamina Galvanizada F- 1989</t>
  </si>
  <si>
    <t>Venta tirafondos 63*76.2 c/gomasF-1990</t>
  </si>
  <si>
    <t>Venta Calamina RAL F- 1991</t>
  </si>
  <si>
    <t>Venta tirafondos 63*76.2 c/gomasF-1991</t>
  </si>
  <si>
    <t>Venta tirafondos 63*76.2 c/gomasF-1992</t>
  </si>
  <si>
    <t>Venta Calamina RAL F- 1993</t>
  </si>
  <si>
    <t>Venta Calamina RAL F- 1994</t>
  </si>
  <si>
    <t>Venta Calamina WHITE GREY F- 1995</t>
  </si>
  <si>
    <t>Venta Calamina WHITE GREY F- 1996</t>
  </si>
  <si>
    <t>Venta Calamina RAL F- 1997</t>
  </si>
  <si>
    <t>Venta tirafondos 63*76.2 c/gomasF-1997</t>
  </si>
  <si>
    <t>Venta tirafondos 63*76.2 c/gomasF-1998</t>
  </si>
  <si>
    <t>Venta Ganchos J -50 F- 1999</t>
  </si>
  <si>
    <t>Venta tirafondos 63*76.2 c/gomasF-2000</t>
  </si>
  <si>
    <t>Venta Calamina RAL F- 2001</t>
  </si>
  <si>
    <t>Venta tirafondos 63*76.2 c/gomasF-2002</t>
  </si>
  <si>
    <t>VENTA CLAVOS DE CALAMINA F- 2003</t>
  </si>
  <si>
    <t>Venta Calamina RAL F- 2004</t>
  </si>
  <si>
    <t>Venta tirafondos 63*76.2 c/gomasF-2004</t>
  </si>
  <si>
    <t>Venta Calamina RAL F- 2005</t>
  </si>
  <si>
    <t>Venta tirafondos 63*63.5 c/gomas F-2006</t>
  </si>
  <si>
    <t>Venta Calamina RAL F- 2007</t>
  </si>
  <si>
    <t>Venta tirafondos 63*76.2 c/gomasF-2007</t>
  </si>
  <si>
    <t>Venta Calamina Galvanizada F- 2009</t>
  </si>
  <si>
    <t>Venta Calamina RAL F- 2010</t>
  </si>
  <si>
    <t>Venta tirafondos 63*76.2 c/gomasF-2010</t>
  </si>
  <si>
    <t>Venta Calamina RAL F- 2011</t>
  </si>
  <si>
    <t>Venta Calamina RAL F- 2012</t>
  </si>
  <si>
    <t>Venta Calamina RAL F- 2013</t>
  </si>
  <si>
    <t>Venta Calamina RAL F- 2014</t>
  </si>
  <si>
    <t>Venta tirafondos 63*76.2 c/gomasF-2014</t>
  </si>
  <si>
    <t>Venta Calamina RAL F- 2015</t>
  </si>
  <si>
    <t>Venta Calamina Galvanizada F- 2015</t>
  </si>
  <si>
    <t>Venta Ganchos J -60 F-2015</t>
  </si>
  <si>
    <t>VENTA CLAVOS DE CALAMINA F- 2015</t>
  </si>
  <si>
    <t>Calamina Ondulada F-2016</t>
  </si>
  <si>
    <t>Venta Calamina RAL F- 2017</t>
  </si>
  <si>
    <t>Venta tirafondos 63*63.5 c/gomas F-2018</t>
  </si>
  <si>
    <t>Venta Calamina RAL F- 2019</t>
  </si>
  <si>
    <t>Venta tirafondos 63*76.2 c/gomasF-2019</t>
  </si>
  <si>
    <t>Venta Calamina RAL F- 2020</t>
  </si>
  <si>
    <t>Venta tirafondos 63*76.2 c/gomasF-2020</t>
  </si>
  <si>
    <t>Venta tirafondos 63*76.2 c/gomasF-2021</t>
  </si>
  <si>
    <t>Venta Calamina RAL F- 2021</t>
  </si>
  <si>
    <t>VENTA CLAVOS DE CALAMINA F- 2022</t>
  </si>
  <si>
    <t>Venta Ganchos J -50 F- 2023</t>
  </si>
  <si>
    <t>Venta Calamina RAL F- 2024</t>
  </si>
  <si>
    <t>Venta Calamina RAL F- 2025</t>
  </si>
  <si>
    <t>Venta tirafondos 63*76.2 c/gomasF-2025</t>
  </si>
  <si>
    <t>Venta Calamina RAL F- 2026</t>
  </si>
  <si>
    <t>VENTA CLAVOS DE CALAMINA F- 2027</t>
  </si>
  <si>
    <t>Venta tirafondos 63*76.2 c/gomasF-2028</t>
  </si>
  <si>
    <t>Venta tirafondos 63*76.2 c/gomasF-2029</t>
  </si>
  <si>
    <t>Venta Ganchos J -50 F- 2030</t>
  </si>
  <si>
    <t>Venta tirafondos 63*76.2 c/gomasF-2031</t>
  </si>
  <si>
    <t>Venta Calamina RAL F- 2032</t>
  </si>
  <si>
    <t>Venta Calamina RAL F- 2033</t>
  </si>
  <si>
    <t>Venta tirafondos 63*76.2 c/gomasF-2033</t>
  </si>
  <si>
    <t>Venta Calamina RAL F- 2034</t>
  </si>
  <si>
    <t>Venta tirafondos 63*76.2 c/gomasF-2034</t>
  </si>
  <si>
    <t>Venta Calamina Galvanizada F- 2035</t>
  </si>
  <si>
    <t>VENTA CLAVOS DE CALAMINA F- 2036</t>
  </si>
  <si>
    <t>Venta Calamina WHITE GREY F- 2037</t>
  </si>
  <si>
    <t>VENTA CLAVOS DE CALAMINA F- 2038</t>
  </si>
  <si>
    <t>Venta tirafondos 63*63.5 c/gomas F-2039</t>
  </si>
  <si>
    <t>Venta Calamina RAL F- 2040</t>
  </si>
  <si>
    <t>Venta Calamina RAL F- 2041</t>
  </si>
  <si>
    <t>Venta Ganchos J -50 F- 2042</t>
  </si>
  <si>
    <t>Venta Calamina RAL F- 2043</t>
  </si>
  <si>
    <t>Venta Calamina RAL F- 2044</t>
  </si>
  <si>
    <t>Venta tirafondos 63*76.2 c/gomasF-2044</t>
  </si>
  <si>
    <t>Venta Calamina RAL F- 2045</t>
  </si>
  <si>
    <t>VENTA CLAVOS DE CALAMINA F- 2046</t>
  </si>
  <si>
    <t>Venta Calamina RAL F- 2047</t>
  </si>
  <si>
    <t>Venta Calamina RAL F- 2049</t>
  </si>
  <si>
    <t>Venta Calamina RAL F- 2050</t>
  </si>
  <si>
    <t xml:space="preserve">                Practicado al 31 de diciembre DEL 2015</t>
  </si>
  <si>
    <t xml:space="preserve">                Practicado al 31 diciembre 2015</t>
  </si>
  <si>
    <t>Venta Ganchos J -60 F-2051</t>
  </si>
  <si>
    <t>Venta tirafondos 63*63.5 c/gomas F-2052</t>
  </si>
  <si>
    <t>Venta tirafondos 63*76.2 c/gomasF-2053</t>
  </si>
  <si>
    <t>Venta Calamina RAL F- 2054</t>
  </si>
  <si>
    <t>Venta tirafondos 63*63.5 c/gomas F-2055</t>
  </si>
  <si>
    <t>Venta Calamina RAL F- 2056</t>
  </si>
  <si>
    <t>Venta Calamina  Blue F- 2057</t>
  </si>
  <si>
    <t>Venta Ganchos J -60 F-2057</t>
  </si>
  <si>
    <t>Venta Calamina RAL F- 2058</t>
  </si>
  <si>
    <t>Venta tirafondos 63*76.2 c/gomasF-2058</t>
  </si>
  <si>
    <t>Venta Calamina RAL F- 2059</t>
  </si>
  <si>
    <t>Venta Calamina RAL F- 2060</t>
  </si>
  <si>
    <t>VENTA CLAVOS DE CALAMINA F- 2060</t>
  </si>
  <si>
    <t>Venta Ganchos J -60 F-2061</t>
  </si>
  <si>
    <t>VENTA CLAVOS DE CALAMINA F- 2062</t>
  </si>
  <si>
    <t>Venta Ganchos J -60 F-2063</t>
  </si>
  <si>
    <t>Venta Calamina Galvanizada F- 2064</t>
  </si>
  <si>
    <t>Venta Calamina RAL F- 2065</t>
  </si>
  <si>
    <t>Venta Calamina RAL F- 2066</t>
  </si>
  <si>
    <t>Venta tirafondos 63*63.5 c/gomas F-2066</t>
  </si>
  <si>
    <t>Calamina Ondulada F-2067</t>
  </si>
  <si>
    <t>VENTA CLAVOS DE CALAMINA F- 2068</t>
  </si>
  <si>
    <t>Venta Calamina RAL F- 2069</t>
  </si>
  <si>
    <t>Venta Calamina RAL F- 2070</t>
  </si>
  <si>
    <t>Venta Calamina RAL F- 2071</t>
  </si>
  <si>
    <t>Venta Calamina RAL F- 2072</t>
  </si>
  <si>
    <t>Venta Calamina RAL F- 2073</t>
  </si>
  <si>
    <t>Venta Calamina RAL F- 2074</t>
  </si>
  <si>
    <t>Venta Calamina RAL F- 2075</t>
  </si>
  <si>
    <t>Venta tirafondos 63*76.2 c/gomasF-2075</t>
  </si>
  <si>
    <t>Venta Calamina RAL F- 2076</t>
  </si>
  <si>
    <t>Venta Calamina RAL F- 2077</t>
  </si>
  <si>
    <t>Venta tirafondos 63*76.2 c/gomasF-2077</t>
  </si>
  <si>
    <t>Venta Calamina RAL F- 2078</t>
  </si>
  <si>
    <t>Venta tirafondos 63*63.5 c/gomas F-2079</t>
  </si>
  <si>
    <t>Venta Calamina RAL F- 2080</t>
  </si>
  <si>
    <t>Calamina Ondulada F-2081</t>
  </si>
  <si>
    <t>VENTA CLAVOS DE CALAMINA F- 2082</t>
  </si>
  <si>
    <t>Venta Calamina RAL F- 2083</t>
  </si>
  <si>
    <t>Venta Calamina RAL F- 2084</t>
  </si>
  <si>
    <t>Venta tirafondos 63*76.2 c/gomasF-2084</t>
  </si>
  <si>
    <t>Venta Calamina RAL F- 2085</t>
  </si>
  <si>
    <t>VENTA CLAVOS DE CALAMINA F- 2086</t>
  </si>
  <si>
    <t>Venta Calamina  Blue F- 2087</t>
  </si>
  <si>
    <t>Venta Calamina RAL F- 2088</t>
  </si>
  <si>
    <t>Venta tirafondos 63*76.2 c/gomasF-2088</t>
  </si>
  <si>
    <t>Venta Ganchos J -50 F- 2089</t>
  </si>
  <si>
    <t>Venta tirafondos 63*76.2 c/gomasF-2090</t>
  </si>
  <si>
    <t>Venta Calamina RAL F- 2091</t>
  </si>
  <si>
    <t>Venta Ganchos J -50 F- 2092</t>
  </si>
  <si>
    <t>Compra Ganchos J-50  F- 825</t>
  </si>
  <si>
    <t>Anulado  F-2008</t>
  </si>
  <si>
    <t>Venta tirafondos 63*63.5 c/gomas F-2048</t>
  </si>
  <si>
    <t>Venta Calamina RAL F- 2081</t>
  </si>
  <si>
    <t>Venta Calamina Galvanizada F- 2086</t>
  </si>
  <si>
    <t>Venta Calamina RAL F- 2093</t>
  </si>
  <si>
    <t>Venta Calamina RAL F- 2094</t>
  </si>
  <si>
    <t>Venta Calamina RAL F- 2095</t>
  </si>
  <si>
    <t>Venta Calamina RAL F- 2096</t>
  </si>
  <si>
    <t>Venta Calamina RAL F- 2097</t>
  </si>
  <si>
    <t>Venta Calamina RAL F- 2098</t>
  </si>
  <si>
    <t>Venta Calamina RAL F- 2099</t>
  </si>
  <si>
    <t>Venta Calamina Galvanizada F- 2100</t>
  </si>
  <si>
    <t>Venta Calamina RAL F- 2101</t>
  </si>
  <si>
    <t>VENTA CLAVOS DE CALAMINA F- 2102</t>
  </si>
  <si>
    <t>Venta Calamina RAL F- 2103</t>
  </si>
  <si>
    <t>Venta Calamina RAL F- 2104</t>
  </si>
  <si>
    <t>VENTA CLAVOS DE CALAMINA F- 2105</t>
  </si>
  <si>
    <t>Venta Calamina RAL F- 2106</t>
  </si>
  <si>
    <t>VENTA CLAVOS DE CALAMINA F- 2107</t>
  </si>
  <si>
    <t>Venta tirafondos 63*76.2 c/gomasF-2107</t>
  </si>
  <si>
    <t>Venta tirafondos 63*76.2 c/gomasF-2108</t>
  </si>
  <si>
    <t>Venta Calamina RAL F- 2109</t>
  </si>
  <si>
    <t>Venta tirafondos 63*76.2 c/gomasF-2109</t>
  </si>
  <si>
    <t>Venta tirafondos 63*76.2 c/gomasF-2110</t>
  </si>
  <si>
    <t>Venta Calamina RAL F- 2110</t>
  </si>
  <si>
    <t>Venta Calamina  Blue F- 2111</t>
  </si>
  <si>
    <t>Venta Calamina RAL F- 2112</t>
  </si>
  <si>
    <t>VENTA CLAVOS DE CALAMINA F- 2113</t>
  </si>
  <si>
    <t>Venta tirafondos 63*76.2 c/gomasF-2114</t>
  </si>
  <si>
    <t>Venta Calamina RAL F- 2115</t>
  </si>
  <si>
    <t>Venta tirafondos 63*76.2 c/gomasF-2116</t>
  </si>
  <si>
    <t>Venta Calamina RAL F- 2117</t>
  </si>
  <si>
    <t>Venta Calamina RAL F- 2118</t>
  </si>
  <si>
    <t>Venta tirafondos 63*76.2 c/gomasF-2118</t>
  </si>
  <si>
    <t>Venta Calamina RAL F- 2119</t>
  </si>
  <si>
    <t>Venta tirafondos 63*76.2 c/gomasF-2119</t>
  </si>
  <si>
    <t>Venta Calamina RAL F- 2120</t>
  </si>
  <si>
    <t>Calamina Ondulada F-2121</t>
  </si>
  <si>
    <t>VENTA CLAVOS DE CALAMINA F- 2122</t>
  </si>
  <si>
    <t>Venta tirafondos 63*63.5 c/gomas F-2123</t>
  </si>
  <si>
    <t>VENTA CLAVOS DE CALAMINA F- 2124</t>
  </si>
  <si>
    <t>VENTA CLAVOS DE CALAMINA F- 2125</t>
  </si>
  <si>
    <t>Venta Calamina RAL F- 2126</t>
  </si>
  <si>
    <t>VENTA CLAVOS DE CALAMINA F- 2127</t>
  </si>
  <si>
    <t>Venta Calamina RAL F- 2128</t>
  </si>
  <si>
    <t>Venta tirafondos 63*76.2 c/gomasF-2128</t>
  </si>
  <si>
    <t>Venta Calamina RAL F- 2129</t>
  </si>
  <si>
    <t>ANULADO F- 2130</t>
  </si>
  <si>
    <t>Venta Calamina RAL F- 2131</t>
  </si>
  <si>
    <t>Venta Calamina Galvanizada F- 2132</t>
  </si>
  <si>
    <t>VENTA CLAVOS DE CALAMINA F- 2133</t>
  </si>
  <si>
    <t>Venta Calamina RAL F- 2134</t>
  </si>
  <si>
    <t>Venta Calamina RAL F- 2135</t>
  </si>
  <si>
    <t>Venta Calamina RAL F- 2136</t>
  </si>
  <si>
    <t>Venta Calamina Galvanizada F- 2137</t>
  </si>
  <si>
    <t>Calamina Ondulada F-2138</t>
  </si>
  <si>
    <t>VENTA CLAVOS DE CALAMINA F- 2138</t>
  </si>
  <si>
    <t>Venta tirafondos 63*63.5 c/gomas F-2139</t>
  </si>
  <si>
    <t>Venta Calamina RAL F- 2140</t>
  </si>
  <si>
    <t>Venta tirafondos 63*63.5 c/gomas F-2140</t>
  </si>
  <si>
    <t>Calamina Ondulada F-2141</t>
  </si>
  <si>
    <t>Venta Calamina Galvanizada F- 2141</t>
  </si>
  <si>
    <t>VENTA CLAVOS DE CALAMINA F- 2141</t>
  </si>
  <si>
    <t>Venta Calamina RAL F- 2142</t>
  </si>
  <si>
    <t>Venta Calamina Galvanizada F- 2143</t>
  </si>
  <si>
    <t>VENTA CLAVOS DE CALAMINA F- 2143</t>
  </si>
  <si>
    <t>Calamina Ondulada F-2144</t>
  </si>
  <si>
    <t>Venta Calamina RAL F- 2145</t>
  </si>
  <si>
    <t>VENTA CLAVOS DE CALAMINA F- 2146</t>
  </si>
  <si>
    <t>ANULADO  F- 2147</t>
  </si>
  <si>
    <t>Venta Calamina RAL F- 2148</t>
  </si>
  <si>
    <t>Calamina Ondulada F-2149</t>
  </si>
  <si>
    <t>Venta tirafondos 63*76.2 c/gomasF-2150</t>
  </si>
  <si>
    <t>Venta tirafondos 63*63.5 c/gomas F-2151</t>
  </si>
  <si>
    <t>Venta Calamina RAL F- 2152</t>
  </si>
  <si>
    <t>VENTA CLAVOS DE CALAMINA F- 2153</t>
  </si>
  <si>
    <t>Venta Calamina RAL F- 2154</t>
  </si>
  <si>
    <t>Venta tirafondos 63*76.2 c/gomasF-2154</t>
  </si>
  <si>
    <t>Venta tirafondos 63*76.2 c/gomasF-2155</t>
  </si>
  <si>
    <t>Venta tirafondos 63*76.2 c/gomasF-2156</t>
  </si>
  <si>
    <t>Venta Calamina RAL F- 2157</t>
  </si>
  <si>
    <t>Venta Calamina RAL F- 2158</t>
  </si>
  <si>
    <t>Venta Calamina RAL F- 2159</t>
  </si>
  <si>
    <t>Venta tirafondos 63*76.2 c/gomasF-2159</t>
  </si>
  <si>
    <t>VENTA CLAVOS DE CALAMINA F- 2160</t>
  </si>
  <si>
    <t>VENTA CLAVOS DE CALAMINA F- 2161</t>
  </si>
  <si>
    <t>VENTA CLAVOS DE CALAMINA F- 2162</t>
  </si>
  <si>
    <t>Venta tirafondos 63*76.2 c/gomasF-2163</t>
  </si>
  <si>
    <t>Venta tirafondos 63*76.2 c/gomasF-2164</t>
  </si>
  <si>
    <t>Venta tirafondos 63*76.2 c/gomasF-2165</t>
  </si>
  <si>
    <t>Venta Calamina RAL F- 2166</t>
  </si>
  <si>
    <t>Venta Calamina RAL F- 2167</t>
  </si>
  <si>
    <t>Venta tirafondos 63*76.2 c/gomasF-2167</t>
  </si>
  <si>
    <t>Venta Calamina RAL F- 2168</t>
  </si>
  <si>
    <t>Venta tirafondos 63*76.2 c/gomasF-2168</t>
  </si>
  <si>
    <t>VENTA CLAVOS DE CALAMINA F- 2169</t>
  </si>
  <si>
    <t>VENTA CLAVOS DE CALAMINA F- 2170</t>
  </si>
  <si>
    <t>VENTA CLAVOS DE CALAMINA F- 2171</t>
  </si>
  <si>
    <t>VENTA CLAVOS DE CALAMINA F- 2172</t>
  </si>
  <si>
    <t>Venta Calamina RAL F- 2173</t>
  </si>
  <si>
    <t>Venta tirafondos 63*76.2 c/gomasF-2174</t>
  </si>
  <si>
    <t>Venta tirafondos 63*76.2 c/gomasF-2175</t>
  </si>
  <si>
    <t>Venta Calamina RAL F- 2176</t>
  </si>
  <si>
    <t>Venta Calamina RAL F- 2177</t>
  </si>
  <si>
    <t>VENTA CLAVOS DE CALAMINA F- 2178</t>
  </si>
  <si>
    <t>Venta Calamina  Blue F- 2179</t>
  </si>
  <si>
    <t>Venta tirafondos 63*76.2 c/gomasF-2180</t>
  </si>
  <si>
    <t>ANULADO F- 2181</t>
  </si>
  <si>
    <t>VENTA CLAVOS DE CALAMINA F- 2182</t>
  </si>
  <si>
    <t>Venta Calamina RAL F- 2183</t>
  </si>
  <si>
    <t>Venta tirafondos 63*76.2 c/gomasF-2184</t>
  </si>
  <si>
    <t>Venta tirafondos 63*76.2 c/gomasF-2185</t>
  </si>
  <si>
    <t>Venta tirafondos 63*76.2 c/gomasF-2186</t>
  </si>
  <si>
    <t>Venta tirafondos 63*76.2 c/gomasF-2187</t>
  </si>
  <si>
    <t>Venta Calamina RAL F- 2188</t>
  </si>
  <si>
    <t>Venta Calamina RAL F- 2189</t>
  </si>
  <si>
    <t>Venta tirafondos 63*63.5 c/gomas F-2189</t>
  </si>
  <si>
    <t>Venta tirafondos 63*76.2 c/gomasF-2190</t>
  </si>
  <si>
    <t>Venta tirafondos 63*63.5 c/gomas F-2191</t>
  </si>
  <si>
    <t>Venta tirafondos 63*63.5 c/gomas F-2192</t>
  </si>
  <si>
    <t>Venta tirafondos 63*76.2 c/gomasF-2193</t>
  </si>
  <si>
    <t>VENTA CLAVOS DE CALAMINA F- 2194</t>
  </si>
  <si>
    <t>Venta Calamina RAL F- 2195</t>
  </si>
  <si>
    <t>VENTA CLAVOS DE CALAMINA F- 2196</t>
  </si>
  <si>
    <t>Venta Calamina RAL F- 2197</t>
  </si>
  <si>
    <t>Venta tirafondos 63*76.2 c/gomasF-2198</t>
  </si>
  <si>
    <t>Venta Calamina RAL F- 2199</t>
  </si>
  <si>
    <t>Venta Calamina Galvanizada F-2200</t>
  </si>
  <si>
    <t>Venta Calamina RAL F- 2201</t>
  </si>
  <si>
    <t>VENTA CLAVOS DE CALAMINA F- 2203</t>
  </si>
  <si>
    <t>Venta tirafondos 63*76.2 c/gomasF-2204</t>
  </si>
  <si>
    <t>Venta Calamina RAL F- 2205</t>
  </si>
  <si>
    <t>Venta Calamina RAL F- 2206</t>
  </si>
  <si>
    <t>Venta Calamina RAL F- 2207</t>
  </si>
  <si>
    <t>Venta tirafondos 63*76.2 c/gomasF-2207</t>
  </si>
  <si>
    <t>Venta Calamina WHITE GREY F- 2208</t>
  </si>
  <si>
    <t>Calamina Ondulada F-2208</t>
  </si>
  <si>
    <t>Venta tirafondos 63*63.5 c/gomas F-2209</t>
  </si>
  <si>
    <t>ANULADO F- 2210</t>
  </si>
  <si>
    <t>Venta Calamina WHITE GREY F- 2211</t>
  </si>
  <si>
    <t>Venta Calamina Galvanizada F- 2212</t>
  </si>
  <si>
    <t>Venta Calamina RAL F- 2213</t>
  </si>
  <si>
    <t>Venta Calamina RAL F- 2214</t>
  </si>
  <si>
    <t>Venta tirafondos 63*76.2 c/gomasF-2214</t>
  </si>
  <si>
    <t>Venta tirafondos 63*63.5 c/gomas F-2215</t>
  </si>
  <si>
    <t>Venta tirafondos 63*76.2 c/gomasF-2216</t>
  </si>
  <si>
    <t>Venta tirafondos 63*76.2 c/gomasF-2217</t>
  </si>
  <si>
    <t>VENTA CLAVOS DE CALAMINA F- 2202</t>
  </si>
  <si>
    <t>Venta Calamina Galvanizada F- 2218</t>
  </si>
  <si>
    <t>Venta tirafondos 63*76.2 c/gomasF-2219</t>
  </si>
  <si>
    <t>Calamina Ondulada F-2220</t>
  </si>
  <si>
    <t>Venta tirafondos 63*76.2 c/gomasF- 2221</t>
  </si>
  <si>
    <t>VENTA CLAVOS DE CALAMINA F- 2222</t>
  </si>
  <si>
    <t>VENTA CLAVOS DE CALAMINA F- 2223</t>
  </si>
  <si>
    <t>Calamina Ondulada F-2224</t>
  </si>
  <si>
    <t>VENTA CLAVOS DE CALAMINA F- 2225</t>
  </si>
  <si>
    <t>Venta Calamina Galvanizada F- 2226</t>
  </si>
  <si>
    <t>Venta tirafondos 63*76.2 c/gomasF-2227</t>
  </si>
  <si>
    <t>VENTA CLAVOS DE CALAMINA F- 2228</t>
  </si>
  <si>
    <t>Venta Calamina RAL F- 2229</t>
  </si>
  <si>
    <t>Venta Calamina RAL F- 2230</t>
  </si>
  <si>
    <t>Calamina Ondulada F-2231</t>
  </si>
  <si>
    <t>Venta tirafondos 63*76.2 c/gomasF-2232</t>
  </si>
  <si>
    <t>Venta tirafondos 63*76.2 c/gomasF-2233</t>
  </si>
  <si>
    <t>Venta tirafondos 63*76.2 c/gomasF-2234</t>
  </si>
  <si>
    <t>Venta tirafondos 63*76.2 c/gomasF-2235</t>
  </si>
  <si>
    <t>Venta tirafondos 63*76.2 c/gomasF-2236</t>
  </si>
  <si>
    <t>VENTA CLAVOS DE CALAMINA F- 2237</t>
  </si>
  <si>
    <t>Venta Calamina  Blue F- 2238</t>
  </si>
  <si>
    <t>Venta tirafondos 63*76.2 c/gomasF-2239</t>
  </si>
  <si>
    <t>Venta tirafondos 63*76.2 c/gomasF-2240</t>
  </si>
  <si>
    <t>Venta Calamina RAL F- 2241</t>
  </si>
  <si>
    <t>Venta Calamina WHITE GREY F- 2242</t>
  </si>
  <si>
    <t>VENTA CLAVOS DE CALAMINA F- 2242</t>
  </si>
  <si>
    <t>VENTA CLAVOS DE CALAMINA F- 2243</t>
  </si>
  <si>
    <t>VENTA CLAVOS DE CALAMINA F- 2244</t>
  </si>
  <si>
    <t>Venta tirafondos 63*76.2 c/gomasF-2244</t>
  </si>
  <si>
    <t>Venta tirafondos 63*76.2 c/gomasF-2245</t>
  </si>
  <si>
    <t>Venta tirafondos 63*76.2 c/gomasF-2246</t>
  </si>
  <si>
    <t>Venta tirafondos 63*76.2 c/gomasF-2247</t>
  </si>
  <si>
    <t>VENTA CLAVOS DE CALAMINA F- 2248</t>
  </si>
  <si>
    <t>Venta Calamina RAL F- 2248</t>
  </si>
  <si>
    <t>Venta tirafondos 63*76.2 c/gomasF-2249</t>
  </si>
  <si>
    <t>31/09/2015</t>
  </si>
  <si>
    <t>Compra DUI 2015422 C-17951</t>
  </si>
  <si>
    <t>Venta tirafondos 63*63.5 c/gomas F-2250</t>
  </si>
  <si>
    <t>Venta tirafondos 63*63.5 c/gomas F-2251</t>
  </si>
  <si>
    <t>Venta tirafondos 63*63.5 c/gomas F-2253</t>
  </si>
  <si>
    <t>VENTA CLAVOS DE CALAMINA F- 2253</t>
  </si>
  <si>
    <t>VENTA CLAVOS DE CALAMINA F- 2254</t>
  </si>
  <si>
    <t>Venta Calamina  Blue F- 2254</t>
  </si>
  <si>
    <t>VENTA CLAVOS DE CALAMINA F- 2255</t>
  </si>
  <si>
    <t>Venta Calamina RAL F- 2256</t>
  </si>
  <si>
    <t>Venta Calamina RAL F- 2257</t>
  </si>
  <si>
    <t>Calamina Ondulada F-2258</t>
  </si>
  <si>
    <t>Venta tirafondos 63*63.5 c/gomas F-2259</t>
  </si>
  <si>
    <t>Calamina Ondulada F-2260</t>
  </si>
  <si>
    <t>VENTA CLAVOS DE CALAMINA F- 2261</t>
  </si>
  <si>
    <t>Venta Calamina  Blue F- 2262</t>
  </si>
  <si>
    <t>Venta tirafondos 63*63.5 c/gomas F-2263</t>
  </si>
  <si>
    <t>Venta Calamina WHITE GREY F- 2264</t>
  </si>
  <si>
    <t>Venta tirafondos 63*76.2 c/gomasF-2265</t>
  </si>
  <si>
    <t>VENTA CLAVOS DE CALAMINA F- 2266</t>
  </si>
  <si>
    <t>Venta tirafondos 63*76.2 c/gomasF-2267</t>
  </si>
  <si>
    <t>Venta Calamina RAL F- 2269</t>
  </si>
  <si>
    <t>Venta tirafondos 63*76.2 c/gomasF-2269</t>
  </si>
  <si>
    <t>Calamina Ondulada F-2270</t>
  </si>
  <si>
    <t>Calamina Ondulada F-2271</t>
  </si>
  <si>
    <t>VENTA CLAVOS DE CALAMINA F- 2268</t>
  </si>
  <si>
    <t>VENTA CLAVOS DE CALAMINA F- 2271</t>
  </si>
  <si>
    <t>Calamina Ondulada F-2272</t>
  </si>
  <si>
    <t>VENTA CLAVOS DE CALAMINA F- 2273</t>
  </si>
  <si>
    <t>Calamina Ondulada F-2274</t>
  </si>
  <si>
    <t>Venta tirafondos 63*63.5 c/gomas F-2274</t>
  </si>
  <si>
    <t>Venta tirafondos 63*63.5 c/gomas F-2275</t>
  </si>
  <si>
    <t>Venta tirafondos 63*76.2 c/gomasF-2276</t>
  </si>
  <si>
    <t>Venta tirafondos 63*76.2 c/gomasF-2277</t>
  </si>
  <si>
    <t>Calamina Ondulada F-2278</t>
  </si>
  <si>
    <t>Calamina Ondulada F-2279</t>
  </si>
  <si>
    <t>Venta Calamina WHITE GREY F- 2280</t>
  </si>
  <si>
    <t>Calamina Ondulada F-2281</t>
  </si>
  <si>
    <t>Calamina Ondulada F-2282</t>
  </si>
  <si>
    <t>ANULADO F-2283</t>
  </si>
  <si>
    <t>Venta tirafondos 63*76.2 c/gomasF-2284</t>
  </si>
  <si>
    <t>Calamina Ondulada F-2285</t>
  </si>
  <si>
    <t>Calamina Ondulada F-2286</t>
  </si>
  <si>
    <t>VENTA CLAVOS DE CALAMINA F- 2286</t>
  </si>
  <si>
    <t>Venta tirafondos 63*76.2 c/gomasF-2287</t>
  </si>
  <si>
    <t>Calamina Ondulada F-2288</t>
  </si>
  <si>
    <t>Mercaderia:Ganchos j-70</t>
  </si>
  <si>
    <t>Unidad de Medida:Unidades</t>
  </si>
  <si>
    <t>Mercaderia:Planchas para calaminas WHITE GREY Nº28</t>
  </si>
  <si>
    <t>Mercaderia:Planchas para calaminas RAL Nº26</t>
  </si>
  <si>
    <t>Mercaderia:Clavos para calamina</t>
  </si>
  <si>
    <t>Unidad de Medida:Kilogramos</t>
  </si>
  <si>
    <t>Mercaderia:Ganchos J-60</t>
  </si>
  <si>
    <t>Mercaderia:Ganchos J-50</t>
  </si>
  <si>
    <t>Mercaderia:Planchas para calaminas Nº28 0.35mm</t>
  </si>
  <si>
    <t>Mercaderia:Planchas Cortadas Nº28 de 0,35mm</t>
  </si>
  <si>
    <t>INVENTARIO INICIAL Clavos Calamina</t>
  </si>
  <si>
    <t>VALORACIÓN INVENTARIO FINAL, PERCIO DE LAS FACTURAS DE COMPRAS (ULTIMAS COMPRAS) Art..9 del D.S. 24051</t>
  </si>
  <si>
    <t>INVENTARIO FINAL AL COSTO HISTORICO</t>
  </si>
  <si>
    <t>AJUSTE</t>
  </si>
  <si>
    <t>VALORACIÓN INVENTARIO FINAL, PRECIO DE LAS FACTURAS DE COMPRAS (ULTIMAS COMPRAS) Art..9 del D.S. 24051</t>
  </si>
  <si>
    <t>INVENTARIO FINAL AL 31/12/2015</t>
  </si>
  <si>
    <t>TOTAL</t>
  </si>
  <si>
    <t>Mercaderia:Juntas de goma</t>
  </si>
  <si>
    <t>Compra poliza C-58442</t>
  </si>
  <si>
    <t>COMPRA CLAVOS DE CALAMINA F-1292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</si>
</sst>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6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8"/>
      <color rgb="FFFF0000"/>
      <name val="Arial"/>
      <family val="2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3">
    <xf numFmtId="0" fontId="0" fillId="0" borderId="0" xfId="0"/>
    <xf numFmtId="4" fontId="9" fillId="2" borderId="1" xfId="0" applyNumberFormat="1" applyFont="1" applyFill="1" applyBorder="1" applyAlignment="1">
      <alignment horizontal="right"/>
    </xf>
    <xf numFmtId="2" fontId="11" fillId="0" borderId="1" xfId="0" applyNumberFormat="1" applyFont="1" applyBorder="1"/>
    <xf numFmtId="4" fontId="10" fillId="2" borderId="1" xfId="0" applyNumberFormat="1" applyFont="1" applyFill="1" applyBorder="1"/>
    <xf numFmtId="0" fontId="10" fillId="2" borderId="1" xfId="0" applyFont="1" applyFill="1" applyBorder="1"/>
    <xf numFmtId="0" fontId="11" fillId="0" borderId="0" xfId="0" applyFont="1" applyBorder="1"/>
    <xf numFmtId="0" fontId="9" fillId="0" borderId="0" xfId="0" applyFont="1" applyBorder="1"/>
    <xf numFmtId="0" fontId="5" fillId="0" borderId="0" xfId="0" applyFont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3" fontId="5" fillId="2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4" fontId="5" fillId="2" borderId="4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4" xfId="0" applyFont="1" applyFill="1" applyBorder="1"/>
    <xf numFmtId="2" fontId="9" fillId="0" borderId="1" xfId="0" applyNumberFormat="1" applyFont="1" applyBorder="1"/>
    <xf numFmtId="2" fontId="0" fillId="2" borderId="0" xfId="0" applyNumberFormat="1" applyFill="1"/>
    <xf numFmtId="2" fontId="0" fillId="0" borderId="0" xfId="0" applyNumberFormat="1" applyBorder="1"/>
    <xf numFmtId="0" fontId="0" fillId="0" borderId="7" xfId="0" applyBorder="1"/>
    <xf numFmtId="0" fontId="0" fillId="0" borderId="15" xfId="0" applyBorder="1"/>
    <xf numFmtId="0" fontId="0" fillId="0" borderId="11" xfId="0" applyBorder="1"/>
    <xf numFmtId="0" fontId="0" fillId="0" borderId="17" xfId="0" applyBorder="1"/>
    <xf numFmtId="0" fontId="0" fillId="0" borderId="4" xfId="0" applyBorder="1"/>
    <xf numFmtId="0" fontId="0" fillId="0" borderId="8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14" fontId="0" fillId="0" borderId="14" xfId="0" applyNumberFormat="1" applyBorder="1"/>
    <xf numFmtId="2" fontId="0" fillId="0" borderId="1" xfId="0" applyNumberFormat="1" applyBorder="1"/>
    <xf numFmtId="2" fontId="0" fillId="0" borderId="10" xfId="0" applyNumberFormat="1" applyBorder="1"/>
    <xf numFmtId="4" fontId="9" fillId="0" borderId="1" xfId="0" applyNumberFormat="1" applyFont="1" applyBorder="1" applyAlignment="1">
      <alignment horizontal="right"/>
    </xf>
    <xf numFmtId="4" fontId="9" fillId="0" borderId="1" xfId="0" applyNumberFormat="1" applyFont="1" applyBorder="1"/>
    <xf numFmtId="0" fontId="0" fillId="0" borderId="0" xfId="0"/>
    <xf numFmtId="0" fontId="0" fillId="0" borderId="5" xfId="0" applyBorder="1"/>
    <xf numFmtId="0" fontId="3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0" fillId="0" borderId="0" xfId="0" applyBorder="1"/>
    <xf numFmtId="0" fontId="3" fillId="0" borderId="0" xfId="0" applyFont="1" applyBorder="1"/>
    <xf numFmtId="0" fontId="6" fillId="0" borderId="6" xfId="0" applyFont="1" applyBorder="1"/>
    <xf numFmtId="0" fontId="6" fillId="0" borderId="0" xfId="0" applyFont="1" applyBorder="1"/>
    <xf numFmtId="0" fontId="0" fillId="0" borderId="6" xfId="0" applyBorder="1"/>
    <xf numFmtId="0" fontId="8" fillId="0" borderId="0" xfId="0" applyFont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0" fillId="0" borderId="1" xfId="0" applyFont="1" applyBorder="1"/>
    <xf numFmtId="0" fontId="9" fillId="0" borderId="1" xfId="0" applyFont="1" applyFill="1" applyBorder="1"/>
    <xf numFmtId="0" fontId="9" fillId="2" borderId="1" xfId="0" applyFont="1" applyFill="1" applyBorder="1"/>
    <xf numFmtId="2" fontId="9" fillId="2" borderId="1" xfId="0" applyNumberFormat="1" applyFont="1" applyFill="1" applyBorder="1"/>
    <xf numFmtId="0" fontId="9" fillId="0" borderId="1" xfId="0" applyFont="1" applyBorder="1"/>
    <xf numFmtId="0" fontId="12" fillId="0" borderId="4" xfId="0" applyFont="1" applyBorder="1"/>
    <xf numFmtId="0" fontId="0" fillId="0" borderId="1" xfId="0" applyBorder="1"/>
    <xf numFmtId="0" fontId="11" fillId="0" borderId="1" xfId="0" applyFont="1" applyBorder="1"/>
    <xf numFmtId="2" fontId="0" fillId="0" borderId="0" xfId="0" applyNumberFormat="1"/>
    <xf numFmtId="4" fontId="9" fillId="2" borderId="1" xfId="0" applyNumberFormat="1" applyFont="1" applyFill="1" applyBorder="1"/>
    <xf numFmtId="4" fontId="10" fillId="0" borderId="1" xfId="0" applyNumberFormat="1" applyFont="1" applyBorder="1"/>
    <xf numFmtId="14" fontId="9" fillId="0" borderId="1" xfId="0" applyNumberFormat="1" applyFont="1" applyBorder="1"/>
    <xf numFmtId="14" fontId="11" fillId="0" borderId="1" xfId="0" applyNumberFormat="1" applyFont="1" applyBorder="1"/>
    <xf numFmtId="0" fontId="11" fillId="0" borderId="0" xfId="0" applyFont="1"/>
    <xf numFmtId="0" fontId="15" fillId="0" borderId="1" xfId="0" applyFont="1" applyBorder="1"/>
    <xf numFmtId="2" fontId="9" fillId="0" borderId="1" xfId="0" applyNumberFormat="1" applyFont="1" applyFill="1" applyBorder="1"/>
    <xf numFmtId="0" fontId="9" fillId="0" borderId="4" xfId="0" applyFont="1" applyBorder="1"/>
    <xf numFmtId="2" fontId="9" fillId="0" borderId="1" xfId="2" applyNumberFormat="1" applyFont="1" applyBorder="1"/>
    <xf numFmtId="2" fontId="9" fillId="0" borderId="1" xfId="2" applyNumberFormat="1" applyFont="1" applyBorder="1" applyAlignment="1">
      <alignment horizontal="right" vertical="center" wrapText="1"/>
    </xf>
    <xf numFmtId="2" fontId="10" fillId="0" borderId="1" xfId="2" applyNumberFormat="1" applyFont="1" applyBorder="1"/>
    <xf numFmtId="2" fontId="10" fillId="0" borderId="1" xfId="0" applyNumberFormat="1" applyFont="1" applyBorder="1"/>
    <xf numFmtId="2" fontId="9" fillId="0" borderId="1" xfId="2" applyNumberFormat="1" applyFont="1" applyFill="1" applyBorder="1"/>
    <xf numFmtId="2" fontId="9" fillId="0" borderId="1" xfId="2" applyNumberFormat="1" applyFont="1" applyBorder="1" applyAlignment="1">
      <alignment horizontal="right"/>
    </xf>
    <xf numFmtId="2" fontId="11" fillId="0" borderId="0" xfId="0" applyNumberFormat="1" applyFont="1"/>
    <xf numFmtId="4" fontId="9" fillId="0" borderId="1" xfId="0" applyNumberFormat="1" applyFont="1" applyFill="1" applyBorder="1"/>
    <xf numFmtId="4" fontId="9" fillId="0" borderId="1" xfId="0" applyNumberFormat="1" applyFont="1" applyBorder="1" applyAlignment="1">
      <alignment horizontal="right" wrapText="1"/>
    </xf>
    <xf numFmtId="4" fontId="11" fillId="0" borderId="1" xfId="0" applyNumberFormat="1" applyFont="1" applyBorder="1"/>
    <xf numFmtId="2" fontId="9" fillId="0" borderId="1" xfId="0" applyNumberFormat="1" applyFont="1" applyBorder="1" applyAlignment="1">
      <alignment horizontal="right" vertical="center" wrapText="1"/>
    </xf>
    <xf numFmtId="2" fontId="10" fillId="2" borderId="1" xfId="0" applyNumberFormat="1" applyFont="1" applyFill="1" applyBorder="1"/>
    <xf numFmtId="2" fontId="9" fillId="2" borderId="1" xfId="0" applyNumberFormat="1" applyFont="1" applyFill="1" applyBorder="1" applyAlignment="1">
      <alignment horizontal="right"/>
    </xf>
    <xf numFmtId="0" fontId="0" fillId="0" borderId="0" xfId="0" applyFill="1"/>
    <xf numFmtId="0" fontId="10" fillId="0" borderId="1" xfId="0" applyFont="1" applyFill="1" applyBorder="1"/>
    <xf numFmtId="4" fontId="9" fillId="0" borderId="1" xfId="0" applyNumberFormat="1" applyFont="1" applyFill="1" applyBorder="1" applyAlignment="1">
      <alignment horizontal="right"/>
    </xf>
    <xf numFmtId="2" fontId="11" fillId="0" borderId="1" xfId="0" applyNumberFormat="1" applyFont="1" applyFill="1" applyBorder="1"/>
    <xf numFmtId="0" fontId="14" fillId="0" borderId="1" xfId="0" applyFont="1" applyBorder="1"/>
    <xf numFmtId="2" fontId="15" fillId="0" borderId="1" xfId="0" applyNumberFormat="1" applyFont="1" applyBorder="1"/>
    <xf numFmtId="2" fontId="14" fillId="0" borderId="1" xfId="0" applyNumberFormat="1" applyFont="1" applyBorder="1"/>
    <xf numFmtId="0" fontId="2" fillId="0" borderId="0" xfId="0" applyFont="1"/>
    <xf numFmtId="2" fontId="9" fillId="0" borderId="1" xfId="0" applyNumberFormat="1" applyFont="1" applyBorder="1" applyAlignment="1">
      <alignment horizontal="right"/>
    </xf>
    <xf numFmtId="2" fontId="9" fillId="0" borderId="1" xfId="0" applyNumberFormat="1" applyFont="1" applyFill="1" applyBorder="1" applyAlignment="1">
      <alignment horizontal="right"/>
    </xf>
    <xf numFmtId="2" fontId="9" fillId="0" borderId="1" xfId="0" applyNumberFormat="1" applyFont="1" applyFill="1" applyBorder="1" applyAlignment="1"/>
    <xf numFmtId="2" fontId="0" fillId="0" borderId="1" xfId="0" applyNumberFormat="1" applyFill="1" applyBorder="1"/>
    <xf numFmtId="0" fontId="15" fillId="0" borderId="0" xfId="0" applyFont="1"/>
    <xf numFmtId="2" fontId="15" fillId="0" borderId="0" xfId="0" applyNumberFormat="1" applyFont="1"/>
    <xf numFmtId="14" fontId="16" fillId="0" borderId="1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0" fontId="16" fillId="0" borderId="0" xfId="0" applyFont="1" applyBorder="1"/>
    <xf numFmtId="0" fontId="17" fillId="0" borderId="0" xfId="0" applyFont="1"/>
    <xf numFmtId="2" fontId="15" fillId="0" borderId="0" xfId="0" applyNumberFormat="1" applyFont="1" applyBorder="1"/>
    <xf numFmtId="0" fontId="14" fillId="0" borderId="1" xfId="0" applyFont="1" applyFill="1" applyBorder="1"/>
    <xf numFmtId="2" fontId="15" fillId="0" borderId="0" xfId="0" applyNumberFormat="1" applyFont="1" applyFill="1"/>
    <xf numFmtId="14" fontId="0" fillId="0" borderId="0" xfId="0" applyNumberFormat="1" applyBorder="1"/>
    <xf numFmtId="0" fontId="5" fillId="0" borderId="20" xfId="0" applyFont="1" applyBorder="1"/>
    <xf numFmtId="0" fontId="5" fillId="0" borderId="22" xfId="0" applyFont="1" applyBorder="1"/>
    <xf numFmtId="0" fontId="5" fillId="0" borderId="23" xfId="0" applyFont="1" applyBorder="1"/>
    <xf numFmtId="0" fontId="6" fillId="0" borderId="23" xfId="0" applyFont="1" applyBorder="1"/>
    <xf numFmtId="0" fontId="0" fillId="0" borderId="23" xfId="0" applyBorder="1"/>
    <xf numFmtId="2" fontId="0" fillId="2" borderId="0" xfId="0" applyNumberFormat="1" applyFill="1" applyBorder="1"/>
    <xf numFmtId="14" fontId="9" fillId="0" borderId="0" xfId="0" applyNumberFormat="1" applyFont="1" applyBorder="1"/>
    <xf numFmtId="2" fontId="10" fillId="0" borderId="0" xfId="0" applyNumberFormat="1" applyFont="1" applyBorder="1"/>
    <xf numFmtId="2" fontId="9" fillId="0" borderId="0" xfId="0" applyNumberFormat="1" applyFont="1" applyFill="1" applyBorder="1"/>
    <xf numFmtId="2" fontId="9" fillId="0" borderId="0" xfId="0" applyNumberFormat="1" applyFont="1" applyBorder="1" applyAlignment="1">
      <alignment horizontal="right"/>
    </xf>
    <xf numFmtId="2" fontId="12" fillId="0" borderId="0" xfId="0" applyNumberFormat="1" applyFont="1" applyBorder="1"/>
    <xf numFmtId="2" fontId="13" fillId="0" borderId="0" xfId="0" applyNumberFormat="1" applyFont="1" applyBorder="1"/>
    <xf numFmtId="2" fontId="9" fillId="0" borderId="0" xfId="0" applyNumberFormat="1" applyFont="1" applyBorder="1"/>
    <xf numFmtId="0" fontId="12" fillId="0" borderId="0" xfId="0" applyFont="1" applyBorder="1"/>
    <xf numFmtId="0" fontId="11" fillId="0" borderId="23" xfId="0" applyFont="1" applyBorder="1"/>
    <xf numFmtId="14" fontId="9" fillId="0" borderId="4" xfId="0" applyNumberFormat="1" applyFont="1" applyBorder="1"/>
    <xf numFmtId="14" fontId="9" fillId="0" borderId="4" xfId="0" applyNumberFormat="1" applyFont="1" applyFill="1" applyBorder="1"/>
    <xf numFmtId="0" fontId="9" fillId="2" borderId="0" xfId="0" applyFont="1" applyFill="1" applyBorder="1"/>
    <xf numFmtId="2" fontId="9" fillId="2" borderId="0" xfId="0" applyNumberFormat="1" applyFont="1" applyFill="1" applyBorder="1" applyAlignment="1">
      <alignment horizontal="right"/>
    </xf>
    <xf numFmtId="2" fontId="9" fillId="2" borderId="0" xfId="0" applyNumberFormat="1" applyFont="1" applyFill="1" applyBorder="1"/>
    <xf numFmtId="2" fontId="10" fillId="2" borderId="0" xfId="0" applyNumberFormat="1" applyFont="1" applyFill="1" applyBorder="1"/>
    <xf numFmtId="14" fontId="9" fillId="2" borderId="1" xfId="0" applyNumberFormat="1" applyFont="1" applyFill="1" applyBorder="1"/>
    <xf numFmtId="2" fontId="11" fillId="0" borderId="0" xfId="0" applyNumberFormat="1" applyFont="1" applyBorder="1"/>
    <xf numFmtId="2" fontId="9" fillId="0" borderId="0" xfId="2" applyNumberFormat="1" applyFont="1" applyBorder="1" applyAlignment="1">
      <alignment horizontal="right"/>
    </xf>
    <xf numFmtId="2" fontId="9" fillId="0" borderId="0" xfId="2" applyNumberFormat="1" applyFont="1" applyBorder="1"/>
    <xf numFmtId="2" fontId="10" fillId="0" borderId="0" xfId="2" applyNumberFormat="1" applyFont="1" applyBorder="1"/>
    <xf numFmtId="2" fontId="9" fillId="0" borderId="4" xfId="0" applyNumberFormat="1" applyFont="1" applyBorder="1"/>
    <xf numFmtId="14" fontId="11" fillId="0" borderId="0" xfId="0" applyNumberFormat="1" applyFont="1" applyBorder="1"/>
    <xf numFmtId="0" fontId="10" fillId="0" borderId="0" xfId="0" applyFont="1" applyBorder="1"/>
    <xf numFmtId="0" fontId="11" fillId="0" borderId="22" xfId="0" applyFont="1" applyBorder="1"/>
    <xf numFmtId="0" fontId="9" fillId="0" borderId="22" xfId="0" applyFont="1" applyBorder="1"/>
    <xf numFmtId="0" fontId="10" fillId="0" borderId="12" xfId="0" applyFont="1" applyBorder="1"/>
    <xf numFmtId="0" fontId="10" fillId="0" borderId="21" xfId="0" applyFont="1" applyBorder="1"/>
    <xf numFmtId="14" fontId="9" fillId="0" borderId="1" xfId="0" applyNumberFormat="1" applyFont="1" applyFill="1" applyBorder="1"/>
    <xf numFmtId="14" fontId="9" fillId="2" borderId="0" xfId="0" applyNumberFormat="1" applyFont="1" applyFill="1" applyBorder="1"/>
    <xf numFmtId="0" fontId="10" fillId="2" borderId="0" xfId="0" applyFont="1" applyFill="1" applyBorder="1"/>
    <xf numFmtId="4" fontId="9" fillId="2" borderId="0" xfId="0" applyNumberFormat="1" applyFont="1" applyFill="1" applyBorder="1" applyAlignment="1">
      <alignment horizontal="right"/>
    </xf>
    <xf numFmtId="2" fontId="12" fillId="2" borderId="0" xfId="0" applyNumberFormat="1" applyFont="1" applyFill="1" applyBorder="1"/>
    <xf numFmtId="0" fontId="13" fillId="2" borderId="0" xfId="0" applyFont="1" applyFill="1" applyBorder="1"/>
    <xf numFmtId="4" fontId="9" fillId="2" borderId="0" xfId="0" applyNumberFormat="1" applyFont="1" applyFill="1" applyBorder="1"/>
    <xf numFmtId="4" fontId="10" fillId="2" borderId="0" xfId="0" applyNumberFormat="1" applyFont="1" applyFill="1" applyBorder="1"/>
    <xf numFmtId="0" fontId="12" fillId="2" borderId="0" xfId="0" applyFont="1" applyFill="1" applyBorder="1"/>
    <xf numFmtId="14" fontId="9" fillId="2" borderId="4" xfId="0" applyNumberFormat="1" applyFont="1" applyFill="1" applyBorder="1"/>
    <xf numFmtId="4" fontId="10" fillId="0" borderId="0" xfId="0" applyNumberFormat="1" applyFont="1" applyBorder="1"/>
    <xf numFmtId="4" fontId="9" fillId="0" borderId="0" xfId="0" applyNumberFormat="1" applyFont="1" applyFill="1" applyBorder="1"/>
    <xf numFmtId="4" fontId="9" fillId="0" borderId="0" xfId="0" applyNumberFormat="1" applyFont="1" applyBorder="1" applyAlignment="1">
      <alignment horizontal="right"/>
    </xf>
    <xf numFmtId="4" fontId="9" fillId="0" borderId="0" xfId="0" applyNumberFormat="1" applyFont="1" applyBorder="1"/>
    <xf numFmtId="4" fontId="11" fillId="0" borderId="0" xfId="0" applyNumberFormat="1" applyFont="1" applyBorder="1"/>
    <xf numFmtId="0" fontId="14" fillId="0" borderId="11" xfId="0" applyFont="1" applyBorder="1"/>
    <xf numFmtId="14" fontId="16" fillId="0" borderId="23" xfId="0" applyNumberFormat="1" applyFont="1" applyBorder="1"/>
    <xf numFmtId="0" fontId="9" fillId="0" borderId="11" xfId="0" applyFont="1" applyBorder="1"/>
    <xf numFmtId="4" fontId="9" fillId="0" borderId="11" xfId="0" applyNumberFormat="1" applyFont="1" applyBorder="1"/>
    <xf numFmtId="4" fontId="9" fillId="0" borderId="11" xfId="0" applyNumberFormat="1" applyFont="1" applyFill="1" applyBorder="1"/>
    <xf numFmtId="4" fontId="9" fillId="0" borderId="11" xfId="0" applyNumberFormat="1" applyFont="1" applyBorder="1" applyAlignment="1">
      <alignment horizontal="right"/>
    </xf>
    <xf numFmtId="4" fontId="9" fillId="2" borderId="11" xfId="0" applyNumberFormat="1" applyFont="1" applyFill="1" applyBorder="1"/>
    <xf numFmtId="14" fontId="16" fillId="0" borderId="1" xfId="0" applyNumberFormat="1" applyFont="1" applyFill="1" applyBorder="1"/>
    <xf numFmtId="0" fontId="16" fillId="0" borderId="1" xfId="0" applyFont="1" applyFill="1" applyBorder="1"/>
    <xf numFmtId="2" fontId="16" fillId="0" borderId="1" xfId="0" applyNumberFormat="1" applyFont="1" applyFill="1" applyBorder="1"/>
    <xf numFmtId="2" fontId="16" fillId="0" borderId="3" xfId="0" applyNumberFormat="1" applyFont="1" applyBorder="1"/>
    <xf numFmtId="2" fontId="16" fillId="0" borderId="0" xfId="0" applyNumberFormat="1" applyFont="1" applyBorder="1"/>
    <xf numFmtId="0" fontId="14" fillId="2" borderId="1" xfId="0" applyFont="1" applyFill="1" applyBorder="1"/>
    <xf numFmtId="4" fontId="15" fillId="0" borderId="0" xfId="0" applyNumberFormat="1" applyFont="1"/>
    <xf numFmtId="14" fontId="15" fillId="0" borderId="0" xfId="0" applyNumberFormat="1" applyFont="1"/>
    <xf numFmtId="4" fontId="11" fillId="0" borderId="0" xfId="0" applyNumberFormat="1" applyFont="1"/>
    <xf numFmtId="4" fontId="11" fillId="0" borderId="18" xfId="0" applyNumberFormat="1" applyFont="1" applyBorder="1"/>
    <xf numFmtId="4" fontId="15" fillId="0" borderId="18" xfId="0" applyNumberFormat="1" applyFont="1" applyBorder="1"/>
    <xf numFmtId="2" fontId="11" fillId="0" borderId="24" xfId="0" applyNumberFormat="1" applyFont="1" applyBorder="1"/>
    <xf numFmtId="0" fontId="11" fillId="0" borderId="0" xfId="0" applyFont="1" applyFill="1"/>
    <xf numFmtId="14" fontId="15" fillId="0" borderId="0" xfId="0" applyNumberFormat="1" applyFont="1" applyFill="1"/>
    <xf numFmtId="2" fontId="15" fillId="0" borderId="18" xfId="0" applyNumberFormat="1" applyFont="1" applyBorder="1"/>
    <xf numFmtId="4" fontId="11" fillId="0" borderId="24" xfId="0" applyNumberFormat="1" applyFont="1" applyBorder="1"/>
    <xf numFmtId="14" fontId="16" fillId="0" borderId="0" xfId="0" applyNumberFormat="1" applyFont="1" applyFill="1" applyBorder="1"/>
    <xf numFmtId="0" fontId="16" fillId="0" borderId="0" xfId="0" applyFont="1" applyFill="1" applyBorder="1"/>
    <xf numFmtId="2" fontId="16" fillId="0" borderId="0" xfId="0" applyNumberFormat="1" applyFont="1" applyFill="1" applyBorder="1"/>
    <xf numFmtId="0" fontId="11" fillId="0" borderId="12" xfId="0" applyFont="1" applyBorder="1"/>
    <xf numFmtId="0" fontId="11" fillId="0" borderId="21" xfId="0" applyFont="1" applyBorder="1"/>
    <xf numFmtId="0" fontId="11" fillId="0" borderId="20" xfId="0" applyFont="1" applyBorder="1"/>
    <xf numFmtId="0" fontId="11" fillId="0" borderId="11" xfId="0" applyFont="1" applyBorder="1"/>
    <xf numFmtId="0" fontId="11" fillId="0" borderId="8" xfId="0" applyFont="1" applyBorder="1"/>
    <xf numFmtId="0" fontId="11" fillId="0" borderId="4" xfId="0" applyFont="1" applyBorder="1"/>
    <xf numFmtId="0" fontId="11" fillId="0" borderId="18" xfId="0" applyFont="1" applyBorder="1"/>
    <xf numFmtId="0" fontId="11" fillId="0" borderId="9" xfId="0" applyFont="1" applyBorder="1"/>
    <xf numFmtId="2" fontId="15" fillId="0" borderId="18" xfId="0" applyNumberFormat="1" applyFont="1" applyFill="1" applyBorder="1"/>
    <xf numFmtId="2" fontId="15" fillId="0" borderId="24" xfId="0" applyNumberFormat="1" applyFont="1" applyFill="1" applyBorder="1"/>
    <xf numFmtId="2" fontId="11" fillId="2" borderId="0" xfId="0" applyNumberFormat="1" applyFont="1" applyFill="1"/>
    <xf numFmtId="14" fontId="15" fillId="0" borderId="1" xfId="0" applyNumberFormat="1" applyFont="1" applyBorder="1"/>
    <xf numFmtId="2" fontId="15" fillId="2" borderId="0" xfId="0" applyNumberFormat="1" applyFont="1" applyFill="1"/>
    <xf numFmtId="14" fontId="15" fillId="0" borderId="0" xfId="0" applyNumberFormat="1" applyFont="1" applyAlignment="1">
      <alignment horizontal="right"/>
    </xf>
    <xf numFmtId="2" fontId="11" fillId="2" borderId="0" xfId="0" applyNumberFormat="1" applyFont="1" applyFill="1" applyBorder="1"/>
    <xf numFmtId="2" fontId="11" fillId="0" borderId="25" xfId="0" applyNumberFormat="1" applyFont="1" applyBorder="1"/>
    <xf numFmtId="0" fontId="6" fillId="0" borderId="0" xfId="0" applyFont="1" applyBorder="1" applyAlignment="1"/>
    <xf numFmtId="0" fontId="11" fillId="2" borderId="0" xfId="0" applyFont="1" applyFill="1"/>
    <xf numFmtId="0" fontId="11" fillId="2" borderId="0" xfId="0" applyFont="1" applyFill="1" applyBorder="1"/>
    <xf numFmtId="0" fontId="16" fillId="0" borderId="0" xfId="0" applyFont="1"/>
    <xf numFmtId="2" fontId="15" fillId="0" borderId="25" xfId="0" applyNumberFormat="1" applyFont="1" applyBorder="1"/>
    <xf numFmtId="43" fontId="11" fillId="0" borderId="1" xfId="2" applyFont="1" applyBorder="1"/>
    <xf numFmtId="43" fontId="11" fillId="0" borderId="0" xfId="2" applyFont="1" applyBorder="1"/>
    <xf numFmtId="43" fontId="11" fillId="0" borderId="1" xfId="2" applyFont="1" applyFill="1" applyBorder="1"/>
    <xf numFmtId="43" fontId="16" fillId="0" borderId="1" xfId="2" applyFont="1" applyBorder="1"/>
    <xf numFmtId="43" fontId="16" fillId="0" borderId="0" xfId="2" applyFont="1" applyBorder="1"/>
    <xf numFmtId="43" fontId="16" fillId="0" borderId="1" xfId="2" applyFont="1" applyFill="1" applyBorder="1"/>
    <xf numFmtId="2" fontId="11" fillId="0" borderId="0" xfId="0" applyNumberFormat="1" applyFont="1" applyFill="1"/>
    <xf numFmtId="14" fontId="11" fillId="0" borderId="14" xfId="0" applyNumberFormat="1" applyFont="1" applyBorder="1"/>
    <xf numFmtId="43" fontId="11" fillId="0" borderId="10" xfId="2" applyFont="1" applyBorder="1"/>
    <xf numFmtId="2" fontId="15" fillId="0" borderId="22" xfId="0" applyNumberFormat="1" applyFont="1" applyBorder="1"/>
    <xf numFmtId="0" fontId="5" fillId="0" borderId="26" xfId="0" applyFont="1" applyBorder="1"/>
    <xf numFmtId="0" fontId="5" fillId="0" borderId="5" xfId="0" applyFont="1" applyBorder="1"/>
    <xf numFmtId="0" fontId="0" fillId="0" borderId="27" xfId="0" applyBorder="1"/>
    <xf numFmtId="14" fontId="0" fillId="0" borderId="28" xfId="0" applyNumberFormat="1" applyBorder="1"/>
    <xf numFmtId="0" fontId="0" fillId="0" borderId="29" xfId="0" applyBorder="1"/>
    <xf numFmtId="2" fontId="0" fillId="0" borderId="29" xfId="0" applyNumberFormat="1" applyBorder="1"/>
    <xf numFmtId="2" fontId="0" fillId="0" borderId="30" xfId="0" applyNumberFormat="1" applyBorder="1"/>
    <xf numFmtId="0" fontId="15" fillId="0" borderId="0" xfId="0" applyFont="1" applyAlignment="1">
      <alignment horizontal="right"/>
    </xf>
    <xf numFmtId="4" fontId="16" fillId="0" borderId="0" xfId="0" applyNumberFormat="1" applyFont="1"/>
    <xf numFmtId="14" fontId="16" fillId="0" borderId="0" xfId="0" applyNumberFormat="1" applyFont="1"/>
    <xf numFmtId="4" fontId="15" fillId="0" borderId="0" xfId="0" applyNumberFormat="1" applyFont="1" applyFill="1"/>
    <xf numFmtId="4" fontId="11" fillId="0" borderId="25" xfId="0" applyNumberFormat="1" applyFont="1" applyBorder="1"/>
    <xf numFmtId="165" fontId="11" fillId="0" borderId="0" xfId="0" applyNumberFormat="1" applyFont="1"/>
    <xf numFmtId="165" fontId="11" fillId="0" borderId="18" xfId="0" applyNumberFormat="1" applyFont="1" applyBorder="1"/>
    <xf numFmtId="0" fontId="6" fillId="0" borderId="0" xfId="0" applyFont="1" applyBorder="1" applyAlignment="1">
      <alignment horizontal="center"/>
    </xf>
    <xf numFmtId="0" fontId="5" fillId="2" borderId="1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3">
    <cellStyle name="Millares" xfId="2" builtinId="3"/>
    <cellStyle name="Millares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N165"/>
  <sheetViews>
    <sheetView topLeftCell="C130" workbookViewId="0">
      <selection activeCell="J157" sqref="J157"/>
    </sheetView>
  </sheetViews>
  <sheetFormatPr baseColWidth="10" defaultRowHeight="14.4" x14ac:dyDescent="0.3"/>
  <cols>
    <col min="2" max="2" width="22" customWidth="1"/>
    <col min="3" max="14" width="10.6640625" customWidth="1"/>
  </cols>
  <sheetData>
    <row r="1" spans="1:14" x14ac:dyDescent="0.3">
      <c r="A1" s="100" t="s">
        <v>0</v>
      </c>
      <c r="B1" s="101"/>
      <c r="C1" s="129"/>
      <c r="D1" s="129"/>
      <c r="E1" s="129"/>
      <c r="F1" s="129"/>
      <c r="G1" s="129"/>
      <c r="H1" s="130" t="s">
        <v>1</v>
      </c>
      <c r="I1" s="129"/>
      <c r="J1" s="129"/>
      <c r="K1" s="131"/>
      <c r="L1" s="60"/>
      <c r="M1" s="60"/>
      <c r="N1" s="60"/>
    </row>
    <row r="2" spans="1:14" x14ac:dyDescent="0.3">
      <c r="A2" s="102" t="s">
        <v>2</v>
      </c>
      <c r="B2" s="38"/>
      <c r="C2" s="5"/>
      <c r="D2" s="5"/>
      <c r="E2" s="5"/>
      <c r="F2" s="5"/>
      <c r="G2" s="5"/>
      <c r="H2" s="6" t="s">
        <v>974</v>
      </c>
      <c r="I2" s="5"/>
      <c r="J2" s="5"/>
      <c r="K2" s="132"/>
      <c r="L2" s="60"/>
      <c r="M2" s="60"/>
      <c r="N2" s="60"/>
    </row>
    <row r="3" spans="1:14" x14ac:dyDescent="0.3">
      <c r="A3" s="103" t="s">
        <v>3</v>
      </c>
      <c r="B3" s="42"/>
      <c r="C3" s="5"/>
      <c r="D3" s="5"/>
      <c r="E3" s="5"/>
      <c r="F3" s="5"/>
      <c r="G3" s="5"/>
      <c r="H3" s="6" t="s">
        <v>4</v>
      </c>
      <c r="I3" s="5"/>
      <c r="J3" s="5"/>
      <c r="K3" s="132"/>
      <c r="L3" s="60"/>
      <c r="M3" s="60"/>
      <c r="N3" s="60"/>
    </row>
    <row r="4" spans="1:14" x14ac:dyDescent="0.3">
      <c r="A4" s="104"/>
      <c r="B4" s="39"/>
      <c r="C4" s="5"/>
      <c r="D4" s="219" t="s">
        <v>5</v>
      </c>
      <c r="E4" s="219"/>
      <c r="F4" s="219"/>
      <c r="G4" s="219"/>
      <c r="H4" s="219"/>
      <c r="I4" s="5"/>
      <c r="J4" s="5"/>
      <c r="K4" s="132"/>
      <c r="L4" s="60"/>
      <c r="M4" s="60"/>
      <c r="N4" s="60"/>
    </row>
    <row r="5" spans="1:14" x14ac:dyDescent="0.3">
      <c r="A5" s="104"/>
      <c r="B5" s="44"/>
      <c r="C5" s="5"/>
      <c r="D5" s="6" t="s">
        <v>685</v>
      </c>
      <c r="E5" s="7"/>
      <c r="F5" s="7"/>
      <c r="G5" s="5"/>
      <c r="H5" s="5"/>
      <c r="I5" s="5"/>
      <c r="J5" s="5"/>
      <c r="K5" s="132"/>
      <c r="L5" s="60"/>
      <c r="M5" s="60"/>
      <c r="N5" s="60"/>
    </row>
    <row r="6" spans="1:14" x14ac:dyDescent="0.3">
      <c r="A6" s="114"/>
      <c r="B6" s="44"/>
      <c r="C6" s="5"/>
      <c r="D6" s="5" t="s">
        <v>6</v>
      </c>
      <c r="E6" s="7"/>
      <c r="F6" s="7"/>
      <c r="G6" s="5"/>
      <c r="H6" s="5"/>
      <c r="I6" s="5"/>
      <c r="J6" s="5"/>
      <c r="K6" s="132"/>
      <c r="L6" s="60"/>
      <c r="M6" s="60"/>
      <c r="N6" s="60"/>
    </row>
    <row r="7" spans="1:14" x14ac:dyDescent="0.3">
      <c r="A7" s="9" t="s">
        <v>7</v>
      </c>
      <c r="B7" s="45" t="s">
        <v>8</v>
      </c>
      <c r="C7" s="220" t="s">
        <v>9</v>
      </c>
      <c r="D7" s="220"/>
      <c r="E7" s="221"/>
      <c r="F7" s="222" t="s">
        <v>10</v>
      </c>
      <c r="G7" s="222"/>
      <c r="H7" s="223" t="s">
        <v>11</v>
      </c>
      <c r="I7" s="224"/>
      <c r="J7" s="224"/>
      <c r="K7" s="9" t="s">
        <v>12</v>
      </c>
      <c r="L7" s="60"/>
      <c r="M7" s="60"/>
      <c r="N7" s="60"/>
    </row>
    <row r="8" spans="1:14" x14ac:dyDescent="0.3">
      <c r="A8" s="11"/>
      <c r="B8" s="46"/>
      <c r="C8" s="10" t="s">
        <v>13</v>
      </c>
      <c r="D8" s="11" t="s">
        <v>14</v>
      </c>
      <c r="E8" s="12" t="s">
        <v>15</v>
      </c>
      <c r="F8" s="13" t="s">
        <v>16</v>
      </c>
      <c r="G8" s="13" t="s">
        <v>17</v>
      </c>
      <c r="H8" s="11" t="s">
        <v>18</v>
      </c>
      <c r="I8" s="14" t="s">
        <v>19</v>
      </c>
      <c r="J8" s="15" t="s">
        <v>20</v>
      </c>
      <c r="K8" s="16"/>
      <c r="L8" s="60"/>
      <c r="M8" s="60"/>
      <c r="N8" s="60"/>
    </row>
    <row r="9" spans="1:14" x14ac:dyDescent="0.3">
      <c r="A9" s="115">
        <v>42006</v>
      </c>
      <c r="B9" s="52" t="s">
        <v>247</v>
      </c>
      <c r="C9" s="71">
        <v>10872.6</v>
      </c>
      <c r="D9" s="33"/>
      <c r="E9" s="72">
        <f>+C9</f>
        <v>10872.6</v>
      </c>
      <c r="F9" s="33">
        <f>+H9/C9</f>
        <v>19.627363280172176</v>
      </c>
      <c r="G9" s="147"/>
      <c r="H9" s="73">
        <v>213400.47</v>
      </c>
      <c r="I9" s="57"/>
      <c r="J9" s="57">
        <f>+H9</f>
        <v>213400.47</v>
      </c>
      <c r="K9" s="63"/>
      <c r="L9" s="70"/>
      <c r="M9" s="60"/>
      <c r="N9" s="60"/>
    </row>
    <row r="10" spans="1:14" x14ac:dyDescent="0.3">
      <c r="A10" s="115">
        <v>42006</v>
      </c>
      <c r="B10" s="51" t="s">
        <v>31</v>
      </c>
      <c r="C10" s="57"/>
      <c r="D10" s="57">
        <f>12*4.75</f>
        <v>57</v>
      </c>
      <c r="E10" s="32">
        <f>+E9-D10</f>
        <v>10815.6</v>
      </c>
      <c r="F10" s="56"/>
      <c r="G10" s="33">
        <f>+J9/E9</f>
        <v>19.627363280172176</v>
      </c>
      <c r="H10" s="56"/>
      <c r="I10" s="33">
        <f>+D10*G10</f>
        <v>1118.759706969814</v>
      </c>
      <c r="J10" s="57">
        <f>+J9-I10</f>
        <v>212281.71029303019</v>
      </c>
      <c r="K10" s="47"/>
      <c r="L10" s="60"/>
      <c r="M10" s="60"/>
      <c r="N10" s="60"/>
    </row>
    <row r="11" spans="1:14" x14ac:dyDescent="0.3">
      <c r="A11" s="115">
        <v>42006</v>
      </c>
      <c r="B11" s="51" t="s">
        <v>32</v>
      </c>
      <c r="C11" s="57"/>
      <c r="D11" s="57">
        <v>4.7</v>
      </c>
      <c r="E11" s="32">
        <f t="shared" ref="E11:E22" si="0">+E10-D11</f>
        <v>10810.9</v>
      </c>
      <c r="F11" s="56"/>
      <c r="G11" s="33">
        <f t="shared" ref="G11:G38" si="1">+J10/E10</f>
        <v>19.627363280172176</v>
      </c>
      <c r="H11" s="56"/>
      <c r="I11" s="33">
        <f t="shared" ref="I11:I38" si="2">+D11*G11</f>
        <v>92.248607416809236</v>
      </c>
      <c r="J11" s="57">
        <f t="shared" ref="J11:J38" si="3">+J10-I11</f>
        <v>212189.46168561338</v>
      </c>
      <c r="K11" s="47"/>
      <c r="L11" s="60"/>
      <c r="M11" s="60"/>
      <c r="N11" s="60"/>
    </row>
    <row r="12" spans="1:14" x14ac:dyDescent="0.3">
      <c r="A12" s="115">
        <v>42007</v>
      </c>
      <c r="B12" s="51" t="s">
        <v>33</v>
      </c>
      <c r="C12" s="57"/>
      <c r="D12" s="57">
        <f>6*3.5</f>
        <v>21</v>
      </c>
      <c r="E12" s="32">
        <f t="shared" si="0"/>
        <v>10789.9</v>
      </c>
      <c r="F12" s="56"/>
      <c r="G12" s="33">
        <f t="shared" si="1"/>
        <v>19.627363280172176</v>
      </c>
      <c r="H12" s="56"/>
      <c r="I12" s="33">
        <f t="shared" si="2"/>
        <v>412.1746288836157</v>
      </c>
      <c r="J12" s="57">
        <f t="shared" si="3"/>
        <v>211777.28705672975</v>
      </c>
      <c r="K12" s="47"/>
      <c r="L12" s="60"/>
      <c r="M12" s="60"/>
      <c r="N12" s="60"/>
    </row>
    <row r="13" spans="1:14" x14ac:dyDescent="0.3">
      <c r="A13" s="115">
        <v>42007</v>
      </c>
      <c r="B13" s="51" t="s">
        <v>36</v>
      </c>
      <c r="C13" s="57"/>
      <c r="D13" s="71">
        <f>10*4.6</f>
        <v>46</v>
      </c>
      <c r="E13" s="32">
        <f t="shared" si="0"/>
        <v>10743.9</v>
      </c>
      <c r="F13" s="33"/>
      <c r="G13" s="33">
        <f t="shared" si="1"/>
        <v>19.627363280172176</v>
      </c>
      <c r="H13" s="56"/>
      <c r="I13" s="33">
        <f t="shared" si="2"/>
        <v>902.8587108879201</v>
      </c>
      <c r="J13" s="57">
        <f t="shared" si="3"/>
        <v>210874.42834584182</v>
      </c>
      <c r="K13" s="47"/>
      <c r="L13" s="60"/>
      <c r="M13" s="60"/>
      <c r="N13" s="60"/>
    </row>
    <row r="14" spans="1:14" x14ac:dyDescent="0.3">
      <c r="A14" s="115">
        <v>42009</v>
      </c>
      <c r="B14" s="51" t="s">
        <v>37</v>
      </c>
      <c r="C14" s="57"/>
      <c r="D14" s="71">
        <f>17*5.1</f>
        <v>86.699999999999989</v>
      </c>
      <c r="E14" s="32">
        <f t="shared" si="0"/>
        <v>10657.199999999999</v>
      </c>
      <c r="F14" s="33"/>
      <c r="G14" s="33">
        <f t="shared" si="1"/>
        <v>19.627363280172176</v>
      </c>
      <c r="H14" s="56"/>
      <c r="I14" s="33">
        <f t="shared" si="2"/>
        <v>1701.6923963909273</v>
      </c>
      <c r="J14" s="57">
        <f t="shared" si="3"/>
        <v>209172.7359494509</v>
      </c>
      <c r="K14" s="47"/>
      <c r="L14" s="60"/>
      <c r="M14" s="60"/>
      <c r="N14" s="60"/>
    </row>
    <row r="15" spans="1:14" x14ac:dyDescent="0.3">
      <c r="A15" s="115">
        <v>42009</v>
      </c>
      <c r="B15" s="51" t="s">
        <v>38</v>
      </c>
      <c r="C15" s="57"/>
      <c r="D15" s="71">
        <f>12*2</f>
        <v>24</v>
      </c>
      <c r="E15" s="32">
        <f t="shared" si="0"/>
        <v>10633.199999999999</v>
      </c>
      <c r="F15" s="33"/>
      <c r="G15" s="33">
        <f t="shared" si="1"/>
        <v>19.627363280172176</v>
      </c>
      <c r="H15" s="56"/>
      <c r="I15" s="33">
        <f t="shared" si="2"/>
        <v>471.05671872413222</v>
      </c>
      <c r="J15" s="57">
        <f t="shared" si="3"/>
        <v>208701.67923072676</v>
      </c>
      <c r="K15" s="47"/>
      <c r="L15" s="60"/>
      <c r="M15" s="60"/>
      <c r="N15" s="60"/>
    </row>
    <row r="16" spans="1:14" x14ac:dyDescent="0.3">
      <c r="A16" s="115">
        <v>42009</v>
      </c>
      <c r="B16" s="51" t="s">
        <v>40</v>
      </c>
      <c r="C16" s="57"/>
      <c r="D16" s="71">
        <f>2*3.5</f>
        <v>7</v>
      </c>
      <c r="E16" s="32">
        <f t="shared" si="0"/>
        <v>10626.199999999999</v>
      </c>
      <c r="F16" s="33"/>
      <c r="G16" s="33">
        <f t="shared" si="1"/>
        <v>19.627363280172176</v>
      </c>
      <c r="H16" s="56"/>
      <c r="I16" s="33">
        <f t="shared" si="2"/>
        <v>137.39154296120523</v>
      </c>
      <c r="J16" s="57">
        <f t="shared" si="3"/>
        <v>208564.28768776555</v>
      </c>
      <c r="K16" s="47"/>
      <c r="L16" s="60"/>
      <c r="M16" s="60"/>
      <c r="N16" s="60"/>
    </row>
    <row r="17" spans="1:14" x14ac:dyDescent="0.3">
      <c r="A17" s="115">
        <v>42009</v>
      </c>
      <c r="B17" s="51" t="s">
        <v>41</v>
      </c>
      <c r="C17" s="57"/>
      <c r="D17" s="71">
        <f>12*4.6</f>
        <v>55.199999999999996</v>
      </c>
      <c r="E17" s="32">
        <f t="shared" si="0"/>
        <v>10570.999999999998</v>
      </c>
      <c r="F17" s="33"/>
      <c r="G17" s="33">
        <f t="shared" si="1"/>
        <v>19.627363280172176</v>
      </c>
      <c r="H17" s="56"/>
      <c r="I17" s="33">
        <f t="shared" si="2"/>
        <v>1083.430453065504</v>
      </c>
      <c r="J17" s="57">
        <f t="shared" si="3"/>
        <v>207480.85723470006</v>
      </c>
      <c r="K17" s="47"/>
      <c r="L17" s="60"/>
      <c r="M17" s="60"/>
      <c r="N17" s="60"/>
    </row>
    <row r="18" spans="1:14" x14ac:dyDescent="0.3">
      <c r="A18" s="115">
        <v>42010</v>
      </c>
      <c r="B18" s="51" t="s">
        <v>45</v>
      </c>
      <c r="C18" s="57"/>
      <c r="D18" s="71">
        <f>4.75</f>
        <v>4.75</v>
      </c>
      <c r="E18" s="32">
        <f t="shared" si="0"/>
        <v>10566.249999999998</v>
      </c>
      <c r="F18" s="33"/>
      <c r="G18" s="33">
        <f t="shared" si="1"/>
        <v>19.62736328017218</v>
      </c>
      <c r="H18" s="56"/>
      <c r="I18" s="33">
        <f t="shared" si="2"/>
        <v>93.22997558081785</v>
      </c>
      <c r="J18" s="57">
        <f t="shared" si="3"/>
        <v>207387.62725911924</v>
      </c>
      <c r="K18" s="47"/>
      <c r="L18" s="60"/>
      <c r="M18" s="60"/>
      <c r="N18" s="60"/>
    </row>
    <row r="19" spans="1:14" x14ac:dyDescent="0.3">
      <c r="A19" s="115">
        <v>42011</v>
      </c>
      <c r="B19" s="51" t="s">
        <v>48</v>
      </c>
      <c r="C19" s="57"/>
      <c r="D19" s="71">
        <f>18*2.3</f>
        <v>41.4</v>
      </c>
      <c r="E19" s="32">
        <f t="shared" si="0"/>
        <v>10524.849999999999</v>
      </c>
      <c r="F19" s="33"/>
      <c r="G19" s="33">
        <f t="shared" si="1"/>
        <v>19.62736328017218</v>
      </c>
      <c r="H19" s="56"/>
      <c r="I19" s="33">
        <f t="shared" si="2"/>
        <v>812.57283979912825</v>
      </c>
      <c r="J19" s="57">
        <f t="shared" si="3"/>
        <v>206575.05441932011</v>
      </c>
      <c r="K19" s="47"/>
      <c r="L19" s="60"/>
      <c r="M19" s="60"/>
      <c r="N19" s="60"/>
    </row>
    <row r="20" spans="1:14" x14ac:dyDescent="0.3">
      <c r="A20" s="115">
        <v>42011</v>
      </c>
      <c r="B20" s="51" t="s">
        <v>50</v>
      </c>
      <c r="C20" s="57"/>
      <c r="D20" s="71">
        <f>32*2.8+2*2</f>
        <v>93.6</v>
      </c>
      <c r="E20" s="32">
        <f t="shared" si="0"/>
        <v>10431.249999999998</v>
      </c>
      <c r="F20" s="33"/>
      <c r="G20" s="33">
        <f t="shared" si="1"/>
        <v>19.627363280172176</v>
      </c>
      <c r="H20" s="56"/>
      <c r="I20" s="33">
        <f t="shared" si="2"/>
        <v>1837.1212030241156</v>
      </c>
      <c r="J20" s="57">
        <f t="shared" si="3"/>
        <v>204737.93321629599</v>
      </c>
      <c r="K20" s="47"/>
      <c r="L20" s="60"/>
      <c r="M20" s="60"/>
      <c r="N20" s="60"/>
    </row>
    <row r="21" spans="1:14" x14ac:dyDescent="0.3">
      <c r="A21" s="115">
        <v>42011</v>
      </c>
      <c r="B21" s="51" t="s">
        <v>52</v>
      </c>
      <c r="C21" s="57"/>
      <c r="D21" s="71">
        <f>32*3.3+5.1</f>
        <v>110.69999999999999</v>
      </c>
      <c r="E21" s="32">
        <f t="shared" si="0"/>
        <v>10320.549999999997</v>
      </c>
      <c r="F21" s="33"/>
      <c r="G21" s="33">
        <f t="shared" si="1"/>
        <v>19.627363280172176</v>
      </c>
      <c r="H21" s="56"/>
      <c r="I21" s="33">
        <f t="shared" si="2"/>
        <v>2172.7491151150598</v>
      </c>
      <c r="J21" s="57">
        <f t="shared" si="3"/>
        <v>202565.18410118093</v>
      </c>
      <c r="K21" s="47"/>
      <c r="L21" s="60"/>
      <c r="M21" s="60"/>
      <c r="N21" s="60"/>
    </row>
    <row r="22" spans="1:14" x14ac:dyDescent="0.3">
      <c r="A22" s="115">
        <v>42011</v>
      </c>
      <c r="B22" s="51" t="s">
        <v>54</v>
      </c>
      <c r="C22" s="57"/>
      <c r="D22" s="71">
        <f>12*6.3</f>
        <v>75.599999999999994</v>
      </c>
      <c r="E22" s="32">
        <f t="shared" si="0"/>
        <v>10244.949999999997</v>
      </c>
      <c r="F22" s="33"/>
      <c r="G22" s="33">
        <f t="shared" si="1"/>
        <v>19.62736328017218</v>
      </c>
      <c r="H22" s="56"/>
      <c r="I22" s="33">
        <f t="shared" si="2"/>
        <v>1483.8286639810167</v>
      </c>
      <c r="J22" s="57">
        <f t="shared" si="3"/>
        <v>201081.35543719991</v>
      </c>
      <c r="K22" s="47"/>
      <c r="L22" s="60"/>
      <c r="M22" s="60"/>
      <c r="N22" s="60"/>
    </row>
    <row r="23" spans="1:14" s="34" customFormat="1" x14ac:dyDescent="0.3">
      <c r="A23" s="115">
        <v>42012</v>
      </c>
      <c r="B23" s="51" t="s">
        <v>55</v>
      </c>
      <c r="C23" s="57"/>
      <c r="D23" s="71">
        <f>3*5</f>
        <v>15</v>
      </c>
      <c r="E23" s="32">
        <f t="shared" ref="E23:E73" si="4">+E22-D23</f>
        <v>10229.949999999997</v>
      </c>
      <c r="F23" s="33"/>
      <c r="G23" s="33">
        <f t="shared" si="1"/>
        <v>19.62736328017218</v>
      </c>
      <c r="H23" s="56"/>
      <c r="I23" s="33">
        <f t="shared" si="2"/>
        <v>294.4104492025827</v>
      </c>
      <c r="J23" s="57">
        <f t="shared" si="3"/>
        <v>200786.94498799733</v>
      </c>
      <c r="K23" s="47"/>
      <c r="L23" s="60"/>
      <c r="M23" s="60"/>
      <c r="N23" s="60"/>
    </row>
    <row r="24" spans="1:14" s="34" customFormat="1" x14ac:dyDescent="0.3">
      <c r="A24" s="115">
        <v>42012</v>
      </c>
      <c r="B24" s="51" t="s">
        <v>59</v>
      </c>
      <c r="C24" s="57"/>
      <c r="D24" s="71">
        <f>7*4.5</f>
        <v>31.5</v>
      </c>
      <c r="E24" s="32">
        <f t="shared" si="4"/>
        <v>10198.449999999997</v>
      </c>
      <c r="F24" s="33"/>
      <c r="G24" s="33">
        <f t="shared" si="1"/>
        <v>19.62736328017218</v>
      </c>
      <c r="H24" s="56"/>
      <c r="I24" s="33">
        <f t="shared" si="2"/>
        <v>618.26194332542366</v>
      </c>
      <c r="J24" s="57">
        <f t="shared" si="3"/>
        <v>200168.6830446719</v>
      </c>
      <c r="K24" s="47"/>
      <c r="L24" s="60"/>
      <c r="M24" s="60"/>
      <c r="N24" s="60"/>
    </row>
    <row r="25" spans="1:14" s="34" customFormat="1" x14ac:dyDescent="0.3">
      <c r="A25" s="115">
        <v>42013</v>
      </c>
      <c r="B25" s="51" t="s">
        <v>60</v>
      </c>
      <c r="C25" s="57"/>
      <c r="D25" s="71">
        <f>2*4</f>
        <v>8</v>
      </c>
      <c r="E25" s="32">
        <f t="shared" si="4"/>
        <v>10190.449999999997</v>
      </c>
      <c r="F25" s="33"/>
      <c r="G25" s="33">
        <f t="shared" si="1"/>
        <v>19.62736328017218</v>
      </c>
      <c r="H25" s="56"/>
      <c r="I25" s="33">
        <f t="shared" si="2"/>
        <v>157.01890624137744</v>
      </c>
      <c r="J25" s="57">
        <f t="shared" si="3"/>
        <v>200011.66413843053</v>
      </c>
      <c r="K25" s="47"/>
      <c r="L25" s="60"/>
      <c r="M25" s="60"/>
      <c r="N25" s="60"/>
    </row>
    <row r="26" spans="1:14" s="34" customFormat="1" x14ac:dyDescent="0.3">
      <c r="A26" s="115">
        <v>42013</v>
      </c>
      <c r="B26" s="51" t="s">
        <v>61</v>
      </c>
      <c r="C26" s="57"/>
      <c r="D26" s="71">
        <f>8.2+8.31+8.43+8.54+8.66+8.77+8.89+9+9.12+9.23+9.35+9.46+9.5</f>
        <v>115.46000000000001</v>
      </c>
      <c r="E26" s="32">
        <f t="shared" si="4"/>
        <v>10074.989999999998</v>
      </c>
      <c r="F26" s="33"/>
      <c r="G26" s="33">
        <f t="shared" si="1"/>
        <v>19.62736328017218</v>
      </c>
      <c r="H26" s="56"/>
      <c r="I26" s="33">
        <f t="shared" si="2"/>
        <v>2266.1753643286802</v>
      </c>
      <c r="J26" s="57">
        <f t="shared" si="3"/>
        <v>197745.48877410183</v>
      </c>
      <c r="K26" s="47"/>
      <c r="L26" s="60"/>
      <c r="M26" s="60"/>
      <c r="N26" s="60"/>
    </row>
    <row r="27" spans="1:14" s="34" customFormat="1" x14ac:dyDescent="0.3">
      <c r="A27" s="115">
        <v>42013</v>
      </c>
      <c r="B27" s="51" t="s">
        <v>62</v>
      </c>
      <c r="C27" s="57"/>
      <c r="D27" s="71">
        <f>7*5</f>
        <v>35</v>
      </c>
      <c r="E27" s="32">
        <f t="shared" si="4"/>
        <v>10039.989999999998</v>
      </c>
      <c r="F27" s="33"/>
      <c r="G27" s="33">
        <f t="shared" si="1"/>
        <v>19.627363280172176</v>
      </c>
      <c r="H27" s="56"/>
      <c r="I27" s="33">
        <f t="shared" si="2"/>
        <v>686.95771480602616</v>
      </c>
      <c r="J27" s="57">
        <f t="shared" si="3"/>
        <v>197058.53105929581</v>
      </c>
      <c r="K27" s="47"/>
      <c r="L27" s="60"/>
      <c r="M27" s="60"/>
      <c r="N27" s="60"/>
    </row>
    <row r="28" spans="1:14" s="34" customFormat="1" x14ac:dyDescent="0.3">
      <c r="A28" s="115">
        <v>42013</v>
      </c>
      <c r="B28" s="51" t="s">
        <v>63</v>
      </c>
      <c r="C28" s="57"/>
      <c r="D28" s="71">
        <f>13*4.85</f>
        <v>63.05</v>
      </c>
      <c r="E28" s="32">
        <f t="shared" si="4"/>
        <v>9976.9399999999987</v>
      </c>
      <c r="F28" s="33"/>
      <c r="G28" s="33">
        <f t="shared" si="1"/>
        <v>19.627363280172176</v>
      </c>
      <c r="H28" s="56"/>
      <c r="I28" s="33">
        <f t="shared" si="2"/>
        <v>1237.5052548148556</v>
      </c>
      <c r="J28" s="57">
        <f t="shared" si="3"/>
        <v>195821.02580448095</v>
      </c>
      <c r="K28" s="47"/>
      <c r="L28" s="60"/>
      <c r="M28" s="60"/>
      <c r="N28" s="60"/>
    </row>
    <row r="29" spans="1:14" s="34" customFormat="1" x14ac:dyDescent="0.3">
      <c r="A29" s="115">
        <v>42014</v>
      </c>
      <c r="B29" s="51" t="s">
        <v>68</v>
      </c>
      <c r="C29" s="57"/>
      <c r="D29" s="71">
        <f>13*3</f>
        <v>39</v>
      </c>
      <c r="E29" s="32">
        <f t="shared" si="4"/>
        <v>9937.9399999999987</v>
      </c>
      <c r="F29" s="33"/>
      <c r="G29" s="33">
        <f t="shared" si="1"/>
        <v>19.627363280172172</v>
      </c>
      <c r="H29" s="56"/>
      <c r="I29" s="33">
        <f t="shared" si="2"/>
        <v>765.46716792671475</v>
      </c>
      <c r="J29" s="57">
        <f t="shared" si="3"/>
        <v>195055.55863655423</v>
      </c>
      <c r="K29" s="47"/>
      <c r="L29" s="60"/>
      <c r="M29" s="60"/>
      <c r="N29" s="60"/>
    </row>
    <row r="30" spans="1:14" s="34" customFormat="1" x14ac:dyDescent="0.3">
      <c r="A30" s="115">
        <v>42014</v>
      </c>
      <c r="B30" s="51" t="s">
        <v>71</v>
      </c>
      <c r="C30" s="57"/>
      <c r="D30" s="71">
        <f>2</f>
        <v>2</v>
      </c>
      <c r="E30" s="32">
        <f t="shared" si="4"/>
        <v>9935.9399999999987</v>
      </c>
      <c r="F30" s="33"/>
      <c r="G30" s="33">
        <f t="shared" si="1"/>
        <v>19.627363280172172</v>
      </c>
      <c r="H30" s="56"/>
      <c r="I30" s="33">
        <f t="shared" si="2"/>
        <v>39.254726560344345</v>
      </c>
      <c r="J30" s="57">
        <f t="shared" si="3"/>
        <v>195016.30390999388</v>
      </c>
      <c r="K30" s="47"/>
      <c r="L30" s="60"/>
      <c r="M30" s="60"/>
      <c r="N30" s="60"/>
    </row>
    <row r="31" spans="1:14" s="34" customFormat="1" x14ac:dyDescent="0.3">
      <c r="A31" s="115">
        <v>42016</v>
      </c>
      <c r="B31" s="51" t="s">
        <v>73</v>
      </c>
      <c r="C31" s="57"/>
      <c r="D31" s="71">
        <v>3</v>
      </c>
      <c r="E31" s="32">
        <f t="shared" si="4"/>
        <v>9932.9399999999987</v>
      </c>
      <c r="F31" s="33"/>
      <c r="G31" s="33">
        <f t="shared" si="1"/>
        <v>19.627363280172172</v>
      </c>
      <c r="H31" s="56"/>
      <c r="I31" s="33">
        <f t="shared" si="2"/>
        <v>58.882089840516514</v>
      </c>
      <c r="J31" s="57">
        <f t="shared" si="3"/>
        <v>194957.42182015337</v>
      </c>
      <c r="K31" s="47"/>
      <c r="L31" s="60"/>
      <c r="M31" s="60"/>
      <c r="N31" s="60"/>
    </row>
    <row r="32" spans="1:14" s="34" customFormat="1" x14ac:dyDescent="0.3">
      <c r="A32" s="115">
        <v>42016</v>
      </c>
      <c r="B32" s="51" t="s">
        <v>74</v>
      </c>
      <c r="C32" s="33"/>
      <c r="D32" s="71">
        <f>23*6.2</f>
        <v>142.6</v>
      </c>
      <c r="E32" s="32">
        <f t="shared" si="4"/>
        <v>9790.3399999999983</v>
      </c>
      <c r="F32" s="33"/>
      <c r="G32" s="33">
        <f t="shared" si="1"/>
        <v>19.627363280172172</v>
      </c>
      <c r="H32" s="56"/>
      <c r="I32" s="33">
        <f t="shared" si="2"/>
        <v>2798.8620037525516</v>
      </c>
      <c r="J32" s="33">
        <f t="shared" si="3"/>
        <v>192158.55981640081</v>
      </c>
      <c r="K32" s="81"/>
      <c r="L32" s="161">
        <f>SUM(I10:I32)</f>
        <v>21241.910183599142</v>
      </c>
      <c r="M32" s="161">
        <f>SUM(L32)</f>
        <v>21241.910183599142</v>
      </c>
      <c r="N32" s="162">
        <v>42016</v>
      </c>
    </row>
    <row r="33" spans="1:14" s="34" customFormat="1" x14ac:dyDescent="0.3">
      <c r="A33" s="115">
        <v>42042</v>
      </c>
      <c r="B33" s="51" t="s">
        <v>89</v>
      </c>
      <c r="C33" s="33"/>
      <c r="D33" s="71">
        <f>13*5.5</f>
        <v>71.5</v>
      </c>
      <c r="E33" s="32">
        <f t="shared" si="4"/>
        <v>9718.8399999999983</v>
      </c>
      <c r="F33" s="33"/>
      <c r="G33" s="33">
        <f t="shared" si="1"/>
        <v>19.627363280172176</v>
      </c>
      <c r="H33" s="56"/>
      <c r="I33" s="33">
        <f t="shared" si="2"/>
        <v>1403.3564745323106</v>
      </c>
      <c r="J33" s="33">
        <f t="shared" si="3"/>
        <v>190755.2033418685</v>
      </c>
      <c r="K33" s="47"/>
      <c r="L33" s="60"/>
      <c r="M33" s="60"/>
      <c r="N33" s="60"/>
    </row>
    <row r="34" spans="1:14" s="34" customFormat="1" x14ac:dyDescent="0.3">
      <c r="A34" s="115">
        <v>42042</v>
      </c>
      <c r="B34" s="51" t="s">
        <v>91</v>
      </c>
      <c r="C34" s="33"/>
      <c r="D34" s="71">
        <f>10*4.8</f>
        <v>48</v>
      </c>
      <c r="E34" s="32">
        <f t="shared" si="4"/>
        <v>9670.8399999999983</v>
      </c>
      <c r="F34" s="33"/>
      <c r="G34" s="33">
        <f t="shared" si="1"/>
        <v>19.627363280172176</v>
      </c>
      <c r="H34" s="56"/>
      <c r="I34" s="33">
        <f t="shared" si="2"/>
        <v>942.11343744826445</v>
      </c>
      <c r="J34" s="33">
        <f t="shared" si="3"/>
        <v>189813.08990442025</v>
      </c>
      <c r="K34" s="47"/>
      <c r="L34" s="60"/>
      <c r="M34" s="60"/>
      <c r="N34" s="60"/>
    </row>
    <row r="35" spans="1:14" s="34" customFormat="1" x14ac:dyDescent="0.3">
      <c r="A35" s="115">
        <v>42042</v>
      </c>
      <c r="B35" s="51" t="s">
        <v>93</v>
      </c>
      <c r="C35" s="33"/>
      <c r="D35" s="71">
        <f>2*2</f>
        <v>4</v>
      </c>
      <c r="E35" s="32">
        <f t="shared" si="4"/>
        <v>9666.8399999999983</v>
      </c>
      <c r="F35" s="33"/>
      <c r="G35" s="33">
        <f t="shared" si="1"/>
        <v>19.627363280172176</v>
      </c>
      <c r="H35" s="56"/>
      <c r="I35" s="33">
        <f t="shared" si="2"/>
        <v>78.509453120688704</v>
      </c>
      <c r="J35" s="33">
        <f t="shared" si="3"/>
        <v>189734.58045129955</v>
      </c>
      <c r="K35" s="47"/>
      <c r="L35" s="60"/>
      <c r="M35" s="60"/>
      <c r="N35" s="60"/>
    </row>
    <row r="36" spans="1:14" s="34" customFormat="1" x14ac:dyDescent="0.3">
      <c r="A36" s="115">
        <v>42044</v>
      </c>
      <c r="B36" s="51" t="s">
        <v>95</v>
      </c>
      <c r="C36" s="33"/>
      <c r="D36" s="71">
        <f>18</f>
        <v>18</v>
      </c>
      <c r="E36" s="32">
        <f t="shared" si="4"/>
        <v>9648.8399999999983</v>
      </c>
      <c r="F36" s="33"/>
      <c r="G36" s="33">
        <f t="shared" si="1"/>
        <v>19.627363280172176</v>
      </c>
      <c r="H36" s="56"/>
      <c r="I36" s="33">
        <f t="shared" si="2"/>
        <v>353.29253904309917</v>
      </c>
      <c r="J36" s="33">
        <f t="shared" si="3"/>
        <v>189381.28791225646</v>
      </c>
      <c r="K36" s="47"/>
      <c r="L36" s="60"/>
      <c r="M36" s="60"/>
      <c r="N36" s="60"/>
    </row>
    <row r="37" spans="1:14" s="34" customFormat="1" x14ac:dyDescent="0.3">
      <c r="A37" s="115">
        <v>42045</v>
      </c>
      <c r="B37" s="51" t="s">
        <v>97</v>
      </c>
      <c r="C37" s="33"/>
      <c r="D37" s="71">
        <f>4*2</f>
        <v>8</v>
      </c>
      <c r="E37" s="32">
        <f t="shared" si="4"/>
        <v>9640.8399999999983</v>
      </c>
      <c r="F37" s="33"/>
      <c r="G37" s="33">
        <f t="shared" si="1"/>
        <v>19.627363280172176</v>
      </c>
      <c r="H37" s="56"/>
      <c r="I37" s="33">
        <f t="shared" si="2"/>
        <v>157.01890624137741</v>
      </c>
      <c r="J37" s="33">
        <f t="shared" si="3"/>
        <v>189224.26900601509</v>
      </c>
      <c r="K37" s="47"/>
      <c r="L37" s="60"/>
      <c r="M37" s="60"/>
      <c r="N37" s="60"/>
    </row>
    <row r="38" spans="1:14" s="34" customFormat="1" x14ac:dyDescent="0.3">
      <c r="A38" s="115">
        <v>42046</v>
      </c>
      <c r="B38" s="51" t="s">
        <v>102</v>
      </c>
      <c r="C38" s="33"/>
      <c r="D38" s="71">
        <f>3+3*2</f>
        <v>9</v>
      </c>
      <c r="E38" s="32">
        <f t="shared" si="4"/>
        <v>9631.8399999999983</v>
      </c>
      <c r="F38" s="33"/>
      <c r="G38" s="33">
        <f t="shared" si="1"/>
        <v>19.627363280172176</v>
      </c>
      <c r="H38" s="56"/>
      <c r="I38" s="33">
        <f t="shared" si="2"/>
        <v>176.64626952154958</v>
      </c>
      <c r="J38" s="33">
        <f t="shared" si="3"/>
        <v>189047.62273649353</v>
      </c>
      <c r="K38" s="47"/>
      <c r="L38" s="60"/>
      <c r="M38" s="60"/>
      <c r="N38" s="60"/>
    </row>
    <row r="39" spans="1:14" s="34" customFormat="1" x14ac:dyDescent="0.3">
      <c r="A39" s="115">
        <v>42046</v>
      </c>
      <c r="B39" s="51" t="s">
        <v>103</v>
      </c>
      <c r="C39" s="33"/>
      <c r="D39" s="71">
        <f>2</f>
        <v>2</v>
      </c>
      <c r="E39" s="32">
        <f t="shared" si="4"/>
        <v>9629.8399999999983</v>
      </c>
      <c r="F39" s="33"/>
      <c r="G39" s="33">
        <f t="shared" ref="G39:G46" si="5">+J38/E38</f>
        <v>19.627363280172176</v>
      </c>
      <c r="H39" s="56"/>
      <c r="I39" s="33">
        <f t="shared" ref="I39:I46" si="6">+D39*G39</f>
        <v>39.254726560344352</v>
      </c>
      <c r="J39" s="33">
        <f t="shared" ref="J39:J46" si="7">+J38-I39</f>
        <v>189008.36800993318</v>
      </c>
      <c r="K39" s="47"/>
      <c r="L39" s="60"/>
      <c r="M39" s="60"/>
      <c r="N39" s="60"/>
    </row>
    <row r="40" spans="1:14" s="34" customFormat="1" x14ac:dyDescent="0.3">
      <c r="A40" s="115">
        <v>42048</v>
      </c>
      <c r="B40" s="51" t="s">
        <v>112</v>
      </c>
      <c r="C40" s="33"/>
      <c r="D40" s="71">
        <f>11*4.8</f>
        <v>52.8</v>
      </c>
      <c r="E40" s="32">
        <f t="shared" si="4"/>
        <v>9577.0399999999991</v>
      </c>
      <c r="F40" s="33"/>
      <c r="G40" s="33">
        <f t="shared" si="5"/>
        <v>19.627363280172176</v>
      </c>
      <c r="H40" s="56"/>
      <c r="I40" s="33">
        <f t="shared" si="6"/>
        <v>1036.3247811930908</v>
      </c>
      <c r="J40" s="33">
        <f t="shared" si="7"/>
        <v>187972.04322874011</v>
      </c>
      <c r="K40" s="47"/>
      <c r="L40" s="60"/>
      <c r="M40" s="60"/>
      <c r="N40" s="60"/>
    </row>
    <row r="41" spans="1:14" s="34" customFormat="1" x14ac:dyDescent="0.3">
      <c r="A41" s="115">
        <v>42049</v>
      </c>
      <c r="B41" s="51" t="s">
        <v>117</v>
      </c>
      <c r="C41" s="33"/>
      <c r="D41" s="71">
        <f>2.44</f>
        <v>2.44</v>
      </c>
      <c r="E41" s="32">
        <f t="shared" si="4"/>
        <v>9574.5999999999985</v>
      </c>
      <c r="F41" s="33"/>
      <c r="G41" s="33">
        <f t="shared" si="5"/>
        <v>19.627363280172176</v>
      </c>
      <c r="H41" s="56"/>
      <c r="I41" s="33">
        <f t="shared" si="6"/>
        <v>47.890766403620106</v>
      </c>
      <c r="J41" s="33">
        <f t="shared" si="7"/>
        <v>187924.1524623365</v>
      </c>
      <c r="K41" s="47"/>
      <c r="L41" s="60"/>
      <c r="M41" s="60"/>
      <c r="N41" s="60"/>
    </row>
    <row r="42" spans="1:14" s="34" customFormat="1" x14ac:dyDescent="0.3">
      <c r="A42" s="115">
        <v>42049</v>
      </c>
      <c r="B42" s="51" t="s">
        <v>118</v>
      </c>
      <c r="C42" s="33"/>
      <c r="D42" s="71">
        <f>7.7+2*7.85+2*8.2+2*8.5+2*8.85+2*9.2+9.4</f>
        <v>102.30000000000001</v>
      </c>
      <c r="E42" s="32">
        <f t="shared" si="4"/>
        <v>9472.2999999999993</v>
      </c>
      <c r="F42" s="33"/>
      <c r="G42" s="33">
        <f t="shared" si="5"/>
        <v>19.627363280172176</v>
      </c>
      <c r="H42" s="56"/>
      <c r="I42" s="33">
        <f t="shared" si="6"/>
        <v>2007.8792635616139</v>
      </c>
      <c r="J42" s="33">
        <f t="shared" si="7"/>
        <v>185916.27319877487</v>
      </c>
      <c r="K42" s="81"/>
      <c r="L42" s="161">
        <f>SUM(I33:I42)</f>
        <v>6242.2866176259595</v>
      </c>
      <c r="M42" s="89"/>
      <c r="N42" s="162">
        <v>42049</v>
      </c>
    </row>
    <row r="43" spans="1:14" s="34" customFormat="1" x14ac:dyDescent="0.3">
      <c r="A43" s="115">
        <v>42053</v>
      </c>
      <c r="B43" s="51" t="s">
        <v>120</v>
      </c>
      <c r="C43" s="33"/>
      <c r="D43" s="71">
        <v>4.8</v>
      </c>
      <c r="E43" s="32">
        <f t="shared" si="4"/>
        <v>9467.5</v>
      </c>
      <c r="F43" s="33"/>
      <c r="G43" s="33">
        <f t="shared" si="5"/>
        <v>19.627363280172172</v>
      </c>
      <c r="H43" s="56"/>
      <c r="I43" s="33">
        <f t="shared" si="6"/>
        <v>94.211343744826422</v>
      </c>
      <c r="J43" s="33">
        <f t="shared" si="7"/>
        <v>185822.06185503004</v>
      </c>
      <c r="K43" s="47"/>
      <c r="L43" s="60"/>
      <c r="M43" s="60"/>
      <c r="N43" s="60"/>
    </row>
    <row r="44" spans="1:14" s="34" customFormat="1" x14ac:dyDescent="0.3">
      <c r="A44" s="115">
        <v>42053</v>
      </c>
      <c r="B44" s="51" t="s">
        <v>121</v>
      </c>
      <c r="C44" s="33"/>
      <c r="D44" s="71">
        <f>7*4.4</f>
        <v>30.800000000000004</v>
      </c>
      <c r="E44" s="32">
        <f t="shared" si="4"/>
        <v>9436.7000000000007</v>
      </c>
      <c r="F44" s="33"/>
      <c r="G44" s="33">
        <f t="shared" si="5"/>
        <v>19.627363280172172</v>
      </c>
      <c r="H44" s="56"/>
      <c r="I44" s="33">
        <f t="shared" si="6"/>
        <v>604.522789029303</v>
      </c>
      <c r="J44" s="33">
        <f t="shared" si="7"/>
        <v>185217.53906600073</v>
      </c>
      <c r="K44" s="47"/>
      <c r="L44" s="60"/>
      <c r="M44" s="60"/>
      <c r="N44" s="60"/>
    </row>
    <row r="45" spans="1:14" s="34" customFormat="1" x14ac:dyDescent="0.3">
      <c r="A45" s="115">
        <v>42054</v>
      </c>
      <c r="B45" s="51" t="s">
        <v>122</v>
      </c>
      <c r="C45" s="33"/>
      <c r="D45" s="71">
        <f>12*4.8</f>
        <v>57.599999999999994</v>
      </c>
      <c r="E45" s="32">
        <f t="shared" si="4"/>
        <v>9379.1</v>
      </c>
      <c r="F45" s="33"/>
      <c r="G45" s="33">
        <f t="shared" si="5"/>
        <v>19.627363280172169</v>
      </c>
      <c r="H45" s="56"/>
      <c r="I45" s="33">
        <f t="shared" si="6"/>
        <v>1130.5361249379168</v>
      </c>
      <c r="J45" s="33">
        <f t="shared" si="7"/>
        <v>184087.00294106282</v>
      </c>
      <c r="K45" s="47"/>
      <c r="L45" s="60"/>
      <c r="M45" s="60"/>
      <c r="N45" s="60"/>
    </row>
    <row r="46" spans="1:14" s="34" customFormat="1" x14ac:dyDescent="0.3">
      <c r="A46" s="115">
        <v>42054</v>
      </c>
      <c r="B46" s="51" t="s">
        <v>123</v>
      </c>
      <c r="C46" s="33"/>
      <c r="D46" s="71">
        <f>16*5.7</f>
        <v>91.2</v>
      </c>
      <c r="E46" s="32">
        <f t="shared" si="4"/>
        <v>9287.9</v>
      </c>
      <c r="F46" s="33"/>
      <c r="G46" s="33">
        <f t="shared" si="5"/>
        <v>19.627363280172172</v>
      </c>
      <c r="H46" s="56"/>
      <c r="I46" s="33">
        <f t="shared" si="6"/>
        <v>1790.0155311517021</v>
      </c>
      <c r="J46" s="33">
        <f t="shared" si="7"/>
        <v>182296.98740991112</v>
      </c>
      <c r="K46" s="47"/>
      <c r="L46" s="60"/>
      <c r="M46" s="60"/>
      <c r="N46" s="60"/>
    </row>
    <row r="47" spans="1:14" s="34" customFormat="1" x14ac:dyDescent="0.3">
      <c r="A47" s="115">
        <v>42055</v>
      </c>
      <c r="B47" s="51" t="s">
        <v>124</v>
      </c>
      <c r="C47" s="33"/>
      <c r="D47" s="71">
        <f>3*3</f>
        <v>9</v>
      </c>
      <c r="E47" s="32">
        <f t="shared" si="4"/>
        <v>9278.9</v>
      </c>
      <c r="F47" s="33"/>
      <c r="G47" s="33">
        <f t="shared" ref="G47:G58" si="8">+J46/E46</f>
        <v>19.627363280172172</v>
      </c>
      <c r="H47" s="56"/>
      <c r="I47" s="33">
        <f t="shared" ref="I47:I58" si="9">+D47*G47</f>
        <v>176.64626952154956</v>
      </c>
      <c r="J47" s="33">
        <f t="shared" ref="J47:J58" si="10">+J46-I47</f>
        <v>182120.34114038956</v>
      </c>
      <c r="K47" s="47"/>
      <c r="L47" s="60"/>
      <c r="M47" s="60"/>
      <c r="N47" s="60"/>
    </row>
    <row r="48" spans="1:14" s="34" customFormat="1" x14ac:dyDescent="0.3">
      <c r="A48" s="115">
        <v>42055</v>
      </c>
      <c r="B48" s="51" t="s">
        <v>125</v>
      </c>
      <c r="C48" s="33"/>
      <c r="D48" s="71">
        <f>11*4.8+3*3.5</f>
        <v>63.3</v>
      </c>
      <c r="E48" s="32">
        <f t="shared" si="4"/>
        <v>9215.6</v>
      </c>
      <c r="F48" s="33"/>
      <c r="G48" s="33">
        <f t="shared" si="8"/>
        <v>19.627363280172172</v>
      </c>
      <c r="H48" s="56"/>
      <c r="I48" s="33">
        <f t="shared" si="9"/>
        <v>1242.4120956348984</v>
      </c>
      <c r="J48" s="33">
        <f t="shared" si="10"/>
        <v>180877.92904475465</v>
      </c>
      <c r="K48" s="47"/>
      <c r="L48" s="60"/>
      <c r="M48" s="60"/>
      <c r="N48" s="60"/>
    </row>
    <row r="49" spans="1:14" s="34" customFormat="1" x14ac:dyDescent="0.3">
      <c r="A49" s="115">
        <v>42055</v>
      </c>
      <c r="B49" s="51" t="s">
        <v>126</v>
      </c>
      <c r="C49" s="33"/>
      <c r="D49" s="71">
        <f>12*5.4+8*2.5</f>
        <v>84.800000000000011</v>
      </c>
      <c r="E49" s="32">
        <f t="shared" si="4"/>
        <v>9130.8000000000011</v>
      </c>
      <c r="F49" s="33"/>
      <c r="G49" s="33">
        <f t="shared" si="8"/>
        <v>19.627363280172169</v>
      </c>
      <c r="H49" s="56"/>
      <c r="I49" s="33">
        <f t="shared" si="9"/>
        <v>1664.4004061586002</v>
      </c>
      <c r="J49" s="33">
        <f t="shared" si="10"/>
        <v>179213.52863859606</v>
      </c>
      <c r="K49" s="47"/>
      <c r="L49" s="60"/>
      <c r="M49" s="60"/>
      <c r="N49" s="60"/>
    </row>
    <row r="50" spans="1:14" s="34" customFormat="1" x14ac:dyDescent="0.3">
      <c r="A50" s="115">
        <v>42058</v>
      </c>
      <c r="B50" s="51" t="s">
        <v>127</v>
      </c>
      <c r="C50" s="33"/>
      <c r="D50" s="71">
        <f>8*2.4+7*2</f>
        <v>33.200000000000003</v>
      </c>
      <c r="E50" s="32">
        <f t="shared" si="4"/>
        <v>9097.6</v>
      </c>
      <c r="F50" s="33"/>
      <c r="G50" s="33">
        <f t="shared" si="8"/>
        <v>19.627363280172169</v>
      </c>
      <c r="H50" s="56"/>
      <c r="I50" s="33">
        <f t="shared" si="9"/>
        <v>651.62846090171604</v>
      </c>
      <c r="J50" s="33">
        <f t="shared" si="10"/>
        <v>178561.90017769436</v>
      </c>
      <c r="K50" s="47"/>
      <c r="L50" s="60"/>
      <c r="M50" s="60"/>
      <c r="N50" s="60"/>
    </row>
    <row r="51" spans="1:14" s="34" customFormat="1" x14ac:dyDescent="0.3">
      <c r="A51" s="115">
        <v>42059</v>
      </c>
      <c r="B51" s="51" t="s">
        <v>128</v>
      </c>
      <c r="C51" s="33"/>
      <c r="D51" s="71">
        <f>12</f>
        <v>12</v>
      </c>
      <c r="E51" s="32">
        <f t="shared" si="4"/>
        <v>9085.6</v>
      </c>
      <c r="F51" s="33"/>
      <c r="G51" s="33">
        <f t="shared" si="8"/>
        <v>19.627363280172172</v>
      </c>
      <c r="H51" s="56"/>
      <c r="I51" s="33">
        <f t="shared" si="9"/>
        <v>235.52835936206606</v>
      </c>
      <c r="J51" s="33">
        <f t="shared" si="10"/>
        <v>178326.37181833229</v>
      </c>
      <c r="K51" s="47"/>
      <c r="L51" s="60"/>
      <c r="M51" s="60"/>
      <c r="N51" s="60"/>
    </row>
    <row r="52" spans="1:14" s="34" customFormat="1" x14ac:dyDescent="0.3">
      <c r="A52" s="115">
        <v>42062</v>
      </c>
      <c r="B52" s="51" t="s">
        <v>133</v>
      </c>
      <c r="C52" s="33"/>
      <c r="D52" s="71">
        <f>6*1.7</f>
        <v>10.199999999999999</v>
      </c>
      <c r="E52" s="32">
        <f t="shared" si="4"/>
        <v>9075.4</v>
      </c>
      <c r="F52" s="33"/>
      <c r="G52" s="33">
        <f t="shared" si="8"/>
        <v>19.627363280172172</v>
      </c>
      <c r="H52" s="56"/>
      <c r="I52" s="33">
        <f t="shared" si="9"/>
        <v>200.19910545775613</v>
      </c>
      <c r="J52" s="33">
        <f t="shared" si="10"/>
        <v>178126.17271287454</v>
      </c>
      <c r="K52" s="47"/>
      <c r="L52" s="60"/>
      <c r="M52" s="60"/>
      <c r="N52" s="60"/>
    </row>
    <row r="53" spans="1:14" s="34" customFormat="1" x14ac:dyDescent="0.3">
      <c r="A53" s="115">
        <v>42063</v>
      </c>
      <c r="B53" s="51" t="s">
        <v>135</v>
      </c>
      <c r="C53" s="33"/>
      <c r="D53" s="71">
        <f>4*1</f>
        <v>4</v>
      </c>
      <c r="E53" s="32">
        <f t="shared" si="4"/>
        <v>9071.4</v>
      </c>
      <c r="F53" s="33"/>
      <c r="G53" s="33">
        <f t="shared" si="8"/>
        <v>19.627363280172172</v>
      </c>
      <c r="H53" s="56"/>
      <c r="I53" s="33">
        <f t="shared" si="9"/>
        <v>78.50945312068869</v>
      </c>
      <c r="J53" s="33">
        <f t="shared" si="10"/>
        <v>178047.66325975384</v>
      </c>
      <c r="K53" s="81"/>
      <c r="L53" s="161">
        <f>SUM(I43:I53)</f>
        <v>7868.6099390210238</v>
      </c>
      <c r="M53" s="161">
        <f>SUM(L42:L53)</f>
        <v>14110.896556646983</v>
      </c>
      <c r="N53" s="162">
        <v>42063</v>
      </c>
    </row>
    <row r="54" spans="1:14" s="34" customFormat="1" x14ac:dyDescent="0.3">
      <c r="A54" s="115">
        <v>42065</v>
      </c>
      <c r="B54" s="51" t="s">
        <v>137</v>
      </c>
      <c r="C54" s="33"/>
      <c r="D54" s="71">
        <f>8*6.7</f>
        <v>53.6</v>
      </c>
      <c r="E54" s="32">
        <f t="shared" si="4"/>
        <v>9017.7999999999993</v>
      </c>
      <c r="F54" s="33"/>
      <c r="G54" s="33">
        <f t="shared" si="8"/>
        <v>19.627363280172172</v>
      </c>
      <c r="H54" s="56"/>
      <c r="I54" s="33">
        <f t="shared" si="9"/>
        <v>1052.0266718172284</v>
      </c>
      <c r="J54" s="33">
        <f t="shared" si="10"/>
        <v>176995.63658793661</v>
      </c>
      <c r="K54" s="47"/>
      <c r="L54" s="60"/>
      <c r="M54" s="60"/>
      <c r="N54" s="60"/>
    </row>
    <row r="55" spans="1:14" s="34" customFormat="1" x14ac:dyDescent="0.3">
      <c r="A55" s="115">
        <v>42065</v>
      </c>
      <c r="B55" s="51" t="s">
        <v>138</v>
      </c>
      <c r="C55" s="33"/>
      <c r="D55" s="71">
        <f>9*4.75</f>
        <v>42.75</v>
      </c>
      <c r="E55" s="32">
        <f t="shared" si="4"/>
        <v>8975.0499999999993</v>
      </c>
      <c r="F55" s="33"/>
      <c r="G55" s="33">
        <f t="shared" si="8"/>
        <v>19.627363280172172</v>
      </c>
      <c r="H55" s="56"/>
      <c r="I55" s="33">
        <f t="shared" si="9"/>
        <v>839.06978022736041</v>
      </c>
      <c r="J55" s="33">
        <f t="shared" si="10"/>
        <v>176156.56680770926</v>
      </c>
      <c r="K55" s="47"/>
      <c r="L55" s="60"/>
      <c r="M55" s="60"/>
      <c r="N55" s="60"/>
    </row>
    <row r="56" spans="1:14" s="34" customFormat="1" x14ac:dyDescent="0.3">
      <c r="A56" s="115">
        <v>42066</v>
      </c>
      <c r="B56" s="51" t="s">
        <v>139</v>
      </c>
      <c r="C56" s="33"/>
      <c r="D56" s="71">
        <f>10*5.1</f>
        <v>51</v>
      </c>
      <c r="E56" s="32">
        <f t="shared" si="4"/>
        <v>8924.0499999999993</v>
      </c>
      <c r="F56" s="33"/>
      <c r="G56" s="33">
        <f t="shared" si="8"/>
        <v>19.627363280172172</v>
      </c>
      <c r="H56" s="56"/>
      <c r="I56" s="33">
        <f t="shared" si="9"/>
        <v>1000.9955272887807</v>
      </c>
      <c r="J56" s="33">
        <f t="shared" si="10"/>
        <v>175155.57128042047</v>
      </c>
      <c r="K56" s="47"/>
      <c r="L56" s="60"/>
      <c r="M56" s="60"/>
      <c r="N56" s="60"/>
    </row>
    <row r="57" spans="1:14" s="34" customFormat="1" x14ac:dyDescent="0.3">
      <c r="A57" s="115">
        <v>42067</v>
      </c>
      <c r="B57" s="51" t="s">
        <v>141</v>
      </c>
      <c r="C57" s="33"/>
      <c r="D57" s="71">
        <f>42*3+36*2.45+6*2</f>
        <v>226.2</v>
      </c>
      <c r="E57" s="32">
        <f t="shared" si="4"/>
        <v>8697.8499999999985</v>
      </c>
      <c r="F57" s="33"/>
      <c r="G57" s="33">
        <f t="shared" si="8"/>
        <v>19.627363280172172</v>
      </c>
      <c r="H57" s="56"/>
      <c r="I57" s="33">
        <f t="shared" si="9"/>
        <v>4439.7095739749448</v>
      </c>
      <c r="J57" s="33">
        <f t="shared" si="10"/>
        <v>170715.86170644552</v>
      </c>
      <c r="K57" s="47"/>
      <c r="L57" s="60"/>
      <c r="M57" s="60"/>
      <c r="N57" s="60"/>
    </row>
    <row r="58" spans="1:14" s="34" customFormat="1" x14ac:dyDescent="0.3">
      <c r="A58" s="115">
        <v>42067</v>
      </c>
      <c r="B58" s="51" t="s">
        <v>142</v>
      </c>
      <c r="C58" s="33"/>
      <c r="D58" s="71">
        <f>6*2.5</f>
        <v>15</v>
      </c>
      <c r="E58" s="32">
        <f t="shared" si="4"/>
        <v>8682.8499999999985</v>
      </c>
      <c r="F58" s="33"/>
      <c r="G58" s="33">
        <f t="shared" si="8"/>
        <v>19.627363280172176</v>
      </c>
      <c r="H58" s="56"/>
      <c r="I58" s="33">
        <f t="shared" si="9"/>
        <v>294.41044920258264</v>
      </c>
      <c r="J58" s="33">
        <f t="shared" si="10"/>
        <v>170421.45125724294</v>
      </c>
      <c r="K58" s="47"/>
      <c r="L58" s="60"/>
      <c r="M58" s="60"/>
      <c r="N58" s="60"/>
    </row>
    <row r="59" spans="1:14" s="34" customFormat="1" x14ac:dyDescent="0.3">
      <c r="A59" s="115">
        <v>42067</v>
      </c>
      <c r="B59" s="51" t="s">
        <v>143</v>
      </c>
      <c r="C59" s="33"/>
      <c r="D59" s="71">
        <f>15*4</f>
        <v>60</v>
      </c>
      <c r="E59" s="32">
        <f t="shared" si="4"/>
        <v>8622.8499999999985</v>
      </c>
      <c r="F59" s="33"/>
      <c r="G59" s="33">
        <f t="shared" ref="G59:G73" si="11">+J58/E58</f>
        <v>19.627363280172176</v>
      </c>
      <c r="H59" s="56"/>
      <c r="I59" s="33">
        <f t="shared" ref="I59:I73" si="12">+D59*G59</f>
        <v>1177.6417968103306</v>
      </c>
      <c r="J59" s="33">
        <f t="shared" ref="J59:J73" si="13">+J58-I59</f>
        <v>169243.80946043262</v>
      </c>
      <c r="K59" s="47"/>
      <c r="L59" s="60"/>
      <c r="M59" s="60"/>
      <c r="N59" s="60"/>
    </row>
    <row r="60" spans="1:14" s="34" customFormat="1" x14ac:dyDescent="0.3">
      <c r="A60" s="115">
        <v>42070</v>
      </c>
      <c r="B60" s="51" t="s">
        <v>145</v>
      </c>
      <c r="C60" s="33"/>
      <c r="D60" s="71">
        <f>10*6</f>
        <v>60</v>
      </c>
      <c r="E60" s="32">
        <f t="shared" si="4"/>
        <v>8562.8499999999985</v>
      </c>
      <c r="F60" s="33"/>
      <c r="G60" s="33">
        <f t="shared" si="11"/>
        <v>19.627363280172176</v>
      </c>
      <c r="H60" s="56"/>
      <c r="I60" s="33">
        <f t="shared" si="12"/>
        <v>1177.6417968103306</v>
      </c>
      <c r="J60" s="33">
        <f t="shared" si="13"/>
        <v>168066.1676636223</v>
      </c>
      <c r="K60" s="47"/>
      <c r="L60" s="60"/>
      <c r="M60" s="60"/>
      <c r="N60" s="60"/>
    </row>
    <row r="61" spans="1:14" s="34" customFormat="1" x14ac:dyDescent="0.3">
      <c r="A61" s="115">
        <v>42072</v>
      </c>
      <c r="B61" s="51" t="s">
        <v>148</v>
      </c>
      <c r="C61" s="33"/>
      <c r="D61" s="71">
        <f>13*5</f>
        <v>65</v>
      </c>
      <c r="E61" s="32">
        <f t="shared" si="4"/>
        <v>8497.8499999999985</v>
      </c>
      <c r="F61" s="33"/>
      <c r="G61" s="33">
        <f t="shared" si="11"/>
        <v>19.627363280172176</v>
      </c>
      <c r="H61" s="56"/>
      <c r="I61" s="33">
        <f t="shared" si="12"/>
        <v>1275.7786132111914</v>
      </c>
      <c r="J61" s="33">
        <f t="shared" si="13"/>
        <v>166790.38905041112</v>
      </c>
      <c r="K61" s="47"/>
      <c r="L61" s="60"/>
      <c r="M61" s="60"/>
      <c r="N61" s="60"/>
    </row>
    <row r="62" spans="1:14" s="34" customFormat="1" x14ac:dyDescent="0.3">
      <c r="A62" s="115">
        <v>42076</v>
      </c>
      <c r="B62" s="51" t="s">
        <v>151</v>
      </c>
      <c r="C62" s="33"/>
      <c r="D62" s="71">
        <f>2*4.8+5*1.2</f>
        <v>15.6</v>
      </c>
      <c r="E62" s="32">
        <f t="shared" si="4"/>
        <v>8482.2499999999982</v>
      </c>
      <c r="F62" s="33"/>
      <c r="G62" s="33">
        <f t="shared" si="11"/>
        <v>19.62736328017218</v>
      </c>
      <c r="H62" s="56"/>
      <c r="I62" s="33">
        <f t="shared" si="12"/>
        <v>306.18686717068601</v>
      </c>
      <c r="J62" s="33">
        <f t="shared" si="13"/>
        <v>166484.20218324044</v>
      </c>
      <c r="K62" s="81"/>
      <c r="L62" s="161">
        <f>SUM(I54:I62)</f>
        <v>11563.461076513433</v>
      </c>
      <c r="M62" s="89"/>
      <c r="N62" s="162">
        <v>42076</v>
      </c>
    </row>
    <row r="63" spans="1:14" s="34" customFormat="1" x14ac:dyDescent="0.3">
      <c r="A63" s="115">
        <v>42079</v>
      </c>
      <c r="B63" s="51" t="s">
        <v>154</v>
      </c>
      <c r="C63" s="33"/>
      <c r="D63" s="71">
        <f>5*2.5</f>
        <v>12.5</v>
      </c>
      <c r="E63" s="32">
        <f t="shared" si="4"/>
        <v>8469.7499999999982</v>
      </c>
      <c r="F63" s="33"/>
      <c r="G63" s="33">
        <f t="shared" si="11"/>
        <v>19.62736328017218</v>
      </c>
      <c r="H63" s="56"/>
      <c r="I63" s="33">
        <f t="shared" si="12"/>
        <v>245.34204100215226</v>
      </c>
      <c r="J63" s="33">
        <f t="shared" si="13"/>
        <v>166238.86014223829</v>
      </c>
      <c r="K63" s="47"/>
      <c r="L63" s="60"/>
      <c r="M63" s="60"/>
      <c r="N63" s="60"/>
    </row>
    <row r="64" spans="1:14" s="34" customFormat="1" x14ac:dyDescent="0.3">
      <c r="A64" s="115">
        <v>42083</v>
      </c>
      <c r="B64" s="51" t="s">
        <v>159</v>
      </c>
      <c r="C64" s="33"/>
      <c r="D64" s="71">
        <f>4*2.45</f>
        <v>9.8000000000000007</v>
      </c>
      <c r="E64" s="32">
        <f t="shared" si="4"/>
        <v>8459.9499999999989</v>
      </c>
      <c r="F64" s="33"/>
      <c r="G64" s="33">
        <f t="shared" si="11"/>
        <v>19.62736328017218</v>
      </c>
      <c r="H64" s="56"/>
      <c r="I64" s="33">
        <f t="shared" si="12"/>
        <v>192.34816014568739</v>
      </c>
      <c r="J64" s="33">
        <f t="shared" si="13"/>
        <v>166046.5119820926</v>
      </c>
      <c r="K64" s="47"/>
      <c r="L64" s="60"/>
      <c r="M64" s="60"/>
      <c r="N64" s="60"/>
    </row>
    <row r="65" spans="1:14" s="34" customFormat="1" x14ac:dyDescent="0.3">
      <c r="A65" s="115">
        <v>42084</v>
      </c>
      <c r="B65" s="51" t="s">
        <v>160</v>
      </c>
      <c r="C65" s="33"/>
      <c r="D65" s="71">
        <f>1.55</f>
        <v>1.55</v>
      </c>
      <c r="E65" s="32">
        <f t="shared" si="4"/>
        <v>8458.4</v>
      </c>
      <c r="F65" s="33"/>
      <c r="G65" s="33">
        <f t="shared" si="11"/>
        <v>19.62736328017218</v>
      </c>
      <c r="H65" s="56"/>
      <c r="I65" s="33">
        <f t="shared" si="12"/>
        <v>30.422413084266879</v>
      </c>
      <c r="J65" s="33">
        <f t="shared" si="13"/>
        <v>166016.08956900833</v>
      </c>
      <c r="K65" s="47"/>
      <c r="L65" s="60"/>
      <c r="M65" s="60"/>
      <c r="N65" s="60"/>
    </row>
    <row r="66" spans="1:14" s="34" customFormat="1" x14ac:dyDescent="0.3">
      <c r="A66" s="115">
        <v>42084</v>
      </c>
      <c r="B66" s="51" t="s">
        <v>163</v>
      </c>
      <c r="C66" s="33"/>
      <c r="D66" s="71">
        <f>13*1</f>
        <v>13</v>
      </c>
      <c r="E66" s="32">
        <f t="shared" si="4"/>
        <v>8445.4</v>
      </c>
      <c r="F66" s="33"/>
      <c r="G66" s="33">
        <f t="shared" si="11"/>
        <v>19.627363280172176</v>
      </c>
      <c r="H66" s="56"/>
      <c r="I66" s="33">
        <f t="shared" si="12"/>
        <v>255.15572264223829</v>
      </c>
      <c r="J66" s="33">
        <f t="shared" si="13"/>
        <v>165760.9338463661</v>
      </c>
      <c r="K66" s="47"/>
      <c r="L66" s="60"/>
      <c r="M66" s="60"/>
      <c r="N66" s="60"/>
    </row>
    <row r="67" spans="1:14" s="34" customFormat="1" x14ac:dyDescent="0.3">
      <c r="A67" s="115">
        <v>42088</v>
      </c>
      <c r="B67" s="51" t="s">
        <v>168</v>
      </c>
      <c r="C67" s="33"/>
      <c r="D67" s="71">
        <f>23*7.3</f>
        <v>167.9</v>
      </c>
      <c r="E67" s="32">
        <f t="shared" si="4"/>
        <v>8277.5</v>
      </c>
      <c r="F67" s="33"/>
      <c r="G67" s="33">
        <f t="shared" si="11"/>
        <v>19.627363280172176</v>
      </c>
      <c r="H67" s="56"/>
      <c r="I67" s="33">
        <f t="shared" si="12"/>
        <v>3295.4342947409086</v>
      </c>
      <c r="J67" s="33">
        <f t="shared" si="13"/>
        <v>162465.49955162519</v>
      </c>
      <c r="K67" s="47"/>
      <c r="L67" s="60"/>
      <c r="M67" s="60"/>
      <c r="N67" s="60"/>
    </row>
    <row r="68" spans="1:14" s="34" customFormat="1" x14ac:dyDescent="0.3">
      <c r="A68" s="115">
        <v>42089</v>
      </c>
      <c r="B68" s="51" t="s">
        <v>169</v>
      </c>
      <c r="C68" s="33"/>
      <c r="D68" s="71">
        <f>7*2</f>
        <v>14</v>
      </c>
      <c r="E68" s="32">
        <f t="shared" si="4"/>
        <v>8263.5</v>
      </c>
      <c r="F68" s="33"/>
      <c r="G68" s="33">
        <f t="shared" si="11"/>
        <v>19.627363280172176</v>
      </c>
      <c r="H68" s="56"/>
      <c r="I68" s="33">
        <f t="shared" si="12"/>
        <v>274.78308592241046</v>
      </c>
      <c r="J68" s="33">
        <f t="shared" si="13"/>
        <v>162190.71646570278</v>
      </c>
      <c r="K68" s="47"/>
      <c r="L68" s="60"/>
      <c r="M68" s="60"/>
      <c r="N68" s="60"/>
    </row>
    <row r="69" spans="1:14" s="34" customFormat="1" x14ac:dyDescent="0.3">
      <c r="A69" s="115">
        <v>42093</v>
      </c>
      <c r="B69" s="51" t="s">
        <v>172</v>
      </c>
      <c r="C69" s="33"/>
      <c r="D69" s="71">
        <f>7</f>
        <v>7</v>
      </c>
      <c r="E69" s="32">
        <f t="shared" si="4"/>
        <v>8256.5</v>
      </c>
      <c r="F69" s="33"/>
      <c r="G69" s="33">
        <f t="shared" si="11"/>
        <v>19.627363280172176</v>
      </c>
      <c r="H69" s="56"/>
      <c r="I69" s="33">
        <f t="shared" si="12"/>
        <v>137.39154296120523</v>
      </c>
      <c r="J69" s="33">
        <f t="shared" si="13"/>
        <v>162053.32492274157</v>
      </c>
      <c r="K69" s="47"/>
      <c r="L69" s="60"/>
      <c r="M69" s="60"/>
      <c r="N69" s="60"/>
    </row>
    <row r="70" spans="1:14" s="34" customFormat="1" x14ac:dyDescent="0.3">
      <c r="A70" s="115">
        <v>42093</v>
      </c>
      <c r="B70" s="51" t="s">
        <v>173</v>
      </c>
      <c r="C70" s="33"/>
      <c r="D70" s="71">
        <f>3*3.5</f>
        <v>10.5</v>
      </c>
      <c r="E70" s="32">
        <f t="shared" si="4"/>
        <v>8246</v>
      </c>
      <c r="F70" s="33"/>
      <c r="G70" s="33">
        <f t="shared" si="11"/>
        <v>19.627363280172176</v>
      </c>
      <c r="H70" s="56"/>
      <c r="I70" s="33">
        <f t="shared" si="12"/>
        <v>206.08731444180785</v>
      </c>
      <c r="J70" s="33">
        <f t="shared" si="13"/>
        <v>161847.23760829977</v>
      </c>
      <c r="K70" s="47"/>
      <c r="L70" s="60"/>
      <c r="M70" s="60"/>
      <c r="N70" s="60"/>
    </row>
    <row r="71" spans="1:14" s="34" customFormat="1" x14ac:dyDescent="0.3">
      <c r="A71" s="115">
        <v>42094</v>
      </c>
      <c r="B71" s="51" t="s">
        <v>178</v>
      </c>
      <c r="C71" s="33"/>
      <c r="D71" s="71">
        <f>8*5.6+6*5.9</f>
        <v>80.2</v>
      </c>
      <c r="E71" s="32">
        <f t="shared" si="4"/>
        <v>8165.8</v>
      </c>
      <c r="F71" s="33"/>
      <c r="G71" s="33">
        <f t="shared" si="11"/>
        <v>19.627363280172176</v>
      </c>
      <c r="H71" s="56"/>
      <c r="I71" s="33">
        <f t="shared" si="12"/>
        <v>1574.1145350698087</v>
      </c>
      <c r="J71" s="33">
        <f t="shared" si="13"/>
        <v>160273.12307322994</v>
      </c>
      <c r="K71" s="47"/>
      <c r="L71" s="60"/>
      <c r="M71" s="60"/>
      <c r="N71" s="60"/>
    </row>
    <row r="72" spans="1:14" s="34" customFormat="1" x14ac:dyDescent="0.3">
      <c r="A72" s="115">
        <v>42094</v>
      </c>
      <c r="B72" s="51" t="s">
        <v>180</v>
      </c>
      <c r="C72" s="33"/>
      <c r="D72" s="71">
        <f>22*6.67+2</f>
        <v>148.74</v>
      </c>
      <c r="E72" s="32">
        <f t="shared" si="4"/>
        <v>8017.06</v>
      </c>
      <c r="F72" s="33"/>
      <c r="G72" s="33">
        <f t="shared" si="11"/>
        <v>19.627363280172176</v>
      </c>
      <c r="H72" s="56"/>
      <c r="I72" s="33">
        <f t="shared" si="12"/>
        <v>2919.3740142928095</v>
      </c>
      <c r="J72" s="33">
        <f t="shared" si="13"/>
        <v>157353.74905893713</v>
      </c>
      <c r="K72" s="81"/>
      <c r="L72" s="161">
        <f>SUM(I63:I72)</f>
        <v>9130.4531243032961</v>
      </c>
      <c r="M72" s="161">
        <f>SUM(L62:L72)</f>
        <v>20693.914200816729</v>
      </c>
      <c r="N72" s="162">
        <v>42094</v>
      </c>
    </row>
    <row r="73" spans="1:14" s="34" customFormat="1" x14ac:dyDescent="0.3">
      <c r="A73" s="115">
        <v>42095</v>
      </c>
      <c r="B73" s="51" t="s">
        <v>183</v>
      </c>
      <c r="C73" s="33"/>
      <c r="D73" s="71">
        <f>3*4.6</f>
        <v>13.799999999999999</v>
      </c>
      <c r="E73" s="32">
        <f t="shared" si="4"/>
        <v>8003.26</v>
      </c>
      <c r="F73" s="33"/>
      <c r="G73" s="33">
        <f t="shared" si="11"/>
        <v>19.627363280172172</v>
      </c>
      <c r="H73" s="56"/>
      <c r="I73" s="33">
        <f t="shared" si="12"/>
        <v>270.85761326637595</v>
      </c>
      <c r="J73" s="33">
        <f t="shared" si="13"/>
        <v>157082.89144567074</v>
      </c>
      <c r="K73" s="47"/>
      <c r="L73" s="60"/>
      <c r="M73" s="60"/>
      <c r="N73" s="60"/>
    </row>
    <row r="74" spans="1:14" s="34" customFormat="1" x14ac:dyDescent="0.3">
      <c r="A74" s="115">
        <v>42098</v>
      </c>
      <c r="B74" s="51" t="s">
        <v>184</v>
      </c>
      <c r="C74" s="33"/>
      <c r="D74" s="71">
        <f>24*4+3.1</f>
        <v>99.1</v>
      </c>
      <c r="E74" s="32">
        <f t="shared" ref="E74:E105" si="14">+E73-D74</f>
        <v>7904.16</v>
      </c>
      <c r="F74" s="33"/>
      <c r="G74" s="33">
        <f t="shared" ref="G74:G105" si="15">+J73/E73</f>
        <v>19.627363280172172</v>
      </c>
      <c r="H74" s="56"/>
      <c r="I74" s="33">
        <f t="shared" ref="I74:I105" si="16">+D74*G74</f>
        <v>1945.0717010650621</v>
      </c>
      <c r="J74" s="33">
        <f t="shared" ref="J74:J105" si="17">+J73-I74</f>
        <v>155137.81974460569</v>
      </c>
      <c r="K74" s="47"/>
      <c r="L74" s="60"/>
      <c r="M74" s="60"/>
      <c r="N74" s="60"/>
    </row>
    <row r="75" spans="1:14" s="34" customFormat="1" x14ac:dyDescent="0.3">
      <c r="A75" s="115">
        <v>42098</v>
      </c>
      <c r="B75" s="51" t="s">
        <v>186</v>
      </c>
      <c r="C75" s="33"/>
      <c r="D75" s="71">
        <f>7*2.6</f>
        <v>18.2</v>
      </c>
      <c r="E75" s="32">
        <f t="shared" si="14"/>
        <v>7885.96</v>
      </c>
      <c r="F75" s="33"/>
      <c r="G75" s="33">
        <f t="shared" si="15"/>
        <v>19.627363280172172</v>
      </c>
      <c r="H75" s="56"/>
      <c r="I75" s="33">
        <f t="shared" si="16"/>
        <v>357.21801169913351</v>
      </c>
      <c r="J75" s="33">
        <f t="shared" si="17"/>
        <v>154780.60173290657</v>
      </c>
      <c r="K75" s="47"/>
      <c r="L75" s="60"/>
      <c r="M75" s="60"/>
      <c r="N75" s="60"/>
    </row>
    <row r="76" spans="1:14" s="34" customFormat="1" x14ac:dyDescent="0.3">
      <c r="A76" s="115">
        <v>42098</v>
      </c>
      <c r="B76" s="51" t="s">
        <v>187</v>
      </c>
      <c r="C76" s="33"/>
      <c r="D76" s="71">
        <f>9*1.27+2.95+2.64+2.33+2.02+1.7</f>
        <v>23.07</v>
      </c>
      <c r="E76" s="32">
        <f t="shared" si="14"/>
        <v>7862.89</v>
      </c>
      <c r="F76" s="33"/>
      <c r="G76" s="33">
        <f t="shared" si="15"/>
        <v>19.627363280172176</v>
      </c>
      <c r="H76" s="56"/>
      <c r="I76" s="33">
        <f t="shared" si="16"/>
        <v>452.8032708735721</v>
      </c>
      <c r="J76" s="33">
        <f t="shared" si="17"/>
        <v>154327.79846203298</v>
      </c>
      <c r="K76" s="47"/>
      <c r="L76" s="60"/>
      <c r="M76" s="60"/>
      <c r="N76" s="60"/>
    </row>
    <row r="77" spans="1:14" s="34" customFormat="1" x14ac:dyDescent="0.3">
      <c r="A77" s="115">
        <v>42098</v>
      </c>
      <c r="B77" s="51" t="s">
        <v>188</v>
      </c>
      <c r="C77" s="33"/>
      <c r="D77" s="71">
        <f>30*3</f>
        <v>90</v>
      </c>
      <c r="E77" s="32">
        <f t="shared" si="14"/>
        <v>7772.89</v>
      </c>
      <c r="F77" s="33"/>
      <c r="G77" s="33">
        <f t="shared" si="15"/>
        <v>19.627363280172172</v>
      </c>
      <c r="H77" s="56"/>
      <c r="I77" s="33">
        <f t="shared" si="16"/>
        <v>1766.4626952154956</v>
      </c>
      <c r="J77" s="33">
        <f t="shared" si="17"/>
        <v>152561.33576681747</v>
      </c>
      <c r="K77" s="47"/>
      <c r="L77" s="60"/>
      <c r="M77" s="60"/>
      <c r="N77" s="60"/>
    </row>
    <row r="78" spans="1:14" s="34" customFormat="1" x14ac:dyDescent="0.3">
      <c r="A78" s="115">
        <v>42098</v>
      </c>
      <c r="B78" s="51" t="s">
        <v>189</v>
      </c>
      <c r="C78" s="33"/>
      <c r="D78" s="71">
        <f>3*3</f>
        <v>9</v>
      </c>
      <c r="E78" s="32">
        <f t="shared" si="14"/>
        <v>7763.89</v>
      </c>
      <c r="F78" s="33"/>
      <c r="G78" s="33">
        <f t="shared" si="15"/>
        <v>19.627363280172172</v>
      </c>
      <c r="H78" s="56"/>
      <c r="I78" s="33">
        <f t="shared" si="16"/>
        <v>176.64626952154956</v>
      </c>
      <c r="J78" s="33">
        <f t="shared" si="17"/>
        <v>152384.68949729591</v>
      </c>
      <c r="K78" s="47"/>
      <c r="L78" s="60"/>
      <c r="M78" s="60"/>
      <c r="N78" s="60"/>
    </row>
    <row r="79" spans="1:14" s="34" customFormat="1" x14ac:dyDescent="0.3">
      <c r="A79" s="115">
        <v>42098</v>
      </c>
      <c r="B79" s="51" t="s">
        <v>190</v>
      </c>
      <c r="C79" s="33"/>
      <c r="D79" s="71">
        <f>5*2.6</f>
        <v>13</v>
      </c>
      <c r="E79" s="32">
        <f t="shared" si="14"/>
        <v>7750.89</v>
      </c>
      <c r="F79" s="33"/>
      <c r="G79" s="33">
        <f t="shared" si="15"/>
        <v>19.627363280172169</v>
      </c>
      <c r="H79" s="56"/>
      <c r="I79" s="33">
        <f t="shared" si="16"/>
        <v>255.1557226422382</v>
      </c>
      <c r="J79" s="33">
        <f t="shared" si="17"/>
        <v>152129.53377465368</v>
      </c>
      <c r="K79" s="47"/>
      <c r="L79" s="60"/>
      <c r="M79" s="60"/>
      <c r="N79" s="60"/>
    </row>
    <row r="80" spans="1:14" s="34" customFormat="1" x14ac:dyDescent="0.3">
      <c r="A80" s="115">
        <v>42100</v>
      </c>
      <c r="B80" s="51" t="s">
        <v>194</v>
      </c>
      <c r="C80" s="33"/>
      <c r="D80" s="71">
        <f>4*1.8+4*2.5</f>
        <v>17.2</v>
      </c>
      <c r="E80" s="32">
        <f t="shared" si="14"/>
        <v>7733.6900000000005</v>
      </c>
      <c r="F80" s="33"/>
      <c r="G80" s="33">
        <f t="shared" si="15"/>
        <v>19.627363280172169</v>
      </c>
      <c r="H80" s="56"/>
      <c r="I80" s="33">
        <f t="shared" si="16"/>
        <v>337.59064841896128</v>
      </c>
      <c r="J80" s="33">
        <f t="shared" si="17"/>
        <v>151791.94312623472</v>
      </c>
      <c r="K80" s="47"/>
      <c r="L80" s="60"/>
      <c r="M80" s="60"/>
      <c r="N80" s="60"/>
    </row>
    <row r="81" spans="1:14" s="34" customFormat="1" x14ac:dyDescent="0.3">
      <c r="A81" s="115">
        <v>42101</v>
      </c>
      <c r="B81" s="51" t="s">
        <v>196</v>
      </c>
      <c r="C81" s="33"/>
      <c r="D81" s="71">
        <f>13*5</f>
        <v>65</v>
      </c>
      <c r="E81" s="32">
        <f t="shared" si="14"/>
        <v>7668.6900000000005</v>
      </c>
      <c r="F81" s="33"/>
      <c r="G81" s="33">
        <f t="shared" si="15"/>
        <v>19.627363280172169</v>
      </c>
      <c r="H81" s="56"/>
      <c r="I81" s="33">
        <f t="shared" si="16"/>
        <v>1275.778613211191</v>
      </c>
      <c r="J81" s="33">
        <f t="shared" si="17"/>
        <v>150516.16451302354</v>
      </c>
      <c r="K81" s="47"/>
      <c r="L81" s="60"/>
      <c r="M81" s="60"/>
      <c r="N81" s="60"/>
    </row>
    <row r="82" spans="1:14" s="34" customFormat="1" x14ac:dyDescent="0.3">
      <c r="A82" s="115">
        <v>42102</v>
      </c>
      <c r="B82" s="51" t="s">
        <v>198</v>
      </c>
      <c r="C82" s="33"/>
      <c r="D82" s="71">
        <f>4*2.1</f>
        <v>8.4</v>
      </c>
      <c r="E82" s="32">
        <f t="shared" si="14"/>
        <v>7660.2900000000009</v>
      </c>
      <c r="F82" s="33"/>
      <c r="G82" s="33">
        <f t="shared" si="15"/>
        <v>19.627363280172172</v>
      </c>
      <c r="H82" s="56"/>
      <c r="I82" s="33">
        <f t="shared" si="16"/>
        <v>164.86985155344627</v>
      </c>
      <c r="J82" s="33">
        <f t="shared" si="17"/>
        <v>150351.29466147011</v>
      </c>
      <c r="K82" s="47"/>
      <c r="L82" s="60"/>
      <c r="M82" s="60"/>
      <c r="N82" s="60"/>
    </row>
    <row r="83" spans="1:14" s="34" customFormat="1" x14ac:dyDescent="0.3">
      <c r="A83" s="115">
        <v>42103</v>
      </c>
      <c r="B83" s="51" t="s">
        <v>201</v>
      </c>
      <c r="C83" s="33"/>
      <c r="D83" s="71">
        <f>6*4.27+6*3.57</f>
        <v>47.039999999999992</v>
      </c>
      <c r="E83" s="32">
        <f t="shared" si="14"/>
        <v>7613.2500000000009</v>
      </c>
      <c r="F83" s="33"/>
      <c r="G83" s="33">
        <f t="shared" si="15"/>
        <v>19.627363280172172</v>
      </c>
      <c r="H83" s="56"/>
      <c r="I83" s="33">
        <f t="shared" si="16"/>
        <v>923.27116869929887</v>
      </c>
      <c r="J83" s="33">
        <f t="shared" si="17"/>
        <v>149428.02349277079</v>
      </c>
      <c r="K83" s="81"/>
      <c r="L83" s="161">
        <f>SUM(I73:I83)</f>
        <v>7925.7255661663248</v>
      </c>
      <c r="M83" s="89"/>
      <c r="N83" s="162">
        <v>42103</v>
      </c>
    </row>
    <row r="84" spans="1:14" s="34" customFormat="1" x14ac:dyDescent="0.3">
      <c r="A84" s="115">
        <v>42112</v>
      </c>
      <c r="B84" s="51" t="s">
        <v>210</v>
      </c>
      <c r="C84" s="33"/>
      <c r="D84" s="71">
        <f>4*2.5</f>
        <v>10</v>
      </c>
      <c r="E84" s="32">
        <f t="shared" si="14"/>
        <v>7603.2500000000009</v>
      </c>
      <c r="F84" s="33"/>
      <c r="G84" s="33">
        <f t="shared" si="15"/>
        <v>19.627363280172169</v>
      </c>
      <c r="H84" s="56"/>
      <c r="I84" s="33">
        <f t="shared" si="16"/>
        <v>196.2736328017217</v>
      </c>
      <c r="J84" s="33">
        <f t="shared" si="17"/>
        <v>149231.74985996907</v>
      </c>
      <c r="K84" s="47"/>
      <c r="L84" s="60"/>
      <c r="M84" s="60"/>
      <c r="N84" s="60"/>
    </row>
    <row r="85" spans="1:14" s="34" customFormat="1" x14ac:dyDescent="0.3">
      <c r="A85" s="115">
        <v>42112</v>
      </c>
      <c r="B85" s="51" t="s">
        <v>211</v>
      </c>
      <c r="C85" s="33"/>
      <c r="D85" s="71">
        <f>9*2.45</f>
        <v>22.05</v>
      </c>
      <c r="E85" s="32">
        <f t="shared" si="14"/>
        <v>7581.2000000000007</v>
      </c>
      <c r="F85" s="33"/>
      <c r="G85" s="33">
        <f t="shared" si="15"/>
        <v>19.627363280172169</v>
      </c>
      <c r="H85" s="56"/>
      <c r="I85" s="33">
        <f t="shared" si="16"/>
        <v>432.78336032779634</v>
      </c>
      <c r="J85" s="33">
        <f t="shared" si="17"/>
        <v>148798.96649964128</v>
      </c>
      <c r="K85" s="47"/>
      <c r="L85" s="60"/>
      <c r="M85" s="60"/>
      <c r="N85" s="60"/>
    </row>
    <row r="86" spans="1:14" s="34" customFormat="1" x14ac:dyDescent="0.3">
      <c r="A86" s="115">
        <v>42112</v>
      </c>
      <c r="B86" s="51" t="s">
        <v>213</v>
      </c>
      <c r="C86" s="33"/>
      <c r="D86" s="71">
        <f>76*6.2</f>
        <v>471.2</v>
      </c>
      <c r="E86" s="32">
        <f t="shared" si="14"/>
        <v>7110.0000000000009</v>
      </c>
      <c r="F86" s="33"/>
      <c r="G86" s="33">
        <f t="shared" si="15"/>
        <v>19.627363280172172</v>
      </c>
      <c r="H86" s="56"/>
      <c r="I86" s="33">
        <f t="shared" si="16"/>
        <v>9248.4135776171279</v>
      </c>
      <c r="J86" s="33">
        <f t="shared" si="17"/>
        <v>139550.55292202416</v>
      </c>
      <c r="K86" s="47"/>
      <c r="L86" s="60"/>
      <c r="M86" s="60"/>
      <c r="N86" s="60"/>
    </row>
    <row r="87" spans="1:14" s="34" customFormat="1" x14ac:dyDescent="0.3">
      <c r="A87" s="115">
        <v>42114</v>
      </c>
      <c r="B87" s="51" t="s">
        <v>214</v>
      </c>
      <c r="C87" s="33"/>
      <c r="D87" s="71">
        <f>5*3</f>
        <v>15</v>
      </c>
      <c r="E87" s="32">
        <f t="shared" si="14"/>
        <v>7095.0000000000009</v>
      </c>
      <c r="F87" s="33"/>
      <c r="G87" s="33">
        <f t="shared" si="15"/>
        <v>19.627363280172172</v>
      </c>
      <c r="H87" s="56"/>
      <c r="I87" s="33">
        <f t="shared" si="16"/>
        <v>294.41044920258258</v>
      </c>
      <c r="J87" s="33">
        <f t="shared" si="17"/>
        <v>139256.14247282158</v>
      </c>
      <c r="K87" s="47"/>
      <c r="L87" s="60"/>
      <c r="M87" s="60"/>
      <c r="N87" s="60"/>
    </row>
    <row r="88" spans="1:14" s="34" customFormat="1" x14ac:dyDescent="0.3">
      <c r="A88" s="115">
        <v>42115</v>
      </c>
      <c r="B88" s="51" t="s">
        <v>215</v>
      </c>
      <c r="C88" s="33"/>
      <c r="D88" s="71">
        <f>11*5</f>
        <v>55</v>
      </c>
      <c r="E88" s="32">
        <f t="shared" si="14"/>
        <v>7040.0000000000009</v>
      </c>
      <c r="F88" s="33"/>
      <c r="G88" s="33">
        <f t="shared" si="15"/>
        <v>19.627363280172172</v>
      </c>
      <c r="H88" s="56"/>
      <c r="I88" s="33">
        <f t="shared" si="16"/>
        <v>1079.5049804094695</v>
      </c>
      <c r="J88" s="33">
        <f t="shared" si="17"/>
        <v>138176.63749241212</v>
      </c>
      <c r="K88" s="47"/>
      <c r="L88" s="60"/>
      <c r="M88" s="60"/>
      <c r="N88" s="60"/>
    </row>
    <row r="89" spans="1:14" s="34" customFormat="1" x14ac:dyDescent="0.3">
      <c r="A89" s="115">
        <v>42116</v>
      </c>
      <c r="B89" s="51" t="s">
        <v>218</v>
      </c>
      <c r="C89" s="33"/>
      <c r="D89" s="71">
        <f>2*7+2*6.14+7.3</f>
        <v>33.58</v>
      </c>
      <c r="E89" s="32">
        <f t="shared" si="14"/>
        <v>7006.420000000001</v>
      </c>
      <c r="F89" s="33"/>
      <c r="G89" s="33">
        <f t="shared" si="15"/>
        <v>19.627363280172172</v>
      </c>
      <c r="H89" s="56"/>
      <c r="I89" s="33">
        <f t="shared" si="16"/>
        <v>659.08685894818154</v>
      </c>
      <c r="J89" s="33">
        <f t="shared" si="17"/>
        <v>137517.55063346395</v>
      </c>
      <c r="K89" s="47"/>
      <c r="L89" s="60"/>
      <c r="M89" s="60"/>
      <c r="N89" s="60"/>
    </row>
    <row r="90" spans="1:14" s="34" customFormat="1" x14ac:dyDescent="0.3">
      <c r="A90" s="115">
        <v>42116</v>
      </c>
      <c r="B90" s="51" t="s">
        <v>220</v>
      </c>
      <c r="C90" s="33"/>
      <c r="D90" s="71">
        <f>2*7.3+2*6.7+6.25+5.9+5.4+5+4.6+4.3</f>
        <v>59.449999999999996</v>
      </c>
      <c r="E90" s="32">
        <f t="shared" si="14"/>
        <v>6946.9700000000012</v>
      </c>
      <c r="F90" s="33"/>
      <c r="G90" s="33">
        <f t="shared" si="15"/>
        <v>19.627363280172176</v>
      </c>
      <c r="H90" s="56"/>
      <c r="I90" s="33">
        <f t="shared" si="16"/>
        <v>1166.8467470062358</v>
      </c>
      <c r="J90" s="33">
        <f t="shared" si="17"/>
        <v>136350.70388645772</v>
      </c>
      <c r="K90" s="47"/>
      <c r="L90" s="60"/>
      <c r="M90" s="60"/>
      <c r="N90" s="60"/>
    </row>
    <row r="91" spans="1:14" s="34" customFormat="1" x14ac:dyDescent="0.3">
      <c r="A91" s="115">
        <v>42118</v>
      </c>
      <c r="B91" s="51" t="s">
        <v>223</v>
      </c>
      <c r="C91" s="33"/>
      <c r="D91" s="71">
        <f>12*4.5</f>
        <v>54</v>
      </c>
      <c r="E91" s="32">
        <f t="shared" si="14"/>
        <v>6892.9700000000012</v>
      </c>
      <c r="F91" s="33"/>
      <c r="G91" s="33">
        <f t="shared" si="15"/>
        <v>19.627363280172176</v>
      </c>
      <c r="H91" s="56"/>
      <c r="I91" s="33">
        <f t="shared" si="16"/>
        <v>1059.8776171292975</v>
      </c>
      <c r="J91" s="33">
        <f t="shared" si="17"/>
        <v>135290.82626932842</v>
      </c>
      <c r="K91" s="47"/>
      <c r="L91" s="60"/>
      <c r="M91" s="60"/>
      <c r="N91" s="60"/>
    </row>
    <row r="92" spans="1:14" s="34" customFormat="1" x14ac:dyDescent="0.3">
      <c r="A92" s="115">
        <v>42118</v>
      </c>
      <c r="B92" s="51" t="s">
        <v>224</v>
      </c>
      <c r="C92" s="33"/>
      <c r="D92" s="71">
        <f>2</f>
        <v>2</v>
      </c>
      <c r="E92" s="32">
        <f t="shared" si="14"/>
        <v>6890.9700000000012</v>
      </c>
      <c r="F92" s="33"/>
      <c r="G92" s="33">
        <f t="shared" si="15"/>
        <v>19.627363280172176</v>
      </c>
      <c r="H92" s="56"/>
      <c r="I92" s="33">
        <f t="shared" si="16"/>
        <v>39.254726560344352</v>
      </c>
      <c r="J92" s="33">
        <f t="shared" si="17"/>
        <v>135251.57154276807</v>
      </c>
      <c r="K92" s="47"/>
      <c r="L92" s="60"/>
      <c r="M92" s="60"/>
      <c r="N92" s="60"/>
    </row>
    <row r="93" spans="1:14" s="34" customFormat="1" x14ac:dyDescent="0.3">
      <c r="A93" s="115">
        <v>42119</v>
      </c>
      <c r="B93" s="51" t="s">
        <v>226</v>
      </c>
      <c r="C93" s="33"/>
      <c r="D93" s="71">
        <f>16*5.5</f>
        <v>88</v>
      </c>
      <c r="E93" s="32">
        <f t="shared" si="14"/>
        <v>6802.9700000000012</v>
      </c>
      <c r="F93" s="33"/>
      <c r="G93" s="33">
        <f t="shared" si="15"/>
        <v>19.627363280172172</v>
      </c>
      <c r="H93" s="56"/>
      <c r="I93" s="33">
        <f t="shared" si="16"/>
        <v>1727.2079686551513</v>
      </c>
      <c r="J93" s="33">
        <f t="shared" si="17"/>
        <v>133524.36357411291</v>
      </c>
      <c r="K93" s="47"/>
      <c r="L93" s="60"/>
      <c r="M93" s="60"/>
      <c r="N93" s="60"/>
    </row>
    <row r="94" spans="1:14" s="34" customFormat="1" x14ac:dyDescent="0.3">
      <c r="A94" s="115">
        <v>42121</v>
      </c>
      <c r="B94" s="51" t="s">
        <v>229</v>
      </c>
      <c r="C94" s="33"/>
      <c r="D94" s="71">
        <f>16*7.95+15*7.65</f>
        <v>241.95</v>
      </c>
      <c r="E94" s="32">
        <f t="shared" si="14"/>
        <v>6561.0200000000013</v>
      </c>
      <c r="F94" s="33"/>
      <c r="G94" s="33">
        <f t="shared" si="15"/>
        <v>19.627363280172172</v>
      </c>
      <c r="H94" s="56"/>
      <c r="I94" s="33">
        <f t="shared" si="16"/>
        <v>4748.8405456376568</v>
      </c>
      <c r="J94" s="33">
        <f t="shared" si="17"/>
        <v>128775.52302847526</v>
      </c>
      <c r="K94" s="47"/>
      <c r="L94" s="60"/>
      <c r="M94" s="60"/>
      <c r="N94" s="60"/>
    </row>
    <row r="95" spans="1:14" s="34" customFormat="1" x14ac:dyDescent="0.3">
      <c r="A95" s="115">
        <v>42124</v>
      </c>
      <c r="B95" s="51" t="s">
        <v>236</v>
      </c>
      <c r="C95" s="33"/>
      <c r="D95" s="71">
        <f>2*3.2+2*3.4+2*3.6+3.7+5*5.1</f>
        <v>49.599999999999994</v>
      </c>
      <c r="E95" s="32">
        <f t="shared" si="14"/>
        <v>6511.420000000001</v>
      </c>
      <c r="F95" s="33"/>
      <c r="G95" s="33">
        <f t="shared" si="15"/>
        <v>19.627363280172172</v>
      </c>
      <c r="H95" s="56"/>
      <c r="I95" s="33">
        <f t="shared" si="16"/>
        <v>973.51721869653966</v>
      </c>
      <c r="J95" s="33">
        <f t="shared" si="17"/>
        <v>127802.00580977873</v>
      </c>
      <c r="K95" s="47"/>
      <c r="L95" s="60"/>
      <c r="M95" s="60"/>
      <c r="N95" s="60"/>
    </row>
    <row r="96" spans="1:14" s="34" customFormat="1" x14ac:dyDescent="0.3">
      <c r="A96" s="115">
        <v>42124</v>
      </c>
      <c r="B96" s="51" t="s">
        <v>237</v>
      </c>
      <c r="C96" s="33"/>
      <c r="D96" s="71">
        <f>5*3.6</f>
        <v>18</v>
      </c>
      <c r="E96" s="32">
        <f t="shared" si="14"/>
        <v>6493.420000000001</v>
      </c>
      <c r="F96" s="33"/>
      <c r="G96" s="33">
        <f t="shared" si="15"/>
        <v>19.627363280172176</v>
      </c>
      <c r="H96" s="56"/>
      <c r="I96" s="33">
        <f t="shared" si="16"/>
        <v>353.29253904309917</v>
      </c>
      <c r="J96" s="33">
        <f t="shared" si="17"/>
        <v>127448.71327073562</v>
      </c>
      <c r="K96" s="47"/>
      <c r="L96" s="60"/>
      <c r="M96" s="60"/>
      <c r="N96" s="60"/>
    </row>
    <row r="97" spans="1:14" s="34" customFormat="1" x14ac:dyDescent="0.3">
      <c r="A97" s="115">
        <v>42124</v>
      </c>
      <c r="B97" s="51" t="s">
        <v>238</v>
      </c>
      <c r="C97" s="33"/>
      <c r="D97" s="71">
        <f>16*5.5</f>
        <v>88</v>
      </c>
      <c r="E97" s="32">
        <f t="shared" si="14"/>
        <v>6405.420000000001</v>
      </c>
      <c r="F97" s="33"/>
      <c r="G97" s="33">
        <f t="shared" si="15"/>
        <v>19.627363280172176</v>
      </c>
      <c r="H97" s="56"/>
      <c r="I97" s="33">
        <f t="shared" si="16"/>
        <v>1727.2079686551515</v>
      </c>
      <c r="J97" s="33">
        <f t="shared" si="17"/>
        <v>125721.50530208048</v>
      </c>
      <c r="K97" s="81"/>
      <c r="L97" s="161">
        <f>SUM(I84:I97)</f>
        <v>23706.518190690353</v>
      </c>
      <c r="M97" s="161">
        <f>SUM(L83:L97)</f>
        <v>31632.243756856678</v>
      </c>
      <c r="N97" s="162">
        <v>42124</v>
      </c>
    </row>
    <row r="98" spans="1:14" s="34" customFormat="1" x14ac:dyDescent="0.3">
      <c r="A98" s="115">
        <v>41761</v>
      </c>
      <c r="B98" s="51" t="s">
        <v>239</v>
      </c>
      <c r="C98" s="33"/>
      <c r="D98" s="71">
        <v>0</v>
      </c>
      <c r="E98" s="32">
        <f t="shared" si="14"/>
        <v>6405.420000000001</v>
      </c>
      <c r="F98" s="33"/>
      <c r="G98" s="33">
        <f t="shared" si="15"/>
        <v>19.627363280172176</v>
      </c>
      <c r="H98" s="56"/>
      <c r="I98" s="33">
        <f t="shared" si="16"/>
        <v>0</v>
      </c>
      <c r="J98" s="33">
        <f t="shared" si="17"/>
        <v>125721.50530208048</v>
      </c>
      <c r="K98" s="47"/>
      <c r="L98" s="60"/>
      <c r="M98" s="60"/>
      <c r="N98" s="60"/>
    </row>
    <row r="99" spans="1:14" s="34" customFormat="1" x14ac:dyDescent="0.3">
      <c r="A99" s="115">
        <v>41761</v>
      </c>
      <c r="B99" s="51" t="s">
        <v>240</v>
      </c>
      <c r="C99" s="33"/>
      <c r="D99" s="71">
        <f>4*2.2</f>
        <v>8.8000000000000007</v>
      </c>
      <c r="E99" s="32">
        <f t="shared" si="14"/>
        <v>6396.6200000000008</v>
      </c>
      <c r="F99" s="33"/>
      <c r="G99" s="33">
        <f t="shared" si="15"/>
        <v>19.627363280172176</v>
      </c>
      <c r="H99" s="56"/>
      <c r="I99" s="33">
        <f t="shared" si="16"/>
        <v>172.72079686551515</v>
      </c>
      <c r="J99" s="33">
        <f t="shared" si="17"/>
        <v>125548.78450521496</v>
      </c>
      <c r="K99" s="47"/>
      <c r="L99" s="60"/>
      <c r="M99" s="60"/>
      <c r="N99" s="60"/>
    </row>
    <row r="100" spans="1:14" s="34" customFormat="1" x14ac:dyDescent="0.3">
      <c r="A100" s="115">
        <v>42128</v>
      </c>
      <c r="B100" s="51" t="s">
        <v>243</v>
      </c>
      <c r="C100" s="33"/>
      <c r="D100" s="71">
        <f>14*2.5</f>
        <v>35</v>
      </c>
      <c r="E100" s="32">
        <f t="shared" si="14"/>
        <v>6361.6200000000008</v>
      </c>
      <c r="F100" s="33"/>
      <c r="G100" s="33">
        <f t="shared" si="15"/>
        <v>19.627363280172176</v>
      </c>
      <c r="H100" s="56"/>
      <c r="I100" s="33">
        <f t="shared" si="16"/>
        <v>686.95771480602616</v>
      </c>
      <c r="J100" s="33">
        <f t="shared" si="17"/>
        <v>124861.82679040894</v>
      </c>
      <c r="K100" s="47"/>
      <c r="L100" s="60"/>
      <c r="M100" s="60"/>
      <c r="N100" s="60"/>
    </row>
    <row r="101" spans="1:14" s="34" customFormat="1" x14ac:dyDescent="0.3">
      <c r="A101" s="115">
        <v>42142</v>
      </c>
      <c r="B101" s="51" t="s">
        <v>254</v>
      </c>
      <c r="C101" s="33"/>
      <c r="D101" s="71">
        <f>7*3.9</f>
        <v>27.3</v>
      </c>
      <c r="E101" s="32">
        <f t="shared" si="14"/>
        <v>6334.3200000000006</v>
      </c>
      <c r="F101" s="33"/>
      <c r="G101" s="33">
        <f t="shared" si="15"/>
        <v>19.627363280172176</v>
      </c>
      <c r="H101" s="56"/>
      <c r="I101" s="33">
        <f t="shared" si="16"/>
        <v>535.82701754870038</v>
      </c>
      <c r="J101" s="33">
        <f t="shared" si="17"/>
        <v>124325.99977286025</v>
      </c>
      <c r="K101" s="47"/>
      <c r="L101" s="60"/>
      <c r="M101" s="60"/>
      <c r="N101" s="60"/>
    </row>
    <row r="102" spans="1:14" s="34" customFormat="1" x14ac:dyDescent="0.3">
      <c r="A102" s="115">
        <v>42142</v>
      </c>
      <c r="B102" s="51" t="s">
        <v>258</v>
      </c>
      <c r="C102" s="33"/>
      <c r="D102" s="71">
        <f>18*3+1</f>
        <v>55</v>
      </c>
      <c r="E102" s="32">
        <f t="shared" si="14"/>
        <v>6279.3200000000006</v>
      </c>
      <c r="F102" s="33"/>
      <c r="G102" s="33">
        <f t="shared" si="15"/>
        <v>19.62736328017218</v>
      </c>
      <c r="H102" s="56"/>
      <c r="I102" s="33">
        <f t="shared" si="16"/>
        <v>1079.5049804094699</v>
      </c>
      <c r="J102" s="33">
        <f t="shared" si="17"/>
        <v>123246.49479245077</v>
      </c>
      <c r="K102" s="81"/>
      <c r="L102" s="161">
        <f>SUM(I98:I102)</f>
        <v>2475.0105096297116</v>
      </c>
      <c r="M102" s="161">
        <f>SUM(L102)</f>
        <v>2475.0105096297116</v>
      </c>
      <c r="N102" s="162">
        <v>42142</v>
      </c>
    </row>
    <row r="103" spans="1:14" s="34" customFormat="1" x14ac:dyDescent="0.3">
      <c r="A103" s="115">
        <v>42158</v>
      </c>
      <c r="B103" s="51" t="s">
        <v>275</v>
      </c>
      <c r="C103" s="33"/>
      <c r="D103" s="71">
        <f>7*4.5</f>
        <v>31.5</v>
      </c>
      <c r="E103" s="32">
        <f t="shared" si="14"/>
        <v>6247.8200000000006</v>
      </c>
      <c r="F103" s="33"/>
      <c r="G103" s="33">
        <f t="shared" si="15"/>
        <v>19.62736328017218</v>
      </c>
      <c r="H103" s="56"/>
      <c r="I103" s="33">
        <f t="shared" si="16"/>
        <v>618.26194332542366</v>
      </c>
      <c r="J103" s="33">
        <f t="shared" si="17"/>
        <v>122628.23284912534</v>
      </c>
      <c r="K103" s="47"/>
      <c r="L103" s="60"/>
      <c r="M103" s="60"/>
      <c r="N103" s="60"/>
    </row>
    <row r="104" spans="1:14" s="34" customFormat="1" x14ac:dyDescent="0.3">
      <c r="A104" s="115">
        <v>42163</v>
      </c>
      <c r="B104" s="51" t="s">
        <v>281</v>
      </c>
      <c r="C104" s="33"/>
      <c r="D104" s="71">
        <f>3*2.45</f>
        <v>7.3500000000000005</v>
      </c>
      <c r="E104" s="32">
        <f t="shared" si="14"/>
        <v>6240.47</v>
      </c>
      <c r="F104" s="33"/>
      <c r="G104" s="33">
        <f t="shared" si="15"/>
        <v>19.627363280172176</v>
      </c>
      <c r="H104" s="56"/>
      <c r="I104" s="33">
        <f t="shared" si="16"/>
        <v>144.26112010926551</v>
      </c>
      <c r="J104" s="33">
        <f t="shared" si="17"/>
        <v>122483.97172901608</v>
      </c>
      <c r="K104" s="47"/>
      <c r="L104" s="60"/>
      <c r="M104" s="60"/>
      <c r="N104" s="60"/>
    </row>
    <row r="105" spans="1:14" s="34" customFormat="1" x14ac:dyDescent="0.3">
      <c r="A105" s="115">
        <v>42164</v>
      </c>
      <c r="B105" s="51" t="s">
        <v>282</v>
      </c>
      <c r="C105" s="33"/>
      <c r="D105" s="71">
        <f>16*6</f>
        <v>96</v>
      </c>
      <c r="E105" s="32">
        <f t="shared" si="14"/>
        <v>6144.47</v>
      </c>
      <c r="F105" s="33"/>
      <c r="G105" s="33">
        <f t="shared" si="15"/>
        <v>19.62736328017218</v>
      </c>
      <c r="H105" s="56"/>
      <c r="I105" s="33">
        <f t="shared" si="16"/>
        <v>1884.2268748965294</v>
      </c>
      <c r="J105" s="33">
        <f t="shared" si="17"/>
        <v>120599.74485411955</v>
      </c>
      <c r="K105" s="47"/>
      <c r="L105" s="60"/>
      <c r="M105" s="60"/>
      <c r="N105" s="60"/>
    </row>
    <row r="106" spans="1:14" s="34" customFormat="1" x14ac:dyDescent="0.3">
      <c r="A106" s="115">
        <v>42164</v>
      </c>
      <c r="B106" s="51" t="s">
        <v>284</v>
      </c>
      <c r="C106" s="33"/>
      <c r="D106" s="71">
        <f>3*2.4+4</f>
        <v>11.2</v>
      </c>
      <c r="E106" s="32">
        <f t="shared" ref="E106:E132" si="18">+E105-D106</f>
        <v>6133.27</v>
      </c>
      <c r="F106" s="33"/>
      <c r="G106" s="33">
        <f t="shared" ref="G106:G132" si="19">+J105/E105</f>
        <v>19.62736328017218</v>
      </c>
      <c r="H106" s="56"/>
      <c r="I106" s="33">
        <f t="shared" ref="I106:I132" si="20">+D106*G106</f>
        <v>219.82646873792839</v>
      </c>
      <c r="J106" s="33">
        <f t="shared" ref="J106:J132" si="21">+J105-I106</f>
        <v>120379.91838538162</v>
      </c>
      <c r="K106" s="47"/>
      <c r="L106" s="60"/>
      <c r="M106" s="60"/>
      <c r="N106" s="60"/>
    </row>
    <row r="107" spans="1:14" s="34" customFormat="1" x14ac:dyDescent="0.3">
      <c r="A107" s="115">
        <v>42165</v>
      </c>
      <c r="B107" s="51" t="s">
        <v>287</v>
      </c>
      <c r="C107" s="33"/>
      <c r="D107" s="71">
        <f>9*0.3</f>
        <v>2.6999999999999997</v>
      </c>
      <c r="E107" s="32">
        <f t="shared" si="18"/>
        <v>6130.5700000000006</v>
      </c>
      <c r="F107" s="33"/>
      <c r="G107" s="33">
        <f t="shared" si="19"/>
        <v>19.627363280172176</v>
      </c>
      <c r="H107" s="56"/>
      <c r="I107" s="33">
        <f t="shared" si="20"/>
        <v>52.99388085646487</v>
      </c>
      <c r="J107" s="33">
        <f t="shared" si="21"/>
        <v>120326.92450452516</v>
      </c>
      <c r="K107" s="47"/>
      <c r="L107" s="60"/>
      <c r="M107" s="60"/>
      <c r="N107" s="60"/>
    </row>
    <row r="108" spans="1:14" s="34" customFormat="1" x14ac:dyDescent="0.3">
      <c r="A108" s="115">
        <v>42165</v>
      </c>
      <c r="B108" s="51" t="s">
        <v>289</v>
      </c>
      <c r="C108" s="33"/>
      <c r="D108" s="71">
        <f>10*2.45</f>
        <v>24.5</v>
      </c>
      <c r="E108" s="32">
        <f t="shared" si="18"/>
        <v>6106.0700000000006</v>
      </c>
      <c r="F108" s="33"/>
      <c r="G108" s="33">
        <f t="shared" si="19"/>
        <v>19.627363280172176</v>
      </c>
      <c r="H108" s="56"/>
      <c r="I108" s="33">
        <f t="shared" si="20"/>
        <v>480.87040036421831</v>
      </c>
      <c r="J108" s="33">
        <f t="shared" si="21"/>
        <v>119846.05410416094</v>
      </c>
      <c r="K108" s="47"/>
      <c r="L108" s="60"/>
      <c r="M108" s="60"/>
      <c r="N108" s="60"/>
    </row>
    <row r="109" spans="1:14" s="34" customFormat="1" x14ac:dyDescent="0.3">
      <c r="A109" s="115">
        <v>42167</v>
      </c>
      <c r="B109" s="51" t="s">
        <v>294</v>
      </c>
      <c r="C109" s="33"/>
      <c r="D109" s="71">
        <f>8*3.1</f>
        <v>24.8</v>
      </c>
      <c r="E109" s="32">
        <f t="shared" si="18"/>
        <v>6081.27</v>
      </c>
      <c r="F109" s="33"/>
      <c r="G109" s="33">
        <f t="shared" si="19"/>
        <v>19.627363280172176</v>
      </c>
      <c r="H109" s="56"/>
      <c r="I109" s="33">
        <f t="shared" si="20"/>
        <v>486.75860934827</v>
      </c>
      <c r="J109" s="33">
        <f t="shared" si="21"/>
        <v>119359.29549481267</v>
      </c>
      <c r="K109" s="47"/>
      <c r="L109" s="60"/>
      <c r="M109" s="60"/>
      <c r="N109" s="60"/>
    </row>
    <row r="110" spans="1:14" s="34" customFormat="1" x14ac:dyDescent="0.3">
      <c r="A110" s="115">
        <v>42171</v>
      </c>
      <c r="B110" s="51" t="s">
        <v>305</v>
      </c>
      <c r="C110" s="33"/>
      <c r="D110" s="71">
        <f>15*4.8</f>
        <v>72</v>
      </c>
      <c r="E110" s="32">
        <f t="shared" si="18"/>
        <v>6009.27</v>
      </c>
      <c r="F110" s="33"/>
      <c r="G110" s="33">
        <f t="shared" si="19"/>
        <v>19.62736328017218</v>
      </c>
      <c r="H110" s="56"/>
      <c r="I110" s="33">
        <f t="shared" si="20"/>
        <v>1413.1701561723969</v>
      </c>
      <c r="J110" s="33">
        <f t="shared" si="21"/>
        <v>117946.12533864027</v>
      </c>
      <c r="K110" s="47"/>
      <c r="L110" s="60"/>
      <c r="M110" s="60"/>
      <c r="N110" s="60"/>
    </row>
    <row r="111" spans="1:14" s="34" customFormat="1" x14ac:dyDescent="0.3">
      <c r="A111" s="115">
        <v>42173</v>
      </c>
      <c r="B111" s="51" t="s">
        <v>306</v>
      </c>
      <c r="C111" s="33"/>
      <c r="D111" s="71">
        <f>1*0.36</f>
        <v>0.36</v>
      </c>
      <c r="E111" s="32">
        <f t="shared" si="18"/>
        <v>6008.9100000000008</v>
      </c>
      <c r="F111" s="33"/>
      <c r="G111" s="33">
        <f t="shared" si="19"/>
        <v>19.627363280172176</v>
      </c>
      <c r="H111" s="56"/>
      <c r="I111" s="33">
        <f t="shared" si="20"/>
        <v>7.0658507808619833</v>
      </c>
      <c r="J111" s="33">
        <f t="shared" si="21"/>
        <v>117939.05948785941</v>
      </c>
      <c r="K111" s="81"/>
      <c r="L111" s="161">
        <f>SUM(I103:I111)</f>
        <v>5307.4353045913595</v>
      </c>
      <c r="M111" s="161">
        <f>SUM(L111)</f>
        <v>5307.4353045913595</v>
      </c>
      <c r="N111" s="162">
        <v>42173</v>
      </c>
    </row>
    <row r="112" spans="1:14" s="34" customFormat="1" x14ac:dyDescent="0.3">
      <c r="A112" s="115">
        <v>42199</v>
      </c>
      <c r="B112" s="51" t="s">
        <v>378</v>
      </c>
      <c r="C112" s="33"/>
      <c r="D112" s="71">
        <f>15*4.5</f>
        <v>67.5</v>
      </c>
      <c r="E112" s="32">
        <f t="shared" si="18"/>
        <v>5941.4100000000008</v>
      </c>
      <c r="F112" s="33"/>
      <c r="G112" s="33">
        <f t="shared" si="19"/>
        <v>19.627363280172176</v>
      </c>
      <c r="H112" s="56"/>
      <c r="I112" s="33">
        <f t="shared" si="20"/>
        <v>1324.8470214116219</v>
      </c>
      <c r="J112" s="33">
        <f t="shared" si="21"/>
        <v>116614.21246644779</v>
      </c>
      <c r="K112" s="47"/>
      <c r="L112" s="60"/>
      <c r="M112" s="60"/>
      <c r="N112" s="60"/>
    </row>
    <row r="113" spans="1:14" s="34" customFormat="1" x14ac:dyDescent="0.3">
      <c r="A113" s="115">
        <v>42199</v>
      </c>
      <c r="B113" s="51" t="s">
        <v>379</v>
      </c>
      <c r="C113" s="33"/>
      <c r="D113" s="71">
        <v>0</v>
      </c>
      <c r="E113" s="32">
        <f t="shared" si="18"/>
        <v>5941.4100000000008</v>
      </c>
      <c r="F113" s="33"/>
      <c r="G113" s="33">
        <f t="shared" si="19"/>
        <v>19.627363280172176</v>
      </c>
      <c r="H113" s="56"/>
      <c r="I113" s="33">
        <f t="shared" si="20"/>
        <v>0</v>
      </c>
      <c r="J113" s="33">
        <f t="shared" si="21"/>
        <v>116614.21246644779</v>
      </c>
      <c r="K113" s="81"/>
      <c r="L113" s="161">
        <f>SUM(I112:I113)</f>
        <v>1324.8470214116219</v>
      </c>
      <c r="M113" s="89"/>
      <c r="N113" s="162">
        <v>42199</v>
      </c>
    </row>
    <row r="114" spans="1:14" s="34" customFormat="1" x14ac:dyDescent="0.3">
      <c r="A114" s="115">
        <v>42208</v>
      </c>
      <c r="B114" s="51" t="s">
        <v>404</v>
      </c>
      <c r="C114" s="33"/>
      <c r="D114" s="71">
        <v>0.2</v>
      </c>
      <c r="E114" s="32">
        <f t="shared" si="18"/>
        <v>5941.2100000000009</v>
      </c>
      <c r="F114" s="33"/>
      <c r="G114" s="33">
        <f t="shared" si="19"/>
        <v>19.627363280172176</v>
      </c>
      <c r="H114" s="56"/>
      <c r="I114" s="33">
        <f t="shared" si="20"/>
        <v>3.9254726560344353</v>
      </c>
      <c r="J114" s="33">
        <f t="shared" si="21"/>
        <v>116610.28699379176</v>
      </c>
      <c r="K114" s="47"/>
      <c r="L114" s="60"/>
      <c r="M114" s="60"/>
      <c r="N114" s="60"/>
    </row>
    <row r="115" spans="1:14" s="34" customFormat="1" x14ac:dyDescent="0.3">
      <c r="A115" s="115">
        <v>42210</v>
      </c>
      <c r="B115" s="51" t="s">
        <v>413</v>
      </c>
      <c r="C115" s="33"/>
      <c r="D115" s="71">
        <v>0.4</v>
      </c>
      <c r="E115" s="32">
        <f t="shared" si="18"/>
        <v>5940.8100000000013</v>
      </c>
      <c r="F115" s="33"/>
      <c r="G115" s="33">
        <f t="shared" si="19"/>
        <v>19.627363280172176</v>
      </c>
      <c r="H115" s="56"/>
      <c r="I115" s="33">
        <f t="shared" si="20"/>
        <v>7.8509453120688706</v>
      </c>
      <c r="J115" s="33">
        <f t="shared" si="21"/>
        <v>116602.43604847969</v>
      </c>
      <c r="K115" s="47"/>
      <c r="L115" s="60"/>
      <c r="M115" s="60"/>
      <c r="N115" s="60"/>
    </row>
    <row r="116" spans="1:14" s="34" customFormat="1" x14ac:dyDescent="0.3">
      <c r="A116" s="115">
        <v>42212</v>
      </c>
      <c r="B116" s="51" t="s">
        <v>418</v>
      </c>
      <c r="C116" s="33"/>
      <c r="D116" s="71">
        <v>1.2</v>
      </c>
      <c r="E116" s="32">
        <f t="shared" si="18"/>
        <v>5939.6100000000015</v>
      </c>
      <c r="F116" s="33"/>
      <c r="G116" s="33">
        <f t="shared" si="19"/>
        <v>19.627363280172176</v>
      </c>
      <c r="H116" s="56"/>
      <c r="I116" s="33">
        <f t="shared" si="20"/>
        <v>23.552835936206609</v>
      </c>
      <c r="J116" s="33">
        <f t="shared" si="21"/>
        <v>116578.88321254349</v>
      </c>
      <c r="K116" s="47"/>
      <c r="L116" s="60"/>
      <c r="M116" s="60"/>
      <c r="N116" s="60"/>
    </row>
    <row r="117" spans="1:14" s="34" customFormat="1" x14ac:dyDescent="0.3">
      <c r="A117" s="115">
        <v>42213</v>
      </c>
      <c r="B117" s="51" t="s">
        <v>424</v>
      </c>
      <c r="C117" s="33"/>
      <c r="D117" s="71">
        <v>0.41</v>
      </c>
      <c r="E117" s="32">
        <f t="shared" si="18"/>
        <v>5939.2000000000016</v>
      </c>
      <c r="F117" s="33"/>
      <c r="G117" s="33">
        <f t="shared" si="19"/>
        <v>19.627363280172176</v>
      </c>
      <c r="H117" s="56"/>
      <c r="I117" s="33">
        <f t="shared" si="20"/>
        <v>8.0472189448705915</v>
      </c>
      <c r="J117" s="33">
        <f t="shared" si="21"/>
        <v>116570.83599359861</v>
      </c>
      <c r="K117" s="47"/>
      <c r="L117" s="60"/>
      <c r="M117" s="60"/>
      <c r="N117" s="60"/>
    </row>
    <row r="118" spans="1:14" s="34" customFormat="1" x14ac:dyDescent="0.3">
      <c r="A118" s="115">
        <v>42213</v>
      </c>
      <c r="B118" s="51" t="s">
        <v>432</v>
      </c>
      <c r="C118" s="33"/>
      <c r="D118" s="71">
        <v>0.41</v>
      </c>
      <c r="E118" s="32">
        <f t="shared" si="18"/>
        <v>5938.7900000000018</v>
      </c>
      <c r="F118" s="33"/>
      <c r="G118" s="33">
        <f t="shared" si="19"/>
        <v>19.627363280172172</v>
      </c>
      <c r="H118" s="56"/>
      <c r="I118" s="33">
        <f t="shared" si="20"/>
        <v>8.0472189448705898</v>
      </c>
      <c r="J118" s="33">
        <f t="shared" si="21"/>
        <v>116562.78877465373</v>
      </c>
      <c r="K118" s="81"/>
      <c r="L118" s="161">
        <f>SUM(I114:I118)</f>
        <v>51.423691794051095</v>
      </c>
      <c r="M118" s="161">
        <f>SUM(L113:L118)</f>
        <v>1376.270713205673</v>
      </c>
      <c r="N118" s="162">
        <v>42216</v>
      </c>
    </row>
    <row r="119" spans="1:14" s="77" customFormat="1" x14ac:dyDescent="0.3">
      <c r="A119" s="116">
        <v>42220</v>
      </c>
      <c r="B119" s="48" t="s">
        <v>458</v>
      </c>
      <c r="C119" s="71"/>
      <c r="D119" s="71">
        <f>2*3.5</f>
        <v>7</v>
      </c>
      <c r="E119" s="79">
        <f t="shared" si="18"/>
        <v>5931.7900000000018</v>
      </c>
      <c r="F119" s="71"/>
      <c r="G119" s="71">
        <f t="shared" si="19"/>
        <v>19.627363280172172</v>
      </c>
      <c r="H119" s="71"/>
      <c r="I119" s="71">
        <f t="shared" si="20"/>
        <v>137.3915429612052</v>
      </c>
      <c r="J119" s="71">
        <f t="shared" si="21"/>
        <v>116425.39723169252</v>
      </c>
      <c r="K119" s="78"/>
      <c r="L119" s="167"/>
      <c r="M119" s="167"/>
      <c r="N119" s="167"/>
    </row>
    <row r="120" spans="1:14" s="34" customFormat="1" x14ac:dyDescent="0.3">
      <c r="A120" s="115">
        <v>42234</v>
      </c>
      <c r="B120" s="51" t="s">
        <v>491</v>
      </c>
      <c r="C120" s="33"/>
      <c r="D120" s="71">
        <f>8*3.2</f>
        <v>25.6</v>
      </c>
      <c r="E120" s="32">
        <f t="shared" si="18"/>
        <v>5906.1900000000014</v>
      </c>
      <c r="F120" s="33"/>
      <c r="G120" s="33">
        <f t="shared" si="19"/>
        <v>19.627363280172172</v>
      </c>
      <c r="H120" s="56"/>
      <c r="I120" s="33">
        <f t="shared" si="20"/>
        <v>502.46049997240766</v>
      </c>
      <c r="J120" s="33">
        <f t="shared" si="21"/>
        <v>115922.93673172011</v>
      </c>
      <c r="K120" s="81"/>
      <c r="L120" s="161">
        <f>SUM(I119:I120)</f>
        <v>639.85204293361289</v>
      </c>
      <c r="M120" s="89"/>
      <c r="N120" s="162">
        <v>42234</v>
      </c>
    </row>
    <row r="121" spans="1:14" s="34" customFormat="1" x14ac:dyDescent="0.3">
      <c r="A121" s="115">
        <v>42244</v>
      </c>
      <c r="B121" s="51" t="s">
        <v>525</v>
      </c>
      <c r="C121" s="33"/>
      <c r="D121" s="71">
        <v>3</v>
      </c>
      <c r="E121" s="32">
        <f t="shared" si="18"/>
        <v>5903.1900000000014</v>
      </c>
      <c r="F121" s="33"/>
      <c r="G121" s="33">
        <f t="shared" si="19"/>
        <v>19.627363280172172</v>
      </c>
      <c r="H121" s="56"/>
      <c r="I121" s="33">
        <f t="shared" si="20"/>
        <v>58.882089840516514</v>
      </c>
      <c r="J121" s="33">
        <f t="shared" si="21"/>
        <v>115864.0546418796</v>
      </c>
      <c r="K121" s="81"/>
      <c r="L121" s="161">
        <f>SUM(I121)</f>
        <v>58.882089840516514</v>
      </c>
      <c r="M121" s="161">
        <f>SUM(L120:L121)</f>
        <v>698.73413277412942</v>
      </c>
      <c r="N121" s="162">
        <v>42246</v>
      </c>
    </row>
    <row r="122" spans="1:14" s="34" customFormat="1" x14ac:dyDescent="0.3">
      <c r="A122" s="115">
        <v>42250</v>
      </c>
      <c r="B122" s="51" t="s">
        <v>550</v>
      </c>
      <c r="C122" s="33"/>
      <c r="D122" s="71">
        <f>12*6.3</f>
        <v>75.599999999999994</v>
      </c>
      <c r="E122" s="32">
        <f t="shared" si="18"/>
        <v>5827.5900000000011</v>
      </c>
      <c r="F122" s="33"/>
      <c r="G122" s="33">
        <f t="shared" si="19"/>
        <v>19.627363280172172</v>
      </c>
      <c r="H122" s="56"/>
      <c r="I122" s="33">
        <f t="shared" si="20"/>
        <v>1483.8286639810162</v>
      </c>
      <c r="J122" s="33">
        <f t="shared" si="21"/>
        <v>114380.22597789859</v>
      </c>
      <c r="K122" s="47"/>
      <c r="L122" s="60"/>
      <c r="M122" s="60"/>
      <c r="N122" s="60"/>
    </row>
    <row r="123" spans="1:14" s="34" customFormat="1" x14ac:dyDescent="0.3">
      <c r="A123" s="115">
        <v>42250</v>
      </c>
      <c r="B123" s="51" t="s">
        <v>553</v>
      </c>
      <c r="C123" s="33"/>
      <c r="D123" s="71">
        <f>0.5+0.31</f>
        <v>0.81</v>
      </c>
      <c r="E123" s="32">
        <f t="shared" si="18"/>
        <v>5826.7800000000007</v>
      </c>
      <c r="F123" s="33"/>
      <c r="G123" s="33">
        <f t="shared" si="19"/>
        <v>19.627363280172176</v>
      </c>
      <c r="H123" s="56"/>
      <c r="I123" s="33">
        <f t="shared" si="20"/>
        <v>15.898164256939463</v>
      </c>
      <c r="J123" s="33">
        <f t="shared" si="21"/>
        <v>114364.32781364165</v>
      </c>
      <c r="K123" s="47"/>
      <c r="L123" s="60"/>
      <c r="M123" s="60"/>
      <c r="N123" s="60"/>
    </row>
    <row r="124" spans="1:14" s="34" customFormat="1" x14ac:dyDescent="0.3">
      <c r="A124" s="115">
        <v>42254</v>
      </c>
      <c r="B124" s="51" t="s">
        <v>575</v>
      </c>
      <c r="C124" s="33"/>
      <c r="D124" s="71">
        <v>3</v>
      </c>
      <c r="E124" s="32">
        <f t="shared" si="18"/>
        <v>5823.7800000000007</v>
      </c>
      <c r="F124" s="33"/>
      <c r="G124" s="33">
        <f t="shared" si="19"/>
        <v>19.627363280172176</v>
      </c>
      <c r="H124" s="56"/>
      <c r="I124" s="33">
        <f t="shared" si="20"/>
        <v>58.882089840516528</v>
      </c>
      <c r="J124" s="33">
        <f t="shared" si="21"/>
        <v>114305.44572380114</v>
      </c>
      <c r="K124" s="81"/>
      <c r="L124" s="161">
        <f>SUM(I122:I124)</f>
        <v>1558.6089180784722</v>
      </c>
      <c r="M124" s="89"/>
      <c r="N124" s="162">
        <v>42262</v>
      </c>
    </row>
    <row r="125" spans="1:14" s="34" customFormat="1" x14ac:dyDescent="0.3">
      <c r="A125" s="115">
        <v>42276</v>
      </c>
      <c r="B125" s="51" t="s">
        <v>643</v>
      </c>
      <c r="C125" s="33"/>
      <c r="D125" s="71">
        <f>10*0.3</f>
        <v>3</v>
      </c>
      <c r="E125" s="32">
        <f t="shared" si="18"/>
        <v>5820.7800000000007</v>
      </c>
      <c r="F125" s="33"/>
      <c r="G125" s="33">
        <f t="shared" si="19"/>
        <v>19.627363280172176</v>
      </c>
      <c r="H125" s="56"/>
      <c r="I125" s="33">
        <f t="shared" si="20"/>
        <v>58.882089840516528</v>
      </c>
      <c r="J125" s="33">
        <f t="shared" si="21"/>
        <v>114246.56363396063</v>
      </c>
      <c r="K125" s="81"/>
      <c r="L125" s="161">
        <f>SUM(I125)</f>
        <v>58.882089840516528</v>
      </c>
      <c r="M125" s="161">
        <f>SUM(L124:L125)</f>
        <v>1617.4910079189888</v>
      </c>
      <c r="N125" s="212" t="s">
        <v>920</v>
      </c>
    </row>
    <row r="126" spans="1:14" s="34" customFormat="1" x14ac:dyDescent="0.3">
      <c r="A126" s="115">
        <v>42287</v>
      </c>
      <c r="B126" s="51" t="s">
        <v>706</v>
      </c>
      <c r="C126" s="33"/>
      <c r="D126" s="71">
        <f>13*1.7</f>
        <v>22.099999999999998</v>
      </c>
      <c r="E126" s="32">
        <f t="shared" si="18"/>
        <v>5798.68</v>
      </c>
      <c r="F126" s="33"/>
      <c r="G126" s="33">
        <f t="shared" si="19"/>
        <v>19.62736328017218</v>
      </c>
      <c r="H126" s="56"/>
      <c r="I126" s="33">
        <f t="shared" si="20"/>
        <v>433.7647284918051</v>
      </c>
      <c r="J126" s="33">
        <f t="shared" si="21"/>
        <v>113812.79890546882</v>
      </c>
      <c r="K126" s="47"/>
      <c r="L126" s="60"/>
      <c r="M126" s="60"/>
      <c r="N126" s="60"/>
    </row>
    <row r="127" spans="1:14" s="34" customFormat="1" x14ac:dyDescent="0.3">
      <c r="A127" s="115">
        <v>42293</v>
      </c>
      <c r="B127" s="51" t="s">
        <v>722</v>
      </c>
      <c r="C127" s="33"/>
      <c r="D127" s="71">
        <v>15</v>
      </c>
      <c r="E127" s="32">
        <f t="shared" si="18"/>
        <v>5783.68</v>
      </c>
      <c r="F127" s="33"/>
      <c r="G127" s="33">
        <f t="shared" si="19"/>
        <v>19.62736328017218</v>
      </c>
      <c r="H127" s="56"/>
      <c r="I127" s="33">
        <f t="shared" si="20"/>
        <v>294.4104492025827</v>
      </c>
      <c r="J127" s="33">
        <f t="shared" si="21"/>
        <v>113518.38845626624</v>
      </c>
      <c r="K127" s="81"/>
      <c r="L127" s="161">
        <f>SUM(I126:I127)</f>
        <v>728.1751776943878</v>
      </c>
      <c r="M127" s="89"/>
      <c r="N127" s="162">
        <v>42294</v>
      </c>
    </row>
    <row r="128" spans="1:14" s="34" customFormat="1" x14ac:dyDescent="0.3">
      <c r="A128" s="115">
        <v>42304</v>
      </c>
      <c r="B128" s="51" t="s">
        <v>921</v>
      </c>
      <c r="C128" s="33">
        <v>14901</v>
      </c>
      <c r="D128" s="71"/>
      <c r="E128" s="32">
        <f>+E127+C128</f>
        <v>20684.68</v>
      </c>
      <c r="F128" s="33">
        <f>+H128/C128</f>
        <v>18.192888396751894</v>
      </c>
      <c r="G128" s="33"/>
      <c r="H128" s="56">
        <v>271092.23</v>
      </c>
      <c r="I128" s="33"/>
      <c r="J128" s="33">
        <f>+J127+H128</f>
        <v>384610.61845626624</v>
      </c>
      <c r="K128" s="51"/>
      <c r="L128" s="213"/>
      <c r="M128" s="193"/>
      <c r="N128" s="214"/>
    </row>
    <row r="129" spans="1:14" s="34" customFormat="1" x14ac:dyDescent="0.3">
      <c r="A129" s="115">
        <v>42306</v>
      </c>
      <c r="B129" s="51" t="s">
        <v>774</v>
      </c>
      <c r="C129" s="33"/>
      <c r="D129" s="71">
        <f>7*4</f>
        <v>28</v>
      </c>
      <c r="E129" s="32">
        <f>+E128-D129</f>
        <v>20656.68</v>
      </c>
      <c r="F129" s="33"/>
      <c r="G129" s="33">
        <f>+J128/E128</f>
        <v>18.593984458849071</v>
      </c>
      <c r="H129" s="56"/>
      <c r="I129" s="33">
        <f t="shared" si="20"/>
        <v>520.63156484777403</v>
      </c>
      <c r="J129" s="33">
        <f>+J128-I129</f>
        <v>384089.98689141846</v>
      </c>
      <c r="K129" s="81"/>
      <c r="L129" s="161">
        <f>SUM(I129)</f>
        <v>520.63156484777403</v>
      </c>
      <c r="M129" s="161">
        <f>SUM(L127:L129)</f>
        <v>1248.8067425421618</v>
      </c>
      <c r="N129" s="162">
        <v>42307</v>
      </c>
    </row>
    <row r="130" spans="1:14" s="34" customFormat="1" x14ac:dyDescent="0.3">
      <c r="A130" s="115">
        <v>42311</v>
      </c>
      <c r="B130" s="51" t="s">
        <v>792</v>
      </c>
      <c r="C130" s="33"/>
      <c r="D130" s="71">
        <f>20*3.3+4</f>
        <v>70</v>
      </c>
      <c r="E130" s="32">
        <f t="shared" si="18"/>
        <v>20586.68</v>
      </c>
      <c r="F130" s="33"/>
      <c r="G130" s="33">
        <f t="shared" si="19"/>
        <v>18.593984458849071</v>
      </c>
      <c r="H130" s="56"/>
      <c r="I130" s="33">
        <f t="shared" si="20"/>
        <v>1301.578912119435</v>
      </c>
      <c r="J130" s="33">
        <f t="shared" si="21"/>
        <v>382788.40797929902</v>
      </c>
      <c r="K130" s="47"/>
      <c r="L130" s="60"/>
      <c r="M130" s="60"/>
      <c r="N130" s="60"/>
    </row>
    <row r="131" spans="1:14" s="34" customFormat="1" x14ac:dyDescent="0.3">
      <c r="A131" s="115">
        <v>42312</v>
      </c>
      <c r="B131" s="51" t="s">
        <v>797</v>
      </c>
      <c r="C131" s="33"/>
      <c r="D131" s="71">
        <v>4</v>
      </c>
      <c r="E131" s="32">
        <f t="shared" si="18"/>
        <v>20582.68</v>
      </c>
      <c r="F131" s="33"/>
      <c r="G131" s="33">
        <f t="shared" si="19"/>
        <v>18.593984458849071</v>
      </c>
      <c r="H131" s="56"/>
      <c r="I131" s="33">
        <f t="shared" si="20"/>
        <v>74.375937835396286</v>
      </c>
      <c r="J131" s="33">
        <f t="shared" si="21"/>
        <v>382714.03204146365</v>
      </c>
      <c r="K131" s="47"/>
      <c r="L131" s="60"/>
      <c r="M131" s="60"/>
      <c r="N131" s="60"/>
    </row>
    <row r="132" spans="1:14" s="34" customFormat="1" x14ac:dyDescent="0.3">
      <c r="A132" s="115">
        <v>42313</v>
      </c>
      <c r="B132" s="51" t="s">
        <v>803</v>
      </c>
      <c r="C132" s="33"/>
      <c r="D132" s="71">
        <f>3*3</f>
        <v>9</v>
      </c>
      <c r="E132" s="32">
        <f t="shared" si="18"/>
        <v>20573.68</v>
      </c>
      <c r="F132" s="33"/>
      <c r="G132" s="33">
        <f t="shared" si="19"/>
        <v>18.593984458849075</v>
      </c>
      <c r="H132" s="56"/>
      <c r="I132" s="33">
        <f t="shared" si="20"/>
        <v>167.34586012964166</v>
      </c>
      <c r="J132" s="33">
        <f t="shared" si="21"/>
        <v>382546.68618133402</v>
      </c>
      <c r="K132" s="47"/>
      <c r="L132" s="60"/>
      <c r="M132" s="60"/>
      <c r="N132" s="60"/>
    </row>
    <row r="133" spans="1:14" s="34" customFormat="1" x14ac:dyDescent="0.3">
      <c r="A133" s="115">
        <v>42313</v>
      </c>
      <c r="B133" s="51" t="s">
        <v>808</v>
      </c>
      <c r="C133" s="33"/>
      <c r="D133" s="71">
        <v>6</v>
      </c>
      <c r="E133" s="32">
        <f t="shared" ref="E133:E149" si="22">+E132-D133</f>
        <v>20567.68</v>
      </c>
      <c r="F133" s="33"/>
      <c r="G133" s="33">
        <f t="shared" ref="G133:G149" si="23">+J132/E132</f>
        <v>18.593984458849075</v>
      </c>
      <c r="H133" s="56"/>
      <c r="I133" s="33">
        <f t="shared" ref="I133:I149" si="24">+D133*G133</f>
        <v>111.56390675309444</v>
      </c>
      <c r="J133" s="33">
        <f t="shared" ref="J133:J149" si="25">+J132-I133</f>
        <v>382435.12227458094</v>
      </c>
      <c r="K133" s="81"/>
      <c r="L133" s="161">
        <f>SUM(I130:I133)</f>
        <v>1654.8646168375674</v>
      </c>
      <c r="M133" s="89"/>
      <c r="N133" s="162">
        <v>42323</v>
      </c>
    </row>
    <row r="134" spans="1:14" s="77" customFormat="1" x14ac:dyDescent="0.3">
      <c r="A134" s="116">
        <v>42335</v>
      </c>
      <c r="B134" s="48" t="s">
        <v>873</v>
      </c>
      <c r="C134" s="71"/>
      <c r="D134" s="71">
        <v>0.96</v>
      </c>
      <c r="E134" s="79">
        <f t="shared" si="22"/>
        <v>20566.72</v>
      </c>
      <c r="F134" s="71"/>
      <c r="G134" s="71">
        <f t="shared" si="23"/>
        <v>18.593984458849075</v>
      </c>
      <c r="H134" s="71"/>
      <c r="I134" s="71">
        <f t="shared" si="24"/>
        <v>17.850225080495111</v>
      </c>
      <c r="J134" s="71">
        <f t="shared" si="25"/>
        <v>382417.27204950043</v>
      </c>
      <c r="K134" s="97"/>
      <c r="L134" s="215">
        <f>SUM(I134)</f>
        <v>17.850225080495111</v>
      </c>
      <c r="M134" s="215">
        <f>SUM(L133:L134)</f>
        <v>1672.7148419180626</v>
      </c>
      <c r="N134" s="168">
        <v>42338</v>
      </c>
    </row>
    <row r="135" spans="1:14" s="34" customFormat="1" x14ac:dyDescent="0.3">
      <c r="A135" s="115">
        <v>42340</v>
      </c>
      <c r="B135" s="51" t="s">
        <v>887</v>
      </c>
      <c r="C135" s="33"/>
      <c r="D135" s="71">
        <f>5*4</f>
        <v>20</v>
      </c>
      <c r="E135" s="32">
        <f t="shared" si="22"/>
        <v>20546.72</v>
      </c>
      <c r="F135" s="33"/>
      <c r="G135" s="33">
        <f t="shared" si="23"/>
        <v>18.593984458849071</v>
      </c>
      <c r="H135" s="56"/>
      <c r="I135" s="33">
        <f t="shared" si="24"/>
        <v>371.8796891769814</v>
      </c>
      <c r="J135" s="33">
        <f t="shared" si="25"/>
        <v>382045.39236032346</v>
      </c>
      <c r="K135" s="47"/>
      <c r="L135" s="60"/>
      <c r="M135" s="60"/>
      <c r="N135" s="60"/>
    </row>
    <row r="136" spans="1:14" s="34" customFormat="1" x14ac:dyDescent="0.3">
      <c r="A136" s="115">
        <v>42342</v>
      </c>
      <c r="B136" s="51" t="s">
        <v>891</v>
      </c>
      <c r="C136" s="33"/>
      <c r="D136" s="71">
        <f>2*0.96</f>
        <v>1.92</v>
      </c>
      <c r="E136" s="32">
        <f t="shared" si="22"/>
        <v>20544.800000000003</v>
      </c>
      <c r="F136" s="33"/>
      <c r="G136" s="33">
        <f t="shared" si="23"/>
        <v>18.593984458849075</v>
      </c>
      <c r="H136" s="56"/>
      <c r="I136" s="33">
        <f t="shared" si="24"/>
        <v>35.700450160990222</v>
      </c>
      <c r="J136" s="33">
        <f t="shared" si="25"/>
        <v>382009.69191016245</v>
      </c>
      <c r="K136" s="47"/>
      <c r="L136" s="60"/>
      <c r="M136" s="60"/>
      <c r="N136" s="60"/>
    </row>
    <row r="137" spans="1:14" s="34" customFormat="1" x14ac:dyDescent="0.3">
      <c r="A137" s="115">
        <v>42348</v>
      </c>
      <c r="B137" s="51" t="s">
        <v>898</v>
      </c>
      <c r="C137" s="33"/>
      <c r="D137" s="71">
        <f>7*5.6</f>
        <v>39.199999999999996</v>
      </c>
      <c r="E137" s="32">
        <f t="shared" si="22"/>
        <v>20505.600000000002</v>
      </c>
      <c r="F137" s="33"/>
      <c r="G137" s="33">
        <f t="shared" si="23"/>
        <v>18.593984458849071</v>
      </c>
      <c r="H137" s="56"/>
      <c r="I137" s="33">
        <f t="shared" si="24"/>
        <v>728.88419078688355</v>
      </c>
      <c r="J137" s="33">
        <f t="shared" si="25"/>
        <v>381280.80771937559</v>
      </c>
      <c r="K137" s="81"/>
      <c r="L137" s="161">
        <f>SUM(I135:I137)</f>
        <v>1136.4643301248552</v>
      </c>
      <c r="M137" s="161"/>
      <c r="N137" s="162">
        <v>42353</v>
      </c>
    </row>
    <row r="138" spans="1:14" s="34" customFormat="1" x14ac:dyDescent="0.3">
      <c r="A138" s="115">
        <v>42360</v>
      </c>
      <c r="B138" s="51" t="s">
        <v>931</v>
      </c>
      <c r="C138" s="33"/>
      <c r="D138" s="71">
        <f>6*4.65+10</f>
        <v>37.900000000000006</v>
      </c>
      <c r="E138" s="32">
        <f t="shared" si="22"/>
        <v>20467.7</v>
      </c>
      <c r="F138" s="33"/>
      <c r="G138" s="33">
        <f t="shared" si="23"/>
        <v>18.593984458849071</v>
      </c>
      <c r="H138" s="56"/>
      <c r="I138" s="33">
        <f t="shared" si="24"/>
        <v>704.71201099037989</v>
      </c>
      <c r="J138" s="33">
        <f t="shared" si="25"/>
        <v>380576.09570838523</v>
      </c>
      <c r="K138" s="47"/>
      <c r="L138" s="60"/>
      <c r="M138" s="60"/>
      <c r="N138" s="60"/>
    </row>
    <row r="139" spans="1:14" s="34" customFormat="1" x14ac:dyDescent="0.3">
      <c r="A139" s="115">
        <v>42360</v>
      </c>
      <c r="B139" s="51" t="s">
        <v>933</v>
      </c>
      <c r="C139" s="33"/>
      <c r="D139" s="71">
        <f>24*3.3</f>
        <v>79.199999999999989</v>
      </c>
      <c r="E139" s="32">
        <f t="shared" si="22"/>
        <v>20388.5</v>
      </c>
      <c r="F139" s="33"/>
      <c r="G139" s="33">
        <f t="shared" si="23"/>
        <v>18.593984458849075</v>
      </c>
      <c r="H139" s="56"/>
      <c r="I139" s="33">
        <f t="shared" si="24"/>
        <v>1472.6435691408465</v>
      </c>
      <c r="J139" s="33">
        <f t="shared" si="25"/>
        <v>379103.45213924436</v>
      </c>
      <c r="K139" s="47"/>
      <c r="L139" s="60"/>
      <c r="M139" s="60"/>
      <c r="N139" s="60"/>
    </row>
    <row r="140" spans="1:14" s="34" customFormat="1" x14ac:dyDescent="0.3">
      <c r="A140" s="115">
        <v>42364</v>
      </c>
      <c r="B140" s="51" t="s">
        <v>943</v>
      </c>
      <c r="C140" s="33"/>
      <c r="D140" s="71">
        <f>76*1.45+2</f>
        <v>112.2</v>
      </c>
      <c r="E140" s="32">
        <f t="shared" si="22"/>
        <v>20276.3</v>
      </c>
      <c r="F140" s="33"/>
      <c r="G140" s="33">
        <f t="shared" si="23"/>
        <v>18.593984458849075</v>
      </c>
      <c r="H140" s="56"/>
      <c r="I140" s="33">
        <f t="shared" si="24"/>
        <v>2086.2450562828662</v>
      </c>
      <c r="J140" s="33">
        <f t="shared" si="25"/>
        <v>377017.20708296151</v>
      </c>
      <c r="K140" s="47"/>
      <c r="L140" s="60"/>
      <c r="M140" s="60"/>
      <c r="N140" s="60"/>
    </row>
    <row r="141" spans="1:14" s="34" customFormat="1" x14ac:dyDescent="0.3">
      <c r="A141" s="115">
        <v>42366</v>
      </c>
      <c r="B141" s="51" t="s">
        <v>944</v>
      </c>
      <c r="C141" s="33"/>
      <c r="D141" s="71">
        <f>6*5</f>
        <v>30</v>
      </c>
      <c r="E141" s="32">
        <f t="shared" si="22"/>
        <v>20246.3</v>
      </c>
      <c r="F141" s="33"/>
      <c r="G141" s="33">
        <f t="shared" si="23"/>
        <v>18.593984458849075</v>
      </c>
      <c r="H141" s="56"/>
      <c r="I141" s="33">
        <f t="shared" si="24"/>
        <v>557.81953376547222</v>
      </c>
      <c r="J141" s="33">
        <f t="shared" si="25"/>
        <v>376459.38754919602</v>
      </c>
      <c r="K141" s="47"/>
      <c r="L141" s="60"/>
      <c r="M141" s="60"/>
      <c r="N141" s="60"/>
    </row>
    <row r="142" spans="1:14" s="34" customFormat="1" x14ac:dyDescent="0.3">
      <c r="A142" s="115">
        <v>42366</v>
      </c>
      <c r="B142" s="51" t="s">
        <v>947</v>
      </c>
      <c r="C142" s="33"/>
      <c r="D142" s="71">
        <f>26*2.45</f>
        <v>63.7</v>
      </c>
      <c r="E142" s="32">
        <f t="shared" si="22"/>
        <v>20182.599999999999</v>
      </c>
      <c r="F142" s="33"/>
      <c r="G142" s="33">
        <f t="shared" si="23"/>
        <v>18.593984458849075</v>
      </c>
      <c r="H142" s="56"/>
      <c r="I142" s="33">
        <f t="shared" si="24"/>
        <v>1184.4368100286861</v>
      </c>
      <c r="J142" s="33">
        <f t="shared" si="25"/>
        <v>375274.95073916734</v>
      </c>
      <c r="K142" s="47"/>
      <c r="L142" s="60"/>
      <c r="M142" s="60"/>
      <c r="N142" s="60"/>
    </row>
    <row r="143" spans="1:14" s="34" customFormat="1" x14ac:dyDescent="0.3">
      <c r="A143" s="115">
        <v>42367</v>
      </c>
      <c r="B143" s="51" t="s">
        <v>949</v>
      </c>
      <c r="C143" s="33"/>
      <c r="D143" s="71">
        <f>5*5.15+5.15</f>
        <v>30.9</v>
      </c>
      <c r="E143" s="32">
        <f t="shared" si="22"/>
        <v>20151.699999999997</v>
      </c>
      <c r="F143" s="33"/>
      <c r="G143" s="33">
        <f t="shared" si="23"/>
        <v>18.593984458849075</v>
      </c>
      <c r="H143" s="56"/>
      <c r="I143" s="33">
        <f t="shared" si="24"/>
        <v>574.55411977843642</v>
      </c>
      <c r="J143" s="33">
        <f t="shared" si="25"/>
        <v>374700.39661938889</v>
      </c>
      <c r="K143" s="47"/>
      <c r="L143" s="60"/>
      <c r="M143" s="60"/>
      <c r="N143" s="60"/>
    </row>
    <row r="144" spans="1:14" s="34" customFormat="1" x14ac:dyDescent="0.3">
      <c r="A144" s="115">
        <v>42368</v>
      </c>
      <c r="B144" s="51" t="s">
        <v>954</v>
      </c>
      <c r="C144" s="33"/>
      <c r="D144" s="71">
        <f>16*1.05+11*0.8</f>
        <v>25.6</v>
      </c>
      <c r="E144" s="32">
        <f t="shared" si="22"/>
        <v>20126.099999999999</v>
      </c>
      <c r="F144" s="33"/>
      <c r="G144" s="33">
        <f t="shared" si="23"/>
        <v>18.593984458849079</v>
      </c>
      <c r="H144" s="56"/>
      <c r="I144" s="33">
        <f t="shared" si="24"/>
        <v>476.00600214653645</v>
      </c>
      <c r="J144" s="33">
        <f t="shared" si="25"/>
        <v>374224.39061724237</v>
      </c>
      <c r="K144" s="47"/>
      <c r="L144" s="60"/>
      <c r="M144" s="60"/>
      <c r="N144" s="60"/>
    </row>
    <row r="145" spans="1:14" s="34" customFormat="1" x14ac:dyDescent="0.3">
      <c r="A145" s="115">
        <v>42368</v>
      </c>
      <c r="B145" s="51" t="s">
        <v>955</v>
      </c>
      <c r="C145" s="33"/>
      <c r="D145" s="71">
        <f>6*4.9</f>
        <v>29.400000000000002</v>
      </c>
      <c r="E145" s="32">
        <f t="shared" si="22"/>
        <v>20096.699999999997</v>
      </c>
      <c r="F145" s="33"/>
      <c r="G145" s="33">
        <f t="shared" si="23"/>
        <v>18.593984458849075</v>
      </c>
      <c r="H145" s="56"/>
      <c r="I145" s="33">
        <f t="shared" si="24"/>
        <v>546.66314309016286</v>
      </c>
      <c r="J145" s="33">
        <f t="shared" si="25"/>
        <v>373677.72747415223</v>
      </c>
      <c r="K145" s="47"/>
      <c r="L145" s="60"/>
      <c r="M145" s="60"/>
      <c r="N145" s="60"/>
    </row>
    <row r="146" spans="1:14" s="34" customFormat="1" x14ac:dyDescent="0.3">
      <c r="A146" s="115">
        <v>42368</v>
      </c>
      <c r="B146" s="51" t="s">
        <v>957</v>
      </c>
      <c r="C146" s="33"/>
      <c r="D146" s="71">
        <f>5*4.75</f>
        <v>23.75</v>
      </c>
      <c r="E146" s="32">
        <f t="shared" si="22"/>
        <v>20072.949999999997</v>
      </c>
      <c r="F146" s="33"/>
      <c r="G146" s="33">
        <f t="shared" si="23"/>
        <v>18.593984458849079</v>
      </c>
      <c r="H146" s="56"/>
      <c r="I146" s="33">
        <f t="shared" si="24"/>
        <v>441.60713089766563</v>
      </c>
      <c r="J146" s="33">
        <f t="shared" si="25"/>
        <v>373236.12034325459</v>
      </c>
      <c r="K146" s="47"/>
      <c r="L146" s="60"/>
      <c r="M146" s="60"/>
      <c r="N146" s="60"/>
    </row>
    <row r="147" spans="1:14" s="34" customFormat="1" x14ac:dyDescent="0.3">
      <c r="A147" s="115">
        <v>42368</v>
      </c>
      <c r="B147" s="51" t="s">
        <v>958</v>
      </c>
      <c r="C147" s="33"/>
      <c r="D147" s="71">
        <f>14*3.8</f>
        <v>53.199999999999996</v>
      </c>
      <c r="E147" s="32">
        <f t="shared" si="22"/>
        <v>20019.749999999996</v>
      </c>
      <c r="F147" s="33"/>
      <c r="G147" s="33">
        <f t="shared" si="23"/>
        <v>18.593984458849079</v>
      </c>
      <c r="H147" s="56"/>
      <c r="I147" s="33">
        <f t="shared" si="24"/>
        <v>989.19997321077085</v>
      </c>
      <c r="J147" s="33">
        <f t="shared" si="25"/>
        <v>372246.92037004384</v>
      </c>
      <c r="K147" s="47"/>
      <c r="L147" s="60"/>
      <c r="M147" s="60"/>
      <c r="N147" s="60"/>
    </row>
    <row r="148" spans="1:14" s="34" customFormat="1" x14ac:dyDescent="0.3">
      <c r="A148" s="115">
        <v>42369</v>
      </c>
      <c r="B148" s="51" t="s">
        <v>961</v>
      </c>
      <c r="C148" s="33"/>
      <c r="D148" s="71">
        <f>5*5.12</f>
        <v>25.6</v>
      </c>
      <c r="E148" s="32">
        <f t="shared" si="22"/>
        <v>19994.149999999998</v>
      </c>
      <c r="F148" s="33"/>
      <c r="G148" s="33">
        <f t="shared" si="23"/>
        <v>18.593984458849082</v>
      </c>
      <c r="H148" s="56"/>
      <c r="I148" s="33">
        <f t="shared" si="24"/>
        <v>476.0060021465365</v>
      </c>
      <c r="J148" s="33">
        <f t="shared" si="25"/>
        <v>371770.91436789732</v>
      </c>
      <c r="K148" s="47"/>
      <c r="L148" s="60"/>
      <c r="M148" s="60"/>
      <c r="N148" s="60"/>
    </row>
    <row r="149" spans="1:14" s="34" customFormat="1" x14ac:dyDescent="0.3">
      <c r="A149" s="115">
        <v>42369</v>
      </c>
      <c r="B149" s="51" t="s">
        <v>962</v>
      </c>
      <c r="C149" s="33"/>
      <c r="D149" s="71">
        <f>5*4.5</f>
        <v>22.5</v>
      </c>
      <c r="E149" s="32">
        <f t="shared" si="22"/>
        <v>19971.649999999998</v>
      </c>
      <c r="F149" s="33"/>
      <c r="G149" s="33">
        <f t="shared" si="23"/>
        <v>18.593984458849082</v>
      </c>
      <c r="H149" s="56"/>
      <c r="I149" s="33">
        <f t="shared" si="24"/>
        <v>418.36465032410433</v>
      </c>
      <c r="J149" s="33">
        <f t="shared" si="25"/>
        <v>371352.54971757322</v>
      </c>
      <c r="K149" s="47"/>
      <c r="L149" s="60"/>
      <c r="M149" s="60"/>
      <c r="N149" s="60"/>
    </row>
    <row r="150" spans="1:14" x14ac:dyDescent="0.3">
      <c r="A150" s="149">
        <v>42369</v>
      </c>
      <c r="B150" s="150" t="s">
        <v>965</v>
      </c>
      <c r="C150" s="151"/>
      <c r="D150" s="152">
        <f>97*3+5*3.84</f>
        <v>310.2</v>
      </c>
      <c r="E150" s="153">
        <f t="shared" ref="E150" si="26">+E149-D150</f>
        <v>19661.449999999997</v>
      </c>
      <c r="F150" s="151"/>
      <c r="G150" s="151">
        <f t="shared" ref="G150" si="27">+J149/E149</f>
        <v>18.593984458849082</v>
      </c>
      <c r="H150" s="154"/>
      <c r="I150" s="151">
        <f t="shared" ref="I150" si="28">+D150*G150</f>
        <v>5767.8539791349849</v>
      </c>
      <c r="J150" s="151">
        <f t="shared" ref="J150" si="29">+J149-I150</f>
        <v>365584.69573843823</v>
      </c>
      <c r="K150" s="148"/>
      <c r="L150" s="161">
        <f>SUM(I138:I150)</f>
        <v>15696.111980937449</v>
      </c>
      <c r="M150" s="165">
        <f>SUM(L137:L150)</f>
        <v>16832.576311062305</v>
      </c>
      <c r="N150" s="162">
        <v>42369</v>
      </c>
    </row>
    <row r="151" spans="1:14" ht="15" thickBot="1" x14ac:dyDescent="0.35">
      <c r="A151" s="53"/>
      <c r="B151" s="51" t="s">
        <v>982</v>
      </c>
      <c r="C151" s="57">
        <f>SUM(C9:C150)</f>
        <v>25773.599999999999</v>
      </c>
      <c r="D151" s="57">
        <f t="shared" ref="D151" si="30">SUM(D9:D150)</f>
        <v>6112.15</v>
      </c>
      <c r="E151" s="32"/>
      <c r="F151" s="33"/>
      <c r="G151" s="33"/>
      <c r="H151" s="57">
        <f t="shared" ref="H151" si="31">SUM(H9:H150)</f>
        <v>484492.69999999995</v>
      </c>
      <c r="I151" s="57">
        <f t="shared" ref="I151" si="32">SUM(I9:I150)</f>
        <v>118908.00426156187</v>
      </c>
      <c r="J151" s="57"/>
      <c r="K151" s="47"/>
      <c r="L151" s="60"/>
      <c r="M151" s="216">
        <f>SUM(M32:M150)</f>
        <v>118908.00426156192</v>
      </c>
      <c r="N151" s="60"/>
    </row>
    <row r="152" spans="1:14" s="39" customFormat="1" ht="15" thickTop="1" x14ac:dyDescent="0.3">
      <c r="B152" s="6"/>
      <c r="C152" s="143"/>
      <c r="D152" s="144"/>
      <c r="E152" s="145"/>
      <c r="F152" s="146"/>
      <c r="G152" s="146"/>
      <c r="H152" s="139"/>
      <c r="I152" s="146"/>
      <c r="J152" s="143"/>
      <c r="K152" s="128"/>
      <c r="L152" s="5"/>
      <c r="M152" s="5"/>
      <c r="N152" s="5"/>
    </row>
    <row r="153" spans="1:14" s="39" customFormat="1" x14ac:dyDescent="0.3">
      <c r="A153" s="127" t="s">
        <v>980</v>
      </c>
      <c r="B153" s="6"/>
      <c r="C153" s="5"/>
      <c r="D153" s="5"/>
      <c r="E153" s="5"/>
      <c r="F153" s="5"/>
      <c r="G153" s="60"/>
      <c r="H153" s="60"/>
      <c r="I153" s="60"/>
      <c r="J153" s="60"/>
      <c r="K153" s="128"/>
      <c r="L153" s="5"/>
      <c r="M153" s="5"/>
      <c r="N153" s="5"/>
    </row>
    <row r="154" spans="1:14" s="39" customFormat="1" x14ac:dyDescent="0.3">
      <c r="A154" s="127" t="s">
        <v>981</v>
      </c>
      <c r="B154" s="6"/>
      <c r="C154" s="5"/>
      <c r="D154" s="5"/>
      <c r="E154" s="5"/>
      <c r="F154" s="5"/>
      <c r="G154" s="60"/>
      <c r="H154" s="60"/>
      <c r="I154" s="60"/>
      <c r="J154" s="163">
        <f>+E150*F128</f>
        <v>357698.56556831748</v>
      </c>
      <c r="K154" s="128"/>
      <c r="L154" s="5"/>
      <c r="M154" s="5"/>
      <c r="N154" s="5"/>
    </row>
    <row r="155" spans="1:14" s="39" customFormat="1" x14ac:dyDescent="0.3">
      <c r="A155" s="127" t="s">
        <v>978</v>
      </c>
      <c r="B155" s="6"/>
      <c r="C155" s="5"/>
      <c r="D155" s="5"/>
      <c r="E155" s="5"/>
      <c r="F155" s="5"/>
      <c r="G155" s="60"/>
      <c r="H155" s="60"/>
      <c r="I155" s="60"/>
      <c r="J155" s="164">
        <f>+J150</f>
        <v>365584.69573843823</v>
      </c>
      <c r="K155" s="128"/>
      <c r="L155" s="5"/>
      <c r="M155" s="5"/>
      <c r="N155" s="5"/>
    </row>
    <row r="156" spans="1:14" s="39" customFormat="1" x14ac:dyDescent="0.3">
      <c r="A156" s="127"/>
      <c r="B156" s="6" t="s">
        <v>979</v>
      </c>
      <c r="C156" s="5"/>
      <c r="D156" s="5"/>
      <c r="E156" s="5"/>
      <c r="F156" s="5"/>
      <c r="G156" s="60"/>
      <c r="H156" s="60"/>
      <c r="I156" s="60"/>
      <c r="J156" s="163">
        <f>+J154-J155</f>
        <v>-7886.1301701207412</v>
      </c>
      <c r="K156" s="128"/>
      <c r="L156" s="5"/>
      <c r="M156" s="5"/>
      <c r="N156" s="5"/>
    </row>
    <row r="157" spans="1:14" s="39" customFormat="1" x14ac:dyDescent="0.3">
      <c r="A157" s="5"/>
      <c r="B157" s="117"/>
      <c r="C157" s="107"/>
      <c r="D157" s="108"/>
      <c r="E157" s="118"/>
      <c r="F157" s="119"/>
      <c r="G157" s="119"/>
      <c r="H157" s="119"/>
      <c r="I157" s="119"/>
      <c r="J157" s="120"/>
      <c r="K157" s="5"/>
      <c r="L157" s="5"/>
      <c r="M157" s="5"/>
      <c r="N157" s="5"/>
    </row>
    <row r="158" spans="1:14" s="39" customFormat="1" x14ac:dyDescent="0.3"/>
    <row r="159" spans="1:14" s="39" customFormat="1" x14ac:dyDescent="0.3"/>
    <row r="160" spans="1:14" s="39" customFormat="1" x14ac:dyDescent="0.3"/>
    <row r="161" s="39" customFormat="1" x14ac:dyDescent="0.3"/>
    <row r="162" s="39" customFormat="1" x14ac:dyDescent="0.3"/>
    <row r="163" s="39" customFormat="1" x14ac:dyDescent="0.3"/>
    <row r="164" s="39" customFormat="1" x14ac:dyDescent="0.3"/>
    <row r="165" s="39" customFormat="1" x14ac:dyDescent="0.3"/>
  </sheetData>
  <mergeCells count="4">
    <mergeCell ref="D4:H4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scale="7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C1" workbookViewId="0">
      <selection activeCell="C1" sqref="C1:M1048576"/>
    </sheetView>
  </sheetViews>
  <sheetFormatPr baseColWidth="10" defaultColWidth="11.44140625" defaultRowHeight="14.4" x14ac:dyDescent="0.3"/>
  <cols>
    <col min="1" max="1" width="11.44140625" style="34"/>
    <col min="2" max="2" width="29" style="34" customWidth="1"/>
    <col min="3" max="13" width="10.6640625" style="34" customWidth="1"/>
    <col min="14" max="16384" width="11.44140625" style="34"/>
  </cols>
  <sheetData>
    <row r="1" spans="1:13" x14ac:dyDescent="0.3">
      <c r="A1" s="100" t="s">
        <v>0</v>
      </c>
      <c r="B1" s="101"/>
      <c r="C1" s="129"/>
      <c r="D1" s="129"/>
      <c r="E1" s="129"/>
      <c r="F1" s="129"/>
      <c r="G1" s="129"/>
      <c r="H1" s="130" t="s">
        <v>1</v>
      </c>
      <c r="I1" s="129"/>
      <c r="J1" s="174"/>
      <c r="K1" s="60"/>
      <c r="L1" s="60"/>
      <c r="M1" s="60"/>
    </row>
    <row r="2" spans="1:13" x14ac:dyDescent="0.3">
      <c r="A2" s="102" t="s">
        <v>2</v>
      </c>
      <c r="B2" s="38"/>
      <c r="C2" s="5"/>
      <c r="D2" s="5"/>
      <c r="E2" s="5"/>
      <c r="F2" s="5"/>
      <c r="G2" s="5"/>
      <c r="H2" s="6" t="s">
        <v>966</v>
      </c>
      <c r="I2" s="5"/>
      <c r="J2" s="175"/>
      <c r="K2" s="60"/>
      <c r="L2" s="60"/>
      <c r="M2" s="60"/>
    </row>
    <row r="3" spans="1:13" x14ac:dyDescent="0.3">
      <c r="A3" s="103" t="s">
        <v>3</v>
      </c>
      <c r="B3" s="42"/>
      <c r="C3" s="5"/>
      <c r="D3" s="5"/>
      <c r="E3" s="5"/>
      <c r="F3" s="5"/>
      <c r="G3" s="5"/>
      <c r="H3" s="6" t="s">
        <v>967</v>
      </c>
      <c r="I3" s="5"/>
      <c r="J3" s="175"/>
      <c r="K3" s="60"/>
      <c r="L3" s="60"/>
      <c r="M3" s="60"/>
    </row>
    <row r="4" spans="1:13" x14ac:dyDescent="0.3">
      <c r="A4" s="114"/>
      <c r="B4" s="5"/>
      <c r="C4" s="5"/>
      <c r="D4" s="219" t="s">
        <v>5</v>
      </c>
      <c r="E4" s="219"/>
      <c r="F4" s="219"/>
      <c r="G4" s="219"/>
      <c r="H4" s="219"/>
      <c r="I4" s="5"/>
      <c r="J4" s="175"/>
      <c r="K4" s="60"/>
      <c r="L4" s="60"/>
      <c r="M4" s="60"/>
    </row>
    <row r="5" spans="1:13" x14ac:dyDescent="0.3">
      <c r="A5" s="114"/>
      <c r="B5" s="7"/>
      <c r="C5" s="5"/>
      <c r="D5" s="6" t="s">
        <v>274</v>
      </c>
      <c r="E5" s="7"/>
      <c r="F5" s="7"/>
      <c r="G5" s="5"/>
      <c r="H5" s="5"/>
      <c r="I5" s="5"/>
      <c r="J5" s="175"/>
      <c r="K5" s="60"/>
      <c r="L5" s="60"/>
      <c r="M5" s="60"/>
    </row>
    <row r="6" spans="1:13" x14ac:dyDescent="0.3">
      <c r="A6" s="114"/>
      <c r="B6" s="7"/>
      <c r="C6" s="5"/>
      <c r="D6" s="5" t="s">
        <v>6</v>
      </c>
      <c r="E6" s="7"/>
      <c r="F6" s="7"/>
      <c r="G6" s="5"/>
      <c r="H6" s="5"/>
      <c r="I6" s="5"/>
      <c r="J6" s="175"/>
      <c r="K6" s="60"/>
      <c r="L6" s="60"/>
      <c r="M6" s="60"/>
    </row>
    <row r="7" spans="1:13" x14ac:dyDescent="0.3">
      <c r="A7" s="114"/>
      <c r="B7" s="5"/>
      <c r="C7" s="5"/>
      <c r="D7" s="5"/>
      <c r="E7" s="5"/>
      <c r="F7" s="5"/>
      <c r="G7" s="5"/>
      <c r="H7" s="5"/>
      <c r="I7" s="5"/>
      <c r="J7" s="175"/>
      <c r="K7" s="60"/>
      <c r="L7" s="60"/>
      <c r="M7" s="60"/>
    </row>
    <row r="8" spans="1:13" x14ac:dyDescent="0.3">
      <c r="A8" s="114"/>
      <c r="B8" s="5"/>
      <c r="C8" s="5"/>
      <c r="D8" s="5"/>
      <c r="E8" s="5"/>
      <c r="F8" s="5"/>
      <c r="G8" s="5"/>
      <c r="H8" s="5"/>
      <c r="I8" s="5"/>
      <c r="J8" s="175"/>
      <c r="K8" s="60"/>
      <c r="L8" s="60"/>
      <c r="M8" s="60"/>
    </row>
    <row r="9" spans="1:13" x14ac:dyDescent="0.3">
      <c r="A9" s="176" t="s">
        <v>7</v>
      </c>
      <c r="B9" s="177" t="s">
        <v>8</v>
      </c>
      <c r="C9" s="225" t="s">
        <v>9</v>
      </c>
      <c r="D9" s="226"/>
      <c r="E9" s="227"/>
      <c r="F9" s="228" t="s">
        <v>10</v>
      </c>
      <c r="G9" s="229"/>
      <c r="H9" s="225" t="s">
        <v>11</v>
      </c>
      <c r="I9" s="226"/>
      <c r="J9" s="227"/>
      <c r="K9" s="60"/>
      <c r="L9" s="60"/>
      <c r="M9" s="60"/>
    </row>
    <row r="10" spans="1:13" x14ac:dyDescent="0.3">
      <c r="A10" s="178"/>
      <c r="B10" s="179"/>
      <c r="C10" s="178" t="s">
        <v>26</v>
      </c>
      <c r="D10" s="180" t="s">
        <v>14</v>
      </c>
      <c r="E10" s="181" t="s">
        <v>20</v>
      </c>
      <c r="F10" s="180" t="s">
        <v>16</v>
      </c>
      <c r="G10" s="180" t="s">
        <v>17</v>
      </c>
      <c r="H10" s="178" t="s">
        <v>18</v>
      </c>
      <c r="I10" s="180" t="s">
        <v>19</v>
      </c>
      <c r="J10" s="181" t="s">
        <v>20</v>
      </c>
      <c r="K10" s="60"/>
      <c r="L10" s="60"/>
      <c r="M10" s="60"/>
    </row>
    <row r="11" spans="1:13" x14ac:dyDescent="0.3">
      <c r="A11" s="59">
        <v>42005</v>
      </c>
      <c r="B11" s="54" t="s">
        <v>248</v>
      </c>
      <c r="C11" s="54">
        <v>200</v>
      </c>
      <c r="D11" s="54"/>
      <c r="E11" s="54">
        <f>+C11</f>
        <v>200</v>
      </c>
      <c r="F11" s="2">
        <f>+H11/C11</f>
        <v>0.52200000000000002</v>
      </c>
      <c r="G11" s="122"/>
      <c r="H11" s="2">
        <v>104.4</v>
      </c>
      <c r="I11" s="2"/>
      <c r="J11" s="2">
        <f>+H11</f>
        <v>104.4</v>
      </c>
      <c r="K11" s="60"/>
      <c r="L11" s="60"/>
      <c r="M11" s="60"/>
    </row>
    <row r="12" spans="1:13" ht="15" thickBot="1" x14ac:dyDescent="0.35">
      <c r="A12" s="91">
        <v>42173</v>
      </c>
      <c r="B12" s="93" t="s">
        <v>310</v>
      </c>
      <c r="C12" s="93"/>
      <c r="D12" s="93">
        <v>200</v>
      </c>
      <c r="E12" s="93">
        <f>+E11-D12</f>
        <v>0</v>
      </c>
      <c r="F12" s="93"/>
      <c r="G12" s="92"/>
      <c r="H12" s="92"/>
      <c r="I12" s="92">
        <f>+D12*F11</f>
        <v>104.4</v>
      </c>
      <c r="J12" s="92">
        <f>+J11-I12</f>
        <v>0</v>
      </c>
      <c r="K12" s="186">
        <f>SUM(I12)</f>
        <v>104.4</v>
      </c>
      <c r="L12" s="194">
        <f>SUM(K12)</f>
        <v>104.4</v>
      </c>
      <c r="M12" s="162">
        <v>42173</v>
      </c>
    </row>
    <row r="13" spans="1:13" ht="15" thickTop="1" x14ac:dyDescent="0.3">
      <c r="A13" s="59"/>
      <c r="B13" s="54"/>
      <c r="C13" s="54"/>
      <c r="D13" s="54"/>
      <c r="E13" s="54"/>
      <c r="F13" s="54"/>
      <c r="G13" s="2"/>
      <c r="H13" s="2"/>
      <c r="I13" s="2"/>
      <c r="J13" s="2"/>
      <c r="K13" s="184"/>
      <c r="L13" s="60"/>
      <c r="M13" s="60"/>
    </row>
    <row r="14" spans="1:13" x14ac:dyDescent="0.3">
      <c r="A14" s="59"/>
      <c r="B14" s="54" t="s">
        <v>982</v>
      </c>
      <c r="C14" s="54">
        <f>SUM(C11:C13)</f>
        <v>200</v>
      </c>
      <c r="D14" s="54">
        <f>SUM(D11:D13)</f>
        <v>200</v>
      </c>
      <c r="E14" s="54"/>
      <c r="F14" s="54"/>
      <c r="G14" s="2"/>
      <c r="H14" s="54">
        <f t="shared" ref="H14:I14" si="0">SUM(H11:H13)</f>
        <v>104.4</v>
      </c>
      <c r="I14" s="54">
        <f t="shared" si="0"/>
        <v>104.4</v>
      </c>
      <c r="J14" s="2"/>
      <c r="K14" s="184"/>
      <c r="L14" s="60"/>
      <c r="M14" s="60"/>
    </row>
    <row r="15" spans="1:13" s="39" customFormat="1" x14ac:dyDescent="0.3">
      <c r="A15" s="127"/>
      <c r="B15" s="5"/>
      <c r="C15" s="5"/>
      <c r="D15" s="5"/>
      <c r="E15" s="5"/>
      <c r="F15" s="5"/>
      <c r="G15" s="122"/>
      <c r="H15" s="122"/>
      <c r="I15" s="122"/>
      <c r="J15" s="122"/>
      <c r="K15" s="188"/>
      <c r="L15" s="5"/>
      <c r="M15" s="5"/>
    </row>
    <row r="16" spans="1:13" s="39" customFormat="1" x14ac:dyDescent="0.3">
      <c r="A16" s="127"/>
      <c r="B16" s="5"/>
      <c r="C16" s="5"/>
      <c r="D16" s="5"/>
      <c r="E16" s="5"/>
      <c r="F16" s="122"/>
      <c r="G16" s="122"/>
      <c r="H16" s="5"/>
      <c r="I16" s="122"/>
      <c r="J16" s="122"/>
      <c r="K16" s="188"/>
      <c r="L16" s="5"/>
      <c r="M16" s="5"/>
    </row>
    <row r="17" spans="1:13" s="39" customFormat="1" x14ac:dyDescent="0.3">
      <c r="A17" s="127"/>
      <c r="B17" s="5"/>
      <c r="C17" s="5"/>
      <c r="D17" s="5"/>
      <c r="E17" s="5"/>
      <c r="F17" s="5"/>
      <c r="G17" s="122"/>
      <c r="H17" s="122"/>
      <c r="I17" s="122"/>
      <c r="J17" s="122"/>
      <c r="K17" s="188"/>
      <c r="L17" s="5"/>
      <c r="M17" s="5"/>
    </row>
    <row r="18" spans="1:13" s="39" customFormat="1" x14ac:dyDescent="0.3">
      <c r="A18" s="127"/>
      <c r="B18" s="5"/>
      <c r="C18" s="5"/>
      <c r="D18" s="5"/>
      <c r="E18" s="5"/>
      <c r="F18" s="5"/>
      <c r="G18" s="122"/>
      <c r="H18" s="122"/>
      <c r="I18" s="122"/>
      <c r="J18" s="122"/>
      <c r="K18" s="188"/>
      <c r="L18" s="5"/>
      <c r="M18" s="5"/>
    </row>
    <row r="19" spans="1:13" s="39" customFormat="1" x14ac:dyDescent="0.3">
      <c r="A19" s="127" t="s">
        <v>980</v>
      </c>
      <c r="B19" s="6"/>
      <c r="C19" s="5"/>
      <c r="D19" s="5"/>
      <c r="E19" s="5"/>
      <c r="F19" s="5"/>
      <c r="G19" s="60"/>
      <c r="H19" s="60"/>
      <c r="I19" s="60"/>
      <c r="J19" s="60"/>
      <c r="K19" s="188"/>
      <c r="L19" s="5"/>
      <c r="M19" s="5"/>
    </row>
    <row r="20" spans="1:13" s="39" customFormat="1" x14ac:dyDescent="0.3">
      <c r="A20" s="127" t="s">
        <v>981</v>
      </c>
      <c r="B20" s="6"/>
      <c r="C20" s="5"/>
      <c r="D20" s="5"/>
      <c r="E20" s="5"/>
      <c r="F20" s="5"/>
      <c r="G20" s="60"/>
      <c r="H20" s="60"/>
      <c r="I20" s="60"/>
      <c r="J20" s="163">
        <f>+E12*F11</f>
        <v>0</v>
      </c>
      <c r="K20" s="188"/>
      <c r="L20" s="5"/>
      <c r="M20" s="5"/>
    </row>
    <row r="21" spans="1:13" s="39" customFormat="1" x14ac:dyDescent="0.3">
      <c r="A21" s="127" t="s">
        <v>978</v>
      </c>
      <c r="B21" s="6"/>
      <c r="C21" s="5"/>
      <c r="D21" s="5"/>
      <c r="E21" s="5"/>
      <c r="F21" s="5"/>
      <c r="G21" s="60"/>
      <c r="H21" s="60"/>
      <c r="I21" s="60"/>
      <c r="J21" s="164">
        <f>+J12</f>
        <v>0</v>
      </c>
      <c r="K21" s="188"/>
      <c r="L21" s="5"/>
      <c r="M21" s="5"/>
    </row>
    <row r="22" spans="1:13" s="39" customFormat="1" x14ac:dyDescent="0.3">
      <c r="A22" s="127"/>
      <c r="B22" s="6" t="s">
        <v>979</v>
      </c>
      <c r="C22" s="5"/>
      <c r="D22" s="5"/>
      <c r="E22" s="5"/>
      <c r="F22" s="5"/>
      <c r="G22" s="60"/>
      <c r="H22" s="60"/>
      <c r="I22" s="60"/>
      <c r="J22" s="163">
        <f>+J20-J21</f>
        <v>0</v>
      </c>
      <c r="K22" s="188"/>
      <c r="L22" s="5"/>
      <c r="M22" s="5"/>
    </row>
    <row r="23" spans="1:13" s="39" customFormat="1" x14ac:dyDescent="0.3">
      <c r="A23" s="5"/>
      <c r="B23" s="117"/>
      <c r="C23" s="107"/>
      <c r="D23" s="108"/>
      <c r="E23" s="118"/>
      <c r="F23" s="119"/>
      <c r="G23" s="119"/>
      <c r="H23" s="119"/>
      <c r="I23" s="119"/>
      <c r="J23" s="120"/>
      <c r="K23" s="105"/>
    </row>
    <row r="24" spans="1:13" s="39" customFormat="1" x14ac:dyDescent="0.3">
      <c r="A24" s="99"/>
      <c r="G24" s="19"/>
      <c r="H24" s="19"/>
      <c r="I24" s="19"/>
      <c r="J24" s="19"/>
      <c r="K24" s="105"/>
    </row>
    <row r="25" spans="1:13" s="39" customFormat="1" x14ac:dyDescent="0.3">
      <c r="A25" s="99"/>
      <c r="G25" s="19"/>
      <c r="H25" s="19"/>
      <c r="I25" s="19"/>
      <c r="J25" s="19"/>
      <c r="K25" s="105"/>
    </row>
    <row r="26" spans="1:13" s="39" customFormat="1" x14ac:dyDescent="0.3">
      <c r="A26" s="99"/>
      <c r="G26" s="19"/>
      <c r="H26" s="19"/>
      <c r="I26" s="19"/>
      <c r="J26" s="19"/>
      <c r="K26" s="105"/>
    </row>
    <row r="27" spans="1:13" s="39" customFormat="1" x14ac:dyDescent="0.3">
      <c r="A27" s="99"/>
      <c r="G27" s="19"/>
      <c r="H27" s="19"/>
      <c r="I27" s="19"/>
      <c r="J27" s="19"/>
      <c r="K27" s="105"/>
    </row>
    <row r="28" spans="1:13" s="39" customFormat="1" x14ac:dyDescent="0.3">
      <c r="A28" s="99"/>
      <c r="G28" s="19"/>
      <c r="H28" s="19"/>
      <c r="I28" s="19"/>
      <c r="J28" s="19"/>
      <c r="K28" s="105"/>
    </row>
    <row r="29" spans="1:13" s="39" customFormat="1" x14ac:dyDescent="0.3">
      <c r="A29" s="99"/>
      <c r="G29" s="19"/>
      <c r="H29" s="19"/>
      <c r="I29" s="19"/>
      <c r="J29" s="19"/>
      <c r="K29" s="105"/>
    </row>
    <row r="30" spans="1:13" s="39" customFormat="1" x14ac:dyDescent="0.3">
      <c r="A30" s="99"/>
      <c r="G30" s="19"/>
      <c r="H30" s="19"/>
      <c r="I30" s="19"/>
      <c r="J30" s="19"/>
      <c r="K30" s="105"/>
    </row>
    <row r="31" spans="1:13" s="39" customFormat="1" x14ac:dyDescent="0.3">
      <c r="A31" s="99"/>
      <c r="G31" s="19"/>
      <c r="H31" s="19"/>
      <c r="I31" s="19"/>
      <c r="J31" s="19"/>
      <c r="K31" s="105"/>
    </row>
    <row r="32" spans="1:13" s="39" customFormat="1" x14ac:dyDescent="0.3">
      <c r="A32" s="99"/>
      <c r="G32" s="19"/>
      <c r="H32" s="19"/>
      <c r="I32" s="19"/>
      <c r="J32" s="19"/>
      <c r="K32" s="105"/>
    </row>
    <row r="33" spans="1:11" s="39" customFormat="1" x14ac:dyDescent="0.3">
      <c r="A33" s="99"/>
      <c r="G33" s="19"/>
      <c r="H33" s="19"/>
      <c r="I33" s="19"/>
      <c r="J33" s="19"/>
      <c r="K33" s="105"/>
    </row>
    <row r="34" spans="1:11" s="39" customFormat="1" x14ac:dyDescent="0.3">
      <c r="A34" s="99"/>
      <c r="G34" s="19"/>
      <c r="H34" s="19"/>
      <c r="I34" s="19"/>
      <c r="J34" s="19"/>
      <c r="K34" s="105"/>
    </row>
    <row r="35" spans="1:11" s="39" customFormat="1" x14ac:dyDescent="0.3">
      <c r="A35" s="99"/>
      <c r="G35" s="19"/>
      <c r="H35" s="19"/>
      <c r="I35" s="19"/>
      <c r="J35" s="19"/>
      <c r="K35" s="105"/>
    </row>
    <row r="36" spans="1:11" s="39" customFormat="1" x14ac:dyDescent="0.3">
      <c r="A36" s="99"/>
      <c r="G36" s="19"/>
      <c r="H36" s="19"/>
      <c r="I36" s="19"/>
      <c r="J36" s="19"/>
      <c r="K36" s="105"/>
    </row>
    <row r="37" spans="1:11" s="39" customFormat="1" x14ac:dyDescent="0.3">
      <c r="A37" s="99"/>
      <c r="G37" s="19"/>
      <c r="H37" s="19"/>
      <c r="I37" s="19"/>
      <c r="J37" s="19"/>
      <c r="K37" s="105"/>
    </row>
    <row r="38" spans="1:11" s="39" customFormat="1" x14ac:dyDescent="0.3">
      <c r="A38" s="99"/>
      <c r="G38" s="19"/>
      <c r="H38" s="19"/>
      <c r="I38" s="19"/>
      <c r="J38" s="19"/>
      <c r="K38" s="105"/>
    </row>
    <row r="39" spans="1:11" s="39" customFormat="1" x14ac:dyDescent="0.3">
      <c r="A39" s="99"/>
      <c r="G39" s="19"/>
      <c r="H39" s="19"/>
      <c r="I39" s="19"/>
      <c r="J39" s="19"/>
      <c r="K39" s="105"/>
    </row>
    <row r="40" spans="1:11" s="39" customFormat="1" x14ac:dyDescent="0.3">
      <c r="A40" s="99"/>
      <c r="G40" s="19"/>
      <c r="H40" s="19"/>
      <c r="I40" s="19"/>
      <c r="J40" s="19"/>
      <c r="K40" s="105"/>
    </row>
    <row r="41" spans="1:11" s="39" customFormat="1" x14ac:dyDescent="0.3">
      <c r="A41" s="99"/>
      <c r="G41" s="19"/>
      <c r="H41" s="19"/>
      <c r="I41" s="19"/>
      <c r="J41" s="19"/>
      <c r="K41" s="105"/>
    </row>
    <row r="42" spans="1:11" s="39" customFormat="1" x14ac:dyDescent="0.3">
      <c r="A42" s="99"/>
      <c r="G42" s="19"/>
      <c r="H42" s="19"/>
      <c r="I42" s="19"/>
      <c r="J42" s="19"/>
      <c r="K42" s="105"/>
    </row>
    <row r="43" spans="1:11" s="39" customFormat="1" x14ac:dyDescent="0.3">
      <c r="A43" s="99"/>
      <c r="G43" s="19"/>
      <c r="H43" s="19"/>
      <c r="I43" s="19"/>
      <c r="J43" s="19"/>
      <c r="K43" s="105"/>
    </row>
    <row r="44" spans="1:11" s="39" customFormat="1" x14ac:dyDescent="0.3"/>
    <row r="45" spans="1:11" s="39" customFormat="1" x14ac:dyDescent="0.3"/>
    <row r="46" spans="1:11" s="39" customFormat="1" x14ac:dyDescent="0.3"/>
    <row r="47" spans="1:11" s="39" customFormat="1" x14ac:dyDescent="0.3"/>
    <row r="48" spans="1:11" s="39" customFormat="1" x14ac:dyDescent="0.3"/>
    <row r="49" s="39" customFormat="1" x14ac:dyDescent="0.3"/>
    <row r="50" s="39" customFormat="1" x14ac:dyDescent="0.3"/>
    <row r="51" s="39" customFormat="1" x14ac:dyDescent="0.3"/>
    <row r="52" s="39" customFormat="1" x14ac:dyDescent="0.3"/>
    <row r="53" s="39" customFormat="1" x14ac:dyDescent="0.3"/>
    <row r="54" s="39" customFormat="1" x14ac:dyDescent="0.3"/>
    <row r="55" s="39" customFormat="1" x14ac:dyDescent="0.3"/>
    <row r="56" s="39" customFormat="1" x14ac:dyDescent="0.3"/>
    <row r="57" s="39" customFormat="1" x14ac:dyDescent="0.3"/>
  </sheetData>
  <mergeCells count="4">
    <mergeCell ref="D4:H4"/>
    <mergeCell ref="C9:E9"/>
    <mergeCell ref="F9:G9"/>
    <mergeCell ref="H9:J9"/>
  </mergeCells>
  <pageMargins left="0.70866141732283472" right="0.70866141732283472" top="0.74803149606299213" bottom="0.74803149606299213" header="0.31496062992125984" footer="0.31496062992125984"/>
  <pageSetup scale="70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opLeftCell="C4" workbookViewId="0">
      <selection activeCell="N4" sqref="N4"/>
    </sheetView>
  </sheetViews>
  <sheetFormatPr baseColWidth="10" defaultColWidth="11.44140625" defaultRowHeight="14.4" x14ac:dyDescent="0.3"/>
  <cols>
    <col min="1" max="1" width="11.44140625" style="34"/>
    <col min="2" max="2" width="30.44140625" style="34" customWidth="1"/>
    <col min="3" max="13" width="10.6640625" style="34" customWidth="1"/>
    <col min="14" max="16384" width="11.44140625" style="34"/>
  </cols>
  <sheetData>
    <row r="1" spans="1:13" x14ac:dyDescent="0.3">
      <c r="A1" s="100" t="s">
        <v>0</v>
      </c>
      <c r="B1" s="101"/>
      <c r="C1" s="129"/>
      <c r="D1" s="129"/>
      <c r="E1" s="129"/>
      <c r="F1" s="129"/>
      <c r="G1" s="129"/>
      <c r="H1" s="130" t="s">
        <v>1</v>
      </c>
      <c r="I1" s="129"/>
      <c r="J1" s="174"/>
      <c r="K1" s="60"/>
      <c r="L1" s="60"/>
      <c r="M1" s="60"/>
    </row>
    <row r="2" spans="1:13" x14ac:dyDescent="0.3">
      <c r="A2" s="102" t="s">
        <v>2</v>
      </c>
      <c r="B2" s="38"/>
      <c r="C2" s="5"/>
      <c r="D2" s="5"/>
      <c r="E2" s="5"/>
      <c r="F2" s="5"/>
      <c r="G2" s="5"/>
      <c r="H2" s="6" t="s">
        <v>437</v>
      </c>
      <c r="I2" s="5"/>
      <c r="J2" s="175"/>
      <c r="K2" s="60"/>
      <c r="L2" s="60"/>
      <c r="M2" s="60"/>
    </row>
    <row r="3" spans="1:13" x14ac:dyDescent="0.3">
      <c r="A3" s="103" t="s">
        <v>3</v>
      </c>
      <c r="B3" s="42"/>
      <c r="C3" s="5"/>
      <c r="D3" s="5"/>
      <c r="E3" s="5"/>
      <c r="F3" s="5"/>
      <c r="G3" s="5"/>
      <c r="H3" s="6" t="s">
        <v>438</v>
      </c>
      <c r="I3" s="5"/>
      <c r="J3" s="175"/>
      <c r="K3" s="5"/>
      <c r="L3" s="60"/>
      <c r="M3" s="60"/>
    </row>
    <row r="4" spans="1:13" x14ac:dyDescent="0.3">
      <c r="A4" s="114"/>
      <c r="B4" s="5"/>
      <c r="C4" s="5"/>
      <c r="D4" s="219" t="s">
        <v>5</v>
      </c>
      <c r="E4" s="219"/>
      <c r="F4" s="219"/>
      <c r="G4" s="219"/>
      <c r="H4" s="219"/>
      <c r="I4" s="6"/>
      <c r="J4" s="175"/>
      <c r="K4" s="5"/>
      <c r="L4" s="60"/>
      <c r="M4" s="60"/>
    </row>
    <row r="5" spans="1:13" x14ac:dyDescent="0.3">
      <c r="A5" s="114"/>
      <c r="B5" s="7"/>
      <c r="C5" s="5"/>
      <c r="D5" s="6" t="s">
        <v>439</v>
      </c>
      <c r="E5" s="7"/>
      <c r="F5" s="7"/>
      <c r="G5" s="5"/>
      <c r="H5" s="5"/>
      <c r="I5" s="6"/>
      <c r="J5" s="175"/>
      <c r="K5" s="5"/>
      <c r="L5" s="60"/>
      <c r="M5" s="60"/>
    </row>
    <row r="6" spans="1:13" x14ac:dyDescent="0.3">
      <c r="A6" s="114"/>
      <c r="B6" s="7"/>
      <c r="C6" s="5"/>
      <c r="D6" s="5" t="s">
        <v>6</v>
      </c>
      <c r="E6" s="7"/>
      <c r="F6" s="7"/>
      <c r="G6" s="5"/>
      <c r="H6" s="5"/>
      <c r="I6" s="6"/>
      <c r="J6" s="175"/>
      <c r="K6" s="5"/>
      <c r="L6" s="60"/>
      <c r="M6" s="60"/>
    </row>
    <row r="7" spans="1:13" x14ac:dyDescent="0.3">
      <c r="A7" s="114"/>
      <c r="B7" s="5"/>
      <c r="C7" s="5"/>
      <c r="D7" s="5"/>
      <c r="E7" s="5"/>
      <c r="F7" s="5"/>
      <c r="G7" s="5"/>
      <c r="H7" s="5"/>
      <c r="I7" s="5"/>
      <c r="J7" s="175"/>
      <c r="K7" s="60"/>
      <c r="L7" s="60"/>
      <c r="M7" s="60"/>
    </row>
    <row r="8" spans="1:13" x14ac:dyDescent="0.3">
      <c r="A8" s="114"/>
      <c r="B8" s="5"/>
      <c r="C8" s="5"/>
      <c r="D8" s="5"/>
      <c r="E8" s="5"/>
      <c r="F8" s="5"/>
      <c r="G8" s="5"/>
      <c r="H8" s="5"/>
      <c r="I8" s="5"/>
      <c r="J8" s="175"/>
      <c r="K8" s="60"/>
      <c r="L8" s="60"/>
      <c r="M8" s="60"/>
    </row>
    <row r="9" spans="1:13" x14ac:dyDescent="0.3">
      <c r="A9" s="176" t="s">
        <v>7</v>
      </c>
      <c r="B9" s="177" t="s">
        <v>8</v>
      </c>
      <c r="C9" s="225" t="s">
        <v>9</v>
      </c>
      <c r="D9" s="226"/>
      <c r="E9" s="227"/>
      <c r="F9" s="228" t="s">
        <v>10</v>
      </c>
      <c r="G9" s="229"/>
      <c r="H9" s="225" t="s">
        <v>11</v>
      </c>
      <c r="I9" s="226"/>
      <c r="J9" s="227"/>
      <c r="K9" s="60"/>
      <c r="L9" s="60"/>
      <c r="M9" s="60"/>
    </row>
    <row r="10" spans="1:13" x14ac:dyDescent="0.3">
      <c r="A10" s="178"/>
      <c r="B10" s="179"/>
      <c r="C10" s="178" t="s">
        <v>26</v>
      </c>
      <c r="D10" s="180" t="s">
        <v>14</v>
      </c>
      <c r="E10" s="181" t="s">
        <v>20</v>
      </c>
      <c r="F10" s="180" t="s">
        <v>16</v>
      </c>
      <c r="G10" s="180" t="s">
        <v>17</v>
      </c>
      <c r="H10" s="178" t="s">
        <v>18</v>
      </c>
      <c r="I10" s="180" t="s">
        <v>19</v>
      </c>
      <c r="J10" s="181" t="s">
        <v>20</v>
      </c>
      <c r="K10" s="60"/>
      <c r="L10" s="60"/>
      <c r="M10" s="60"/>
    </row>
    <row r="11" spans="1:13" x14ac:dyDescent="0.3">
      <c r="A11" s="59">
        <v>42202</v>
      </c>
      <c r="B11" s="54" t="s">
        <v>440</v>
      </c>
      <c r="C11" s="195">
        <v>1147500</v>
      </c>
      <c r="D11" s="195"/>
      <c r="E11" s="195">
        <f>+C11</f>
        <v>1147500</v>
      </c>
      <c r="F11" s="195">
        <f>+H11/C11</f>
        <v>0.1977234074074074</v>
      </c>
      <c r="G11" s="196"/>
      <c r="H11" s="197">
        <v>226887.61</v>
      </c>
      <c r="I11" s="195"/>
      <c r="J11" s="195">
        <f>+H11</f>
        <v>226887.61</v>
      </c>
      <c r="K11" s="60"/>
      <c r="L11" s="60"/>
      <c r="M11" s="60"/>
    </row>
    <row r="12" spans="1:13" x14ac:dyDescent="0.3">
      <c r="A12" s="59">
        <v>42215</v>
      </c>
      <c r="B12" s="54" t="s">
        <v>445</v>
      </c>
      <c r="C12" s="195"/>
      <c r="D12" s="195">
        <v>50</v>
      </c>
      <c r="E12" s="195">
        <f>+E11-D12</f>
        <v>1147450</v>
      </c>
      <c r="F12" s="195"/>
      <c r="G12" s="195">
        <f>+J11/E11</f>
        <v>0.1977234074074074</v>
      </c>
      <c r="H12" s="195"/>
      <c r="I12" s="195">
        <f>+D12*G12</f>
        <v>9.8861703703703707</v>
      </c>
      <c r="J12" s="195">
        <f>+J11-I12</f>
        <v>226877.72382962963</v>
      </c>
      <c r="K12" s="184"/>
      <c r="L12" s="60"/>
      <c r="M12" s="60"/>
    </row>
    <row r="13" spans="1:13" x14ac:dyDescent="0.3">
      <c r="A13" s="91">
        <v>42216</v>
      </c>
      <c r="B13" s="93" t="s">
        <v>447</v>
      </c>
      <c r="C13" s="198"/>
      <c r="D13" s="198">
        <v>500</v>
      </c>
      <c r="E13" s="198">
        <f t="shared" ref="E13:E42" si="0">+E12-D13</f>
        <v>1146950</v>
      </c>
      <c r="F13" s="198"/>
      <c r="G13" s="198">
        <f t="shared" ref="G13:G75" si="1">+J12/E12</f>
        <v>0.1977234074074074</v>
      </c>
      <c r="H13" s="198"/>
      <c r="I13" s="198">
        <f t="shared" ref="I13:I75" si="2">+D13*G13</f>
        <v>98.861703703703697</v>
      </c>
      <c r="J13" s="198">
        <f t="shared" ref="J13:J75" si="3">+J12-I13</f>
        <v>226778.86212592592</v>
      </c>
      <c r="K13" s="186">
        <f>SUM(I12:I13)</f>
        <v>108.74787407407406</v>
      </c>
      <c r="L13" s="90">
        <f>SUM(K13)</f>
        <v>108.74787407407406</v>
      </c>
      <c r="M13" s="162">
        <v>42216</v>
      </c>
    </row>
    <row r="14" spans="1:13" x14ac:dyDescent="0.3">
      <c r="A14" s="91">
        <v>42220</v>
      </c>
      <c r="B14" s="93" t="s">
        <v>457</v>
      </c>
      <c r="C14" s="198"/>
      <c r="D14" s="198">
        <v>300</v>
      </c>
      <c r="E14" s="198">
        <f t="shared" si="0"/>
        <v>1146650</v>
      </c>
      <c r="F14" s="198"/>
      <c r="G14" s="198">
        <f t="shared" si="1"/>
        <v>0.1977234074074074</v>
      </c>
      <c r="H14" s="198"/>
      <c r="I14" s="198">
        <f t="shared" si="2"/>
        <v>59.317022222222221</v>
      </c>
      <c r="J14" s="198">
        <f t="shared" si="3"/>
        <v>226719.54510370371</v>
      </c>
      <c r="K14" s="184"/>
      <c r="L14" s="60"/>
      <c r="M14" s="60"/>
    </row>
    <row r="15" spans="1:13" x14ac:dyDescent="0.3">
      <c r="A15" s="91">
        <v>42224</v>
      </c>
      <c r="B15" s="93" t="s">
        <v>463</v>
      </c>
      <c r="C15" s="198"/>
      <c r="D15" s="198">
        <v>50</v>
      </c>
      <c r="E15" s="198">
        <f t="shared" si="0"/>
        <v>1146600</v>
      </c>
      <c r="F15" s="198"/>
      <c r="G15" s="198">
        <f t="shared" si="1"/>
        <v>0.1977234074074074</v>
      </c>
      <c r="H15" s="198"/>
      <c r="I15" s="198">
        <f t="shared" si="2"/>
        <v>9.8861703703703707</v>
      </c>
      <c r="J15" s="198">
        <f t="shared" si="3"/>
        <v>226709.65893333335</v>
      </c>
      <c r="K15" s="184"/>
      <c r="L15" s="60"/>
      <c r="M15" s="60"/>
    </row>
    <row r="16" spans="1:13" x14ac:dyDescent="0.3">
      <c r="A16" s="91">
        <v>42227</v>
      </c>
      <c r="B16" s="93" t="s">
        <v>469</v>
      </c>
      <c r="C16" s="198"/>
      <c r="D16" s="198">
        <v>50</v>
      </c>
      <c r="E16" s="198">
        <f t="shared" si="0"/>
        <v>1146550</v>
      </c>
      <c r="F16" s="199"/>
      <c r="G16" s="198">
        <f t="shared" si="1"/>
        <v>0.19772340740740743</v>
      </c>
      <c r="H16" s="198"/>
      <c r="I16" s="198">
        <f t="shared" si="2"/>
        <v>9.8861703703703707</v>
      </c>
      <c r="J16" s="198">
        <f t="shared" si="3"/>
        <v>226699.772762963</v>
      </c>
      <c r="K16" s="184"/>
      <c r="L16" s="60"/>
      <c r="M16" s="60"/>
    </row>
    <row r="17" spans="1:13" x14ac:dyDescent="0.3">
      <c r="A17" s="91">
        <v>42228</v>
      </c>
      <c r="B17" s="93" t="s">
        <v>472</v>
      </c>
      <c r="C17" s="198"/>
      <c r="D17" s="198">
        <v>50</v>
      </c>
      <c r="E17" s="198">
        <f t="shared" si="0"/>
        <v>1146500</v>
      </c>
      <c r="F17" s="198"/>
      <c r="G17" s="198">
        <f t="shared" si="1"/>
        <v>0.19772340740740743</v>
      </c>
      <c r="H17" s="198"/>
      <c r="I17" s="198">
        <f t="shared" si="2"/>
        <v>9.8861703703703707</v>
      </c>
      <c r="J17" s="198">
        <f t="shared" si="3"/>
        <v>226689.88659259264</v>
      </c>
      <c r="K17" s="184"/>
      <c r="L17" s="60"/>
      <c r="M17" s="60"/>
    </row>
    <row r="18" spans="1:13" x14ac:dyDescent="0.3">
      <c r="A18" s="91">
        <v>42231</v>
      </c>
      <c r="B18" s="93" t="s">
        <v>485</v>
      </c>
      <c r="C18" s="198"/>
      <c r="D18" s="198">
        <v>50</v>
      </c>
      <c r="E18" s="198">
        <f t="shared" si="0"/>
        <v>1146450</v>
      </c>
      <c r="F18" s="198"/>
      <c r="G18" s="198">
        <f t="shared" si="1"/>
        <v>0.19772340740740746</v>
      </c>
      <c r="H18" s="198"/>
      <c r="I18" s="198">
        <f t="shared" si="2"/>
        <v>9.8861703703703725</v>
      </c>
      <c r="J18" s="198">
        <f t="shared" si="3"/>
        <v>226680.00042222228</v>
      </c>
      <c r="K18" s="184"/>
      <c r="L18" s="60"/>
      <c r="M18" s="60"/>
    </row>
    <row r="19" spans="1:13" x14ac:dyDescent="0.3">
      <c r="A19" s="91">
        <v>42233</v>
      </c>
      <c r="B19" s="93" t="s">
        <v>488</v>
      </c>
      <c r="C19" s="198"/>
      <c r="D19" s="198">
        <v>50</v>
      </c>
      <c r="E19" s="198">
        <f t="shared" si="0"/>
        <v>1146400</v>
      </c>
      <c r="F19" s="198"/>
      <c r="G19" s="198">
        <f t="shared" si="1"/>
        <v>0.19772340740740746</v>
      </c>
      <c r="H19" s="198"/>
      <c r="I19" s="198">
        <f t="shared" si="2"/>
        <v>9.8861703703703725</v>
      </c>
      <c r="J19" s="198">
        <f t="shared" si="3"/>
        <v>226670.11425185192</v>
      </c>
      <c r="K19" s="186">
        <f>SUM(I14:I19)</f>
        <v>108.74787407407405</v>
      </c>
      <c r="L19" s="89"/>
      <c r="M19" s="162">
        <v>42234</v>
      </c>
    </row>
    <row r="20" spans="1:13" x14ac:dyDescent="0.3">
      <c r="A20" s="91">
        <v>42235</v>
      </c>
      <c r="B20" s="93" t="s">
        <v>498</v>
      </c>
      <c r="C20" s="198"/>
      <c r="D20" s="198">
        <v>150</v>
      </c>
      <c r="E20" s="198">
        <f t="shared" si="0"/>
        <v>1146250</v>
      </c>
      <c r="F20" s="198"/>
      <c r="G20" s="198">
        <f t="shared" si="1"/>
        <v>0.19772340740740746</v>
      </c>
      <c r="H20" s="198"/>
      <c r="I20" s="198">
        <f t="shared" si="2"/>
        <v>29.658511111111117</v>
      </c>
      <c r="J20" s="198">
        <f t="shared" si="3"/>
        <v>226640.45574074081</v>
      </c>
      <c r="K20" s="184"/>
      <c r="L20" s="60"/>
      <c r="M20" s="60"/>
    </row>
    <row r="21" spans="1:13" x14ac:dyDescent="0.3">
      <c r="A21" s="91">
        <v>42236</v>
      </c>
      <c r="B21" s="93" t="s">
        <v>501</v>
      </c>
      <c r="C21" s="198"/>
      <c r="D21" s="198">
        <v>50</v>
      </c>
      <c r="E21" s="198">
        <f t="shared" si="0"/>
        <v>1146200</v>
      </c>
      <c r="F21" s="198"/>
      <c r="G21" s="198">
        <f t="shared" si="1"/>
        <v>0.19772340740740746</v>
      </c>
      <c r="H21" s="198"/>
      <c r="I21" s="198">
        <f t="shared" si="2"/>
        <v>9.8861703703703725</v>
      </c>
      <c r="J21" s="198">
        <f t="shared" si="3"/>
        <v>226630.56957037046</v>
      </c>
      <c r="K21" s="184"/>
      <c r="L21" s="60"/>
      <c r="M21" s="60"/>
    </row>
    <row r="22" spans="1:13" x14ac:dyDescent="0.3">
      <c r="A22" s="91">
        <v>42237</v>
      </c>
      <c r="B22" s="93" t="s">
        <v>508</v>
      </c>
      <c r="C22" s="198"/>
      <c r="D22" s="198">
        <v>100</v>
      </c>
      <c r="E22" s="198">
        <f t="shared" si="0"/>
        <v>1146100</v>
      </c>
      <c r="F22" s="198"/>
      <c r="G22" s="198">
        <f t="shared" si="1"/>
        <v>0.19772340740740749</v>
      </c>
      <c r="H22" s="198"/>
      <c r="I22" s="198">
        <f t="shared" si="2"/>
        <v>19.772340740740749</v>
      </c>
      <c r="J22" s="198">
        <f t="shared" si="3"/>
        <v>226610.79722962971</v>
      </c>
      <c r="K22" s="184"/>
      <c r="L22" s="60"/>
      <c r="M22" s="60"/>
    </row>
    <row r="23" spans="1:13" x14ac:dyDescent="0.3">
      <c r="A23" s="91">
        <v>42237</v>
      </c>
      <c r="B23" s="93" t="s">
        <v>510</v>
      </c>
      <c r="C23" s="198"/>
      <c r="D23" s="198">
        <v>250</v>
      </c>
      <c r="E23" s="198">
        <f t="shared" si="0"/>
        <v>1145850</v>
      </c>
      <c r="F23" s="198"/>
      <c r="G23" s="198">
        <f t="shared" si="1"/>
        <v>0.19772340740740749</v>
      </c>
      <c r="H23" s="198"/>
      <c r="I23" s="198">
        <f t="shared" si="2"/>
        <v>49.43085185185187</v>
      </c>
      <c r="J23" s="198">
        <f t="shared" si="3"/>
        <v>226561.36637777786</v>
      </c>
      <c r="K23" s="184"/>
      <c r="L23" s="60"/>
      <c r="M23" s="60"/>
    </row>
    <row r="24" spans="1:13" x14ac:dyDescent="0.3">
      <c r="A24" s="91">
        <v>42242</v>
      </c>
      <c r="B24" s="93" t="s">
        <v>520</v>
      </c>
      <c r="C24" s="198"/>
      <c r="D24" s="198">
        <v>200</v>
      </c>
      <c r="E24" s="198">
        <f t="shared" si="0"/>
        <v>1145650</v>
      </c>
      <c r="F24" s="198"/>
      <c r="G24" s="198">
        <f t="shared" si="1"/>
        <v>0.19772340740740749</v>
      </c>
      <c r="H24" s="198"/>
      <c r="I24" s="198">
        <f t="shared" si="2"/>
        <v>39.544681481481497</v>
      </c>
      <c r="J24" s="198">
        <f t="shared" si="3"/>
        <v>226521.82169629636</v>
      </c>
      <c r="K24" s="184"/>
      <c r="L24" s="60"/>
      <c r="M24" s="60"/>
    </row>
    <row r="25" spans="1:13" x14ac:dyDescent="0.3">
      <c r="A25" s="91">
        <v>42244</v>
      </c>
      <c r="B25" s="93" t="s">
        <v>528</v>
      </c>
      <c r="C25" s="198"/>
      <c r="D25" s="198">
        <v>300</v>
      </c>
      <c r="E25" s="198">
        <f t="shared" si="0"/>
        <v>1145350</v>
      </c>
      <c r="F25" s="198"/>
      <c r="G25" s="198">
        <f t="shared" si="1"/>
        <v>0.19772340740740746</v>
      </c>
      <c r="H25" s="198"/>
      <c r="I25" s="198">
        <f t="shared" si="2"/>
        <v>59.317022222222235</v>
      </c>
      <c r="J25" s="198">
        <f t="shared" si="3"/>
        <v>226462.50467407415</v>
      </c>
      <c r="K25" s="184"/>
      <c r="L25" s="60"/>
      <c r="M25" s="60"/>
    </row>
    <row r="26" spans="1:13" x14ac:dyDescent="0.3">
      <c r="A26" s="91">
        <v>42245</v>
      </c>
      <c r="B26" s="93" t="s">
        <v>531</v>
      </c>
      <c r="C26" s="198"/>
      <c r="D26" s="198">
        <v>200</v>
      </c>
      <c r="E26" s="198">
        <f t="shared" si="0"/>
        <v>1145150</v>
      </c>
      <c r="F26" s="198"/>
      <c r="G26" s="198">
        <f t="shared" si="1"/>
        <v>0.19772340740740749</v>
      </c>
      <c r="H26" s="198"/>
      <c r="I26" s="198">
        <f t="shared" si="2"/>
        <v>39.544681481481497</v>
      </c>
      <c r="J26" s="198">
        <f t="shared" si="3"/>
        <v>226422.95999259266</v>
      </c>
      <c r="K26" s="186">
        <f>SUM(I20:I26)</f>
        <v>247.15425925925931</v>
      </c>
      <c r="L26" s="90">
        <f>SUM(K19:K26)</f>
        <v>355.90213333333338</v>
      </c>
      <c r="M26" s="162">
        <v>42247</v>
      </c>
    </row>
    <row r="27" spans="1:13" x14ac:dyDescent="0.3">
      <c r="A27" s="91">
        <v>42248</v>
      </c>
      <c r="B27" s="93" t="s">
        <v>535</v>
      </c>
      <c r="C27" s="198"/>
      <c r="D27" s="198">
        <v>100</v>
      </c>
      <c r="E27" s="198">
        <f t="shared" si="0"/>
        <v>1145050</v>
      </c>
      <c r="F27" s="198"/>
      <c r="G27" s="198">
        <f t="shared" si="1"/>
        <v>0.19772340740740746</v>
      </c>
      <c r="H27" s="198"/>
      <c r="I27" s="198">
        <f t="shared" si="2"/>
        <v>19.772340740740745</v>
      </c>
      <c r="J27" s="198">
        <f t="shared" si="3"/>
        <v>226403.18765185191</v>
      </c>
      <c r="K27" s="184"/>
      <c r="L27" s="60"/>
      <c r="M27" s="60"/>
    </row>
    <row r="28" spans="1:13" x14ac:dyDescent="0.3">
      <c r="A28" s="91">
        <v>42248</v>
      </c>
      <c r="B28" s="93" t="s">
        <v>536</v>
      </c>
      <c r="C28" s="198"/>
      <c r="D28" s="198">
        <v>250</v>
      </c>
      <c r="E28" s="198">
        <f t="shared" si="0"/>
        <v>1144800</v>
      </c>
      <c r="F28" s="198"/>
      <c r="G28" s="198">
        <f t="shared" si="1"/>
        <v>0.19772340740740746</v>
      </c>
      <c r="H28" s="198"/>
      <c r="I28" s="198">
        <f t="shared" si="2"/>
        <v>49.430851851851862</v>
      </c>
      <c r="J28" s="198">
        <f t="shared" si="3"/>
        <v>226353.75680000006</v>
      </c>
      <c r="K28" s="184"/>
      <c r="L28" s="60"/>
      <c r="M28" s="60"/>
    </row>
    <row r="29" spans="1:13" x14ac:dyDescent="0.3">
      <c r="A29" s="91">
        <v>42249</v>
      </c>
      <c r="B29" s="93" t="s">
        <v>540</v>
      </c>
      <c r="C29" s="198"/>
      <c r="D29" s="198">
        <v>100</v>
      </c>
      <c r="E29" s="198">
        <f t="shared" si="0"/>
        <v>1144700</v>
      </c>
      <c r="F29" s="198"/>
      <c r="G29" s="198">
        <f t="shared" si="1"/>
        <v>0.19772340740740746</v>
      </c>
      <c r="H29" s="198"/>
      <c r="I29" s="198">
        <f t="shared" si="2"/>
        <v>19.772340740740745</v>
      </c>
      <c r="J29" s="198">
        <f t="shared" si="3"/>
        <v>226333.98445925931</v>
      </c>
      <c r="K29" s="184"/>
      <c r="L29" s="60"/>
      <c r="M29" s="60"/>
    </row>
    <row r="30" spans="1:13" x14ac:dyDescent="0.3">
      <c r="A30" s="91">
        <v>42250</v>
      </c>
      <c r="B30" s="93" t="s">
        <v>546</v>
      </c>
      <c r="C30" s="198"/>
      <c r="D30" s="198">
        <v>50</v>
      </c>
      <c r="E30" s="198">
        <f t="shared" si="0"/>
        <v>1144650</v>
      </c>
      <c r="F30" s="198"/>
      <c r="G30" s="198">
        <f t="shared" si="1"/>
        <v>0.19772340740740746</v>
      </c>
      <c r="H30" s="198"/>
      <c r="I30" s="198">
        <f t="shared" si="2"/>
        <v>9.8861703703703725</v>
      </c>
      <c r="J30" s="198">
        <f t="shared" si="3"/>
        <v>226324.09828888896</v>
      </c>
      <c r="K30" s="184"/>
      <c r="L30" s="60"/>
      <c r="M30" s="60"/>
    </row>
    <row r="31" spans="1:13" x14ac:dyDescent="0.3">
      <c r="A31" s="91">
        <v>42251</v>
      </c>
      <c r="B31" s="93" t="s">
        <v>557</v>
      </c>
      <c r="C31" s="198"/>
      <c r="D31" s="198">
        <v>50</v>
      </c>
      <c r="E31" s="198">
        <f t="shared" si="0"/>
        <v>1144600</v>
      </c>
      <c r="F31" s="198"/>
      <c r="G31" s="198">
        <f t="shared" si="1"/>
        <v>0.19772340740740746</v>
      </c>
      <c r="H31" s="198"/>
      <c r="I31" s="198">
        <f t="shared" si="2"/>
        <v>9.8861703703703725</v>
      </c>
      <c r="J31" s="198">
        <f t="shared" si="3"/>
        <v>226314.2121185186</v>
      </c>
      <c r="K31" s="184"/>
      <c r="L31" s="60"/>
      <c r="M31" s="60"/>
    </row>
    <row r="32" spans="1:13" x14ac:dyDescent="0.3">
      <c r="A32" s="91">
        <v>42251</v>
      </c>
      <c r="B32" s="93" t="s">
        <v>560</v>
      </c>
      <c r="C32" s="198"/>
      <c r="D32" s="198">
        <v>50</v>
      </c>
      <c r="E32" s="198">
        <f t="shared" si="0"/>
        <v>1144550</v>
      </c>
      <c r="F32" s="198"/>
      <c r="G32" s="198">
        <f t="shared" si="1"/>
        <v>0.19772340740740749</v>
      </c>
      <c r="H32" s="198"/>
      <c r="I32" s="198">
        <f t="shared" si="2"/>
        <v>9.8861703703703743</v>
      </c>
      <c r="J32" s="198">
        <f t="shared" si="3"/>
        <v>226304.32594814824</v>
      </c>
      <c r="K32" s="184"/>
      <c r="L32" s="60"/>
      <c r="M32" s="60"/>
    </row>
    <row r="33" spans="1:13" x14ac:dyDescent="0.3">
      <c r="A33" s="91">
        <v>42252</v>
      </c>
      <c r="B33" s="93" t="s">
        <v>563</v>
      </c>
      <c r="C33" s="198"/>
      <c r="D33" s="198">
        <v>900</v>
      </c>
      <c r="E33" s="198">
        <f t="shared" si="0"/>
        <v>1143650</v>
      </c>
      <c r="F33" s="198"/>
      <c r="G33" s="198">
        <f t="shared" si="1"/>
        <v>0.19772340740740749</v>
      </c>
      <c r="H33" s="198"/>
      <c r="I33" s="198">
        <f t="shared" si="2"/>
        <v>177.95106666666675</v>
      </c>
      <c r="J33" s="198">
        <f t="shared" si="3"/>
        <v>226126.37488148158</v>
      </c>
      <c r="K33" s="184"/>
      <c r="L33" s="60"/>
      <c r="M33" s="60"/>
    </row>
    <row r="34" spans="1:13" x14ac:dyDescent="0.3">
      <c r="A34" s="91">
        <v>42252</v>
      </c>
      <c r="B34" s="93" t="s">
        <v>565</v>
      </c>
      <c r="C34" s="198"/>
      <c r="D34" s="198">
        <v>200</v>
      </c>
      <c r="E34" s="198">
        <f t="shared" si="0"/>
        <v>1143450</v>
      </c>
      <c r="F34" s="198"/>
      <c r="G34" s="198">
        <f t="shared" si="1"/>
        <v>0.19772340740740749</v>
      </c>
      <c r="H34" s="198"/>
      <c r="I34" s="198">
        <f t="shared" si="2"/>
        <v>39.544681481481497</v>
      </c>
      <c r="J34" s="198">
        <f t="shared" si="3"/>
        <v>226086.83020000008</v>
      </c>
      <c r="K34" s="184"/>
      <c r="L34" s="60"/>
      <c r="M34" s="60"/>
    </row>
    <row r="35" spans="1:13" x14ac:dyDescent="0.3">
      <c r="A35" s="91">
        <v>42254</v>
      </c>
      <c r="B35" s="93" t="s">
        <v>570</v>
      </c>
      <c r="C35" s="198"/>
      <c r="D35" s="198">
        <v>1100</v>
      </c>
      <c r="E35" s="198">
        <f t="shared" si="0"/>
        <v>1142350</v>
      </c>
      <c r="F35" s="198"/>
      <c r="G35" s="198">
        <f t="shared" si="1"/>
        <v>0.19772340740740749</v>
      </c>
      <c r="H35" s="198"/>
      <c r="I35" s="198">
        <f t="shared" si="2"/>
        <v>217.49574814814824</v>
      </c>
      <c r="J35" s="198">
        <f t="shared" si="3"/>
        <v>225869.33445185193</v>
      </c>
      <c r="K35" s="184"/>
      <c r="L35" s="60"/>
      <c r="M35" s="60"/>
    </row>
    <row r="36" spans="1:13" x14ac:dyDescent="0.3">
      <c r="A36" s="91">
        <v>42255</v>
      </c>
      <c r="B36" s="93" t="s">
        <v>584</v>
      </c>
      <c r="C36" s="198"/>
      <c r="D36" s="198">
        <v>100</v>
      </c>
      <c r="E36" s="198">
        <f t="shared" si="0"/>
        <v>1142250</v>
      </c>
      <c r="F36" s="198"/>
      <c r="G36" s="198">
        <f t="shared" si="1"/>
        <v>0.19772340740740749</v>
      </c>
      <c r="H36" s="198"/>
      <c r="I36" s="198">
        <f t="shared" si="2"/>
        <v>19.772340740740749</v>
      </c>
      <c r="J36" s="198">
        <f t="shared" si="3"/>
        <v>225849.56211111118</v>
      </c>
      <c r="K36" s="184"/>
      <c r="L36" s="60"/>
      <c r="M36" s="60"/>
    </row>
    <row r="37" spans="1:13" x14ac:dyDescent="0.3">
      <c r="A37" s="91">
        <v>42256</v>
      </c>
      <c r="B37" s="93" t="s">
        <v>590</v>
      </c>
      <c r="C37" s="198"/>
      <c r="D37" s="198">
        <v>50</v>
      </c>
      <c r="E37" s="198">
        <f t="shared" si="0"/>
        <v>1142200</v>
      </c>
      <c r="F37" s="198"/>
      <c r="G37" s="198">
        <f t="shared" si="1"/>
        <v>0.19772340740740746</v>
      </c>
      <c r="H37" s="198"/>
      <c r="I37" s="198">
        <f t="shared" si="2"/>
        <v>9.8861703703703725</v>
      </c>
      <c r="J37" s="198">
        <f t="shared" si="3"/>
        <v>225839.67594074082</v>
      </c>
      <c r="K37" s="184"/>
      <c r="L37" s="60"/>
      <c r="M37" s="60"/>
    </row>
    <row r="38" spans="1:13" x14ac:dyDescent="0.3">
      <c r="A38" s="91">
        <v>42257</v>
      </c>
      <c r="B38" s="93" t="s">
        <v>592</v>
      </c>
      <c r="C38" s="198"/>
      <c r="D38" s="198">
        <v>150</v>
      </c>
      <c r="E38" s="198">
        <f t="shared" si="0"/>
        <v>1142050</v>
      </c>
      <c r="F38" s="198"/>
      <c r="G38" s="198">
        <f t="shared" si="1"/>
        <v>0.19772340740740749</v>
      </c>
      <c r="H38" s="198"/>
      <c r="I38" s="198">
        <f t="shared" si="2"/>
        <v>29.658511111111125</v>
      </c>
      <c r="J38" s="198">
        <f t="shared" si="3"/>
        <v>225810.01742962972</v>
      </c>
      <c r="K38" s="184"/>
      <c r="L38" s="60"/>
      <c r="M38" s="60"/>
    </row>
    <row r="39" spans="1:13" x14ac:dyDescent="0.3">
      <c r="A39" s="91">
        <v>42257</v>
      </c>
      <c r="B39" s="93" t="s">
        <v>594</v>
      </c>
      <c r="C39" s="198"/>
      <c r="D39" s="198">
        <v>100</v>
      </c>
      <c r="E39" s="198">
        <f t="shared" si="0"/>
        <v>1141950</v>
      </c>
      <c r="F39" s="198"/>
      <c r="G39" s="198">
        <f t="shared" si="1"/>
        <v>0.19772340740740749</v>
      </c>
      <c r="H39" s="198"/>
      <c r="I39" s="198">
        <f t="shared" si="2"/>
        <v>19.772340740740749</v>
      </c>
      <c r="J39" s="198">
        <f t="shared" si="3"/>
        <v>225790.24508888897</v>
      </c>
      <c r="K39" s="184"/>
      <c r="L39" s="60"/>
      <c r="M39" s="60"/>
    </row>
    <row r="40" spans="1:13" x14ac:dyDescent="0.3">
      <c r="A40" s="91">
        <v>42259</v>
      </c>
      <c r="B40" s="93" t="s">
        <v>603</v>
      </c>
      <c r="C40" s="198"/>
      <c r="D40" s="198">
        <v>50</v>
      </c>
      <c r="E40" s="198">
        <f t="shared" si="0"/>
        <v>1141900</v>
      </c>
      <c r="F40" s="198"/>
      <c r="G40" s="198">
        <f t="shared" si="1"/>
        <v>0.19772340740740749</v>
      </c>
      <c r="H40" s="198"/>
      <c r="I40" s="198">
        <f t="shared" si="2"/>
        <v>9.8861703703703743</v>
      </c>
      <c r="J40" s="198">
        <f t="shared" si="3"/>
        <v>225780.35891851861</v>
      </c>
      <c r="K40" s="184"/>
      <c r="L40" s="60"/>
      <c r="M40" s="60"/>
    </row>
    <row r="41" spans="1:13" x14ac:dyDescent="0.3">
      <c r="A41" s="91">
        <v>42259</v>
      </c>
      <c r="B41" s="93" t="s">
        <v>607</v>
      </c>
      <c r="C41" s="198"/>
      <c r="D41" s="198">
        <v>200</v>
      </c>
      <c r="E41" s="198">
        <f t="shared" si="0"/>
        <v>1141700</v>
      </c>
      <c r="F41" s="198"/>
      <c r="G41" s="198">
        <f t="shared" si="1"/>
        <v>0.19772340740740749</v>
      </c>
      <c r="H41" s="198"/>
      <c r="I41" s="198">
        <f t="shared" si="2"/>
        <v>39.544681481481497</v>
      </c>
      <c r="J41" s="198">
        <f t="shared" si="3"/>
        <v>225740.81423703712</v>
      </c>
      <c r="K41" s="184"/>
      <c r="L41" s="60"/>
      <c r="M41" s="60"/>
    </row>
    <row r="42" spans="1:13" x14ac:dyDescent="0.3">
      <c r="A42" s="91">
        <v>42262</v>
      </c>
      <c r="B42" s="93" t="s">
        <v>609</v>
      </c>
      <c r="C42" s="198"/>
      <c r="D42" s="198">
        <v>100</v>
      </c>
      <c r="E42" s="198">
        <f t="shared" si="0"/>
        <v>1141600</v>
      </c>
      <c r="F42" s="198"/>
      <c r="G42" s="198">
        <f t="shared" si="1"/>
        <v>0.19772340740740749</v>
      </c>
      <c r="H42" s="198"/>
      <c r="I42" s="198">
        <f t="shared" si="2"/>
        <v>19.772340740740749</v>
      </c>
      <c r="J42" s="198">
        <f t="shared" si="3"/>
        <v>225721.04189629637</v>
      </c>
      <c r="K42" s="184"/>
      <c r="L42" s="60"/>
      <c r="M42" s="60"/>
    </row>
    <row r="43" spans="1:13" x14ac:dyDescent="0.3">
      <c r="A43" s="91">
        <v>42262</v>
      </c>
      <c r="B43" s="93" t="s">
        <v>611</v>
      </c>
      <c r="C43" s="198"/>
      <c r="D43" s="198">
        <v>150</v>
      </c>
      <c r="E43" s="198">
        <f t="shared" ref="E43:E77" si="4">+E42-D43</f>
        <v>1141450</v>
      </c>
      <c r="F43" s="198"/>
      <c r="G43" s="198">
        <f t="shared" si="1"/>
        <v>0.19772340740740749</v>
      </c>
      <c r="H43" s="198"/>
      <c r="I43" s="198">
        <f t="shared" si="2"/>
        <v>29.658511111111125</v>
      </c>
      <c r="J43" s="198">
        <f t="shared" si="3"/>
        <v>225691.38338518527</v>
      </c>
      <c r="K43" s="186">
        <f>SUM(I27:I43)</f>
        <v>731.57660740740778</v>
      </c>
      <c r="L43" s="89"/>
      <c r="M43" s="162">
        <v>42262</v>
      </c>
    </row>
    <row r="44" spans="1:13" x14ac:dyDescent="0.3">
      <c r="A44" s="91">
        <v>42263</v>
      </c>
      <c r="B44" s="93" t="s">
        <v>612</v>
      </c>
      <c r="C44" s="198"/>
      <c r="D44" s="198">
        <v>100</v>
      </c>
      <c r="E44" s="198">
        <f t="shared" si="4"/>
        <v>1141350</v>
      </c>
      <c r="F44" s="198"/>
      <c r="G44" s="198">
        <f t="shared" si="1"/>
        <v>0.19772340740740749</v>
      </c>
      <c r="H44" s="198"/>
      <c r="I44" s="198">
        <f t="shared" si="2"/>
        <v>19.772340740740749</v>
      </c>
      <c r="J44" s="198">
        <f t="shared" si="3"/>
        <v>225671.61104444452</v>
      </c>
      <c r="K44" s="184"/>
      <c r="L44" s="60"/>
      <c r="M44" s="60"/>
    </row>
    <row r="45" spans="1:13" x14ac:dyDescent="0.3">
      <c r="A45" s="91">
        <v>42264</v>
      </c>
      <c r="B45" s="93" t="s">
        <v>618</v>
      </c>
      <c r="C45" s="198"/>
      <c r="D45" s="198">
        <v>50</v>
      </c>
      <c r="E45" s="198">
        <f t="shared" si="4"/>
        <v>1141300</v>
      </c>
      <c r="F45" s="198"/>
      <c r="G45" s="198">
        <f t="shared" si="1"/>
        <v>0.19772340740740749</v>
      </c>
      <c r="H45" s="198"/>
      <c r="I45" s="198">
        <f t="shared" si="2"/>
        <v>9.8861703703703743</v>
      </c>
      <c r="J45" s="198">
        <f t="shared" si="3"/>
        <v>225661.72487407416</v>
      </c>
      <c r="K45" s="184"/>
      <c r="L45" s="60"/>
      <c r="M45" s="60"/>
    </row>
    <row r="46" spans="1:13" x14ac:dyDescent="0.3">
      <c r="A46" s="91">
        <v>42264</v>
      </c>
      <c r="B46" s="93" t="s">
        <v>619</v>
      </c>
      <c r="C46" s="198"/>
      <c r="D46" s="198">
        <v>50</v>
      </c>
      <c r="E46" s="198">
        <f t="shared" si="4"/>
        <v>1141250</v>
      </c>
      <c r="F46" s="198"/>
      <c r="G46" s="198">
        <f t="shared" si="1"/>
        <v>0.19772340740740749</v>
      </c>
      <c r="H46" s="198"/>
      <c r="I46" s="198">
        <f t="shared" si="2"/>
        <v>9.8861703703703743</v>
      </c>
      <c r="J46" s="198">
        <f t="shared" si="3"/>
        <v>225651.8387037038</v>
      </c>
      <c r="K46" s="184"/>
      <c r="L46" s="60"/>
      <c r="M46" s="60"/>
    </row>
    <row r="47" spans="1:13" x14ac:dyDescent="0.3">
      <c r="A47" s="91">
        <v>42265</v>
      </c>
      <c r="B47" s="93" t="s">
        <v>621</v>
      </c>
      <c r="C47" s="198"/>
      <c r="D47" s="198">
        <v>150</v>
      </c>
      <c r="E47" s="198">
        <f t="shared" si="4"/>
        <v>1141100</v>
      </c>
      <c r="F47" s="198"/>
      <c r="G47" s="198">
        <f t="shared" si="1"/>
        <v>0.19772340740740749</v>
      </c>
      <c r="H47" s="198"/>
      <c r="I47" s="198">
        <f t="shared" si="2"/>
        <v>29.658511111111125</v>
      </c>
      <c r="J47" s="198">
        <f t="shared" si="3"/>
        <v>225622.1801925927</v>
      </c>
      <c r="K47" s="184"/>
      <c r="L47" s="60"/>
      <c r="M47" s="60"/>
    </row>
    <row r="48" spans="1:13" x14ac:dyDescent="0.3">
      <c r="A48" s="91">
        <v>42265</v>
      </c>
      <c r="B48" s="93" t="s">
        <v>623</v>
      </c>
      <c r="C48" s="198"/>
      <c r="D48" s="198">
        <v>50</v>
      </c>
      <c r="E48" s="198">
        <f t="shared" si="4"/>
        <v>1141050</v>
      </c>
      <c r="F48" s="198"/>
      <c r="G48" s="198">
        <f t="shared" si="1"/>
        <v>0.19772340740740751</v>
      </c>
      <c r="H48" s="198"/>
      <c r="I48" s="198">
        <f t="shared" si="2"/>
        <v>9.886170370370376</v>
      </c>
      <c r="J48" s="198">
        <f t="shared" si="3"/>
        <v>225612.29402222234</v>
      </c>
      <c r="K48" s="184"/>
      <c r="L48" s="60"/>
      <c r="M48" s="60"/>
    </row>
    <row r="49" spans="1:13" x14ac:dyDescent="0.3">
      <c r="A49" s="91">
        <v>42266</v>
      </c>
      <c r="B49" s="93" t="s">
        <v>626</v>
      </c>
      <c r="C49" s="198"/>
      <c r="D49" s="198">
        <v>20</v>
      </c>
      <c r="E49" s="198">
        <f t="shared" si="4"/>
        <v>1141030</v>
      </c>
      <c r="F49" s="198"/>
      <c r="G49" s="198">
        <f t="shared" si="1"/>
        <v>0.19772340740740751</v>
      </c>
      <c r="H49" s="198"/>
      <c r="I49" s="198">
        <f t="shared" si="2"/>
        <v>3.9544681481481501</v>
      </c>
      <c r="J49" s="198">
        <f t="shared" si="3"/>
        <v>225608.33955407419</v>
      </c>
      <c r="K49" s="184"/>
      <c r="L49" s="60"/>
      <c r="M49" s="60"/>
    </row>
    <row r="50" spans="1:13" x14ac:dyDescent="0.3">
      <c r="A50" s="91">
        <v>42266</v>
      </c>
      <c r="B50" s="93" t="s">
        <v>630</v>
      </c>
      <c r="C50" s="198"/>
      <c r="D50" s="198">
        <v>500</v>
      </c>
      <c r="E50" s="198">
        <f t="shared" si="4"/>
        <v>1140530</v>
      </c>
      <c r="F50" s="198"/>
      <c r="G50" s="198">
        <f t="shared" si="1"/>
        <v>0.19772340740740751</v>
      </c>
      <c r="H50" s="198"/>
      <c r="I50" s="198">
        <f t="shared" si="2"/>
        <v>98.861703703703753</v>
      </c>
      <c r="J50" s="198">
        <f t="shared" si="3"/>
        <v>225509.47785037049</v>
      </c>
      <c r="K50" s="184"/>
      <c r="L50" s="60"/>
      <c r="M50" s="60"/>
    </row>
    <row r="51" spans="1:13" x14ac:dyDescent="0.3">
      <c r="A51" s="91">
        <v>42268</v>
      </c>
      <c r="B51" s="93" t="s">
        <v>737</v>
      </c>
      <c r="C51" s="198"/>
      <c r="D51" s="198">
        <v>0</v>
      </c>
      <c r="E51" s="198">
        <f t="shared" si="4"/>
        <v>1140530</v>
      </c>
      <c r="F51" s="198"/>
      <c r="G51" s="198">
        <f t="shared" si="1"/>
        <v>0.19772340740740751</v>
      </c>
      <c r="H51" s="198"/>
      <c r="I51" s="198">
        <f t="shared" si="2"/>
        <v>0</v>
      </c>
      <c r="J51" s="198">
        <f t="shared" si="3"/>
        <v>225509.47785037049</v>
      </c>
      <c r="K51" s="184"/>
      <c r="L51" s="60"/>
      <c r="M51" s="60"/>
    </row>
    <row r="52" spans="1:13" x14ac:dyDescent="0.3">
      <c r="A52" s="91">
        <v>42269</v>
      </c>
      <c r="B52" s="93" t="s">
        <v>633</v>
      </c>
      <c r="C52" s="198"/>
      <c r="D52" s="198">
        <v>200</v>
      </c>
      <c r="E52" s="198">
        <f t="shared" si="4"/>
        <v>1140330</v>
      </c>
      <c r="F52" s="198"/>
      <c r="G52" s="198">
        <f t="shared" si="1"/>
        <v>0.19772340740740751</v>
      </c>
      <c r="H52" s="198"/>
      <c r="I52" s="198">
        <f t="shared" si="2"/>
        <v>39.544681481481504</v>
      </c>
      <c r="J52" s="198">
        <f t="shared" si="3"/>
        <v>225469.93316888899</v>
      </c>
      <c r="K52" s="184"/>
      <c r="L52" s="60"/>
      <c r="M52" s="60"/>
    </row>
    <row r="53" spans="1:13" x14ac:dyDescent="0.3">
      <c r="A53" s="91">
        <v>42270</v>
      </c>
      <c r="B53" s="93" t="s">
        <v>638</v>
      </c>
      <c r="C53" s="198"/>
      <c r="D53" s="198">
        <v>150</v>
      </c>
      <c r="E53" s="198">
        <f t="shared" si="4"/>
        <v>1140180</v>
      </c>
      <c r="F53" s="198"/>
      <c r="G53" s="198">
        <f t="shared" si="1"/>
        <v>0.19772340740740749</v>
      </c>
      <c r="H53" s="198"/>
      <c r="I53" s="198">
        <f t="shared" si="2"/>
        <v>29.658511111111125</v>
      </c>
      <c r="J53" s="198">
        <f t="shared" si="3"/>
        <v>225440.27465777789</v>
      </c>
      <c r="K53" s="184"/>
      <c r="L53" s="60"/>
      <c r="M53" s="60"/>
    </row>
    <row r="54" spans="1:13" x14ac:dyDescent="0.3">
      <c r="A54" s="91">
        <v>42276</v>
      </c>
      <c r="B54" s="93" t="s">
        <v>647</v>
      </c>
      <c r="C54" s="198"/>
      <c r="D54" s="198">
        <v>200</v>
      </c>
      <c r="E54" s="198">
        <f t="shared" si="4"/>
        <v>1139980</v>
      </c>
      <c r="F54" s="198"/>
      <c r="G54" s="198">
        <f t="shared" si="1"/>
        <v>0.19772340740740751</v>
      </c>
      <c r="H54" s="198"/>
      <c r="I54" s="198">
        <f t="shared" si="2"/>
        <v>39.544681481481504</v>
      </c>
      <c r="J54" s="198">
        <f t="shared" si="3"/>
        <v>225400.7299762964</v>
      </c>
      <c r="K54" s="184"/>
      <c r="L54" s="60"/>
      <c r="M54" s="60"/>
    </row>
    <row r="55" spans="1:13" x14ac:dyDescent="0.3">
      <c r="A55" s="91">
        <v>42276</v>
      </c>
      <c r="B55" s="93" t="s">
        <v>649</v>
      </c>
      <c r="C55" s="198"/>
      <c r="D55" s="198">
        <v>150</v>
      </c>
      <c r="E55" s="198">
        <f t="shared" si="4"/>
        <v>1139830</v>
      </c>
      <c r="F55" s="198"/>
      <c r="G55" s="198">
        <f t="shared" si="1"/>
        <v>0.19772340740740749</v>
      </c>
      <c r="H55" s="198"/>
      <c r="I55" s="198">
        <f t="shared" si="2"/>
        <v>29.658511111111125</v>
      </c>
      <c r="J55" s="198">
        <f t="shared" si="3"/>
        <v>225371.07146518529</v>
      </c>
      <c r="K55" s="184"/>
      <c r="L55" s="60"/>
      <c r="M55" s="60"/>
    </row>
    <row r="56" spans="1:13" x14ac:dyDescent="0.3">
      <c r="A56" s="91">
        <v>42276</v>
      </c>
      <c r="B56" s="93" t="s">
        <v>650</v>
      </c>
      <c r="C56" s="198"/>
      <c r="D56" s="198">
        <v>150</v>
      </c>
      <c r="E56" s="198">
        <f t="shared" si="4"/>
        <v>1139680</v>
      </c>
      <c r="F56" s="198"/>
      <c r="G56" s="198">
        <f t="shared" si="1"/>
        <v>0.19772340740740749</v>
      </c>
      <c r="H56" s="198"/>
      <c r="I56" s="198">
        <f t="shared" si="2"/>
        <v>29.658511111111125</v>
      </c>
      <c r="J56" s="198">
        <f t="shared" si="3"/>
        <v>225341.41295407419</v>
      </c>
      <c r="K56" s="184"/>
      <c r="L56" s="60"/>
      <c r="M56" s="60"/>
    </row>
    <row r="57" spans="1:13" x14ac:dyDescent="0.3">
      <c r="A57" s="91">
        <v>42276</v>
      </c>
      <c r="B57" s="93" t="s">
        <v>656</v>
      </c>
      <c r="C57" s="198"/>
      <c r="D57" s="198">
        <v>900</v>
      </c>
      <c r="E57" s="198">
        <f t="shared" si="4"/>
        <v>1138780</v>
      </c>
      <c r="F57" s="198"/>
      <c r="G57" s="198">
        <f t="shared" si="1"/>
        <v>0.19772340740740751</v>
      </c>
      <c r="H57" s="198"/>
      <c r="I57" s="198">
        <f t="shared" si="2"/>
        <v>177.95106666666678</v>
      </c>
      <c r="J57" s="198">
        <f t="shared" si="3"/>
        <v>225163.46188740752</v>
      </c>
      <c r="K57" s="184"/>
      <c r="L57" s="60"/>
      <c r="M57" s="60"/>
    </row>
    <row r="58" spans="1:13" x14ac:dyDescent="0.3">
      <c r="A58" s="91">
        <v>42276</v>
      </c>
      <c r="B58" s="93" t="s">
        <v>659</v>
      </c>
      <c r="C58" s="198"/>
      <c r="D58" s="198">
        <v>100</v>
      </c>
      <c r="E58" s="198">
        <f t="shared" si="4"/>
        <v>1138680</v>
      </c>
      <c r="F58" s="198"/>
      <c r="G58" s="198">
        <f t="shared" si="1"/>
        <v>0.19772340740740751</v>
      </c>
      <c r="H58" s="198"/>
      <c r="I58" s="198">
        <f t="shared" si="2"/>
        <v>19.772340740740752</v>
      </c>
      <c r="J58" s="198">
        <f t="shared" si="3"/>
        <v>225143.68954666678</v>
      </c>
      <c r="K58" s="184"/>
      <c r="L58" s="60"/>
      <c r="M58" s="60"/>
    </row>
    <row r="59" spans="1:13" x14ac:dyDescent="0.3">
      <c r="A59" s="91">
        <v>42276</v>
      </c>
      <c r="B59" s="93" t="s">
        <v>660</v>
      </c>
      <c r="C59" s="198"/>
      <c r="D59" s="198">
        <v>200</v>
      </c>
      <c r="E59" s="198">
        <f t="shared" si="4"/>
        <v>1138480</v>
      </c>
      <c r="F59" s="198"/>
      <c r="G59" s="198">
        <f t="shared" si="1"/>
        <v>0.19772340740740751</v>
      </c>
      <c r="H59" s="198"/>
      <c r="I59" s="198">
        <f t="shared" si="2"/>
        <v>39.544681481481504</v>
      </c>
      <c r="J59" s="198">
        <f t="shared" si="3"/>
        <v>225104.14486518528</v>
      </c>
      <c r="K59" s="184"/>
      <c r="L59" s="60"/>
      <c r="M59" s="60"/>
    </row>
    <row r="60" spans="1:13" x14ac:dyDescent="0.3">
      <c r="A60" s="91">
        <v>42276</v>
      </c>
      <c r="B60" s="93" t="s">
        <v>662</v>
      </c>
      <c r="C60" s="198"/>
      <c r="D60" s="198">
        <v>100</v>
      </c>
      <c r="E60" s="198">
        <f t="shared" si="4"/>
        <v>1138380</v>
      </c>
      <c r="F60" s="198"/>
      <c r="G60" s="198">
        <f t="shared" si="1"/>
        <v>0.19772340740740749</v>
      </c>
      <c r="H60" s="198"/>
      <c r="I60" s="198">
        <f t="shared" si="2"/>
        <v>19.772340740740749</v>
      </c>
      <c r="J60" s="198">
        <f t="shared" si="3"/>
        <v>225084.37252444454</v>
      </c>
      <c r="K60" s="184"/>
      <c r="L60" s="60"/>
      <c r="M60" s="60"/>
    </row>
    <row r="61" spans="1:13" x14ac:dyDescent="0.3">
      <c r="A61" s="91">
        <v>42276</v>
      </c>
      <c r="B61" s="93" t="s">
        <v>665</v>
      </c>
      <c r="C61" s="198"/>
      <c r="D61" s="198">
        <v>150</v>
      </c>
      <c r="E61" s="198">
        <f t="shared" si="4"/>
        <v>1138230</v>
      </c>
      <c r="F61" s="198"/>
      <c r="G61" s="198">
        <f t="shared" si="1"/>
        <v>0.19772340740740749</v>
      </c>
      <c r="H61" s="198"/>
      <c r="I61" s="198">
        <f t="shared" si="2"/>
        <v>29.658511111111125</v>
      </c>
      <c r="J61" s="198">
        <f t="shared" si="3"/>
        <v>225054.71401333343</v>
      </c>
      <c r="K61" s="184"/>
      <c r="L61" s="60"/>
      <c r="M61" s="60"/>
    </row>
    <row r="62" spans="1:13" x14ac:dyDescent="0.3">
      <c r="A62" s="91">
        <v>42276</v>
      </c>
      <c r="B62" s="93" t="s">
        <v>667</v>
      </c>
      <c r="C62" s="198"/>
      <c r="D62" s="198">
        <v>50</v>
      </c>
      <c r="E62" s="198">
        <f t="shared" si="4"/>
        <v>1138180</v>
      </c>
      <c r="F62" s="198"/>
      <c r="G62" s="198">
        <f t="shared" si="1"/>
        <v>0.19772340740740749</v>
      </c>
      <c r="H62" s="198"/>
      <c r="I62" s="198">
        <f t="shared" si="2"/>
        <v>9.8861703703703743</v>
      </c>
      <c r="J62" s="198">
        <f t="shared" si="3"/>
        <v>225044.82784296307</v>
      </c>
      <c r="K62" s="186">
        <f>SUM(I44:I62)</f>
        <v>646.55554222222258</v>
      </c>
      <c r="L62" s="90">
        <f>SUM(K43:K62)</f>
        <v>1378.1321496296305</v>
      </c>
      <c r="M62" s="162">
        <v>42277</v>
      </c>
    </row>
    <row r="63" spans="1:13" x14ac:dyDescent="0.3">
      <c r="A63" s="91">
        <v>42280</v>
      </c>
      <c r="B63" s="93" t="s">
        <v>678</v>
      </c>
      <c r="C63" s="198"/>
      <c r="D63" s="198">
        <v>50</v>
      </c>
      <c r="E63" s="198">
        <f t="shared" si="4"/>
        <v>1138130</v>
      </c>
      <c r="F63" s="198"/>
      <c r="G63" s="198">
        <f t="shared" si="1"/>
        <v>0.19772340740740751</v>
      </c>
      <c r="H63" s="198"/>
      <c r="I63" s="198">
        <f t="shared" si="2"/>
        <v>9.886170370370376</v>
      </c>
      <c r="J63" s="198">
        <f t="shared" si="3"/>
        <v>225034.94167259271</v>
      </c>
      <c r="K63" s="184"/>
      <c r="L63" s="60"/>
      <c r="M63" s="60"/>
    </row>
    <row r="64" spans="1:13" x14ac:dyDescent="0.3">
      <c r="A64" s="91">
        <v>42284</v>
      </c>
      <c r="B64" s="93" t="s">
        <v>688</v>
      </c>
      <c r="C64" s="198"/>
      <c r="D64" s="198">
        <v>100</v>
      </c>
      <c r="E64" s="198">
        <f t="shared" ref="E64" si="5">+E63-D64</f>
        <v>1138030</v>
      </c>
      <c r="F64" s="198"/>
      <c r="G64" s="198">
        <f t="shared" ref="G64" si="6">+J63/E63</f>
        <v>0.19772340740740751</v>
      </c>
      <c r="H64" s="198"/>
      <c r="I64" s="198">
        <f t="shared" ref="I64" si="7">+D64*G64</f>
        <v>19.772340740740752</v>
      </c>
      <c r="J64" s="198">
        <f t="shared" ref="J64" si="8">+J63-I64</f>
        <v>225015.16933185197</v>
      </c>
      <c r="K64" s="184"/>
      <c r="L64" s="60"/>
      <c r="M64" s="60"/>
    </row>
    <row r="65" spans="1:13" x14ac:dyDescent="0.3">
      <c r="A65" s="91">
        <v>42285</v>
      </c>
      <c r="B65" s="93" t="s">
        <v>695</v>
      </c>
      <c r="C65" s="198"/>
      <c r="D65" s="198">
        <v>950</v>
      </c>
      <c r="E65" s="198">
        <f t="shared" si="4"/>
        <v>1137080</v>
      </c>
      <c r="F65" s="198"/>
      <c r="G65" s="198">
        <f t="shared" si="1"/>
        <v>0.19772340740740751</v>
      </c>
      <c r="H65" s="198"/>
      <c r="I65" s="198">
        <f t="shared" si="2"/>
        <v>187.83723703703714</v>
      </c>
      <c r="J65" s="198">
        <f t="shared" si="3"/>
        <v>224827.33209481492</v>
      </c>
      <c r="K65" s="184"/>
      <c r="L65" s="60"/>
      <c r="M65" s="60"/>
    </row>
    <row r="66" spans="1:13" x14ac:dyDescent="0.3">
      <c r="A66" s="91">
        <v>42290</v>
      </c>
      <c r="B66" s="93" t="s">
        <v>715</v>
      </c>
      <c r="C66" s="198"/>
      <c r="D66" s="198">
        <v>50</v>
      </c>
      <c r="E66" s="198">
        <f t="shared" si="4"/>
        <v>1137030</v>
      </c>
      <c r="F66" s="198"/>
      <c r="G66" s="198">
        <f t="shared" si="1"/>
        <v>0.19772340740740749</v>
      </c>
      <c r="H66" s="198"/>
      <c r="I66" s="198">
        <f t="shared" si="2"/>
        <v>9.8861703703703743</v>
      </c>
      <c r="J66" s="198">
        <f t="shared" si="3"/>
        <v>224817.44592444456</v>
      </c>
      <c r="K66" s="184"/>
      <c r="L66" s="60"/>
      <c r="M66" s="60"/>
    </row>
    <row r="67" spans="1:13" x14ac:dyDescent="0.3">
      <c r="A67" s="91">
        <v>42290</v>
      </c>
      <c r="B67" s="93" t="s">
        <v>718</v>
      </c>
      <c r="C67" s="198"/>
      <c r="D67" s="198">
        <v>100</v>
      </c>
      <c r="E67" s="198">
        <f t="shared" si="4"/>
        <v>1136930</v>
      </c>
      <c r="F67" s="198"/>
      <c r="G67" s="198">
        <f t="shared" si="1"/>
        <v>0.19772340740740751</v>
      </c>
      <c r="H67" s="198"/>
      <c r="I67" s="198">
        <f t="shared" si="2"/>
        <v>19.772340740740752</v>
      </c>
      <c r="J67" s="198">
        <f t="shared" si="3"/>
        <v>224797.67358370381</v>
      </c>
      <c r="K67" s="184"/>
      <c r="L67" s="60"/>
      <c r="M67" s="60"/>
    </row>
    <row r="68" spans="1:13" x14ac:dyDescent="0.3">
      <c r="A68" s="91">
        <v>42294</v>
      </c>
      <c r="B68" s="93" t="s">
        <v>726</v>
      </c>
      <c r="C68" s="198"/>
      <c r="D68" s="198">
        <v>750</v>
      </c>
      <c r="E68" s="198">
        <f t="shared" si="4"/>
        <v>1136180</v>
      </c>
      <c r="F68" s="198"/>
      <c r="G68" s="198">
        <f t="shared" si="1"/>
        <v>0.19772340740740751</v>
      </c>
      <c r="H68" s="198"/>
      <c r="I68" s="198">
        <f t="shared" si="2"/>
        <v>148.29255555555562</v>
      </c>
      <c r="J68" s="198">
        <f t="shared" si="3"/>
        <v>224649.38102814826</v>
      </c>
      <c r="K68" s="184"/>
      <c r="L68" s="60"/>
      <c r="M68" s="60"/>
    </row>
    <row r="69" spans="1:13" x14ac:dyDescent="0.3">
      <c r="A69" s="91">
        <v>42294</v>
      </c>
      <c r="B69" s="93" t="s">
        <v>731</v>
      </c>
      <c r="C69" s="198"/>
      <c r="D69" s="198">
        <v>100</v>
      </c>
      <c r="E69" s="198">
        <f t="shared" si="4"/>
        <v>1136080</v>
      </c>
      <c r="F69" s="198"/>
      <c r="G69" s="198">
        <f t="shared" si="1"/>
        <v>0.19772340740740751</v>
      </c>
      <c r="H69" s="198"/>
      <c r="I69" s="198">
        <f t="shared" si="2"/>
        <v>19.772340740740752</v>
      </c>
      <c r="J69" s="198">
        <f t="shared" si="3"/>
        <v>224629.60868740751</v>
      </c>
      <c r="K69" s="186">
        <f>SUM(I63:I69)</f>
        <v>415.21915555555574</v>
      </c>
      <c r="L69" s="89"/>
      <c r="M69" s="162">
        <v>42294</v>
      </c>
    </row>
    <row r="70" spans="1:13" x14ac:dyDescent="0.3">
      <c r="A70" s="91">
        <v>42296</v>
      </c>
      <c r="B70" s="93" t="s">
        <v>733</v>
      </c>
      <c r="C70" s="198"/>
      <c r="D70" s="198">
        <v>25</v>
      </c>
      <c r="E70" s="198">
        <f t="shared" si="4"/>
        <v>1136055</v>
      </c>
      <c r="F70" s="198"/>
      <c r="G70" s="198">
        <f t="shared" si="1"/>
        <v>0.19772340740740749</v>
      </c>
      <c r="H70" s="198"/>
      <c r="I70" s="198">
        <f t="shared" si="2"/>
        <v>4.9430851851851871</v>
      </c>
      <c r="J70" s="198">
        <f t="shared" si="3"/>
        <v>224624.66560222232</v>
      </c>
      <c r="K70" s="184"/>
      <c r="L70" s="60"/>
      <c r="M70" s="60"/>
    </row>
    <row r="71" spans="1:13" x14ac:dyDescent="0.3">
      <c r="A71" s="91">
        <v>42301</v>
      </c>
      <c r="B71" s="93" t="s">
        <v>756</v>
      </c>
      <c r="C71" s="198"/>
      <c r="D71" s="198">
        <v>50</v>
      </c>
      <c r="E71" s="198">
        <f t="shared" si="4"/>
        <v>1136005</v>
      </c>
      <c r="F71" s="198"/>
      <c r="G71" s="198">
        <f t="shared" si="1"/>
        <v>0.19772340740740749</v>
      </c>
      <c r="H71" s="198"/>
      <c r="I71" s="198">
        <f t="shared" si="2"/>
        <v>9.8861703703703743</v>
      </c>
      <c r="J71" s="198">
        <f t="shared" si="3"/>
        <v>224614.77943185196</v>
      </c>
      <c r="K71" s="184"/>
      <c r="L71" s="60"/>
      <c r="M71" s="60"/>
    </row>
    <row r="72" spans="1:13" x14ac:dyDescent="0.3">
      <c r="A72" s="91">
        <v>42301</v>
      </c>
      <c r="B72" s="93" t="s">
        <v>757</v>
      </c>
      <c r="C72" s="198"/>
      <c r="D72" s="198">
        <v>150</v>
      </c>
      <c r="E72" s="198">
        <f t="shared" si="4"/>
        <v>1135855</v>
      </c>
      <c r="F72" s="198"/>
      <c r="G72" s="198">
        <f t="shared" si="1"/>
        <v>0.19772340740740751</v>
      </c>
      <c r="H72" s="198"/>
      <c r="I72" s="198">
        <f t="shared" si="2"/>
        <v>29.658511111111128</v>
      </c>
      <c r="J72" s="198">
        <f t="shared" si="3"/>
        <v>224585.12092074085</v>
      </c>
      <c r="K72" s="184"/>
      <c r="L72" s="60"/>
      <c r="M72" s="60"/>
    </row>
    <row r="73" spans="1:13" x14ac:dyDescent="0.3">
      <c r="A73" s="91">
        <v>42301</v>
      </c>
      <c r="B73" s="93" t="s">
        <v>759</v>
      </c>
      <c r="C73" s="198"/>
      <c r="D73" s="198">
        <v>550</v>
      </c>
      <c r="E73" s="198">
        <f t="shared" si="4"/>
        <v>1135305</v>
      </c>
      <c r="F73" s="198"/>
      <c r="G73" s="198">
        <f t="shared" si="1"/>
        <v>0.19772340740740751</v>
      </c>
      <c r="H73" s="198"/>
      <c r="I73" s="198">
        <f t="shared" si="2"/>
        <v>108.74787407407413</v>
      </c>
      <c r="J73" s="198">
        <f t="shared" si="3"/>
        <v>224476.37304666679</v>
      </c>
      <c r="K73" s="184"/>
      <c r="L73" s="60"/>
      <c r="M73" s="60"/>
    </row>
    <row r="74" spans="1:13" x14ac:dyDescent="0.3">
      <c r="A74" s="91">
        <v>42303</v>
      </c>
      <c r="B74" s="93" t="s">
        <v>760</v>
      </c>
      <c r="C74" s="198"/>
      <c r="D74" s="198">
        <v>100</v>
      </c>
      <c r="E74" s="198">
        <f t="shared" si="4"/>
        <v>1135205</v>
      </c>
      <c r="F74" s="198"/>
      <c r="G74" s="198">
        <f t="shared" si="1"/>
        <v>0.19772340740740751</v>
      </c>
      <c r="H74" s="198"/>
      <c r="I74" s="198">
        <f t="shared" si="2"/>
        <v>19.772340740740752</v>
      </c>
      <c r="J74" s="198">
        <f t="shared" si="3"/>
        <v>224456.60070592604</v>
      </c>
      <c r="K74" s="184"/>
      <c r="L74" s="60"/>
      <c r="M74" s="60"/>
    </row>
    <row r="75" spans="1:13" x14ac:dyDescent="0.3">
      <c r="A75" s="91">
        <v>42304</v>
      </c>
      <c r="B75" s="93" t="s">
        <v>765</v>
      </c>
      <c r="C75" s="198"/>
      <c r="D75" s="198">
        <v>100</v>
      </c>
      <c r="E75" s="198">
        <f t="shared" si="4"/>
        <v>1135105</v>
      </c>
      <c r="F75" s="198"/>
      <c r="G75" s="198">
        <f t="shared" si="1"/>
        <v>0.19772340740740751</v>
      </c>
      <c r="H75" s="198"/>
      <c r="I75" s="198">
        <f t="shared" si="2"/>
        <v>19.772340740740752</v>
      </c>
      <c r="J75" s="198">
        <f t="shared" si="3"/>
        <v>224436.8283651853</v>
      </c>
      <c r="K75" s="184"/>
      <c r="L75" s="60"/>
      <c r="M75" s="60"/>
    </row>
    <row r="76" spans="1:13" x14ac:dyDescent="0.3">
      <c r="A76" s="91">
        <v>42304</v>
      </c>
      <c r="B76" s="93" t="s">
        <v>767</v>
      </c>
      <c r="C76" s="198"/>
      <c r="D76" s="198">
        <v>150</v>
      </c>
      <c r="E76" s="198">
        <f t="shared" si="4"/>
        <v>1134955</v>
      </c>
      <c r="F76" s="198"/>
      <c r="G76" s="198">
        <f t="shared" ref="G76:G77" si="9">+J75/E75</f>
        <v>0.19772340740740751</v>
      </c>
      <c r="H76" s="198"/>
      <c r="I76" s="198">
        <f t="shared" ref="I76:I77" si="10">+D76*G76</f>
        <v>29.658511111111128</v>
      </c>
      <c r="J76" s="198">
        <f t="shared" ref="J76:J77" si="11">+J75-I76</f>
        <v>224407.16985407419</v>
      </c>
      <c r="K76" s="184"/>
      <c r="L76" s="60"/>
      <c r="M76" s="60"/>
    </row>
    <row r="77" spans="1:13" x14ac:dyDescent="0.3">
      <c r="A77" s="91">
        <v>42305</v>
      </c>
      <c r="B77" s="93" t="s">
        <v>770</v>
      </c>
      <c r="C77" s="198"/>
      <c r="D77" s="198">
        <v>250</v>
      </c>
      <c r="E77" s="198">
        <f t="shared" si="4"/>
        <v>1134705</v>
      </c>
      <c r="F77" s="198"/>
      <c r="G77" s="198">
        <f t="shared" si="9"/>
        <v>0.19772340740740751</v>
      </c>
      <c r="H77" s="198"/>
      <c r="I77" s="198">
        <f t="shared" si="10"/>
        <v>49.430851851851877</v>
      </c>
      <c r="J77" s="198">
        <f t="shared" si="11"/>
        <v>224357.73900222234</v>
      </c>
      <c r="K77" s="184"/>
      <c r="L77" s="60"/>
      <c r="M77" s="60"/>
    </row>
    <row r="78" spans="1:13" x14ac:dyDescent="0.3">
      <c r="A78" s="91">
        <v>42305</v>
      </c>
      <c r="B78" s="93" t="s">
        <v>772</v>
      </c>
      <c r="C78" s="198"/>
      <c r="D78" s="198">
        <v>50</v>
      </c>
      <c r="E78" s="198">
        <f t="shared" ref="E78:E106" si="12">+E77-D78</f>
        <v>1134655</v>
      </c>
      <c r="F78" s="198"/>
      <c r="G78" s="198">
        <f t="shared" ref="G78:G106" si="13">+J77/E77</f>
        <v>0.19772340740740751</v>
      </c>
      <c r="H78" s="198"/>
      <c r="I78" s="198">
        <f t="shared" ref="I78:I106" si="14">+D78*G78</f>
        <v>9.886170370370376</v>
      </c>
      <c r="J78" s="198">
        <f t="shared" ref="J78:J106" si="15">+J77-I78</f>
        <v>224347.85283185198</v>
      </c>
      <c r="K78" s="184"/>
      <c r="L78" s="60"/>
      <c r="M78" s="60"/>
    </row>
    <row r="79" spans="1:13" x14ac:dyDescent="0.3">
      <c r="A79" s="91">
        <v>42307</v>
      </c>
      <c r="B79" s="93" t="s">
        <v>782</v>
      </c>
      <c r="C79" s="198"/>
      <c r="D79" s="198">
        <v>2800</v>
      </c>
      <c r="E79" s="198">
        <f t="shared" si="12"/>
        <v>1131855</v>
      </c>
      <c r="F79" s="198"/>
      <c r="G79" s="198">
        <f t="shared" si="13"/>
        <v>0.19772340740740751</v>
      </c>
      <c r="H79" s="198"/>
      <c r="I79" s="198">
        <f t="shared" si="14"/>
        <v>553.62554074074103</v>
      </c>
      <c r="J79" s="198">
        <f t="shared" si="15"/>
        <v>223794.22729111125</v>
      </c>
      <c r="K79" s="186">
        <f>SUM(I70:I79)</f>
        <v>835.38139629629677</v>
      </c>
      <c r="L79" s="90">
        <f>SUM(K69:K79)</f>
        <v>1250.6005518518525</v>
      </c>
      <c r="M79" s="162">
        <v>42308</v>
      </c>
    </row>
    <row r="80" spans="1:13" x14ac:dyDescent="0.3">
      <c r="A80" s="91">
        <v>42313</v>
      </c>
      <c r="B80" s="93" t="s">
        <v>809</v>
      </c>
      <c r="C80" s="198"/>
      <c r="D80" s="198">
        <v>250</v>
      </c>
      <c r="E80" s="198">
        <f t="shared" si="12"/>
        <v>1131605</v>
      </c>
      <c r="F80" s="198"/>
      <c r="G80" s="198">
        <f t="shared" si="13"/>
        <v>0.19772340740740754</v>
      </c>
      <c r="H80" s="198"/>
      <c r="I80" s="198">
        <f t="shared" si="14"/>
        <v>49.430851851851884</v>
      </c>
      <c r="J80" s="198">
        <f t="shared" si="15"/>
        <v>223744.7964392594</v>
      </c>
      <c r="K80" s="184"/>
      <c r="L80" s="60"/>
      <c r="M80" s="60"/>
    </row>
    <row r="81" spans="1:13" x14ac:dyDescent="0.3">
      <c r="A81" s="91">
        <v>42315</v>
      </c>
      <c r="B81" s="93" t="s">
        <v>814</v>
      </c>
      <c r="C81" s="198"/>
      <c r="D81" s="198">
        <v>400</v>
      </c>
      <c r="E81" s="198">
        <f t="shared" si="12"/>
        <v>1131205</v>
      </c>
      <c r="F81" s="198"/>
      <c r="G81" s="198">
        <f t="shared" si="13"/>
        <v>0.19772340740740754</v>
      </c>
      <c r="H81" s="198"/>
      <c r="I81" s="198">
        <f t="shared" si="14"/>
        <v>79.089362962963023</v>
      </c>
      <c r="J81" s="198">
        <f t="shared" si="15"/>
        <v>223665.70707629644</v>
      </c>
      <c r="K81" s="184"/>
      <c r="L81" s="60"/>
      <c r="M81" s="60"/>
    </row>
    <row r="82" spans="1:13" x14ac:dyDescent="0.3">
      <c r="A82" s="91">
        <v>42317</v>
      </c>
      <c r="B82" s="93" t="s">
        <v>815</v>
      </c>
      <c r="C82" s="198"/>
      <c r="D82" s="198">
        <v>50</v>
      </c>
      <c r="E82" s="198">
        <f t="shared" si="12"/>
        <v>1131155</v>
      </c>
      <c r="F82" s="198"/>
      <c r="G82" s="198">
        <f t="shared" si="13"/>
        <v>0.19772340740740754</v>
      </c>
      <c r="H82" s="198"/>
      <c r="I82" s="198">
        <f t="shared" si="14"/>
        <v>9.8861703703703778</v>
      </c>
      <c r="J82" s="198">
        <f t="shared" si="15"/>
        <v>223655.82090592608</v>
      </c>
      <c r="K82" s="184"/>
      <c r="L82" s="60"/>
      <c r="M82" s="60"/>
    </row>
    <row r="83" spans="1:13" x14ac:dyDescent="0.3">
      <c r="A83" s="91">
        <v>42318</v>
      </c>
      <c r="B83" s="93" t="s">
        <v>816</v>
      </c>
      <c r="C83" s="198"/>
      <c r="D83" s="198">
        <v>100</v>
      </c>
      <c r="E83" s="198">
        <f t="shared" si="12"/>
        <v>1131055</v>
      </c>
      <c r="F83" s="198"/>
      <c r="G83" s="198">
        <f t="shared" si="13"/>
        <v>0.19772340740740754</v>
      </c>
      <c r="H83" s="198"/>
      <c r="I83" s="198">
        <f t="shared" si="14"/>
        <v>19.772340740740756</v>
      </c>
      <c r="J83" s="198">
        <f t="shared" si="15"/>
        <v>223636.04856518534</v>
      </c>
      <c r="K83" s="184"/>
      <c r="L83" s="60"/>
      <c r="M83" s="60"/>
    </row>
    <row r="84" spans="1:13" x14ac:dyDescent="0.3">
      <c r="A84" s="91">
        <v>42319</v>
      </c>
      <c r="B84" s="93" t="s">
        <v>820</v>
      </c>
      <c r="C84" s="198"/>
      <c r="D84" s="198">
        <v>250</v>
      </c>
      <c r="E84" s="198">
        <f t="shared" si="12"/>
        <v>1130805</v>
      </c>
      <c r="F84" s="198"/>
      <c r="G84" s="198">
        <f t="shared" si="13"/>
        <v>0.19772340740740754</v>
      </c>
      <c r="H84" s="198"/>
      <c r="I84" s="198">
        <f t="shared" si="14"/>
        <v>49.430851851851884</v>
      </c>
      <c r="J84" s="198">
        <f t="shared" si="15"/>
        <v>223586.61771333349</v>
      </c>
      <c r="K84" s="184"/>
      <c r="L84" s="60"/>
      <c r="M84" s="60"/>
    </row>
    <row r="85" spans="1:13" x14ac:dyDescent="0.3">
      <c r="A85" s="91">
        <v>42320</v>
      </c>
      <c r="B85" s="93" t="s">
        <v>824</v>
      </c>
      <c r="C85" s="198"/>
      <c r="D85" s="198">
        <v>500</v>
      </c>
      <c r="E85" s="198">
        <f t="shared" si="12"/>
        <v>1130305</v>
      </c>
      <c r="F85" s="198"/>
      <c r="G85" s="198">
        <f t="shared" si="13"/>
        <v>0.19772340740740754</v>
      </c>
      <c r="H85" s="198"/>
      <c r="I85" s="198">
        <f t="shared" si="14"/>
        <v>98.861703703703768</v>
      </c>
      <c r="J85" s="198">
        <f t="shared" si="15"/>
        <v>223487.75600962978</v>
      </c>
      <c r="K85" s="184"/>
      <c r="L85" s="60"/>
      <c r="M85" s="60"/>
    </row>
    <row r="86" spans="1:13" x14ac:dyDescent="0.3">
      <c r="A86" s="91">
        <v>42321</v>
      </c>
      <c r="B86" s="93" t="s">
        <v>825</v>
      </c>
      <c r="C86" s="198"/>
      <c r="D86" s="198">
        <v>150</v>
      </c>
      <c r="E86" s="198">
        <f t="shared" si="12"/>
        <v>1130155</v>
      </c>
      <c r="F86" s="198"/>
      <c r="G86" s="198">
        <f t="shared" si="13"/>
        <v>0.19772340740740754</v>
      </c>
      <c r="H86" s="198"/>
      <c r="I86" s="198">
        <f t="shared" si="14"/>
        <v>29.658511111111132</v>
      </c>
      <c r="J86" s="198">
        <f t="shared" si="15"/>
        <v>223458.09749851868</v>
      </c>
      <c r="K86" s="184"/>
      <c r="L86" s="60"/>
      <c r="M86" s="60"/>
    </row>
    <row r="87" spans="1:13" x14ac:dyDescent="0.3">
      <c r="A87" s="91">
        <v>42321</v>
      </c>
      <c r="B87" s="93" t="s">
        <v>826</v>
      </c>
      <c r="C87" s="198"/>
      <c r="D87" s="198">
        <v>100</v>
      </c>
      <c r="E87" s="198">
        <f t="shared" si="12"/>
        <v>1130055</v>
      </c>
      <c r="F87" s="198"/>
      <c r="G87" s="198">
        <f t="shared" si="13"/>
        <v>0.19772340740740754</v>
      </c>
      <c r="H87" s="198"/>
      <c r="I87" s="198">
        <f t="shared" si="14"/>
        <v>19.772340740740756</v>
      </c>
      <c r="J87" s="198">
        <f t="shared" si="15"/>
        <v>223438.32515777793</v>
      </c>
      <c r="K87" s="184"/>
      <c r="L87" s="60"/>
      <c r="M87" s="60"/>
    </row>
    <row r="88" spans="1:13" x14ac:dyDescent="0.3">
      <c r="A88" s="91">
        <v>42321</v>
      </c>
      <c r="B88" s="93" t="s">
        <v>829</v>
      </c>
      <c r="C88" s="198"/>
      <c r="D88" s="198">
        <v>50</v>
      </c>
      <c r="E88" s="198">
        <f t="shared" si="12"/>
        <v>1130005</v>
      </c>
      <c r="F88" s="198"/>
      <c r="G88" s="198">
        <f t="shared" si="13"/>
        <v>0.19772340740740754</v>
      </c>
      <c r="H88" s="198"/>
      <c r="I88" s="198">
        <f t="shared" si="14"/>
        <v>9.8861703703703778</v>
      </c>
      <c r="J88" s="198">
        <f t="shared" si="15"/>
        <v>223428.43898740757</v>
      </c>
      <c r="K88" s="184"/>
      <c r="L88" s="60"/>
      <c r="M88" s="60"/>
    </row>
    <row r="89" spans="1:13" x14ac:dyDescent="0.3">
      <c r="A89" s="91">
        <v>42322</v>
      </c>
      <c r="B89" s="93" t="s">
        <v>831</v>
      </c>
      <c r="C89" s="198"/>
      <c r="D89" s="198">
        <v>200</v>
      </c>
      <c r="E89" s="198">
        <f t="shared" si="12"/>
        <v>1129805</v>
      </c>
      <c r="F89" s="198"/>
      <c r="G89" s="198">
        <f t="shared" si="13"/>
        <v>0.19772340740740754</v>
      </c>
      <c r="H89" s="198"/>
      <c r="I89" s="198">
        <f t="shared" si="14"/>
        <v>39.544681481481511</v>
      </c>
      <c r="J89" s="198">
        <f t="shared" si="15"/>
        <v>223388.89430592608</v>
      </c>
      <c r="K89" s="186">
        <f>SUM(I80:I89)</f>
        <v>405.33298518518546</v>
      </c>
      <c r="L89" s="89"/>
      <c r="M89" s="162">
        <v>42323</v>
      </c>
    </row>
    <row r="90" spans="1:13" x14ac:dyDescent="0.3">
      <c r="A90" s="91">
        <v>42324</v>
      </c>
      <c r="B90" s="93" t="s">
        <v>837</v>
      </c>
      <c r="C90" s="198"/>
      <c r="D90" s="198">
        <v>0</v>
      </c>
      <c r="E90" s="198">
        <f t="shared" si="12"/>
        <v>1129805</v>
      </c>
      <c r="F90" s="198"/>
      <c r="G90" s="198">
        <f t="shared" si="13"/>
        <v>0.19772340740740754</v>
      </c>
      <c r="H90" s="198"/>
      <c r="I90" s="198">
        <f t="shared" si="14"/>
        <v>0</v>
      </c>
      <c r="J90" s="198">
        <f t="shared" si="15"/>
        <v>223388.89430592608</v>
      </c>
      <c r="K90" s="184"/>
      <c r="L90" s="60"/>
      <c r="M90" s="60"/>
    </row>
    <row r="91" spans="1:13" x14ac:dyDescent="0.3">
      <c r="A91" s="91">
        <v>42325</v>
      </c>
      <c r="B91" s="93" t="s">
        <v>838</v>
      </c>
      <c r="C91" s="198"/>
      <c r="D91" s="198">
        <v>1100</v>
      </c>
      <c r="E91" s="198">
        <f t="shared" si="12"/>
        <v>1128705</v>
      </c>
      <c r="F91" s="198"/>
      <c r="G91" s="198">
        <f t="shared" si="13"/>
        <v>0.19772340740740754</v>
      </c>
      <c r="H91" s="198"/>
      <c r="I91" s="198">
        <f t="shared" si="14"/>
        <v>217.49574814814829</v>
      </c>
      <c r="J91" s="198">
        <f t="shared" si="15"/>
        <v>223171.39855777792</v>
      </c>
      <c r="K91" s="184"/>
      <c r="L91" s="60"/>
      <c r="M91" s="60"/>
    </row>
    <row r="92" spans="1:13" x14ac:dyDescent="0.3">
      <c r="A92" s="91">
        <v>42326</v>
      </c>
      <c r="B92" s="93" t="s">
        <v>843</v>
      </c>
      <c r="C92" s="198"/>
      <c r="D92" s="198">
        <v>550</v>
      </c>
      <c r="E92" s="198">
        <f t="shared" si="12"/>
        <v>1128155</v>
      </c>
      <c r="F92" s="198"/>
      <c r="G92" s="198">
        <f t="shared" si="13"/>
        <v>0.19772340740740754</v>
      </c>
      <c r="H92" s="198"/>
      <c r="I92" s="198">
        <f t="shared" si="14"/>
        <v>108.74787407407415</v>
      </c>
      <c r="J92" s="198">
        <f t="shared" si="15"/>
        <v>223062.65068370386</v>
      </c>
      <c r="K92" s="184"/>
      <c r="L92" s="60"/>
      <c r="M92" s="60"/>
    </row>
    <row r="93" spans="1:13" x14ac:dyDescent="0.3">
      <c r="A93" s="91">
        <v>42327</v>
      </c>
      <c r="B93" s="93" t="s">
        <v>847</v>
      </c>
      <c r="C93" s="198"/>
      <c r="D93" s="198">
        <v>100</v>
      </c>
      <c r="E93" s="198">
        <f t="shared" si="12"/>
        <v>1128055</v>
      </c>
      <c r="F93" s="198"/>
      <c r="G93" s="198">
        <f t="shared" si="13"/>
        <v>0.19772340740740754</v>
      </c>
      <c r="H93" s="198"/>
      <c r="I93" s="198">
        <f t="shared" si="14"/>
        <v>19.772340740740756</v>
      </c>
      <c r="J93" s="198">
        <f t="shared" si="15"/>
        <v>223042.87834296311</v>
      </c>
      <c r="K93" s="184"/>
      <c r="L93" s="60"/>
      <c r="M93" s="60"/>
    </row>
    <row r="94" spans="1:13" x14ac:dyDescent="0.3">
      <c r="A94" s="91">
        <v>42327</v>
      </c>
      <c r="B94" s="93" t="s">
        <v>848</v>
      </c>
      <c r="C94" s="198"/>
      <c r="D94" s="198">
        <v>100</v>
      </c>
      <c r="E94" s="198">
        <f t="shared" si="12"/>
        <v>1127955</v>
      </c>
      <c r="F94" s="198"/>
      <c r="G94" s="198">
        <f t="shared" si="13"/>
        <v>0.19772340740740754</v>
      </c>
      <c r="H94" s="198"/>
      <c r="I94" s="198">
        <f t="shared" si="14"/>
        <v>19.772340740740756</v>
      </c>
      <c r="J94" s="198">
        <f t="shared" si="15"/>
        <v>223023.10600222237</v>
      </c>
      <c r="K94" s="184"/>
      <c r="L94" s="60"/>
      <c r="M94" s="60"/>
    </row>
    <row r="95" spans="1:13" x14ac:dyDescent="0.3">
      <c r="A95" s="91">
        <v>42328</v>
      </c>
      <c r="B95" s="93" t="s">
        <v>849</v>
      </c>
      <c r="C95" s="198"/>
      <c r="D95" s="198">
        <v>50</v>
      </c>
      <c r="E95" s="198">
        <f t="shared" si="12"/>
        <v>1127905</v>
      </c>
      <c r="F95" s="198"/>
      <c r="G95" s="198">
        <f t="shared" si="13"/>
        <v>0.19772340740740754</v>
      </c>
      <c r="H95" s="198"/>
      <c r="I95" s="198">
        <f t="shared" si="14"/>
        <v>9.8861703703703778</v>
      </c>
      <c r="J95" s="198">
        <f t="shared" si="15"/>
        <v>223013.21983185201</v>
      </c>
      <c r="K95" s="184"/>
      <c r="L95" s="60"/>
      <c r="M95" s="60"/>
    </row>
    <row r="96" spans="1:13" x14ac:dyDescent="0.3">
      <c r="A96" s="91">
        <v>42328</v>
      </c>
      <c r="B96" s="93" t="s">
        <v>850</v>
      </c>
      <c r="C96" s="198"/>
      <c r="D96" s="198">
        <v>50</v>
      </c>
      <c r="E96" s="198">
        <f t="shared" si="12"/>
        <v>1127855</v>
      </c>
      <c r="F96" s="198"/>
      <c r="G96" s="198">
        <f t="shared" si="13"/>
        <v>0.19772340740740754</v>
      </c>
      <c r="H96" s="198"/>
      <c r="I96" s="198">
        <f t="shared" si="14"/>
        <v>9.8861703703703778</v>
      </c>
      <c r="J96" s="198">
        <f t="shared" si="15"/>
        <v>223003.33366148165</v>
      </c>
      <c r="K96" s="184"/>
      <c r="L96" s="60"/>
      <c r="M96" s="60"/>
    </row>
    <row r="97" spans="1:13" x14ac:dyDescent="0.3">
      <c r="A97" s="91">
        <v>42329</v>
      </c>
      <c r="B97" s="93" t="s">
        <v>854</v>
      </c>
      <c r="C97" s="198"/>
      <c r="D97" s="198">
        <v>50</v>
      </c>
      <c r="E97" s="198">
        <f t="shared" si="12"/>
        <v>1127805</v>
      </c>
      <c r="F97" s="198"/>
      <c r="G97" s="198">
        <f t="shared" si="13"/>
        <v>0.19772340740740757</v>
      </c>
      <c r="H97" s="198"/>
      <c r="I97" s="198">
        <f t="shared" si="14"/>
        <v>9.8861703703703778</v>
      </c>
      <c r="J97" s="198">
        <f t="shared" si="15"/>
        <v>222993.44749111129</v>
      </c>
      <c r="K97" s="184"/>
      <c r="L97" s="60"/>
      <c r="M97" s="60"/>
    </row>
    <row r="98" spans="1:13" x14ac:dyDescent="0.3">
      <c r="A98" s="91">
        <v>42329</v>
      </c>
      <c r="B98" s="93" t="s">
        <v>857</v>
      </c>
      <c r="C98" s="198"/>
      <c r="D98" s="198">
        <v>100</v>
      </c>
      <c r="E98" s="198">
        <f t="shared" si="12"/>
        <v>1127705</v>
      </c>
      <c r="F98" s="198"/>
      <c r="G98" s="198">
        <f t="shared" si="13"/>
        <v>0.19772340740740757</v>
      </c>
      <c r="H98" s="198"/>
      <c r="I98" s="198">
        <f t="shared" si="14"/>
        <v>19.772340740740756</v>
      </c>
      <c r="J98" s="198">
        <f t="shared" si="15"/>
        <v>222973.67515037055</v>
      </c>
      <c r="K98" s="184"/>
      <c r="L98" s="60"/>
      <c r="M98" s="60"/>
    </row>
    <row r="99" spans="1:13" x14ac:dyDescent="0.3">
      <c r="A99" s="91">
        <v>42331</v>
      </c>
      <c r="B99" s="93" t="s">
        <v>862</v>
      </c>
      <c r="C99" s="198"/>
      <c r="D99" s="198">
        <v>50</v>
      </c>
      <c r="E99" s="198">
        <f t="shared" si="12"/>
        <v>1127655</v>
      </c>
      <c r="F99" s="198"/>
      <c r="G99" s="198">
        <f t="shared" si="13"/>
        <v>0.19772340740740757</v>
      </c>
      <c r="H99" s="198"/>
      <c r="I99" s="198">
        <f t="shared" si="14"/>
        <v>9.8861703703703778</v>
      </c>
      <c r="J99" s="198">
        <f t="shared" si="15"/>
        <v>222963.78898000019</v>
      </c>
      <c r="K99" s="184"/>
      <c r="L99" s="60"/>
      <c r="M99" s="60"/>
    </row>
    <row r="100" spans="1:13" x14ac:dyDescent="0.3">
      <c r="A100" s="91">
        <v>42332</v>
      </c>
      <c r="B100" s="93" t="s">
        <v>867</v>
      </c>
      <c r="C100" s="198"/>
      <c r="D100" s="198">
        <v>200</v>
      </c>
      <c r="E100" s="198">
        <f t="shared" si="12"/>
        <v>1127455</v>
      </c>
      <c r="F100" s="198"/>
      <c r="G100" s="198">
        <f t="shared" si="13"/>
        <v>0.19772340740740757</v>
      </c>
      <c r="H100" s="198"/>
      <c r="I100" s="198">
        <f t="shared" si="14"/>
        <v>39.544681481481511</v>
      </c>
      <c r="J100" s="198">
        <f t="shared" si="15"/>
        <v>222924.24429851869</v>
      </c>
      <c r="K100" s="184"/>
      <c r="L100" s="60"/>
      <c r="M100" s="60"/>
    </row>
    <row r="101" spans="1:13" x14ac:dyDescent="0.3">
      <c r="A101" s="91">
        <v>42334</v>
      </c>
      <c r="B101" s="93" t="s">
        <v>871</v>
      </c>
      <c r="C101" s="198"/>
      <c r="D101" s="198">
        <v>700</v>
      </c>
      <c r="E101" s="198">
        <f t="shared" si="12"/>
        <v>1126755</v>
      </c>
      <c r="F101" s="198"/>
      <c r="G101" s="198">
        <f t="shared" si="13"/>
        <v>0.19772340740740757</v>
      </c>
      <c r="H101" s="198"/>
      <c r="I101" s="198">
        <f t="shared" si="14"/>
        <v>138.40638518518529</v>
      </c>
      <c r="J101" s="198">
        <f t="shared" si="15"/>
        <v>222785.8379133335</v>
      </c>
      <c r="K101" s="184"/>
      <c r="L101" s="60"/>
      <c r="M101" s="60"/>
    </row>
    <row r="102" spans="1:13" x14ac:dyDescent="0.3">
      <c r="A102" s="91">
        <v>42338</v>
      </c>
      <c r="B102" s="93" t="s">
        <v>880</v>
      </c>
      <c r="C102" s="198"/>
      <c r="D102" s="198">
        <v>800</v>
      </c>
      <c r="E102" s="198">
        <f t="shared" si="12"/>
        <v>1125955</v>
      </c>
      <c r="F102" s="198"/>
      <c r="G102" s="198">
        <f t="shared" si="13"/>
        <v>0.19772340740740754</v>
      </c>
      <c r="H102" s="198"/>
      <c r="I102" s="198">
        <f t="shared" si="14"/>
        <v>158.17872592592605</v>
      </c>
      <c r="J102" s="198">
        <f t="shared" si="15"/>
        <v>222627.65918740758</v>
      </c>
      <c r="K102" s="186">
        <f>SUM(I90:I102)</f>
        <v>761.23511851851913</v>
      </c>
      <c r="L102" s="90">
        <f>SUM(K89:K102)</f>
        <v>1166.5681037037045</v>
      </c>
      <c r="M102" s="162">
        <v>42338</v>
      </c>
    </row>
    <row r="103" spans="1:13" x14ac:dyDescent="0.3">
      <c r="A103" s="91">
        <v>42339</v>
      </c>
      <c r="B103" s="93" t="s">
        <v>882</v>
      </c>
      <c r="C103" s="198"/>
      <c r="D103" s="198">
        <v>300</v>
      </c>
      <c r="E103" s="198">
        <f t="shared" si="12"/>
        <v>1125655</v>
      </c>
      <c r="F103" s="198"/>
      <c r="G103" s="198">
        <f t="shared" si="13"/>
        <v>0.19772340740740757</v>
      </c>
      <c r="H103" s="198"/>
      <c r="I103" s="198">
        <f t="shared" si="14"/>
        <v>59.31702222222227</v>
      </c>
      <c r="J103" s="198">
        <f t="shared" si="15"/>
        <v>222568.34216518537</v>
      </c>
      <c r="K103" s="184"/>
      <c r="L103" s="60"/>
      <c r="M103" s="60"/>
    </row>
    <row r="104" spans="1:13" s="77" customFormat="1" x14ac:dyDescent="0.3">
      <c r="A104" s="155">
        <v>42339</v>
      </c>
      <c r="B104" s="156" t="s">
        <v>883</v>
      </c>
      <c r="C104" s="200"/>
      <c r="D104" s="200">
        <v>9</v>
      </c>
      <c r="E104" s="200">
        <f t="shared" si="12"/>
        <v>1125646</v>
      </c>
      <c r="F104" s="200"/>
      <c r="G104" s="200">
        <f t="shared" si="13"/>
        <v>0.19772340740740757</v>
      </c>
      <c r="H104" s="200"/>
      <c r="I104" s="200">
        <f t="shared" si="14"/>
        <v>1.7795106666666682</v>
      </c>
      <c r="J104" s="200">
        <f t="shared" si="15"/>
        <v>222566.5626545187</v>
      </c>
      <c r="K104" s="201"/>
      <c r="L104" s="167"/>
      <c r="M104" s="167"/>
    </row>
    <row r="105" spans="1:13" x14ac:dyDescent="0.3">
      <c r="A105" s="91">
        <v>42340</v>
      </c>
      <c r="B105" s="93" t="s">
        <v>886</v>
      </c>
      <c r="C105" s="198"/>
      <c r="D105" s="198">
        <v>150</v>
      </c>
      <c r="E105" s="198">
        <f t="shared" si="12"/>
        <v>1125496</v>
      </c>
      <c r="F105" s="198"/>
      <c r="G105" s="198">
        <f t="shared" si="13"/>
        <v>0.19772340740740757</v>
      </c>
      <c r="H105" s="198"/>
      <c r="I105" s="198">
        <f t="shared" si="14"/>
        <v>29.658511111111135</v>
      </c>
      <c r="J105" s="198">
        <f t="shared" si="15"/>
        <v>222536.90414340759</v>
      </c>
      <c r="K105" s="184"/>
      <c r="L105" s="60"/>
      <c r="M105" s="60"/>
    </row>
    <row r="106" spans="1:13" x14ac:dyDescent="0.3">
      <c r="A106" s="91">
        <v>42340</v>
      </c>
      <c r="B106" s="93" t="s">
        <v>888</v>
      </c>
      <c r="C106" s="198"/>
      <c r="D106" s="198">
        <v>150</v>
      </c>
      <c r="E106" s="198">
        <f t="shared" si="12"/>
        <v>1125346</v>
      </c>
      <c r="F106" s="198"/>
      <c r="G106" s="198">
        <f t="shared" si="13"/>
        <v>0.19772340740740757</v>
      </c>
      <c r="H106" s="198"/>
      <c r="I106" s="198">
        <f t="shared" si="14"/>
        <v>29.658511111111135</v>
      </c>
      <c r="J106" s="198">
        <f t="shared" si="15"/>
        <v>222507.24563229649</v>
      </c>
      <c r="K106" s="184"/>
      <c r="L106" s="60"/>
      <c r="M106" s="60"/>
    </row>
    <row r="107" spans="1:13" x14ac:dyDescent="0.3">
      <c r="A107" s="91">
        <v>42345</v>
      </c>
      <c r="B107" s="93" t="s">
        <v>894</v>
      </c>
      <c r="C107" s="198"/>
      <c r="D107" s="198">
        <v>15</v>
      </c>
      <c r="E107" s="198">
        <f t="shared" ref="E107:E127" si="16">+E106-D107</f>
        <v>1125331</v>
      </c>
      <c r="F107" s="198"/>
      <c r="G107" s="198">
        <f t="shared" ref="G107:G127" si="17">+J106/E106</f>
        <v>0.19772340740740757</v>
      </c>
      <c r="H107" s="198"/>
      <c r="I107" s="198">
        <f t="shared" ref="I107:I127" si="18">+D107*G107</f>
        <v>2.9658511111111134</v>
      </c>
      <c r="J107" s="198">
        <f t="shared" ref="J107:J127" si="19">+J106-I107</f>
        <v>222504.27978118538</v>
      </c>
      <c r="K107" s="184"/>
      <c r="L107" s="60"/>
      <c r="M107" s="60"/>
    </row>
    <row r="108" spans="1:13" x14ac:dyDescent="0.3">
      <c r="A108" s="91">
        <v>42348</v>
      </c>
      <c r="B108" s="93" t="s">
        <v>899</v>
      </c>
      <c r="C108" s="198"/>
      <c r="D108" s="198">
        <v>100</v>
      </c>
      <c r="E108" s="198">
        <f t="shared" si="16"/>
        <v>1125231</v>
      </c>
      <c r="F108" s="198"/>
      <c r="G108" s="198">
        <f t="shared" si="17"/>
        <v>0.19772340740740757</v>
      </c>
      <c r="H108" s="198"/>
      <c r="I108" s="198">
        <f t="shared" si="18"/>
        <v>19.772340740740756</v>
      </c>
      <c r="J108" s="198">
        <f t="shared" si="19"/>
        <v>222484.50744044463</v>
      </c>
      <c r="K108" s="184"/>
      <c r="L108" s="60"/>
      <c r="M108" s="60"/>
    </row>
    <row r="109" spans="1:13" x14ac:dyDescent="0.3">
      <c r="A109" s="91">
        <v>42348</v>
      </c>
      <c r="B109" s="93" t="s">
        <v>900</v>
      </c>
      <c r="C109" s="198"/>
      <c r="D109" s="198">
        <v>250</v>
      </c>
      <c r="E109" s="198">
        <f t="shared" si="16"/>
        <v>1124981</v>
      </c>
      <c r="F109" s="198"/>
      <c r="G109" s="198">
        <f t="shared" si="17"/>
        <v>0.19772340740740757</v>
      </c>
      <c r="H109" s="198"/>
      <c r="I109" s="198">
        <f t="shared" si="18"/>
        <v>49.430851851851891</v>
      </c>
      <c r="J109" s="198">
        <f t="shared" si="19"/>
        <v>222435.07658859278</v>
      </c>
      <c r="K109" s="184"/>
      <c r="L109" s="60"/>
      <c r="M109" s="60"/>
    </row>
    <row r="110" spans="1:13" x14ac:dyDescent="0.3">
      <c r="A110" s="91">
        <v>42348</v>
      </c>
      <c r="B110" s="93" t="s">
        <v>901</v>
      </c>
      <c r="C110" s="198"/>
      <c r="D110" s="198">
        <v>300</v>
      </c>
      <c r="E110" s="198">
        <f t="shared" si="16"/>
        <v>1124681</v>
      </c>
      <c r="F110" s="198"/>
      <c r="G110" s="198">
        <f t="shared" si="17"/>
        <v>0.19772340740740757</v>
      </c>
      <c r="H110" s="198"/>
      <c r="I110" s="198">
        <f t="shared" si="18"/>
        <v>59.31702222222227</v>
      </c>
      <c r="J110" s="198">
        <f t="shared" si="19"/>
        <v>222375.75956637057</v>
      </c>
      <c r="K110" s="184"/>
      <c r="L110" s="60"/>
      <c r="M110" s="60"/>
    </row>
    <row r="111" spans="1:13" x14ac:dyDescent="0.3">
      <c r="A111" s="91">
        <v>42349</v>
      </c>
      <c r="B111" s="93" t="s">
        <v>902</v>
      </c>
      <c r="C111" s="198"/>
      <c r="D111" s="198">
        <v>50</v>
      </c>
      <c r="E111" s="198">
        <f t="shared" si="16"/>
        <v>1124631</v>
      </c>
      <c r="F111" s="198"/>
      <c r="G111" s="198">
        <f t="shared" si="17"/>
        <v>0.1977234074074076</v>
      </c>
      <c r="H111" s="198"/>
      <c r="I111" s="198">
        <f t="shared" si="18"/>
        <v>9.8861703703703796</v>
      </c>
      <c r="J111" s="198">
        <f t="shared" si="19"/>
        <v>222365.87339600021</v>
      </c>
      <c r="K111" s="184"/>
      <c r="L111" s="60"/>
      <c r="M111" s="60"/>
    </row>
    <row r="112" spans="1:13" x14ac:dyDescent="0.3">
      <c r="A112" s="91">
        <v>42350</v>
      </c>
      <c r="B112" s="93" t="s">
        <v>903</v>
      </c>
      <c r="C112" s="198"/>
      <c r="D112" s="198">
        <v>150</v>
      </c>
      <c r="E112" s="198">
        <f t="shared" si="16"/>
        <v>1124481</v>
      </c>
      <c r="F112" s="198"/>
      <c r="G112" s="198">
        <f t="shared" si="17"/>
        <v>0.1977234074074076</v>
      </c>
      <c r="H112" s="198"/>
      <c r="I112" s="198">
        <f t="shared" si="18"/>
        <v>29.658511111111139</v>
      </c>
      <c r="J112" s="198">
        <f t="shared" si="19"/>
        <v>222336.21488488911</v>
      </c>
      <c r="K112" s="184"/>
      <c r="L112" s="60"/>
      <c r="M112" s="60"/>
    </row>
    <row r="113" spans="1:13" x14ac:dyDescent="0.3">
      <c r="A113" s="91">
        <v>42352</v>
      </c>
      <c r="B113" s="93" t="s">
        <v>906</v>
      </c>
      <c r="C113" s="198"/>
      <c r="D113" s="198">
        <v>200</v>
      </c>
      <c r="E113" s="198">
        <f t="shared" si="16"/>
        <v>1124281</v>
      </c>
      <c r="F113" s="198"/>
      <c r="G113" s="198">
        <f t="shared" si="17"/>
        <v>0.1977234074074076</v>
      </c>
      <c r="H113" s="198"/>
      <c r="I113" s="198">
        <f t="shared" si="18"/>
        <v>39.544681481481518</v>
      </c>
      <c r="J113" s="198">
        <f t="shared" si="19"/>
        <v>222296.67020340762</v>
      </c>
      <c r="K113" s="184"/>
      <c r="L113" s="60"/>
      <c r="M113" s="60"/>
    </row>
    <row r="114" spans="1:13" x14ac:dyDescent="0.3">
      <c r="A114" s="91">
        <v>42353</v>
      </c>
      <c r="B114" s="93" t="s">
        <v>907</v>
      </c>
      <c r="C114" s="198"/>
      <c r="D114" s="198">
        <v>300</v>
      </c>
      <c r="E114" s="198">
        <f t="shared" si="16"/>
        <v>1123981</v>
      </c>
      <c r="F114" s="198"/>
      <c r="G114" s="198">
        <f t="shared" si="17"/>
        <v>0.1977234074074076</v>
      </c>
      <c r="H114" s="198"/>
      <c r="I114" s="198">
        <f t="shared" si="18"/>
        <v>59.317022222222278</v>
      </c>
      <c r="J114" s="198">
        <f t="shared" si="19"/>
        <v>222237.3531811854</v>
      </c>
      <c r="K114" s="186">
        <f>SUM(I103:I114)</f>
        <v>390.30600622222255</v>
      </c>
      <c r="L114" s="89"/>
      <c r="M114" s="162">
        <v>42353</v>
      </c>
    </row>
    <row r="115" spans="1:13" x14ac:dyDescent="0.3">
      <c r="A115" s="91">
        <v>42354</v>
      </c>
      <c r="B115" s="93" t="s">
        <v>913</v>
      </c>
      <c r="C115" s="198"/>
      <c r="D115" s="198">
        <v>50</v>
      </c>
      <c r="E115" s="198">
        <f t="shared" si="16"/>
        <v>1123931</v>
      </c>
      <c r="F115" s="198"/>
      <c r="G115" s="198">
        <f t="shared" si="17"/>
        <v>0.1977234074074076</v>
      </c>
      <c r="H115" s="198"/>
      <c r="I115" s="198">
        <f t="shared" si="18"/>
        <v>9.8861703703703796</v>
      </c>
      <c r="J115" s="198">
        <f t="shared" si="19"/>
        <v>222227.46701081505</v>
      </c>
      <c r="K115" s="184"/>
      <c r="L115" s="60"/>
      <c r="M115" s="60"/>
    </row>
    <row r="116" spans="1:13" x14ac:dyDescent="0.3">
      <c r="A116" s="91">
        <v>42355</v>
      </c>
      <c r="B116" s="93" t="s">
        <v>914</v>
      </c>
      <c r="C116" s="198"/>
      <c r="D116" s="198">
        <v>300</v>
      </c>
      <c r="E116" s="198">
        <f t="shared" si="16"/>
        <v>1123631</v>
      </c>
      <c r="F116" s="198"/>
      <c r="G116" s="198">
        <f t="shared" si="17"/>
        <v>0.19772340740740763</v>
      </c>
      <c r="H116" s="198"/>
      <c r="I116" s="198">
        <f t="shared" si="18"/>
        <v>59.317022222222285</v>
      </c>
      <c r="J116" s="198">
        <f t="shared" si="19"/>
        <v>222168.14998859284</v>
      </c>
      <c r="K116" s="184"/>
      <c r="L116" s="60"/>
      <c r="M116" s="60"/>
    </row>
    <row r="117" spans="1:13" x14ac:dyDescent="0.3">
      <c r="A117" s="91">
        <v>42355</v>
      </c>
      <c r="B117" s="93" t="s">
        <v>915</v>
      </c>
      <c r="C117" s="198"/>
      <c r="D117" s="198">
        <v>300</v>
      </c>
      <c r="E117" s="198">
        <f t="shared" si="16"/>
        <v>1123331</v>
      </c>
      <c r="F117" s="198"/>
      <c r="G117" s="198">
        <f t="shared" si="17"/>
        <v>0.19772340740740763</v>
      </c>
      <c r="H117" s="198"/>
      <c r="I117" s="198">
        <f t="shared" si="18"/>
        <v>59.317022222222285</v>
      </c>
      <c r="J117" s="198">
        <f t="shared" si="19"/>
        <v>222108.83296637062</v>
      </c>
      <c r="K117" s="184"/>
      <c r="L117" s="60"/>
      <c r="M117" s="60"/>
    </row>
    <row r="118" spans="1:13" x14ac:dyDescent="0.3">
      <c r="A118" s="91">
        <v>42355</v>
      </c>
      <c r="B118" s="93" t="s">
        <v>916</v>
      </c>
      <c r="C118" s="198"/>
      <c r="D118" s="198">
        <v>150</v>
      </c>
      <c r="E118" s="198">
        <f t="shared" si="16"/>
        <v>1123181</v>
      </c>
      <c r="F118" s="198"/>
      <c r="G118" s="198">
        <f t="shared" si="17"/>
        <v>0.19772340740740763</v>
      </c>
      <c r="H118" s="198"/>
      <c r="I118" s="198">
        <f t="shared" si="18"/>
        <v>29.658511111111142</v>
      </c>
      <c r="J118" s="198">
        <f t="shared" si="19"/>
        <v>222079.17445525952</v>
      </c>
      <c r="K118" s="184"/>
      <c r="L118" s="60"/>
      <c r="M118" s="60"/>
    </row>
    <row r="119" spans="1:13" x14ac:dyDescent="0.3">
      <c r="A119" s="91">
        <v>42356</v>
      </c>
      <c r="B119" s="93" t="s">
        <v>919</v>
      </c>
      <c r="C119" s="198"/>
      <c r="D119" s="198">
        <v>400</v>
      </c>
      <c r="E119" s="198">
        <f t="shared" si="16"/>
        <v>1122781</v>
      </c>
      <c r="F119" s="198"/>
      <c r="G119" s="198">
        <f t="shared" si="17"/>
        <v>0.19772340740740763</v>
      </c>
      <c r="H119" s="198"/>
      <c r="I119" s="198">
        <f t="shared" si="18"/>
        <v>79.089362962963051</v>
      </c>
      <c r="J119" s="198">
        <f t="shared" si="19"/>
        <v>222000.08509229656</v>
      </c>
      <c r="K119" s="184"/>
      <c r="L119" s="60"/>
      <c r="M119" s="60"/>
    </row>
    <row r="120" spans="1:13" x14ac:dyDescent="0.3">
      <c r="A120" s="91">
        <v>42362</v>
      </c>
      <c r="B120" s="93" t="s">
        <v>938</v>
      </c>
      <c r="C120" s="198"/>
      <c r="D120" s="198">
        <v>100</v>
      </c>
      <c r="E120" s="198">
        <f t="shared" si="16"/>
        <v>1122681</v>
      </c>
      <c r="F120" s="198"/>
      <c r="G120" s="198">
        <f t="shared" si="17"/>
        <v>0.19772340740740765</v>
      </c>
      <c r="H120" s="198"/>
      <c r="I120" s="198">
        <f t="shared" si="18"/>
        <v>19.772340740740766</v>
      </c>
      <c r="J120" s="198">
        <f t="shared" si="19"/>
        <v>221980.31275155582</v>
      </c>
      <c r="K120" s="184"/>
      <c r="L120" s="60"/>
      <c r="M120" s="60"/>
    </row>
    <row r="121" spans="1:13" x14ac:dyDescent="0.3">
      <c r="A121" s="91">
        <v>42364</v>
      </c>
      <c r="B121" s="93" t="s">
        <v>940</v>
      </c>
      <c r="C121" s="198"/>
      <c r="D121" s="198">
        <v>150</v>
      </c>
      <c r="E121" s="198">
        <f t="shared" si="16"/>
        <v>1122531</v>
      </c>
      <c r="F121" s="198"/>
      <c r="G121" s="198">
        <f t="shared" si="17"/>
        <v>0.19772340740740763</v>
      </c>
      <c r="H121" s="198"/>
      <c r="I121" s="198">
        <f t="shared" si="18"/>
        <v>29.658511111111142</v>
      </c>
      <c r="J121" s="198">
        <f t="shared" si="19"/>
        <v>221950.65424044471</v>
      </c>
      <c r="K121" s="184"/>
      <c r="L121" s="60"/>
      <c r="M121" s="60"/>
    </row>
    <row r="122" spans="1:13" x14ac:dyDescent="0.3">
      <c r="A122" s="91">
        <v>42364</v>
      </c>
      <c r="B122" s="93" t="s">
        <v>942</v>
      </c>
      <c r="C122" s="198"/>
      <c r="D122" s="198">
        <v>100</v>
      </c>
      <c r="E122" s="198">
        <f t="shared" si="16"/>
        <v>1122431</v>
      </c>
      <c r="F122" s="198"/>
      <c r="G122" s="198">
        <f t="shared" si="17"/>
        <v>0.19772340740740765</v>
      </c>
      <c r="H122" s="198"/>
      <c r="I122" s="198">
        <f t="shared" si="18"/>
        <v>19.772340740740766</v>
      </c>
      <c r="J122" s="198">
        <f t="shared" si="19"/>
        <v>221930.88189970396</v>
      </c>
      <c r="K122" s="184"/>
      <c r="L122" s="60"/>
      <c r="M122" s="60"/>
    </row>
    <row r="123" spans="1:13" x14ac:dyDescent="0.3">
      <c r="A123" s="91">
        <v>42368</v>
      </c>
      <c r="B123" s="93" t="s">
        <v>952</v>
      </c>
      <c r="C123" s="198"/>
      <c r="D123" s="198">
        <v>300</v>
      </c>
      <c r="E123" s="198">
        <f t="shared" si="16"/>
        <v>1122131</v>
      </c>
      <c r="F123" s="198"/>
      <c r="G123" s="198">
        <f t="shared" si="17"/>
        <v>0.19772340740740763</v>
      </c>
      <c r="H123" s="198"/>
      <c r="I123" s="198">
        <f t="shared" si="18"/>
        <v>59.317022222222285</v>
      </c>
      <c r="J123" s="198">
        <f t="shared" si="19"/>
        <v>221871.56487748175</v>
      </c>
      <c r="K123" s="184"/>
      <c r="L123" s="60"/>
      <c r="M123" s="60"/>
    </row>
    <row r="124" spans="1:13" x14ac:dyDescent="0.3">
      <c r="A124" s="91">
        <v>42368</v>
      </c>
      <c r="B124" s="93" t="s">
        <v>953</v>
      </c>
      <c r="C124" s="198"/>
      <c r="D124" s="198">
        <v>250</v>
      </c>
      <c r="E124" s="198">
        <f t="shared" si="16"/>
        <v>1121881</v>
      </c>
      <c r="F124" s="198"/>
      <c r="G124" s="198">
        <f t="shared" si="17"/>
        <v>0.19772340740740765</v>
      </c>
      <c r="H124" s="198"/>
      <c r="I124" s="198">
        <f t="shared" si="18"/>
        <v>49.430851851851912</v>
      </c>
      <c r="J124" s="198">
        <f t="shared" si="19"/>
        <v>221822.1340256299</v>
      </c>
      <c r="K124" s="184"/>
      <c r="L124" s="60"/>
      <c r="M124" s="60"/>
    </row>
    <row r="125" spans="1:13" x14ac:dyDescent="0.3">
      <c r="A125" s="91">
        <v>42368</v>
      </c>
      <c r="B125" s="93" t="s">
        <v>959</v>
      </c>
      <c r="C125" s="198"/>
      <c r="D125" s="198">
        <v>0</v>
      </c>
      <c r="E125" s="198">
        <f t="shared" si="16"/>
        <v>1121881</v>
      </c>
      <c r="F125" s="198"/>
      <c r="G125" s="198">
        <f t="shared" si="17"/>
        <v>0.19772340740740765</v>
      </c>
      <c r="H125" s="198"/>
      <c r="I125" s="198">
        <f t="shared" si="18"/>
        <v>0</v>
      </c>
      <c r="J125" s="198">
        <f t="shared" si="19"/>
        <v>221822.1340256299</v>
      </c>
      <c r="K125" s="184"/>
      <c r="L125" s="60"/>
      <c r="M125" s="60"/>
    </row>
    <row r="126" spans="1:13" x14ac:dyDescent="0.3">
      <c r="A126" s="91">
        <v>42368</v>
      </c>
      <c r="B126" s="93" t="s">
        <v>960</v>
      </c>
      <c r="C126" s="198"/>
      <c r="D126" s="198">
        <v>1000</v>
      </c>
      <c r="E126" s="198">
        <f t="shared" si="16"/>
        <v>1120881</v>
      </c>
      <c r="F126" s="198"/>
      <c r="G126" s="198">
        <f t="shared" si="17"/>
        <v>0.19772340740740765</v>
      </c>
      <c r="H126" s="198"/>
      <c r="I126" s="198">
        <f t="shared" si="18"/>
        <v>197.72340740740765</v>
      </c>
      <c r="J126" s="198">
        <f t="shared" si="19"/>
        <v>221624.41061822249</v>
      </c>
      <c r="K126" s="184"/>
      <c r="L126" s="60"/>
      <c r="M126" s="60"/>
    </row>
    <row r="127" spans="1:13" x14ac:dyDescent="0.3">
      <c r="A127" s="91">
        <v>42369</v>
      </c>
      <c r="B127" s="93" t="s">
        <v>964</v>
      </c>
      <c r="C127" s="198"/>
      <c r="D127" s="198">
        <v>350</v>
      </c>
      <c r="E127" s="198">
        <f t="shared" si="16"/>
        <v>1120531</v>
      </c>
      <c r="F127" s="198"/>
      <c r="G127" s="198">
        <f t="shared" si="17"/>
        <v>0.19772340740740765</v>
      </c>
      <c r="H127" s="198"/>
      <c r="I127" s="198">
        <f t="shared" si="18"/>
        <v>69.203192592592686</v>
      </c>
      <c r="J127" s="198">
        <f t="shared" si="19"/>
        <v>221555.20742562989</v>
      </c>
      <c r="K127" s="186">
        <f>SUM(I115:I127)</f>
        <v>682.14575555555643</v>
      </c>
      <c r="L127" s="204">
        <f>SUM(K114:K127)</f>
        <v>1072.451761777779</v>
      </c>
      <c r="M127" s="162">
        <v>42369</v>
      </c>
    </row>
    <row r="128" spans="1:13" ht="15" thickBot="1" x14ac:dyDescent="0.35">
      <c r="A128" s="202"/>
      <c r="B128" s="54" t="s">
        <v>982</v>
      </c>
      <c r="C128" s="195">
        <f>SUM(C11:C127)</f>
        <v>1147500</v>
      </c>
      <c r="D128" s="195">
        <f>SUM(D11:D127)</f>
        <v>26969</v>
      </c>
      <c r="E128" s="195"/>
      <c r="F128" s="195"/>
      <c r="G128" s="195"/>
      <c r="H128" s="195">
        <f t="shared" ref="H128:I128" si="20">SUM(H11:H127)</f>
        <v>226887.61</v>
      </c>
      <c r="I128" s="195">
        <f t="shared" si="20"/>
        <v>5332.4025743703751</v>
      </c>
      <c r="J128" s="203"/>
      <c r="K128" s="184"/>
      <c r="L128" s="189">
        <f>SUM(L13:L127)</f>
        <v>5332.4025743703742</v>
      </c>
      <c r="M128" s="60"/>
    </row>
    <row r="129" spans="1:13" ht="15" thickTop="1" x14ac:dyDescent="0.3">
      <c r="A129" s="127"/>
      <c r="B129" s="5"/>
      <c r="C129" s="196"/>
      <c r="D129" s="196"/>
      <c r="E129" s="196"/>
      <c r="F129" s="196"/>
      <c r="G129" s="196"/>
      <c r="H129" s="196"/>
      <c r="I129" s="196"/>
      <c r="J129" s="196"/>
      <c r="K129" s="184"/>
      <c r="L129" s="60"/>
      <c r="M129" s="60"/>
    </row>
    <row r="130" spans="1:13" x14ac:dyDescent="0.3">
      <c r="A130" s="127"/>
      <c r="B130" s="5"/>
      <c r="C130" s="196"/>
      <c r="D130" s="196"/>
      <c r="E130" s="196"/>
      <c r="F130" s="196"/>
      <c r="G130" s="196"/>
      <c r="H130" s="196"/>
      <c r="I130" s="196"/>
      <c r="J130" s="196"/>
      <c r="K130" s="184"/>
      <c r="L130" s="60"/>
      <c r="M130" s="60"/>
    </row>
    <row r="131" spans="1:13" x14ac:dyDescent="0.3">
      <c r="A131" s="127"/>
      <c r="B131" s="5"/>
      <c r="C131" s="196"/>
      <c r="D131" s="196"/>
      <c r="E131" s="196"/>
      <c r="F131" s="196"/>
      <c r="G131" s="196"/>
      <c r="H131" s="196"/>
      <c r="I131" s="196"/>
      <c r="J131" s="196"/>
      <c r="K131" s="184"/>
      <c r="L131" s="60"/>
      <c r="M131" s="60"/>
    </row>
    <row r="132" spans="1:13" x14ac:dyDescent="0.3">
      <c r="A132" s="127" t="s">
        <v>980</v>
      </c>
      <c r="B132" s="6"/>
      <c r="C132" s="5"/>
      <c r="D132" s="5"/>
      <c r="E132" s="5"/>
      <c r="F132" s="5"/>
      <c r="G132" s="60"/>
      <c r="H132" s="60"/>
      <c r="I132" s="60"/>
      <c r="J132" s="60"/>
      <c r="K132" s="184"/>
      <c r="L132" s="60"/>
      <c r="M132" s="60"/>
    </row>
    <row r="133" spans="1:13" x14ac:dyDescent="0.3">
      <c r="A133" s="127" t="s">
        <v>981</v>
      </c>
      <c r="B133" s="6"/>
      <c r="C133" s="5"/>
      <c r="D133" s="5"/>
      <c r="E133" s="5"/>
      <c r="F133" s="5"/>
      <c r="G133" s="60"/>
      <c r="H133" s="60"/>
      <c r="I133" s="60"/>
      <c r="J133" s="163">
        <f>+E127*F11</f>
        <v>221555.20742562963</v>
      </c>
      <c r="K133" s="184"/>
      <c r="L133" s="60"/>
      <c r="M133" s="60"/>
    </row>
    <row r="134" spans="1:13" x14ac:dyDescent="0.3">
      <c r="A134" s="127" t="s">
        <v>978</v>
      </c>
      <c r="B134" s="6"/>
      <c r="C134" s="5"/>
      <c r="D134" s="5"/>
      <c r="E134" s="5"/>
      <c r="F134" s="5"/>
      <c r="G134" s="60"/>
      <c r="H134" s="60"/>
      <c r="I134" s="60"/>
      <c r="J134" s="164">
        <f>+J127</f>
        <v>221555.20742562989</v>
      </c>
      <c r="K134" s="60"/>
      <c r="L134" s="60"/>
      <c r="M134" s="60"/>
    </row>
    <row r="135" spans="1:13" ht="15" thickBot="1" x14ac:dyDescent="0.35">
      <c r="A135" s="127"/>
      <c r="B135" s="6" t="s">
        <v>979</v>
      </c>
      <c r="C135" s="5"/>
      <c r="D135" s="5"/>
      <c r="E135" s="5"/>
      <c r="F135" s="5"/>
      <c r="G135" s="60"/>
      <c r="H135" s="60"/>
      <c r="I135" s="60"/>
      <c r="J135" s="170">
        <f>+J133-J134</f>
        <v>-2.6193447411060333E-10</v>
      </c>
      <c r="K135" s="60"/>
      <c r="L135" s="60"/>
      <c r="M135" s="60"/>
    </row>
    <row r="136" spans="1:13" ht="15" thickTop="1" x14ac:dyDescent="0.3">
      <c r="A136" s="5"/>
      <c r="B136" s="117"/>
      <c r="C136" s="107"/>
      <c r="D136" s="108"/>
      <c r="E136" s="118"/>
      <c r="F136" s="119"/>
      <c r="G136" s="119"/>
      <c r="H136" s="119"/>
      <c r="I136" s="119"/>
      <c r="J136" s="120"/>
      <c r="K136" s="60"/>
      <c r="L136" s="60"/>
      <c r="M136" s="60"/>
    </row>
    <row r="137" spans="1:13" x14ac:dyDescent="0.3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</row>
  </sheetData>
  <mergeCells count="4">
    <mergeCell ref="D4:H4"/>
    <mergeCell ref="C9:E9"/>
    <mergeCell ref="F9:G9"/>
    <mergeCell ref="H9:J9"/>
  </mergeCells>
  <pageMargins left="0.38" right="0.70866141732283472" top="0.74803149606299213" bottom="0.74803149606299213" header="0.31496062992125984" footer="0.31496062992125984"/>
  <pageSetup scale="7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B1" workbookViewId="0">
      <selection activeCell="M12" sqref="M12"/>
    </sheetView>
  </sheetViews>
  <sheetFormatPr baseColWidth="10" defaultColWidth="11.44140625" defaultRowHeight="14.4" x14ac:dyDescent="0.3"/>
  <cols>
    <col min="1" max="1" width="11.44140625" style="34"/>
    <col min="2" max="2" width="31.44140625" style="34" customWidth="1"/>
    <col min="3" max="13" width="10.6640625" style="34" customWidth="1"/>
    <col min="14" max="16384" width="11.44140625" style="34"/>
  </cols>
  <sheetData>
    <row r="1" spans="1:13" x14ac:dyDescent="0.3">
      <c r="A1" s="100" t="s">
        <v>0</v>
      </c>
      <c r="B1" s="101"/>
      <c r="C1" s="129"/>
      <c r="D1" s="129"/>
      <c r="E1" s="129"/>
      <c r="F1" s="129"/>
      <c r="G1" s="129"/>
      <c r="H1" s="130" t="s">
        <v>1</v>
      </c>
      <c r="I1" s="129"/>
      <c r="J1" s="174"/>
      <c r="K1" s="60"/>
      <c r="L1" s="60"/>
      <c r="M1" s="60"/>
    </row>
    <row r="2" spans="1:13" x14ac:dyDescent="0.3">
      <c r="A2" s="102" t="s">
        <v>2</v>
      </c>
      <c r="B2" s="38"/>
      <c r="C2" s="5"/>
      <c r="D2" s="5"/>
      <c r="E2" s="5"/>
      <c r="F2" s="5"/>
      <c r="G2" s="5"/>
      <c r="H2" s="6" t="s">
        <v>443</v>
      </c>
      <c r="I2" s="5"/>
      <c r="J2" s="175"/>
      <c r="K2" s="60"/>
      <c r="L2" s="60"/>
      <c r="M2" s="60"/>
    </row>
    <row r="3" spans="1:13" x14ac:dyDescent="0.3">
      <c r="A3" s="103" t="s">
        <v>3</v>
      </c>
      <c r="B3" s="42"/>
      <c r="C3" s="5"/>
      <c r="D3" s="5"/>
      <c r="E3" s="5"/>
      <c r="F3" s="5"/>
      <c r="G3" s="5"/>
      <c r="H3" s="6" t="s">
        <v>438</v>
      </c>
      <c r="I3" s="5"/>
      <c r="J3" s="175"/>
      <c r="K3" s="60"/>
      <c r="L3" s="60"/>
      <c r="M3" s="60"/>
    </row>
    <row r="4" spans="1:13" x14ac:dyDescent="0.3">
      <c r="A4" s="114"/>
      <c r="B4" s="5"/>
      <c r="C4" s="5"/>
      <c r="D4" s="190" t="s">
        <v>5</v>
      </c>
      <c r="E4" s="190"/>
      <c r="F4" s="190"/>
      <c r="G4" s="190"/>
      <c r="H4" s="190"/>
      <c r="I4" s="5"/>
      <c r="J4" s="175"/>
      <c r="K4" s="60"/>
      <c r="L4" s="60"/>
      <c r="M4" s="60"/>
    </row>
    <row r="5" spans="1:13" x14ac:dyDescent="0.3">
      <c r="A5" s="230" t="s">
        <v>439</v>
      </c>
      <c r="B5" s="231"/>
      <c r="C5" s="231"/>
      <c r="D5" s="231"/>
      <c r="E5" s="231"/>
      <c r="F5" s="231"/>
      <c r="G5" s="231"/>
      <c r="H5" s="231"/>
      <c r="I5" s="231"/>
      <c r="J5" s="235"/>
      <c r="K5" s="60"/>
      <c r="L5" s="60"/>
      <c r="M5" s="60"/>
    </row>
    <row r="6" spans="1:13" x14ac:dyDescent="0.3">
      <c r="A6" s="232" t="s">
        <v>6</v>
      </c>
      <c r="B6" s="233"/>
      <c r="C6" s="233"/>
      <c r="D6" s="233"/>
      <c r="E6" s="233"/>
      <c r="F6" s="233"/>
      <c r="G6" s="233"/>
      <c r="H6" s="233"/>
      <c r="I6" s="233"/>
      <c r="J6" s="234"/>
      <c r="K6" s="60"/>
      <c r="L6" s="60"/>
      <c r="M6" s="60"/>
    </row>
    <row r="7" spans="1:13" x14ac:dyDescent="0.3">
      <c r="A7" s="114"/>
      <c r="B7" s="5"/>
      <c r="C7" s="5"/>
      <c r="D7" s="5"/>
      <c r="E7" s="5"/>
      <c r="F7" s="5"/>
      <c r="G7" s="5"/>
      <c r="H7" s="5"/>
      <c r="I7" s="5"/>
      <c r="J7" s="175"/>
      <c r="K7" s="60"/>
      <c r="L7" s="60"/>
      <c r="M7" s="60"/>
    </row>
    <row r="8" spans="1:13" x14ac:dyDescent="0.3">
      <c r="A8" s="114"/>
      <c r="B8" s="5"/>
      <c r="C8" s="5"/>
      <c r="D8" s="5"/>
      <c r="E8" s="5"/>
      <c r="F8" s="5"/>
      <c r="G8" s="5"/>
      <c r="H8" s="5"/>
      <c r="I8" s="5"/>
      <c r="J8" s="175"/>
      <c r="K8" s="60"/>
      <c r="L8" s="60"/>
      <c r="M8" s="60"/>
    </row>
    <row r="9" spans="1:13" x14ac:dyDescent="0.3">
      <c r="A9" s="176" t="s">
        <v>7</v>
      </c>
      <c r="B9" s="177" t="s">
        <v>8</v>
      </c>
      <c r="C9" s="225" t="s">
        <v>9</v>
      </c>
      <c r="D9" s="226"/>
      <c r="E9" s="227"/>
      <c r="F9" s="228" t="s">
        <v>10</v>
      </c>
      <c r="G9" s="229"/>
      <c r="H9" s="225" t="s">
        <v>11</v>
      </c>
      <c r="I9" s="226"/>
      <c r="J9" s="227"/>
      <c r="K9" s="60"/>
      <c r="L9" s="60"/>
      <c r="M9" s="60"/>
    </row>
    <row r="10" spans="1:13" x14ac:dyDescent="0.3">
      <c r="A10" s="178"/>
      <c r="B10" s="179"/>
      <c r="C10" s="178" t="s">
        <v>26</v>
      </c>
      <c r="D10" s="180" t="s">
        <v>14</v>
      </c>
      <c r="E10" s="181" t="s">
        <v>20</v>
      </c>
      <c r="F10" s="180" t="s">
        <v>16</v>
      </c>
      <c r="G10" s="180" t="s">
        <v>17</v>
      </c>
      <c r="H10" s="178" t="s">
        <v>18</v>
      </c>
      <c r="I10" s="180" t="s">
        <v>19</v>
      </c>
      <c r="J10" s="181" t="s">
        <v>20</v>
      </c>
      <c r="K10" s="60"/>
      <c r="L10" s="60"/>
      <c r="M10" s="60"/>
    </row>
    <row r="11" spans="1:13" x14ac:dyDescent="0.3">
      <c r="A11" s="59">
        <v>42202</v>
      </c>
      <c r="B11" s="54" t="s">
        <v>440</v>
      </c>
      <c r="C11" s="2">
        <v>295000</v>
      </c>
      <c r="D11" s="2"/>
      <c r="E11" s="2">
        <f>+C11</f>
        <v>295000</v>
      </c>
      <c r="F11" s="2">
        <f>+H11/C11</f>
        <v>0.17457335593220338</v>
      </c>
      <c r="G11" s="122"/>
      <c r="H11" s="80">
        <v>51499.14</v>
      </c>
      <c r="I11" s="2"/>
      <c r="J11" s="2">
        <f>+H11</f>
        <v>51499.14</v>
      </c>
      <c r="K11" s="60"/>
      <c r="L11" s="60"/>
      <c r="M11" s="60"/>
    </row>
    <row r="12" spans="1:13" x14ac:dyDescent="0.3">
      <c r="A12" s="91">
        <v>42215</v>
      </c>
      <c r="B12" s="93" t="s">
        <v>446</v>
      </c>
      <c r="C12" s="92"/>
      <c r="D12" s="92">
        <v>100</v>
      </c>
      <c r="E12" s="92">
        <f>+E11-D12</f>
        <v>294900</v>
      </c>
      <c r="F12" s="92"/>
      <c r="G12" s="92">
        <f>+J11/E11</f>
        <v>0.17457335593220338</v>
      </c>
      <c r="H12" s="92"/>
      <c r="I12" s="92">
        <f>+D12*G12</f>
        <v>17.457335593220339</v>
      </c>
      <c r="J12" s="92">
        <f>+J11-I12</f>
        <v>51481.682664406777</v>
      </c>
      <c r="K12" s="186">
        <f>SUM(I12)</f>
        <v>17.457335593220339</v>
      </c>
      <c r="L12" s="90">
        <f>SUM(K12)</f>
        <v>17.457335593220339</v>
      </c>
      <c r="M12" s="162">
        <v>42216</v>
      </c>
    </row>
    <row r="13" spans="1:13" s="77" customFormat="1" x14ac:dyDescent="0.3">
      <c r="A13" s="155">
        <v>42224</v>
      </c>
      <c r="B13" s="156" t="s">
        <v>462</v>
      </c>
      <c r="C13" s="157"/>
      <c r="D13" s="157">
        <v>50</v>
      </c>
      <c r="E13" s="157">
        <f>+E12-D13</f>
        <v>294850</v>
      </c>
      <c r="F13" s="157"/>
      <c r="G13" s="92">
        <f t="shared" ref="G13:G22" si="0">+J12/E12</f>
        <v>0.17457335593220338</v>
      </c>
      <c r="H13" s="92"/>
      <c r="I13" s="92">
        <f t="shared" ref="I13:I22" si="1">+D13*G13</f>
        <v>8.7286677966101696</v>
      </c>
      <c r="J13" s="92">
        <f t="shared" ref="J13:J22" si="2">+J12-I13</f>
        <v>51472.953996610166</v>
      </c>
      <c r="K13" s="201"/>
      <c r="L13" s="167"/>
      <c r="M13" s="167"/>
    </row>
    <row r="14" spans="1:13" x14ac:dyDescent="0.3">
      <c r="A14" s="91">
        <v>42229</v>
      </c>
      <c r="B14" s="93" t="s">
        <v>478</v>
      </c>
      <c r="C14" s="92"/>
      <c r="D14" s="92">
        <v>50</v>
      </c>
      <c r="E14" s="92">
        <f t="shared" ref="E14:E22" si="3">+E13-D14</f>
        <v>294800</v>
      </c>
      <c r="F14" s="92"/>
      <c r="G14" s="92">
        <f t="shared" si="0"/>
        <v>0.17457335593220338</v>
      </c>
      <c r="H14" s="92"/>
      <c r="I14" s="92">
        <f t="shared" si="1"/>
        <v>8.7286677966101696</v>
      </c>
      <c r="J14" s="92">
        <f t="shared" si="2"/>
        <v>51464.225328813554</v>
      </c>
      <c r="K14" s="184"/>
      <c r="L14" s="60"/>
      <c r="M14" s="60"/>
    </row>
    <row r="15" spans="1:13" x14ac:dyDescent="0.3">
      <c r="A15" s="91">
        <v>42233</v>
      </c>
      <c r="B15" s="93" t="s">
        <v>486</v>
      </c>
      <c r="C15" s="92"/>
      <c r="D15" s="92">
        <v>50</v>
      </c>
      <c r="E15" s="92">
        <f t="shared" si="3"/>
        <v>294750</v>
      </c>
      <c r="F15" s="92"/>
      <c r="G15" s="92">
        <f t="shared" si="0"/>
        <v>0.17457335593220338</v>
      </c>
      <c r="H15" s="92"/>
      <c r="I15" s="92">
        <f t="shared" si="1"/>
        <v>8.7286677966101696</v>
      </c>
      <c r="J15" s="92">
        <f t="shared" si="2"/>
        <v>51455.496661016943</v>
      </c>
      <c r="K15" s="186">
        <f>SUM(I13:I15)</f>
        <v>26.18600338983051</v>
      </c>
      <c r="L15" s="90">
        <f>SUM(K15)</f>
        <v>26.18600338983051</v>
      </c>
      <c r="M15" s="162">
        <v>42234</v>
      </c>
    </row>
    <row r="16" spans="1:13" x14ac:dyDescent="0.3">
      <c r="A16" s="91">
        <v>42250</v>
      </c>
      <c r="B16" s="93" t="s">
        <v>549</v>
      </c>
      <c r="C16" s="92"/>
      <c r="D16" s="92">
        <v>50</v>
      </c>
      <c r="E16" s="92">
        <f t="shared" si="3"/>
        <v>294700</v>
      </c>
      <c r="F16" s="159"/>
      <c r="G16" s="92">
        <f t="shared" si="0"/>
        <v>0.17457335593220336</v>
      </c>
      <c r="H16" s="92"/>
      <c r="I16" s="92">
        <f t="shared" si="1"/>
        <v>8.7286677966101678</v>
      </c>
      <c r="J16" s="92">
        <f t="shared" si="2"/>
        <v>51446.767993220332</v>
      </c>
      <c r="K16" s="186">
        <f>SUM(I16)</f>
        <v>8.7286677966101678</v>
      </c>
      <c r="L16" s="90"/>
      <c r="M16" s="162">
        <v>42262</v>
      </c>
    </row>
    <row r="17" spans="1:13" x14ac:dyDescent="0.3">
      <c r="A17" s="91">
        <v>42266</v>
      </c>
      <c r="B17" s="93" t="s">
        <v>628</v>
      </c>
      <c r="C17" s="92"/>
      <c r="D17" s="92">
        <v>50</v>
      </c>
      <c r="E17" s="92">
        <f t="shared" si="3"/>
        <v>294650</v>
      </c>
      <c r="F17" s="92"/>
      <c r="G17" s="92">
        <f t="shared" si="0"/>
        <v>0.17457335593220336</v>
      </c>
      <c r="H17" s="92"/>
      <c r="I17" s="92">
        <f t="shared" si="1"/>
        <v>8.7286677966101678</v>
      </c>
      <c r="J17" s="92">
        <f t="shared" si="2"/>
        <v>51438.039325423721</v>
      </c>
      <c r="K17" s="184"/>
      <c r="L17" s="60"/>
      <c r="M17" s="60"/>
    </row>
    <row r="18" spans="1:13" x14ac:dyDescent="0.3">
      <c r="A18" s="91">
        <v>42276</v>
      </c>
      <c r="B18" s="93" t="s">
        <v>645</v>
      </c>
      <c r="C18" s="92"/>
      <c r="D18" s="92">
        <v>800</v>
      </c>
      <c r="E18" s="92">
        <f t="shared" si="3"/>
        <v>293850</v>
      </c>
      <c r="F18" s="92"/>
      <c r="G18" s="92">
        <f t="shared" si="0"/>
        <v>0.17457335593220336</v>
      </c>
      <c r="H18" s="92"/>
      <c r="I18" s="92">
        <f t="shared" si="1"/>
        <v>139.65868474576268</v>
      </c>
      <c r="J18" s="92">
        <f t="shared" si="2"/>
        <v>51298.380640677955</v>
      </c>
      <c r="K18" s="186">
        <f>SUM(I17:I18)</f>
        <v>148.38735254237287</v>
      </c>
      <c r="L18" s="90">
        <f>SUM(K16:K18)</f>
        <v>157.11602033898305</v>
      </c>
      <c r="M18" s="162">
        <v>42277</v>
      </c>
    </row>
    <row r="19" spans="1:13" x14ac:dyDescent="0.3">
      <c r="A19" s="91">
        <v>42279</v>
      </c>
      <c r="B19" s="93" t="s">
        <v>672</v>
      </c>
      <c r="C19" s="92"/>
      <c r="D19" s="92">
        <v>50</v>
      </c>
      <c r="E19" s="92">
        <f t="shared" si="3"/>
        <v>293800</v>
      </c>
      <c r="F19" s="92"/>
      <c r="G19" s="92">
        <f t="shared" si="0"/>
        <v>0.17457335593220336</v>
      </c>
      <c r="H19" s="92"/>
      <c r="I19" s="92">
        <f t="shared" si="1"/>
        <v>8.7286677966101678</v>
      </c>
      <c r="J19" s="92">
        <f t="shared" si="2"/>
        <v>51289.651972881344</v>
      </c>
      <c r="K19" s="184"/>
      <c r="L19" s="60"/>
      <c r="M19" s="60"/>
    </row>
    <row r="20" spans="1:13" x14ac:dyDescent="0.3">
      <c r="A20" s="91">
        <v>42284</v>
      </c>
      <c r="B20" s="93" t="s">
        <v>687</v>
      </c>
      <c r="C20" s="92"/>
      <c r="D20" s="92">
        <v>100</v>
      </c>
      <c r="E20" s="92">
        <f t="shared" si="3"/>
        <v>293700</v>
      </c>
      <c r="F20" s="92"/>
      <c r="G20" s="92">
        <f t="shared" si="0"/>
        <v>0.17457335593220336</v>
      </c>
      <c r="H20" s="92"/>
      <c r="I20" s="92">
        <f t="shared" si="1"/>
        <v>17.457335593220336</v>
      </c>
      <c r="J20" s="92">
        <f t="shared" si="2"/>
        <v>51272.194637288121</v>
      </c>
      <c r="K20" s="184"/>
      <c r="L20" s="60"/>
      <c r="M20" s="60"/>
    </row>
    <row r="21" spans="1:13" x14ac:dyDescent="0.3">
      <c r="A21" s="91">
        <v>42284</v>
      </c>
      <c r="B21" s="93" t="s">
        <v>690</v>
      </c>
      <c r="C21" s="92"/>
      <c r="D21" s="92">
        <v>150</v>
      </c>
      <c r="E21" s="92">
        <f t="shared" si="3"/>
        <v>293550</v>
      </c>
      <c r="F21" s="92"/>
      <c r="G21" s="92">
        <f t="shared" si="0"/>
        <v>0.17457335593220333</v>
      </c>
      <c r="H21" s="92"/>
      <c r="I21" s="92">
        <f t="shared" si="1"/>
        <v>26.1860033898305</v>
      </c>
      <c r="J21" s="92">
        <f t="shared" si="2"/>
        <v>51246.008633898287</v>
      </c>
      <c r="K21" s="184"/>
      <c r="L21" s="60"/>
      <c r="M21" s="60"/>
    </row>
    <row r="22" spans="1:13" x14ac:dyDescent="0.3">
      <c r="A22" s="91">
        <v>42287</v>
      </c>
      <c r="B22" s="93" t="s">
        <v>705</v>
      </c>
      <c r="C22" s="92"/>
      <c r="D22" s="92">
        <v>250</v>
      </c>
      <c r="E22" s="92">
        <f t="shared" si="3"/>
        <v>293300</v>
      </c>
      <c r="F22" s="92"/>
      <c r="G22" s="92">
        <f t="shared" si="0"/>
        <v>0.17457335593220333</v>
      </c>
      <c r="H22" s="92"/>
      <c r="I22" s="92">
        <f t="shared" si="1"/>
        <v>43.643338983050832</v>
      </c>
      <c r="J22" s="92">
        <f t="shared" si="2"/>
        <v>51202.365294915238</v>
      </c>
      <c r="K22" s="184"/>
      <c r="L22" s="60"/>
      <c r="M22" s="60"/>
    </row>
    <row r="23" spans="1:13" x14ac:dyDescent="0.3">
      <c r="A23" s="91">
        <v>42282</v>
      </c>
      <c r="B23" s="93" t="s">
        <v>738</v>
      </c>
      <c r="C23" s="92"/>
      <c r="D23" s="92">
        <v>200</v>
      </c>
      <c r="E23" s="92">
        <f t="shared" ref="E23" si="4">+E22-D23</f>
        <v>293100</v>
      </c>
      <c r="F23" s="92"/>
      <c r="G23" s="92">
        <f t="shared" ref="G23" si="5">+J22/E22</f>
        <v>0.17457335593220333</v>
      </c>
      <c r="H23" s="92"/>
      <c r="I23" s="92">
        <f t="shared" ref="I23" si="6">+D23*G23</f>
        <v>34.914671186440664</v>
      </c>
      <c r="J23" s="92">
        <f t="shared" ref="J23" si="7">+J22-I23</f>
        <v>51167.450623728801</v>
      </c>
      <c r="K23" s="184"/>
      <c r="L23" s="60"/>
      <c r="M23" s="60"/>
    </row>
    <row r="24" spans="1:13" x14ac:dyDescent="0.3">
      <c r="A24" s="91">
        <v>42284</v>
      </c>
      <c r="B24" s="93" t="s">
        <v>687</v>
      </c>
      <c r="C24" s="92"/>
      <c r="D24" s="92">
        <v>100</v>
      </c>
      <c r="E24" s="92">
        <f t="shared" ref="E24" si="8">+E23-D24</f>
        <v>293000</v>
      </c>
      <c r="F24" s="92"/>
      <c r="G24" s="92">
        <f t="shared" ref="G24" si="9">+J23/E23</f>
        <v>0.17457335593220336</v>
      </c>
      <c r="H24" s="92"/>
      <c r="I24" s="92">
        <f t="shared" ref="I24" si="10">+D24*G24</f>
        <v>17.457335593220336</v>
      </c>
      <c r="J24" s="92">
        <f t="shared" ref="J24" si="11">+J23-I24</f>
        <v>51149.993288135578</v>
      </c>
      <c r="K24" s="184"/>
      <c r="L24" s="60"/>
      <c r="M24" s="60"/>
    </row>
    <row r="25" spans="1:13" x14ac:dyDescent="0.3">
      <c r="A25" s="91">
        <v>42284</v>
      </c>
      <c r="B25" s="93" t="s">
        <v>690</v>
      </c>
      <c r="C25" s="92"/>
      <c r="D25" s="92">
        <v>150</v>
      </c>
      <c r="E25" s="92">
        <f t="shared" ref="E25:E43" si="12">+E24-D25</f>
        <v>292850</v>
      </c>
      <c r="F25" s="92"/>
      <c r="G25" s="92">
        <f t="shared" ref="G25:G43" si="13">+J24/E24</f>
        <v>0.17457335593220333</v>
      </c>
      <c r="H25" s="92"/>
      <c r="I25" s="92">
        <f t="shared" ref="I25:I43" si="14">+D25*G25</f>
        <v>26.1860033898305</v>
      </c>
      <c r="J25" s="92">
        <f t="shared" ref="J25:J43" si="15">+J24-I25</f>
        <v>51123.807284745744</v>
      </c>
      <c r="K25" s="184"/>
      <c r="L25" s="60"/>
      <c r="M25" s="60"/>
    </row>
    <row r="26" spans="1:13" x14ac:dyDescent="0.3">
      <c r="A26" s="91">
        <v>42287</v>
      </c>
      <c r="B26" s="93" t="s">
        <v>705</v>
      </c>
      <c r="C26" s="92"/>
      <c r="D26" s="92">
        <v>250</v>
      </c>
      <c r="E26" s="92">
        <f t="shared" si="12"/>
        <v>292600</v>
      </c>
      <c r="F26" s="92"/>
      <c r="G26" s="92">
        <f t="shared" si="13"/>
        <v>0.17457335593220333</v>
      </c>
      <c r="H26" s="92"/>
      <c r="I26" s="92">
        <f t="shared" si="14"/>
        <v>43.643338983050832</v>
      </c>
      <c r="J26" s="92">
        <f t="shared" si="15"/>
        <v>51080.163945762695</v>
      </c>
      <c r="K26" s="184"/>
      <c r="L26" s="60"/>
      <c r="M26" s="60"/>
    </row>
    <row r="27" spans="1:13" x14ac:dyDescent="0.3">
      <c r="A27" s="91">
        <v>42291</v>
      </c>
      <c r="B27" s="93" t="s">
        <v>720</v>
      </c>
      <c r="C27" s="92"/>
      <c r="D27" s="92">
        <v>150</v>
      </c>
      <c r="E27" s="92">
        <f t="shared" si="12"/>
        <v>292450</v>
      </c>
      <c r="F27" s="92"/>
      <c r="G27" s="92">
        <f t="shared" si="13"/>
        <v>0.17457335593220333</v>
      </c>
      <c r="H27" s="92"/>
      <c r="I27" s="92">
        <f t="shared" si="14"/>
        <v>26.1860033898305</v>
      </c>
      <c r="J27" s="92">
        <f t="shared" si="15"/>
        <v>51053.977942372861</v>
      </c>
      <c r="K27" s="186">
        <f>SUM(I19:I27)</f>
        <v>244.40269830508464</v>
      </c>
      <c r="L27" s="89"/>
      <c r="M27" s="162">
        <v>42294</v>
      </c>
    </row>
    <row r="28" spans="1:13" x14ac:dyDescent="0.3">
      <c r="A28" s="91">
        <v>42306</v>
      </c>
      <c r="B28" s="93" t="s">
        <v>776</v>
      </c>
      <c r="C28" s="92"/>
      <c r="D28" s="92">
        <v>200</v>
      </c>
      <c r="E28" s="92">
        <f t="shared" si="12"/>
        <v>292250</v>
      </c>
      <c r="F28" s="92"/>
      <c r="G28" s="92">
        <f t="shared" si="13"/>
        <v>0.17457335593220333</v>
      </c>
      <c r="H28" s="92"/>
      <c r="I28" s="92">
        <f t="shared" si="14"/>
        <v>34.914671186440664</v>
      </c>
      <c r="J28" s="92">
        <f t="shared" si="15"/>
        <v>51019.063271186424</v>
      </c>
      <c r="K28" s="186">
        <f>SUM(I28)</f>
        <v>34.914671186440664</v>
      </c>
      <c r="L28" s="90">
        <f>SUM(K27:K28)</f>
        <v>279.31736949152531</v>
      </c>
      <c r="M28" s="162">
        <v>42308</v>
      </c>
    </row>
    <row r="29" spans="1:13" x14ac:dyDescent="0.3">
      <c r="A29" s="91">
        <v>42312</v>
      </c>
      <c r="B29" s="93" t="s">
        <v>794</v>
      </c>
      <c r="C29" s="92"/>
      <c r="D29" s="92">
        <v>100</v>
      </c>
      <c r="E29" s="92">
        <f t="shared" si="12"/>
        <v>292150</v>
      </c>
      <c r="F29" s="92"/>
      <c r="G29" s="92">
        <f t="shared" si="13"/>
        <v>0.17457335593220333</v>
      </c>
      <c r="H29" s="92"/>
      <c r="I29" s="92">
        <f t="shared" si="14"/>
        <v>17.457335593220332</v>
      </c>
      <c r="J29" s="92">
        <f t="shared" si="15"/>
        <v>51001.605935593201</v>
      </c>
      <c r="K29" s="184"/>
      <c r="L29" s="60"/>
      <c r="M29" s="60"/>
    </row>
    <row r="30" spans="1:13" x14ac:dyDescent="0.3">
      <c r="A30" s="91">
        <v>42312</v>
      </c>
      <c r="B30" s="93" t="s">
        <v>796</v>
      </c>
      <c r="C30" s="92"/>
      <c r="D30" s="92">
        <v>1200</v>
      </c>
      <c r="E30" s="92">
        <f t="shared" si="12"/>
        <v>290950</v>
      </c>
      <c r="F30" s="92"/>
      <c r="G30" s="92">
        <f t="shared" si="13"/>
        <v>0.17457335593220333</v>
      </c>
      <c r="H30" s="92"/>
      <c r="I30" s="92">
        <f t="shared" si="14"/>
        <v>209.488027118644</v>
      </c>
      <c r="J30" s="92">
        <f t="shared" si="15"/>
        <v>50792.11790847456</v>
      </c>
      <c r="K30" s="184"/>
      <c r="L30" s="60"/>
      <c r="M30" s="60"/>
    </row>
    <row r="31" spans="1:13" x14ac:dyDescent="0.3">
      <c r="A31" s="91">
        <v>42314</v>
      </c>
      <c r="B31" s="93" t="s">
        <v>810</v>
      </c>
      <c r="C31" s="92"/>
      <c r="D31" s="92">
        <v>50</v>
      </c>
      <c r="E31" s="92">
        <f t="shared" si="12"/>
        <v>290900</v>
      </c>
      <c r="F31" s="92"/>
      <c r="G31" s="92">
        <f t="shared" si="13"/>
        <v>0.17457335593220333</v>
      </c>
      <c r="H31" s="92"/>
      <c r="I31" s="92">
        <f t="shared" si="14"/>
        <v>8.728667796610166</v>
      </c>
      <c r="J31" s="92">
        <f t="shared" si="15"/>
        <v>50783.389240677949</v>
      </c>
      <c r="K31" s="186">
        <f>SUM(I29:I31)</f>
        <v>235.67403050847449</v>
      </c>
      <c r="L31" s="89"/>
      <c r="M31" s="162">
        <v>42323</v>
      </c>
    </row>
    <row r="32" spans="1:13" x14ac:dyDescent="0.3">
      <c r="A32" s="91">
        <v>42328</v>
      </c>
      <c r="B32" s="93" t="s">
        <v>853</v>
      </c>
      <c r="C32" s="92"/>
      <c r="D32" s="92">
        <v>100</v>
      </c>
      <c r="E32" s="92">
        <f t="shared" si="12"/>
        <v>290800</v>
      </c>
      <c r="F32" s="92"/>
      <c r="G32" s="92">
        <f t="shared" si="13"/>
        <v>0.17457335593220333</v>
      </c>
      <c r="H32" s="92"/>
      <c r="I32" s="92">
        <f t="shared" si="14"/>
        <v>17.457335593220332</v>
      </c>
      <c r="J32" s="92">
        <f t="shared" si="15"/>
        <v>50765.931905084726</v>
      </c>
      <c r="K32" s="184"/>
      <c r="L32" s="60"/>
      <c r="M32" s="60"/>
    </row>
    <row r="33" spans="1:13" x14ac:dyDescent="0.3">
      <c r="A33" s="91">
        <v>42329</v>
      </c>
      <c r="B33" s="93" t="s">
        <v>855</v>
      </c>
      <c r="C33" s="92"/>
      <c r="D33" s="92">
        <v>150</v>
      </c>
      <c r="E33" s="92">
        <f t="shared" si="12"/>
        <v>290650</v>
      </c>
      <c r="F33" s="92"/>
      <c r="G33" s="92">
        <f t="shared" si="13"/>
        <v>0.17457335593220333</v>
      </c>
      <c r="H33" s="92"/>
      <c r="I33" s="92">
        <f t="shared" si="14"/>
        <v>26.1860033898305</v>
      </c>
      <c r="J33" s="92">
        <f t="shared" si="15"/>
        <v>50739.745901694892</v>
      </c>
      <c r="K33" s="184"/>
      <c r="L33" s="60"/>
      <c r="M33" s="60"/>
    </row>
    <row r="34" spans="1:13" x14ac:dyDescent="0.3">
      <c r="A34" s="91">
        <v>42329</v>
      </c>
      <c r="B34" s="93" t="s">
        <v>856</v>
      </c>
      <c r="C34" s="92"/>
      <c r="D34" s="92">
        <v>400</v>
      </c>
      <c r="E34" s="92">
        <f t="shared" si="12"/>
        <v>290250</v>
      </c>
      <c r="F34" s="92"/>
      <c r="G34" s="92">
        <f t="shared" si="13"/>
        <v>0.1745733559322033</v>
      </c>
      <c r="H34" s="92"/>
      <c r="I34" s="92">
        <f t="shared" si="14"/>
        <v>69.829342372881314</v>
      </c>
      <c r="J34" s="92">
        <f t="shared" si="15"/>
        <v>50669.91655932201</v>
      </c>
      <c r="K34" s="184"/>
      <c r="L34" s="60"/>
      <c r="M34" s="60"/>
    </row>
    <row r="35" spans="1:13" x14ac:dyDescent="0.3">
      <c r="A35" s="91">
        <v>42335</v>
      </c>
      <c r="B35" s="93" t="s">
        <v>874</v>
      </c>
      <c r="C35" s="92"/>
      <c r="D35" s="92">
        <v>50</v>
      </c>
      <c r="E35" s="92">
        <f t="shared" si="12"/>
        <v>290200</v>
      </c>
      <c r="F35" s="92"/>
      <c r="G35" s="92">
        <f t="shared" si="13"/>
        <v>0.1745733559322033</v>
      </c>
      <c r="H35" s="92"/>
      <c r="I35" s="92">
        <f t="shared" si="14"/>
        <v>8.7286677966101642</v>
      </c>
      <c r="J35" s="92">
        <f t="shared" si="15"/>
        <v>50661.187891525398</v>
      </c>
      <c r="K35" s="186">
        <f>SUM(I32:I35)</f>
        <v>122.20134915254231</v>
      </c>
      <c r="L35" s="90">
        <f>SUM(K31:K35)</f>
        <v>357.87537966101678</v>
      </c>
      <c r="M35" s="162">
        <v>42338</v>
      </c>
    </row>
    <row r="36" spans="1:13" x14ac:dyDescent="0.3">
      <c r="A36" s="91">
        <v>42339</v>
      </c>
      <c r="B36" s="93" t="s">
        <v>881</v>
      </c>
      <c r="C36" s="92"/>
      <c r="D36" s="92">
        <v>300</v>
      </c>
      <c r="E36" s="92">
        <f t="shared" si="12"/>
        <v>289900</v>
      </c>
      <c r="F36" s="92"/>
      <c r="G36" s="92">
        <f t="shared" si="13"/>
        <v>0.1745733559322033</v>
      </c>
      <c r="H36" s="92"/>
      <c r="I36" s="92">
        <f t="shared" si="14"/>
        <v>52.372006779660992</v>
      </c>
      <c r="J36" s="92">
        <f t="shared" si="15"/>
        <v>50608.815884745738</v>
      </c>
      <c r="K36" s="186">
        <f>SUM(I36)</f>
        <v>52.372006779660992</v>
      </c>
      <c r="L36" s="89"/>
      <c r="M36" s="162">
        <v>42353</v>
      </c>
    </row>
    <row r="37" spans="1:13" x14ac:dyDescent="0.3">
      <c r="A37" s="91">
        <v>42357</v>
      </c>
      <c r="B37" s="93" t="s">
        <v>922</v>
      </c>
      <c r="C37" s="92"/>
      <c r="D37" s="92">
        <v>100</v>
      </c>
      <c r="E37" s="92">
        <f t="shared" si="12"/>
        <v>289800</v>
      </c>
      <c r="F37" s="92"/>
      <c r="G37" s="92">
        <f t="shared" si="13"/>
        <v>0.1745733559322033</v>
      </c>
      <c r="H37" s="92"/>
      <c r="I37" s="92">
        <f t="shared" si="14"/>
        <v>17.457335593220328</v>
      </c>
      <c r="J37" s="92">
        <f t="shared" si="15"/>
        <v>50591.358549152515</v>
      </c>
      <c r="K37" s="184"/>
      <c r="L37" s="60"/>
      <c r="M37" s="60"/>
    </row>
    <row r="38" spans="1:13" x14ac:dyDescent="0.3">
      <c r="A38" s="91">
        <v>42357</v>
      </c>
      <c r="B38" s="93" t="s">
        <v>923</v>
      </c>
      <c r="C38" s="92"/>
      <c r="D38" s="92">
        <v>100</v>
      </c>
      <c r="E38" s="92">
        <f t="shared" si="12"/>
        <v>289700</v>
      </c>
      <c r="F38" s="92"/>
      <c r="G38" s="92">
        <f t="shared" si="13"/>
        <v>0.1745733559322033</v>
      </c>
      <c r="H38" s="92"/>
      <c r="I38" s="92">
        <f t="shared" si="14"/>
        <v>17.457335593220328</v>
      </c>
      <c r="J38" s="92">
        <f t="shared" si="15"/>
        <v>50573.901213559293</v>
      </c>
      <c r="K38" s="184"/>
      <c r="L38" s="60"/>
      <c r="M38" s="60"/>
    </row>
    <row r="39" spans="1:13" x14ac:dyDescent="0.3">
      <c r="A39" s="91">
        <v>42357</v>
      </c>
      <c r="B39" s="93" t="s">
        <v>924</v>
      </c>
      <c r="C39" s="92"/>
      <c r="D39" s="92">
        <v>300</v>
      </c>
      <c r="E39" s="92">
        <f t="shared" si="12"/>
        <v>289400</v>
      </c>
      <c r="F39" s="92"/>
      <c r="G39" s="92">
        <f t="shared" si="13"/>
        <v>0.1745733559322033</v>
      </c>
      <c r="H39" s="92"/>
      <c r="I39" s="92">
        <f t="shared" si="14"/>
        <v>52.372006779660992</v>
      </c>
      <c r="J39" s="92">
        <f t="shared" si="15"/>
        <v>50521.529206779633</v>
      </c>
      <c r="K39" s="184"/>
      <c r="L39" s="60"/>
      <c r="M39" s="60"/>
    </row>
    <row r="40" spans="1:13" x14ac:dyDescent="0.3">
      <c r="A40" s="91">
        <v>42360</v>
      </c>
      <c r="B40" s="93" t="s">
        <v>932</v>
      </c>
      <c r="C40" s="92"/>
      <c r="D40" s="92">
        <v>200</v>
      </c>
      <c r="E40" s="92">
        <f t="shared" si="12"/>
        <v>289200</v>
      </c>
      <c r="F40" s="92"/>
      <c r="G40" s="92">
        <f t="shared" si="13"/>
        <v>0.1745733559322033</v>
      </c>
      <c r="H40" s="92"/>
      <c r="I40" s="92">
        <f t="shared" si="14"/>
        <v>34.914671186440657</v>
      </c>
      <c r="J40" s="92">
        <f t="shared" si="15"/>
        <v>50486.614535593195</v>
      </c>
      <c r="K40" s="184"/>
      <c r="L40" s="60"/>
      <c r="M40" s="60"/>
    </row>
    <row r="41" spans="1:13" x14ac:dyDescent="0.3">
      <c r="A41" s="91">
        <v>42362</v>
      </c>
      <c r="B41" s="93" t="s">
        <v>936</v>
      </c>
      <c r="C41" s="92"/>
      <c r="D41" s="92">
        <v>200</v>
      </c>
      <c r="E41" s="92">
        <f t="shared" si="12"/>
        <v>289000</v>
      </c>
      <c r="F41" s="92"/>
      <c r="G41" s="92">
        <f t="shared" si="13"/>
        <v>0.1745733559322033</v>
      </c>
      <c r="H41" s="92"/>
      <c r="I41" s="92">
        <f t="shared" si="14"/>
        <v>34.914671186440657</v>
      </c>
      <c r="J41" s="92">
        <f t="shared" si="15"/>
        <v>50451.699864406757</v>
      </c>
      <c r="K41" s="184"/>
      <c r="L41" s="60"/>
      <c r="M41" s="60"/>
    </row>
    <row r="42" spans="1:13" x14ac:dyDescent="0.3">
      <c r="A42" s="91">
        <v>42367</v>
      </c>
      <c r="B42" s="93" t="s">
        <v>950</v>
      </c>
      <c r="C42" s="92"/>
      <c r="D42" s="92">
        <v>50</v>
      </c>
      <c r="E42" s="92">
        <f t="shared" si="12"/>
        <v>288950</v>
      </c>
      <c r="F42" s="92"/>
      <c r="G42" s="92">
        <f t="shared" si="13"/>
        <v>0.1745733559322033</v>
      </c>
      <c r="H42" s="92"/>
      <c r="I42" s="92">
        <f t="shared" si="14"/>
        <v>8.7286677966101642</v>
      </c>
      <c r="J42" s="92">
        <f t="shared" si="15"/>
        <v>50442.971196610146</v>
      </c>
      <c r="K42" s="184"/>
      <c r="L42" s="60"/>
      <c r="M42" s="60"/>
    </row>
    <row r="43" spans="1:13" x14ac:dyDescent="0.3">
      <c r="A43" s="91">
        <v>42367</v>
      </c>
      <c r="B43" s="93" t="s">
        <v>951</v>
      </c>
      <c r="C43" s="92"/>
      <c r="D43" s="92">
        <v>100</v>
      </c>
      <c r="E43" s="92">
        <f t="shared" si="12"/>
        <v>288850</v>
      </c>
      <c r="F43" s="92"/>
      <c r="G43" s="92">
        <f t="shared" si="13"/>
        <v>0.1745733559322033</v>
      </c>
      <c r="H43" s="92"/>
      <c r="I43" s="92">
        <f t="shared" si="14"/>
        <v>17.457335593220328</v>
      </c>
      <c r="J43" s="92">
        <f t="shared" si="15"/>
        <v>50425.513861016923</v>
      </c>
      <c r="K43" s="186">
        <f>SUM(I37:I43)</f>
        <v>183.30202372881345</v>
      </c>
      <c r="L43" s="169">
        <f>SUM(K36:K43)</f>
        <v>235.67403050847446</v>
      </c>
      <c r="M43" s="162">
        <v>42369</v>
      </c>
    </row>
    <row r="44" spans="1:13" ht="15" thickBot="1" x14ac:dyDescent="0.35">
      <c r="A44" s="59"/>
      <c r="B44" s="54" t="s">
        <v>982</v>
      </c>
      <c r="C44" s="2">
        <f>SUM(C11:C43)</f>
        <v>295000</v>
      </c>
      <c r="D44" s="2">
        <f>SUM(D11:D43)</f>
        <v>6150</v>
      </c>
      <c r="E44" s="2"/>
      <c r="F44" s="2"/>
      <c r="G44" s="2"/>
      <c r="H44" s="2">
        <f t="shared" ref="H44:I44" si="16">SUM(H11:H43)</f>
        <v>51499.14</v>
      </c>
      <c r="I44" s="2">
        <f t="shared" si="16"/>
        <v>1073.6261389830504</v>
      </c>
      <c r="J44" s="2"/>
      <c r="K44" s="184"/>
      <c r="L44" s="189">
        <f>SUM(L12:L43)</f>
        <v>1073.6261389830504</v>
      </c>
      <c r="M44" s="60"/>
    </row>
    <row r="45" spans="1:13" ht="15" thickTop="1" x14ac:dyDescent="0.3">
      <c r="A45" s="127"/>
      <c r="B45" s="5"/>
      <c r="C45" s="122"/>
      <c r="D45" s="122"/>
      <c r="E45" s="122"/>
      <c r="F45" s="122"/>
      <c r="G45" s="122"/>
      <c r="H45" s="122"/>
      <c r="I45" s="122"/>
      <c r="J45" s="122"/>
      <c r="K45" s="184"/>
      <c r="L45" s="60"/>
      <c r="M45" s="60"/>
    </row>
    <row r="46" spans="1:13" x14ac:dyDescent="0.3">
      <c r="A46" s="127" t="s">
        <v>980</v>
      </c>
      <c r="B46" s="6"/>
      <c r="C46" s="5"/>
      <c r="D46" s="5"/>
      <c r="E46" s="5"/>
      <c r="F46" s="5"/>
      <c r="G46" s="60"/>
      <c r="H46" s="60"/>
      <c r="I46" s="60"/>
      <c r="J46" s="60"/>
      <c r="K46" s="184"/>
      <c r="L46" s="60"/>
      <c r="M46" s="60"/>
    </row>
    <row r="47" spans="1:13" x14ac:dyDescent="0.3">
      <c r="A47" s="127" t="s">
        <v>981</v>
      </c>
      <c r="B47" s="6"/>
      <c r="C47" s="5"/>
      <c r="D47" s="5"/>
      <c r="E47" s="5"/>
      <c r="F47" s="5"/>
      <c r="G47" s="60"/>
      <c r="H47" s="60"/>
      <c r="I47" s="60"/>
      <c r="J47" s="163">
        <f>+E43*F11</f>
        <v>50425.513861016945</v>
      </c>
      <c r="K47" s="184"/>
      <c r="L47" s="60"/>
      <c r="M47" s="60"/>
    </row>
    <row r="48" spans="1:13" x14ac:dyDescent="0.3">
      <c r="A48" s="127" t="s">
        <v>978</v>
      </c>
      <c r="B48" s="6"/>
      <c r="C48" s="5"/>
      <c r="D48" s="5"/>
      <c r="E48" s="5"/>
      <c r="F48" s="5"/>
      <c r="G48" s="60"/>
      <c r="H48" s="60"/>
      <c r="I48" s="60"/>
      <c r="J48" s="164">
        <f>+J43</f>
        <v>50425.513861016923</v>
      </c>
      <c r="K48" s="184"/>
      <c r="L48" s="60"/>
      <c r="M48" s="60"/>
    </row>
    <row r="49" spans="1:13" x14ac:dyDescent="0.3">
      <c r="A49" s="127"/>
      <c r="B49" s="6" t="s">
        <v>979</v>
      </c>
      <c r="C49" s="5"/>
      <c r="D49" s="5"/>
      <c r="E49" s="5"/>
      <c r="F49" s="5"/>
      <c r="G49" s="60"/>
      <c r="H49" s="60"/>
      <c r="I49" s="60"/>
      <c r="J49" s="163">
        <f>+J47-J48</f>
        <v>0</v>
      </c>
      <c r="K49" s="184"/>
      <c r="L49" s="60"/>
      <c r="M49" s="60"/>
    </row>
    <row r="50" spans="1:13" x14ac:dyDescent="0.3">
      <c r="A50" s="5"/>
      <c r="B50" s="117"/>
      <c r="C50" s="107"/>
      <c r="D50" s="108"/>
      <c r="E50" s="118"/>
      <c r="F50" s="119"/>
      <c r="G50" s="119"/>
      <c r="H50" s="119"/>
      <c r="I50" s="119"/>
      <c r="J50" s="120"/>
      <c r="K50" s="184"/>
      <c r="L50" s="60"/>
      <c r="M50" s="60"/>
    </row>
    <row r="51" spans="1:13" x14ac:dyDescent="0.3">
      <c r="A51" s="127"/>
      <c r="B51" s="5"/>
      <c r="C51" s="122"/>
      <c r="D51" s="122"/>
      <c r="E51" s="122"/>
      <c r="F51" s="122"/>
      <c r="G51" s="122"/>
      <c r="H51" s="122"/>
      <c r="I51" s="122"/>
      <c r="J51" s="122"/>
      <c r="K51" s="184"/>
      <c r="L51" s="60"/>
      <c r="M51" s="60"/>
    </row>
    <row r="52" spans="1:13" x14ac:dyDescent="0.3">
      <c r="A52" s="99"/>
      <c r="B52" s="39"/>
      <c r="C52" s="19"/>
      <c r="D52" s="19"/>
      <c r="E52" s="19"/>
      <c r="F52" s="19"/>
      <c r="G52" s="19"/>
      <c r="H52" s="19"/>
      <c r="I52" s="19"/>
      <c r="J52" s="19"/>
      <c r="K52" s="18"/>
    </row>
    <row r="53" spans="1:13" x14ac:dyDescent="0.3">
      <c r="A53" s="99"/>
      <c r="B53" s="39"/>
      <c r="C53" s="19"/>
      <c r="D53" s="19"/>
      <c r="E53" s="19"/>
      <c r="F53" s="19"/>
      <c r="G53" s="19"/>
      <c r="H53" s="19"/>
      <c r="I53" s="19"/>
      <c r="J53" s="19"/>
      <c r="K53" s="18"/>
    </row>
    <row r="54" spans="1:13" x14ac:dyDescent="0.3">
      <c r="A54" s="99"/>
      <c r="B54" s="39"/>
      <c r="C54" s="19"/>
      <c r="D54" s="19"/>
      <c r="E54" s="19"/>
      <c r="F54" s="19"/>
      <c r="G54" s="19"/>
      <c r="H54" s="19"/>
      <c r="I54" s="19"/>
      <c r="J54" s="19"/>
      <c r="K54" s="18"/>
    </row>
    <row r="55" spans="1:13" x14ac:dyDescent="0.3">
      <c r="A55" s="99"/>
      <c r="B55" s="39"/>
      <c r="C55" s="19"/>
      <c r="D55" s="19"/>
      <c r="E55" s="19"/>
      <c r="F55" s="19"/>
      <c r="G55" s="19"/>
      <c r="H55" s="19"/>
      <c r="I55" s="19"/>
      <c r="J55" s="19"/>
      <c r="K55" s="18"/>
    </row>
    <row r="56" spans="1:13" x14ac:dyDescent="0.3">
      <c r="A56" s="99"/>
      <c r="B56" s="39"/>
      <c r="C56" s="19"/>
      <c r="D56" s="19"/>
      <c r="E56" s="19"/>
      <c r="F56" s="19"/>
      <c r="G56" s="19"/>
      <c r="H56" s="19"/>
      <c r="I56" s="19"/>
      <c r="J56" s="19"/>
      <c r="K56" s="18"/>
    </row>
    <row r="57" spans="1:13" x14ac:dyDescent="0.3">
      <c r="A57" s="99"/>
      <c r="B57" s="39"/>
      <c r="C57" s="19"/>
      <c r="D57" s="19"/>
      <c r="E57" s="19"/>
      <c r="F57" s="19"/>
      <c r="G57" s="19"/>
      <c r="H57" s="19"/>
      <c r="I57" s="19"/>
      <c r="J57" s="19"/>
      <c r="K57" s="18"/>
    </row>
    <row r="58" spans="1:13" x14ac:dyDescent="0.3">
      <c r="A58" s="99"/>
      <c r="B58" s="39"/>
      <c r="C58" s="19"/>
      <c r="D58" s="19"/>
      <c r="E58" s="19"/>
      <c r="F58" s="19"/>
      <c r="G58" s="19"/>
      <c r="H58" s="19"/>
      <c r="I58" s="19"/>
      <c r="J58" s="19"/>
      <c r="K58" s="18"/>
    </row>
    <row r="59" spans="1:13" x14ac:dyDescent="0.3">
      <c r="A59" s="99"/>
      <c r="B59" s="39"/>
      <c r="C59" s="19"/>
      <c r="D59" s="19"/>
      <c r="E59" s="19"/>
      <c r="F59" s="19"/>
      <c r="G59" s="19"/>
      <c r="H59" s="19"/>
      <c r="I59" s="19"/>
      <c r="J59" s="19"/>
      <c r="K59" s="18"/>
    </row>
    <row r="60" spans="1:13" x14ac:dyDescent="0.3">
      <c r="A60" s="99"/>
      <c r="B60" s="39"/>
      <c r="C60" s="19"/>
      <c r="D60" s="19"/>
      <c r="E60" s="19"/>
      <c r="F60" s="19"/>
      <c r="G60" s="19"/>
      <c r="H60" s="19"/>
      <c r="I60" s="19"/>
      <c r="J60" s="19"/>
      <c r="K60" s="18"/>
    </row>
    <row r="61" spans="1:13" x14ac:dyDescent="0.3">
      <c r="A61" s="99"/>
      <c r="B61" s="39"/>
      <c r="C61" s="19"/>
      <c r="D61" s="19"/>
      <c r="E61" s="19"/>
      <c r="F61" s="19"/>
      <c r="G61" s="19"/>
      <c r="H61" s="19"/>
      <c r="I61" s="19"/>
      <c r="J61" s="19"/>
      <c r="K61" s="18"/>
    </row>
    <row r="62" spans="1:13" x14ac:dyDescent="0.3">
      <c r="A62" s="99"/>
      <c r="B62" s="39"/>
      <c r="C62" s="19"/>
      <c r="D62" s="19"/>
      <c r="E62" s="19"/>
      <c r="F62" s="19"/>
      <c r="G62" s="19"/>
      <c r="H62" s="19"/>
      <c r="I62" s="19"/>
      <c r="J62" s="19"/>
      <c r="K62" s="18"/>
    </row>
    <row r="63" spans="1:13" x14ac:dyDescent="0.3">
      <c r="A63" s="99"/>
      <c r="B63" s="39"/>
      <c r="C63" s="19"/>
      <c r="D63" s="19"/>
      <c r="E63" s="19"/>
      <c r="F63" s="19"/>
      <c r="G63" s="19"/>
      <c r="H63" s="19"/>
      <c r="I63" s="19"/>
      <c r="J63" s="19"/>
      <c r="K63" s="18"/>
    </row>
    <row r="64" spans="1:13" x14ac:dyDescent="0.3">
      <c r="A64" s="99"/>
      <c r="B64" s="39"/>
      <c r="C64" s="19"/>
      <c r="D64" s="19"/>
      <c r="E64" s="19"/>
      <c r="F64" s="19"/>
      <c r="G64" s="19"/>
      <c r="H64" s="19"/>
      <c r="I64" s="19"/>
      <c r="J64" s="19"/>
      <c r="K64" s="18"/>
    </row>
    <row r="65" spans="1:11" x14ac:dyDescent="0.3">
      <c r="A65" s="99"/>
      <c r="B65" s="39"/>
      <c r="C65" s="19"/>
      <c r="D65" s="19"/>
      <c r="E65" s="19"/>
      <c r="F65" s="19"/>
      <c r="G65" s="19"/>
      <c r="H65" s="19"/>
      <c r="I65" s="19"/>
      <c r="J65" s="19"/>
      <c r="K65" s="18"/>
    </row>
    <row r="66" spans="1:11" x14ac:dyDescent="0.3">
      <c r="A66" s="99"/>
      <c r="B66" s="39"/>
      <c r="C66" s="19"/>
      <c r="D66" s="19"/>
      <c r="E66" s="19"/>
      <c r="F66" s="19"/>
      <c r="G66" s="19"/>
      <c r="H66" s="19"/>
      <c r="I66" s="19"/>
      <c r="J66" s="19"/>
      <c r="K66" s="18"/>
    </row>
    <row r="67" spans="1:11" x14ac:dyDescent="0.3">
      <c r="A67" s="99"/>
      <c r="B67" s="39"/>
      <c r="C67" s="19"/>
      <c r="D67" s="19"/>
      <c r="E67" s="19"/>
      <c r="F67" s="19"/>
      <c r="G67" s="19"/>
      <c r="H67" s="19"/>
      <c r="I67" s="19"/>
      <c r="J67" s="19"/>
      <c r="K67" s="18"/>
    </row>
    <row r="68" spans="1:11" x14ac:dyDescent="0.3">
      <c r="A68" s="99"/>
      <c r="B68" s="39"/>
      <c r="C68" s="19"/>
      <c r="D68" s="19"/>
      <c r="E68" s="19"/>
      <c r="F68" s="19"/>
      <c r="G68" s="19"/>
      <c r="H68" s="19"/>
      <c r="I68" s="19"/>
      <c r="J68" s="19"/>
      <c r="K68" s="18"/>
    </row>
    <row r="69" spans="1:11" x14ac:dyDescent="0.3">
      <c r="A69" s="99"/>
      <c r="B69" s="39"/>
      <c r="C69" s="19"/>
      <c r="D69" s="19"/>
      <c r="E69" s="19"/>
      <c r="F69" s="19"/>
      <c r="G69" s="19"/>
      <c r="H69" s="19"/>
      <c r="I69" s="19"/>
      <c r="J69" s="19"/>
      <c r="K69" s="18"/>
    </row>
    <row r="70" spans="1:11" x14ac:dyDescent="0.3">
      <c r="A70" s="99"/>
      <c r="B70" s="39"/>
      <c r="C70" s="19"/>
      <c r="D70" s="19"/>
      <c r="E70" s="19"/>
      <c r="F70" s="19"/>
      <c r="G70" s="19"/>
      <c r="H70" s="19"/>
      <c r="I70" s="19"/>
      <c r="J70" s="19"/>
      <c r="K70" s="18"/>
    </row>
    <row r="71" spans="1:11" x14ac:dyDescent="0.3">
      <c r="A71" s="39"/>
      <c r="B71" s="39"/>
      <c r="C71" s="19"/>
      <c r="D71" s="19"/>
      <c r="E71" s="19"/>
      <c r="F71" s="19"/>
      <c r="G71" s="19"/>
      <c r="H71" s="19"/>
      <c r="I71" s="19"/>
      <c r="J71" s="19"/>
    </row>
    <row r="72" spans="1:11" x14ac:dyDescent="0.3">
      <c r="A72" s="39"/>
      <c r="B72" s="39"/>
      <c r="C72" s="19"/>
      <c r="D72" s="19"/>
      <c r="E72" s="19"/>
      <c r="F72" s="19"/>
      <c r="G72" s="19"/>
      <c r="H72" s="19"/>
      <c r="I72" s="19"/>
      <c r="J72" s="19"/>
    </row>
    <row r="73" spans="1:11" x14ac:dyDescent="0.3">
      <c r="A73" s="39"/>
      <c r="B73" s="39"/>
      <c r="C73" s="19"/>
      <c r="D73" s="19"/>
      <c r="E73" s="19"/>
      <c r="F73" s="19"/>
      <c r="G73" s="19"/>
      <c r="H73" s="19"/>
      <c r="I73" s="19"/>
      <c r="J73" s="19"/>
    </row>
    <row r="74" spans="1:11" x14ac:dyDescent="0.3">
      <c r="A74" s="39"/>
      <c r="B74" s="39"/>
      <c r="C74" s="19"/>
      <c r="D74" s="19"/>
      <c r="E74" s="19"/>
      <c r="F74" s="19"/>
      <c r="G74" s="19"/>
      <c r="H74" s="19"/>
      <c r="I74" s="19"/>
      <c r="J74" s="19"/>
    </row>
    <row r="75" spans="1:11" x14ac:dyDescent="0.3">
      <c r="A75" s="39"/>
      <c r="B75" s="39"/>
      <c r="C75" s="19"/>
      <c r="D75" s="19"/>
      <c r="E75" s="19"/>
      <c r="F75" s="19"/>
      <c r="G75" s="19"/>
      <c r="H75" s="19"/>
      <c r="I75" s="19"/>
      <c r="J75" s="19"/>
    </row>
    <row r="76" spans="1:11" x14ac:dyDescent="0.3">
      <c r="A76" s="39"/>
      <c r="B76" s="39"/>
      <c r="C76" s="19"/>
      <c r="D76" s="19"/>
      <c r="E76" s="19"/>
      <c r="F76" s="19"/>
      <c r="G76" s="19"/>
      <c r="H76" s="19"/>
      <c r="I76" s="19"/>
      <c r="J76" s="19"/>
    </row>
    <row r="77" spans="1:11" x14ac:dyDescent="0.3">
      <c r="A77" s="39"/>
      <c r="B77" s="39"/>
      <c r="C77" s="19"/>
      <c r="D77" s="19"/>
      <c r="E77" s="19"/>
      <c r="F77" s="19"/>
      <c r="G77" s="19"/>
      <c r="H77" s="19"/>
      <c r="I77" s="19"/>
      <c r="J77" s="19"/>
    </row>
    <row r="78" spans="1:11" x14ac:dyDescent="0.3">
      <c r="A78" s="39"/>
      <c r="B78" s="39"/>
      <c r="C78" s="19"/>
      <c r="D78" s="19"/>
      <c r="E78" s="19"/>
      <c r="F78" s="19"/>
      <c r="G78" s="19"/>
      <c r="H78" s="19"/>
      <c r="I78" s="19"/>
      <c r="J78" s="19"/>
    </row>
    <row r="79" spans="1:11" x14ac:dyDescent="0.3">
      <c r="C79" s="55"/>
      <c r="D79" s="55"/>
      <c r="E79" s="55"/>
      <c r="F79" s="55"/>
      <c r="G79" s="55"/>
      <c r="H79" s="55"/>
      <c r="I79" s="55"/>
      <c r="J79" s="55"/>
    </row>
    <row r="80" spans="1:11" x14ac:dyDescent="0.3">
      <c r="C80" s="55"/>
      <c r="D80" s="55"/>
      <c r="E80" s="55"/>
      <c r="F80" s="55"/>
      <c r="G80" s="55"/>
      <c r="H80" s="55"/>
      <c r="I80" s="55"/>
      <c r="J80" s="55"/>
    </row>
    <row r="81" spans="3:10" x14ac:dyDescent="0.3">
      <c r="C81" s="55"/>
      <c r="D81" s="55"/>
      <c r="E81" s="55"/>
      <c r="F81" s="55"/>
      <c r="G81" s="55"/>
      <c r="H81" s="55"/>
      <c r="I81" s="55"/>
      <c r="J81" s="55"/>
    </row>
    <row r="82" spans="3:10" x14ac:dyDescent="0.3">
      <c r="C82" s="55"/>
      <c r="D82" s="55"/>
      <c r="E82" s="55"/>
      <c r="F82" s="55"/>
      <c r="G82" s="55"/>
      <c r="H82" s="55"/>
      <c r="I82" s="55"/>
      <c r="J82" s="55"/>
    </row>
    <row r="83" spans="3:10" x14ac:dyDescent="0.3">
      <c r="C83" s="55"/>
      <c r="D83" s="55"/>
      <c r="E83" s="55"/>
      <c r="F83" s="55"/>
      <c r="G83" s="55"/>
      <c r="H83" s="55"/>
      <c r="I83" s="55"/>
      <c r="J83" s="55"/>
    </row>
    <row r="84" spans="3:10" x14ac:dyDescent="0.3">
      <c r="C84" s="55"/>
      <c r="D84" s="55"/>
      <c r="E84" s="55"/>
      <c r="F84" s="55"/>
      <c r="G84" s="55"/>
      <c r="H84" s="55"/>
      <c r="I84" s="55"/>
      <c r="J84" s="55"/>
    </row>
    <row r="85" spans="3:10" x14ac:dyDescent="0.3">
      <c r="C85" s="55"/>
      <c r="D85" s="55"/>
      <c r="E85" s="55"/>
      <c r="F85" s="55"/>
      <c r="G85" s="55"/>
      <c r="H85" s="55"/>
      <c r="I85" s="55"/>
      <c r="J85" s="55"/>
    </row>
  </sheetData>
  <mergeCells count="5">
    <mergeCell ref="C9:E9"/>
    <mergeCell ref="F9:G9"/>
    <mergeCell ref="H9:J9"/>
    <mergeCell ref="A5:J5"/>
    <mergeCell ref="A6:J6"/>
  </mergeCells>
  <pageMargins left="0.57999999999999996" right="0.70866141732283472" top="0.74803149606299213" bottom="0.74803149606299213" header="0.31496062992125984" footer="0.31496062992125984"/>
  <pageSetup scale="70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A2" workbookViewId="0">
      <selection activeCell="A12" sqref="A12"/>
    </sheetView>
  </sheetViews>
  <sheetFormatPr baseColWidth="10" defaultColWidth="11.44140625" defaultRowHeight="14.4" x14ac:dyDescent="0.3"/>
  <cols>
    <col min="1" max="1" width="11.44140625" style="34"/>
    <col min="2" max="2" width="28.109375" style="34" customWidth="1"/>
    <col min="3" max="10" width="10.6640625" style="34" customWidth="1"/>
    <col min="11" max="16384" width="11.44140625" style="34"/>
  </cols>
  <sheetData>
    <row r="1" spans="1:11" x14ac:dyDescent="0.3">
      <c r="A1" s="205" t="s">
        <v>0</v>
      </c>
      <c r="B1" s="206"/>
      <c r="C1" s="35"/>
      <c r="D1" s="35"/>
      <c r="E1" s="35"/>
      <c r="F1" s="35"/>
      <c r="G1" s="35"/>
      <c r="H1" s="36" t="s">
        <v>1</v>
      </c>
      <c r="I1" s="35"/>
      <c r="J1" s="207"/>
    </row>
    <row r="2" spans="1:11" x14ac:dyDescent="0.3">
      <c r="A2" s="37" t="s">
        <v>2</v>
      </c>
      <c r="B2" s="38"/>
      <c r="C2" s="39"/>
      <c r="D2" s="39"/>
      <c r="E2" s="39"/>
      <c r="F2" s="39"/>
      <c r="G2" s="39"/>
      <c r="H2" s="40" t="s">
        <v>983</v>
      </c>
      <c r="I2" s="39"/>
      <c r="J2" s="20"/>
    </row>
    <row r="3" spans="1:11" x14ac:dyDescent="0.3">
      <c r="A3" s="41" t="s">
        <v>3</v>
      </c>
      <c r="B3" s="42"/>
      <c r="C3" s="39"/>
      <c r="D3" s="39"/>
      <c r="E3" s="39"/>
      <c r="F3" s="39"/>
      <c r="G3" s="39"/>
      <c r="H3" s="40" t="s">
        <v>438</v>
      </c>
      <c r="I3" s="39"/>
      <c r="J3" s="20"/>
    </row>
    <row r="4" spans="1:11" ht="17.399999999999999" x14ac:dyDescent="0.3">
      <c r="A4" s="43"/>
      <c r="B4" s="39"/>
      <c r="C4" s="39"/>
      <c r="D4" s="236" t="s">
        <v>5</v>
      </c>
      <c r="E4" s="236"/>
      <c r="F4" s="236"/>
      <c r="G4" s="236"/>
      <c r="H4" s="236"/>
      <c r="I4" s="39"/>
      <c r="J4" s="20"/>
    </row>
    <row r="5" spans="1:11" x14ac:dyDescent="0.3">
      <c r="A5" s="43"/>
      <c r="B5" s="44"/>
      <c r="C5" s="39"/>
      <c r="D5" s="40" t="s">
        <v>439</v>
      </c>
      <c r="E5" s="44"/>
      <c r="F5" s="44"/>
      <c r="G5" s="39"/>
      <c r="H5" s="39"/>
      <c r="I5" s="39"/>
      <c r="J5" s="20"/>
    </row>
    <row r="6" spans="1:11" x14ac:dyDescent="0.3">
      <c r="A6" s="43"/>
      <c r="B6" s="44"/>
      <c r="C6" s="39"/>
      <c r="D6" s="39" t="s">
        <v>6</v>
      </c>
      <c r="E6" s="44"/>
      <c r="F6" s="44"/>
      <c r="G6" s="39"/>
      <c r="H6" s="39"/>
      <c r="I6" s="39"/>
      <c r="J6" s="20"/>
    </row>
    <row r="7" spans="1:11" x14ac:dyDescent="0.3">
      <c r="A7" s="43"/>
      <c r="B7" s="39"/>
      <c r="C7" s="39"/>
      <c r="D7" s="39"/>
      <c r="E7" s="39"/>
      <c r="F7" s="39"/>
      <c r="G7" s="39"/>
      <c r="H7" s="39"/>
      <c r="I7" s="39"/>
      <c r="J7" s="20"/>
    </row>
    <row r="8" spans="1:11" x14ac:dyDescent="0.3">
      <c r="A8" s="43"/>
      <c r="B8" s="39"/>
      <c r="C8" s="39"/>
      <c r="D8" s="39"/>
      <c r="E8" s="39"/>
      <c r="F8" s="39"/>
      <c r="G8" s="39"/>
      <c r="H8" s="39"/>
      <c r="I8" s="39"/>
      <c r="J8" s="20"/>
    </row>
    <row r="9" spans="1:11" x14ac:dyDescent="0.3">
      <c r="A9" s="21" t="s">
        <v>7</v>
      </c>
      <c r="B9" s="22" t="s">
        <v>8</v>
      </c>
      <c r="C9" s="237" t="s">
        <v>9</v>
      </c>
      <c r="D9" s="238"/>
      <c r="E9" s="239"/>
      <c r="F9" s="240" t="s">
        <v>10</v>
      </c>
      <c r="G9" s="241"/>
      <c r="H9" s="237" t="s">
        <v>11</v>
      </c>
      <c r="I9" s="238"/>
      <c r="J9" s="242"/>
    </row>
    <row r="10" spans="1:11" x14ac:dyDescent="0.3">
      <c r="A10" s="23"/>
      <c r="B10" s="24"/>
      <c r="C10" s="25" t="s">
        <v>26</v>
      </c>
      <c r="D10" s="26" t="s">
        <v>14</v>
      </c>
      <c r="E10" s="27" t="s">
        <v>20</v>
      </c>
      <c r="F10" s="26" t="s">
        <v>16</v>
      </c>
      <c r="G10" s="26" t="s">
        <v>17</v>
      </c>
      <c r="H10" s="25" t="s">
        <v>18</v>
      </c>
      <c r="I10" s="26" t="s">
        <v>19</v>
      </c>
      <c r="J10" s="28" t="s">
        <v>20</v>
      </c>
    </row>
    <row r="11" spans="1:11" x14ac:dyDescent="0.3">
      <c r="A11" s="29">
        <v>42704</v>
      </c>
      <c r="B11" s="53" t="s">
        <v>984</v>
      </c>
      <c r="C11" s="53">
        <v>416528</v>
      </c>
      <c r="D11" s="53"/>
      <c r="E11" s="53">
        <f>+C11</f>
        <v>416528</v>
      </c>
      <c r="F11" s="30">
        <f>+H11/C11</f>
        <v>5.0348523988783464E-2</v>
      </c>
      <c r="G11" s="19"/>
      <c r="H11" s="88">
        <v>20971.57</v>
      </c>
      <c r="I11" s="30"/>
      <c r="J11" s="31">
        <f>+H11</f>
        <v>20971.57</v>
      </c>
    </row>
    <row r="12" spans="1:11" x14ac:dyDescent="0.3">
      <c r="A12" s="29"/>
      <c r="B12" s="53"/>
      <c r="C12" s="53"/>
      <c r="D12" s="53"/>
      <c r="E12" s="53"/>
      <c r="F12" s="53"/>
      <c r="G12" s="30"/>
      <c r="H12" s="30"/>
      <c r="I12" s="30"/>
      <c r="J12" s="31"/>
      <c r="K12" s="18"/>
    </row>
    <row r="13" spans="1:11" ht="15" thickBot="1" x14ac:dyDescent="0.35">
      <c r="A13" s="208"/>
      <c r="B13" s="209" t="s">
        <v>982</v>
      </c>
      <c r="C13" s="209">
        <f>SUM(C11:C12)</f>
        <v>416528</v>
      </c>
      <c r="D13" s="209">
        <f>SUM(D11:D12)</f>
        <v>0</v>
      </c>
      <c r="E13" s="209"/>
      <c r="F13" s="209"/>
      <c r="G13" s="210"/>
      <c r="H13" s="209">
        <f t="shared" ref="H13:I13" si="0">SUM(H11:H12)</f>
        <v>20971.57</v>
      </c>
      <c r="I13" s="209">
        <f t="shared" si="0"/>
        <v>0</v>
      </c>
      <c r="J13" s="211"/>
      <c r="K13" s="18"/>
    </row>
  </sheetData>
  <mergeCells count="4">
    <mergeCell ref="D4:H4"/>
    <mergeCell ref="C9:E9"/>
    <mergeCell ref="F9:G9"/>
    <mergeCell ref="H9:J9"/>
  </mergeCells>
  <pageMargins left="0.70866141732283472" right="0.70866141732283472" top="0.74803149606299213" bottom="0.74803149606299213" header="0.31496062992125984" footer="0.31496062992125984"/>
  <pageSetup scale="70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1" sqref="B21"/>
    </sheetView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45"/>
  <sheetViews>
    <sheetView topLeftCell="E1" workbookViewId="0">
      <selection activeCell="R28" sqref="R28"/>
    </sheetView>
  </sheetViews>
  <sheetFormatPr baseColWidth="10" defaultRowHeight="14.4" x14ac:dyDescent="0.3"/>
  <cols>
    <col min="2" max="2" width="20.6640625" customWidth="1"/>
    <col min="3" max="14" width="10.6640625" customWidth="1"/>
  </cols>
  <sheetData>
    <row r="1" spans="1:14" x14ac:dyDescent="0.3">
      <c r="A1" s="100" t="s">
        <v>0</v>
      </c>
      <c r="B1" s="101"/>
      <c r="C1" s="129"/>
      <c r="D1" s="129"/>
      <c r="E1" s="129"/>
      <c r="F1" s="129"/>
      <c r="G1" s="129"/>
      <c r="H1" s="130" t="s">
        <v>1</v>
      </c>
      <c r="I1" s="129"/>
      <c r="J1" s="129"/>
      <c r="K1" s="131"/>
      <c r="L1" s="60"/>
      <c r="M1" s="60"/>
      <c r="N1" s="60"/>
    </row>
    <row r="2" spans="1:14" x14ac:dyDescent="0.3">
      <c r="A2" s="102" t="s">
        <v>2</v>
      </c>
      <c r="B2" s="38"/>
      <c r="C2" s="5"/>
      <c r="D2" s="5"/>
      <c r="E2" s="5"/>
      <c r="F2" s="5"/>
      <c r="G2" s="5"/>
      <c r="H2" s="6" t="s">
        <v>21</v>
      </c>
      <c r="I2" s="5"/>
      <c r="J2" s="5"/>
      <c r="K2" s="132"/>
      <c r="L2" s="60"/>
      <c r="M2" s="60"/>
      <c r="N2" s="60"/>
    </row>
    <row r="3" spans="1:14" x14ac:dyDescent="0.3">
      <c r="A3" s="103" t="s">
        <v>3</v>
      </c>
      <c r="B3" s="42"/>
      <c r="C3" s="5"/>
      <c r="D3" s="5"/>
      <c r="E3" s="5"/>
      <c r="F3" s="5"/>
      <c r="G3" s="5"/>
      <c r="H3" s="6" t="s">
        <v>4</v>
      </c>
      <c r="I3" s="5"/>
      <c r="J3" s="5"/>
      <c r="K3" s="132"/>
      <c r="L3" s="60"/>
      <c r="M3" s="60"/>
      <c r="N3" s="60"/>
    </row>
    <row r="4" spans="1:14" x14ac:dyDescent="0.3">
      <c r="A4" s="114"/>
      <c r="B4" s="5"/>
      <c r="C4" s="5"/>
      <c r="D4" s="219" t="s">
        <v>5</v>
      </c>
      <c r="E4" s="219"/>
      <c r="F4" s="219"/>
      <c r="G4" s="219"/>
      <c r="H4" s="219"/>
      <c r="I4" s="5"/>
      <c r="J4" s="5"/>
      <c r="K4" s="132"/>
      <c r="L4" s="60"/>
      <c r="M4" s="60"/>
      <c r="N4" s="60"/>
    </row>
    <row r="5" spans="1:14" x14ac:dyDescent="0.3">
      <c r="A5" s="114"/>
      <c r="B5" s="7"/>
      <c r="C5" s="5"/>
      <c r="D5" s="6" t="s">
        <v>274</v>
      </c>
      <c r="E5" s="7"/>
      <c r="F5" s="7"/>
      <c r="G5" s="5"/>
      <c r="H5" s="5"/>
      <c r="I5" s="5"/>
      <c r="J5" s="5"/>
      <c r="K5" s="132"/>
      <c r="L5" s="60"/>
      <c r="M5" s="60"/>
      <c r="N5" s="60"/>
    </row>
    <row r="6" spans="1:14" x14ac:dyDescent="0.3">
      <c r="A6" s="114"/>
      <c r="B6" s="7"/>
      <c r="C6" s="5"/>
      <c r="D6" s="5" t="s">
        <v>6</v>
      </c>
      <c r="E6" s="7"/>
      <c r="F6" s="7"/>
      <c r="G6" s="5"/>
      <c r="H6" s="5"/>
      <c r="I6" s="5"/>
      <c r="J6" s="5"/>
      <c r="K6" s="132"/>
      <c r="L6" s="60"/>
      <c r="M6" s="60"/>
      <c r="N6" s="60"/>
    </row>
    <row r="7" spans="1:14" x14ac:dyDescent="0.3">
      <c r="A7" s="9" t="s">
        <v>7</v>
      </c>
      <c r="B7" s="8" t="s">
        <v>8</v>
      </c>
      <c r="C7" s="220" t="s">
        <v>9</v>
      </c>
      <c r="D7" s="220"/>
      <c r="E7" s="221"/>
      <c r="F7" s="222" t="s">
        <v>10</v>
      </c>
      <c r="G7" s="222"/>
      <c r="H7" s="223" t="s">
        <v>11</v>
      </c>
      <c r="I7" s="224"/>
      <c r="J7" s="224"/>
      <c r="K7" s="9" t="s">
        <v>12</v>
      </c>
      <c r="L7" s="60"/>
      <c r="M7" s="60"/>
      <c r="N7" s="60"/>
    </row>
    <row r="8" spans="1:14" x14ac:dyDescent="0.3">
      <c r="A8" s="11"/>
      <c r="B8" s="10"/>
      <c r="C8" s="10" t="s">
        <v>13</v>
      </c>
      <c r="D8" s="11" t="s">
        <v>14</v>
      </c>
      <c r="E8" s="12" t="s">
        <v>15</v>
      </c>
      <c r="F8" s="13" t="s">
        <v>16</v>
      </c>
      <c r="G8" s="13" t="s">
        <v>17</v>
      </c>
      <c r="H8" s="11" t="s">
        <v>18</v>
      </c>
      <c r="I8" s="14" t="s">
        <v>19</v>
      </c>
      <c r="J8" s="15" t="s">
        <v>20</v>
      </c>
      <c r="K8" s="16"/>
      <c r="L8" s="60"/>
      <c r="M8" s="60"/>
      <c r="N8" s="60"/>
    </row>
    <row r="9" spans="1:14" x14ac:dyDescent="0.3">
      <c r="A9" s="58">
        <v>42006</v>
      </c>
      <c r="B9" s="51" t="s">
        <v>22</v>
      </c>
      <c r="C9" s="47">
        <v>3610.76</v>
      </c>
      <c r="D9" s="47"/>
      <c r="E9" s="32">
        <f>+C9</f>
        <v>3610.76</v>
      </c>
      <c r="F9" s="17">
        <f>+H9/C9</f>
        <v>25.528572932014313</v>
      </c>
      <c r="G9" s="5"/>
      <c r="H9" s="2">
        <v>92177.55</v>
      </c>
      <c r="I9" s="47"/>
      <c r="J9" s="57">
        <f>+H9</f>
        <v>92177.55</v>
      </c>
      <c r="K9" s="63"/>
      <c r="L9" s="60"/>
      <c r="M9" s="60"/>
      <c r="N9" s="60"/>
    </row>
    <row r="10" spans="1:14" x14ac:dyDescent="0.3">
      <c r="A10" s="142">
        <v>42285</v>
      </c>
      <c r="B10" s="49" t="s">
        <v>692</v>
      </c>
      <c r="C10" s="4"/>
      <c r="D10" s="49">
        <f>34*4.2</f>
        <v>142.80000000000001</v>
      </c>
      <c r="E10" s="1">
        <f>+E9-D10</f>
        <v>3467.96</v>
      </c>
      <c r="F10" s="50"/>
      <c r="G10" s="50">
        <f>+J9/E9</f>
        <v>25.528572932014313</v>
      </c>
      <c r="H10" s="4"/>
      <c r="I10" s="56">
        <f>+D10*G10</f>
        <v>3645.4802146916441</v>
      </c>
      <c r="J10" s="3">
        <f>+J9-I10</f>
        <v>88532.069785308355</v>
      </c>
      <c r="K10" s="49"/>
      <c r="L10" s="60"/>
      <c r="M10" s="60"/>
      <c r="N10" s="60"/>
    </row>
    <row r="11" spans="1:14" x14ac:dyDescent="0.3">
      <c r="A11" s="142">
        <v>42294</v>
      </c>
      <c r="B11" s="49" t="s">
        <v>729</v>
      </c>
      <c r="C11" s="49"/>
      <c r="D11" s="49">
        <f>26*2.27+52*3.2+26*3.7+11</f>
        <v>332.62</v>
      </c>
      <c r="E11" s="1">
        <f t="shared" ref="E11:E16" si="0">+E10-D11</f>
        <v>3135.34</v>
      </c>
      <c r="F11" s="50"/>
      <c r="G11" s="50">
        <f t="shared" ref="G11:G16" si="1">+J10/E10</f>
        <v>25.528572932014313</v>
      </c>
      <c r="H11" s="49"/>
      <c r="I11" s="56">
        <f t="shared" ref="I11:I16" si="2">+D11*G11</f>
        <v>8491.3139286466012</v>
      </c>
      <c r="J11" s="56">
        <f t="shared" ref="J11:J16" si="3">+J10-I11</f>
        <v>80040.755856661752</v>
      </c>
      <c r="K11" s="160"/>
      <c r="L11" s="161">
        <f>SUM(I10:I11)</f>
        <v>12136.794143338246</v>
      </c>
      <c r="M11" s="89"/>
      <c r="N11" s="162">
        <v>42294</v>
      </c>
    </row>
    <row r="12" spans="1:14" x14ac:dyDescent="0.3">
      <c r="A12" s="142">
        <v>42303</v>
      </c>
      <c r="B12" s="49" t="s">
        <v>762</v>
      </c>
      <c r="C12" s="49"/>
      <c r="D12" s="49">
        <f>26*3.28</f>
        <v>85.28</v>
      </c>
      <c r="E12" s="1">
        <f t="shared" si="0"/>
        <v>3050.06</v>
      </c>
      <c r="F12" s="50"/>
      <c r="G12" s="50">
        <f t="shared" si="1"/>
        <v>25.52857293201431</v>
      </c>
      <c r="H12" s="49"/>
      <c r="I12" s="56">
        <f t="shared" si="2"/>
        <v>2177.0766996421803</v>
      </c>
      <c r="J12" s="56">
        <f t="shared" si="3"/>
        <v>77863.679157019578</v>
      </c>
      <c r="K12" s="160"/>
      <c r="L12" s="161">
        <f>SUM(I12)</f>
        <v>2177.0766996421803</v>
      </c>
      <c r="M12" s="161">
        <f>SUM(L11:L12)</f>
        <v>14313.870842980426</v>
      </c>
      <c r="N12" s="162">
        <v>42308</v>
      </c>
    </row>
    <row r="13" spans="1:14" x14ac:dyDescent="0.3">
      <c r="A13" s="142">
        <v>42326</v>
      </c>
      <c r="B13" s="49" t="s">
        <v>842</v>
      </c>
      <c r="C13" s="49"/>
      <c r="D13" s="49">
        <f>22*4.55</f>
        <v>100.1</v>
      </c>
      <c r="E13" s="1">
        <f t="shared" si="0"/>
        <v>2949.96</v>
      </c>
      <c r="F13" s="50"/>
      <c r="G13" s="50">
        <f t="shared" si="1"/>
        <v>25.528572932014313</v>
      </c>
      <c r="H13" s="49"/>
      <c r="I13" s="56">
        <f t="shared" si="2"/>
        <v>2555.4101504946325</v>
      </c>
      <c r="J13" s="56">
        <f t="shared" si="3"/>
        <v>75308.269006524948</v>
      </c>
      <c r="K13" s="160"/>
      <c r="L13" s="161">
        <f>SUM(I13)</f>
        <v>2555.4101504946325</v>
      </c>
      <c r="M13" s="161">
        <f>SUM(L13)</f>
        <v>2555.4101504946325</v>
      </c>
      <c r="N13" s="162">
        <v>42338</v>
      </c>
    </row>
    <row r="14" spans="1:14" x14ac:dyDescent="0.3">
      <c r="A14" s="142">
        <v>42350</v>
      </c>
      <c r="B14" s="49" t="s">
        <v>905</v>
      </c>
      <c r="C14" s="49"/>
      <c r="D14" s="49">
        <f>8*3.8</f>
        <v>30.4</v>
      </c>
      <c r="E14" s="1">
        <f t="shared" si="0"/>
        <v>2919.56</v>
      </c>
      <c r="F14" s="50"/>
      <c r="G14" s="50">
        <f t="shared" si="1"/>
        <v>25.528572932014313</v>
      </c>
      <c r="H14" s="49"/>
      <c r="I14" s="56">
        <f t="shared" si="2"/>
        <v>776.06861713323508</v>
      </c>
      <c r="J14" s="56">
        <f t="shared" si="3"/>
        <v>74532.200389391714</v>
      </c>
      <c r="K14" s="160"/>
      <c r="L14" s="161">
        <f>SUM(I14)</f>
        <v>776.06861713323508</v>
      </c>
      <c r="M14" s="89"/>
      <c r="N14" s="162">
        <v>42353</v>
      </c>
    </row>
    <row r="15" spans="1:14" x14ac:dyDescent="0.3">
      <c r="A15" s="142">
        <v>42357</v>
      </c>
      <c r="B15" s="49" t="s">
        <v>927</v>
      </c>
      <c r="C15" s="49"/>
      <c r="D15" s="49">
        <f>13*4.5</f>
        <v>58.5</v>
      </c>
      <c r="E15" s="1">
        <f t="shared" si="0"/>
        <v>2861.06</v>
      </c>
      <c r="F15" s="50"/>
      <c r="G15" s="50">
        <f t="shared" si="1"/>
        <v>25.528572932014317</v>
      </c>
      <c r="H15" s="49"/>
      <c r="I15" s="56">
        <f t="shared" si="2"/>
        <v>1493.4215165228375</v>
      </c>
      <c r="J15" s="56">
        <f t="shared" si="3"/>
        <v>73038.778872868876</v>
      </c>
      <c r="K15" s="49"/>
      <c r="L15" s="60"/>
      <c r="M15" s="60"/>
      <c r="N15" s="60"/>
    </row>
    <row r="16" spans="1:14" x14ac:dyDescent="0.3">
      <c r="A16" s="142">
        <v>42360</v>
      </c>
      <c r="B16" s="49" t="s">
        <v>935</v>
      </c>
      <c r="C16" s="49"/>
      <c r="D16" s="49">
        <v>2</v>
      </c>
      <c r="E16" s="1">
        <f t="shared" si="0"/>
        <v>2859.06</v>
      </c>
      <c r="F16" s="50"/>
      <c r="G16" s="50">
        <f t="shared" si="1"/>
        <v>25.528572932014317</v>
      </c>
      <c r="H16" s="49"/>
      <c r="I16" s="56">
        <f t="shared" si="2"/>
        <v>51.057145864028634</v>
      </c>
      <c r="J16" s="56">
        <f t="shared" si="3"/>
        <v>72987.721727004842</v>
      </c>
      <c r="K16" s="160"/>
      <c r="L16" s="161">
        <f>SUM(I15:I16)</f>
        <v>1544.4786623868661</v>
      </c>
      <c r="M16" s="165">
        <f>SUM(L14:L16)</f>
        <v>2320.5472795201013</v>
      </c>
      <c r="N16" s="162">
        <v>42369</v>
      </c>
    </row>
    <row r="17" spans="1:14" s="34" customFormat="1" ht="15" thickBot="1" x14ac:dyDescent="0.35">
      <c r="A17" s="142"/>
      <c r="B17" s="49" t="s">
        <v>982</v>
      </c>
      <c r="C17" s="4">
        <f>SUM(C9:C16)</f>
        <v>3610.76</v>
      </c>
      <c r="D17" s="4">
        <f>SUM(D9:D16)</f>
        <v>751.7</v>
      </c>
      <c r="E17" s="1"/>
      <c r="F17" s="50"/>
      <c r="G17" s="50"/>
      <c r="H17" s="4">
        <f t="shared" ref="H17:I17" si="4">SUM(H9:H16)</f>
        <v>92177.55</v>
      </c>
      <c r="I17" s="75">
        <f t="shared" si="4"/>
        <v>19189.828272995161</v>
      </c>
      <c r="J17" s="3"/>
      <c r="K17" s="49"/>
      <c r="L17" s="60"/>
      <c r="M17" s="166">
        <f>SUM(M11:M16)</f>
        <v>19189.828272995161</v>
      </c>
      <c r="N17" s="60"/>
    </row>
    <row r="18" spans="1:14" s="34" customFormat="1" ht="15" thickTop="1" x14ac:dyDescent="0.3">
      <c r="A18" s="142"/>
      <c r="B18" s="49"/>
      <c r="C18" s="4"/>
      <c r="D18" s="49"/>
      <c r="E18" s="1"/>
      <c r="F18" s="50"/>
      <c r="G18" s="50"/>
      <c r="H18" s="4"/>
      <c r="I18" s="56"/>
      <c r="J18" s="3"/>
      <c r="K18" s="49"/>
      <c r="L18" s="60"/>
      <c r="M18" s="60"/>
      <c r="N18" s="60"/>
    </row>
    <row r="19" spans="1:14" s="39" customFormat="1" x14ac:dyDescent="0.3">
      <c r="A19" s="134"/>
      <c r="B19" s="117"/>
      <c r="C19" s="135"/>
      <c r="D19" s="117"/>
      <c r="E19" s="136"/>
      <c r="F19" s="119"/>
      <c r="G19" s="119"/>
      <c r="H19" s="135"/>
      <c r="I19" s="139"/>
      <c r="J19" s="140"/>
      <c r="K19" s="117"/>
      <c r="L19" s="5"/>
      <c r="M19" s="5"/>
      <c r="N19" s="5"/>
    </row>
    <row r="20" spans="1:14" s="39" customFormat="1" x14ac:dyDescent="0.3">
      <c r="A20" s="127" t="s">
        <v>980</v>
      </c>
      <c r="B20" s="6"/>
      <c r="C20" s="5"/>
      <c r="D20" s="5"/>
      <c r="E20" s="5"/>
      <c r="F20" s="5"/>
      <c r="G20" s="60"/>
      <c r="H20" s="60"/>
      <c r="I20" s="60"/>
      <c r="J20" s="60"/>
      <c r="K20" s="117"/>
      <c r="L20" s="5"/>
      <c r="M20" s="5"/>
      <c r="N20" s="5"/>
    </row>
    <row r="21" spans="1:14" s="39" customFormat="1" x14ac:dyDescent="0.3">
      <c r="A21" s="127" t="s">
        <v>981</v>
      </c>
      <c r="B21" s="6"/>
      <c r="C21" s="5"/>
      <c r="D21" s="5"/>
      <c r="E21" s="5"/>
      <c r="F21" s="5"/>
      <c r="G21" s="60"/>
      <c r="H21" s="60"/>
      <c r="I21" s="60"/>
      <c r="J21" s="163">
        <f>+E16*F9</f>
        <v>72987.721727004842</v>
      </c>
      <c r="K21" s="117"/>
      <c r="L21" s="5"/>
      <c r="M21" s="5"/>
      <c r="N21" s="5"/>
    </row>
    <row r="22" spans="1:14" s="39" customFormat="1" x14ac:dyDescent="0.3">
      <c r="A22" s="127" t="s">
        <v>978</v>
      </c>
      <c r="B22" s="6"/>
      <c r="C22" s="5"/>
      <c r="D22" s="5"/>
      <c r="E22" s="5"/>
      <c r="F22" s="5"/>
      <c r="G22" s="60"/>
      <c r="H22" s="60"/>
      <c r="I22" s="60"/>
      <c r="J22" s="164">
        <f>+J16</f>
        <v>72987.721727004842</v>
      </c>
      <c r="K22" s="117"/>
      <c r="L22" s="5"/>
      <c r="M22" s="5"/>
      <c r="N22" s="5"/>
    </row>
    <row r="23" spans="1:14" s="39" customFormat="1" x14ac:dyDescent="0.3">
      <c r="A23" s="127"/>
      <c r="B23" s="6" t="s">
        <v>979</v>
      </c>
      <c r="C23" s="5"/>
      <c r="D23" s="5"/>
      <c r="E23" s="5"/>
      <c r="F23" s="5"/>
      <c r="G23" s="60"/>
      <c r="H23" s="60"/>
      <c r="I23" s="60"/>
      <c r="J23" s="163">
        <f>+J21-J22</f>
        <v>0</v>
      </c>
      <c r="K23" s="117"/>
      <c r="L23" s="5"/>
      <c r="M23" s="5"/>
      <c r="N23" s="5"/>
    </row>
    <row r="24" spans="1:14" s="39" customFormat="1" x14ac:dyDescent="0.3">
      <c r="A24" s="5"/>
      <c r="B24" s="117"/>
      <c r="C24" s="107"/>
      <c r="D24" s="108"/>
      <c r="E24" s="118"/>
      <c r="F24" s="119"/>
      <c r="G24" s="119"/>
      <c r="H24" s="119"/>
      <c r="I24" s="119"/>
      <c r="J24" s="120"/>
      <c r="K24" s="141"/>
    </row>
    <row r="25" spans="1:14" s="39" customFormat="1" x14ac:dyDescent="0.3">
      <c r="A25" s="134"/>
      <c r="B25" s="117"/>
      <c r="C25" s="135"/>
      <c r="D25" s="117"/>
      <c r="E25" s="136"/>
      <c r="F25" s="137"/>
      <c r="G25" s="119"/>
      <c r="H25" s="138"/>
      <c r="I25" s="139"/>
      <c r="J25" s="140"/>
      <c r="K25" s="141"/>
    </row>
    <row r="26" spans="1:14" s="39" customFormat="1" x14ac:dyDescent="0.3">
      <c r="A26" s="134"/>
      <c r="B26" s="117"/>
      <c r="C26" s="135"/>
      <c r="D26" s="117"/>
      <c r="E26" s="136"/>
      <c r="F26" s="137"/>
      <c r="G26" s="119"/>
      <c r="H26" s="138"/>
      <c r="I26" s="139"/>
      <c r="J26" s="140"/>
      <c r="K26" s="141"/>
    </row>
    <row r="27" spans="1:14" s="39" customFormat="1" x14ac:dyDescent="0.3">
      <c r="A27" s="134"/>
      <c r="B27" s="117"/>
      <c r="C27" s="135"/>
      <c r="D27" s="117"/>
      <c r="E27" s="136"/>
      <c r="F27" s="137"/>
      <c r="G27" s="119"/>
      <c r="H27" s="138"/>
      <c r="I27" s="139"/>
      <c r="J27" s="140"/>
      <c r="K27" s="141"/>
    </row>
    <row r="28" spans="1:14" s="39" customFormat="1" x14ac:dyDescent="0.3">
      <c r="A28" s="134"/>
      <c r="B28" s="117"/>
      <c r="C28" s="135"/>
      <c r="D28" s="117"/>
      <c r="E28" s="136"/>
      <c r="F28" s="137"/>
      <c r="G28" s="119"/>
      <c r="H28" s="138"/>
      <c r="I28" s="139"/>
      <c r="J28" s="140"/>
      <c r="K28" s="141"/>
    </row>
    <row r="29" spans="1:14" s="39" customFormat="1" x14ac:dyDescent="0.3">
      <c r="A29" s="134"/>
      <c r="B29" s="117"/>
      <c r="C29" s="135"/>
      <c r="D29" s="117"/>
      <c r="E29" s="136"/>
      <c r="F29" s="137"/>
      <c r="G29" s="119"/>
      <c r="H29" s="138"/>
      <c r="I29" s="139"/>
      <c r="J29" s="140"/>
      <c r="K29" s="141"/>
    </row>
    <row r="30" spans="1:14" s="39" customFormat="1" x14ac:dyDescent="0.3">
      <c r="A30" s="134"/>
      <c r="B30" s="117"/>
      <c r="C30" s="135"/>
      <c r="D30" s="117"/>
      <c r="E30" s="136"/>
      <c r="F30" s="137"/>
      <c r="G30" s="119"/>
      <c r="H30" s="138"/>
      <c r="I30" s="139"/>
      <c r="J30" s="140"/>
      <c r="K30" s="141"/>
    </row>
    <row r="31" spans="1:14" s="39" customFormat="1" x14ac:dyDescent="0.3">
      <c r="A31" s="134"/>
      <c r="B31" s="117"/>
      <c r="C31" s="135"/>
      <c r="D31" s="117"/>
      <c r="E31" s="136"/>
      <c r="F31" s="137"/>
      <c r="G31" s="119"/>
      <c r="H31" s="138"/>
      <c r="I31" s="139"/>
      <c r="J31" s="140"/>
      <c r="K31" s="141"/>
    </row>
    <row r="32" spans="1:14" s="39" customFormat="1" x14ac:dyDescent="0.3">
      <c r="A32" s="134"/>
      <c r="B32" s="117"/>
      <c r="C32" s="135"/>
      <c r="D32" s="117"/>
      <c r="E32" s="136"/>
      <c r="F32" s="137"/>
      <c r="G32" s="119"/>
      <c r="H32" s="138"/>
      <c r="I32" s="139"/>
      <c r="J32" s="140"/>
      <c r="K32" s="141"/>
    </row>
    <row r="33" spans="1:11" s="39" customFormat="1" x14ac:dyDescent="0.3">
      <c r="A33" s="134"/>
      <c r="B33" s="117"/>
      <c r="C33" s="135"/>
      <c r="D33" s="117"/>
      <c r="E33" s="136"/>
      <c r="F33" s="137"/>
      <c r="G33" s="119"/>
      <c r="H33" s="138"/>
      <c r="I33" s="139"/>
      <c r="J33" s="140"/>
      <c r="K33" s="141"/>
    </row>
    <row r="34" spans="1:11" s="39" customFormat="1" x14ac:dyDescent="0.3">
      <c r="A34" s="134"/>
      <c r="B34" s="117"/>
      <c r="C34" s="135"/>
      <c r="D34" s="117"/>
      <c r="E34" s="136"/>
      <c r="F34" s="137"/>
      <c r="G34" s="119"/>
      <c r="H34" s="138"/>
      <c r="I34" s="139"/>
      <c r="J34" s="140"/>
      <c r="K34" s="141"/>
    </row>
    <row r="35" spans="1:11" s="39" customFormat="1" x14ac:dyDescent="0.3">
      <c r="A35" s="134"/>
      <c r="B35" s="117"/>
      <c r="C35" s="135"/>
      <c r="D35" s="117"/>
      <c r="E35" s="136"/>
      <c r="F35" s="137"/>
      <c r="G35" s="119"/>
      <c r="H35" s="138"/>
      <c r="I35" s="139"/>
      <c r="J35" s="140"/>
      <c r="K35" s="141"/>
    </row>
    <row r="36" spans="1:11" s="39" customFormat="1" x14ac:dyDescent="0.3">
      <c r="A36" s="134"/>
      <c r="B36" s="117"/>
      <c r="C36" s="135"/>
      <c r="D36" s="117"/>
      <c r="E36" s="136"/>
      <c r="F36" s="137"/>
      <c r="G36" s="119"/>
      <c r="H36" s="138"/>
      <c r="I36" s="139"/>
      <c r="J36" s="140"/>
      <c r="K36" s="141"/>
    </row>
    <row r="37" spans="1:11" s="39" customFormat="1" x14ac:dyDescent="0.3"/>
    <row r="38" spans="1:11" s="39" customFormat="1" x14ac:dyDescent="0.3"/>
    <row r="39" spans="1:11" s="39" customFormat="1" x14ac:dyDescent="0.3"/>
    <row r="40" spans="1:11" s="39" customFormat="1" x14ac:dyDescent="0.3"/>
    <row r="41" spans="1:11" s="39" customFormat="1" x14ac:dyDescent="0.3"/>
    <row r="42" spans="1:11" s="39" customFormat="1" x14ac:dyDescent="0.3"/>
    <row r="43" spans="1:11" s="39" customFormat="1" x14ac:dyDescent="0.3"/>
    <row r="44" spans="1:11" s="39" customFormat="1" x14ac:dyDescent="0.3"/>
    <row r="45" spans="1:11" s="39" customFormat="1" x14ac:dyDescent="0.3"/>
  </sheetData>
  <mergeCells count="4">
    <mergeCell ref="D4:H4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scale="7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91"/>
  <sheetViews>
    <sheetView topLeftCell="C73" workbookViewId="0">
      <selection activeCell="D1" sqref="D1"/>
    </sheetView>
  </sheetViews>
  <sheetFormatPr baseColWidth="10" defaultRowHeight="14.4" x14ac:dyDescent="0.3"/>
  <cols>
    <col min="2" max="2" width="20.88671875" customWidth="1"/>
    <col min="3" max="14" width="10.6640625" customWidth="1"/>
  </cols>
  <sheetData>
    <row r="1" spans="1:14" x14ac:dyDescent="0.3">
      <c r="A1" s="100" t="s">
        <v>0</v>
      </c>
      <c r="B1" s="101"/>
      <c r="C1" s="129"/>
      <c r="D1" s="129"/>
      <c r="E1" s="129"/>
      <c r="F1" s="129"/>
      <c r="G1" s="129"/>
      <c r="H1" s="130" t="s">
        <v>1</v>
      </c>
      <c r="I1" s="129"/>
      <c r="J1" s="129"/>
      <c r="K1" s="131"/>
      <c r="L1" s="60"/>
      <c r="M1" s="60"/>
      <c r="N1" s="60"/>
    </row>
    <row r="2" spans="1:14" x14ac:dyDescent="0.3">
      <c r="A2" s="102" t="s">
        <v>2</v>
      </c>
      <c r="B2" s="38"/>
      <c r="C2" s="5"/>
      <c r="D2" s="5"/>
      <c r="E2" s="5"/>
      <c r="F2" s="5"/>
      <c r="G2" s="5"/>
      <c r="H2" s="6" t="s">
        <v>23</v>
      </c>
      <c r="I2" s="5"/>
      <c r="J2" s="5"/>
      <c r="K2" s="132"/>
      <c r="L2" s="60"/>
      <c r="M2" s="60"/>
      <c r="N2" s="60"/>
    </row>
    <row r="3" spans="1:14" x14ac:dyDescent="0.3">
      <c r="A3" s="103" t="s">
        <v>3</v>
      </c>
      <c r="B3" s="42"/>
      <c r="C3" s="5"/>
      <c r="D3" s="5"/>
      <c r="E3" s="5"/>
      <c r="F3" s="5"/>
      <c r="G3" s="5"/>
      <c r="H3" s="6" t="s">
        <v>4</v>
      </c>
      <c r="I3" s="5"/>
      <c r="J3" s="5"/>
      <c r="K3" s="132"/>
      <c r="L3" s="60"/>
      <c r="M3" s="60"/>
      <c r="N3" s="60"/>
    </row>
    <row r="4" spans="1:14" x14ac:dyDescent="0.3">
      <c r="A4" s="114"/>
      <c r="B4" s="5"/>
      <c r="C4" s="5"/>
      <c r="D4" s="219" t="s">
        <v>5</v>
      </c>
      <c r="E4" s="219"/>
      <c r="F4" s="219"/>
      <c r="G4" s="219"/>
      <c r="H4" s="219"/>
      <c r="I4" s="5"/>
      <c r="J4" s="5"/>
      <c r="K4" s="132"/>
      <c r="L4" s="60"/>
      <c r="M4" s="60"/>
      <c r="N4" s="60"/>
    </row>
    <row r="5" spans="1:14" x14ac:dyDescent="0.3">
      <c r="A5" s="114"/>
      <c r="B5" s="7"/>
      <c r="C5" s="5"/>
      <c r="D5" s="6" t="s">
        <v>684</v>
      </c>
      <c r="E5" s="7"/>
      <c r="F5" s="7"/>
      <c r="G5" s="5"/>
      <c r="H5" s="5" t="s">
        <v>24</v>
      </c>
      <c r="I5" s="5"/>
      <c r="J5" s="5"/>
      <c r="K5" s="132"/>
      <c r="L5" s="60"/>
      <c r="M5" s="60"/>
      <c r="N5" s="60"/>
    </row>
    <row r="6" spans="1:14" x14ac:dyDescent="0.3">
      <c r="A6" s="114"/>
      <c r="B6" s="7"/>
      <c r="C6" s="5"/>
      <c r="D6" s="5" t="s">
        <v>6</v>
      </c>
      <c r="E6" s="7"/>
      <c r="F6" s="7"/>
      <c r="G6" s="5"/>
      <c r="H6" s="5"/>
      <c r="I6" s="5"/>
      <c r="J6" s="5"/>
      <c r="K6" s="132"/>
      <c r="L6" s="60"/>
      <c r="M6" s="60"/>
      <c r="N6" s="60"/>
    </row>
    <row r="7" spans="1:14" x14ac:dyDescent="0.3">
      <c r="A7" s="9" t="s">
        <v>7</v>
      </c>
      <c r="B7" s="8" t="s">
        <v>8</v>
      </c>
      <c r="C7" s="220" t="s">
        <v>9</v>
      </c>
      <c r="D7" s="220"/>
      <c r="E7" s="221"/>
      <c r="F7" s="222" t="s">
        <v>10</v>
      </c>
      <c r="G7" s="222"/>
      <c r="H7" s="223" t="s">
        <v>11</v>
      </c>
      <c r="I7" s="224"/>
      <c r="J7" s="224"/>
      <c r="K7" s="9" t="s">
        <v>12</v>
      </c>
      <c r="L7" s="60"/>
      <c r="M7" s="60"/>
      <c r="N7" s="60"/>
    </row>
    <row r="8" spans="1:14" x14ac:dyDescent="0.3">
      <c r="A8" s="11"/>
      <c r="B8" s="10"/>
      <c r="C8" s="10" t="s">
        <v>13</v>
      </c>
      <c r="D8" s="11" t="s">
        <v>14</v>
      </c>
      <c r="E8" s="12" t="s">
        <v>15</v>
      </c>
      <c r="F8" s="13" t="s">
        <v>16</v>
      </c>
      <c r="G8" s="13" t="s">
        <v>17</v>
      </c>
      <c r="H8" s="11" t="s">
        <v>18</v>
      </c>
      <c r="I8" s="14" t="s">
        <v>19</v>
      </c>
      <c r="J8" s="15" t="s">
        <v>20</v>
      </c>
      <c r="K8" s="16"/>
      <c r="L8" s="60"/>
      <c r="M8" s="60"/>
      <c r="N8" s="60"/>
    </row>
    <row r="9" spans="1:14" x14ac:dyDescent="0.3">
      <c r="A9" s="58">
        <v>42006</v>
      </c>
      <c r="B9" s="51" t="s">
        <v>25</v>
      </c>
      <c r="C9" s="57">
        <v>5098</v>
      </c>
      <c r="D9" s="51"/>
      <c r="E9" s="32">
        <f>+C9</f>
        <v>5098</v>
      </c>
      <c r="F9" s="17">
        <f>+H9/C9</f>
        <v>25.860570812083171</v>
      </c>
      <c r="G9" s="17"/>
      <c r="H9" s="50">
        <v>131837.19</v>
      </c>
      <c r="I9" s="47"/>
      <c r="J9" s="33">
        <f>+H9</f>
        <v>131837.19</v>
      </c>
      <c r="K9" s="63"/>
      <c r="L9" s="60"/>
      <c r="M9" s="60"/>
      <c r="N9" s="60"/>
    </row>
    <row r="10" spans="1:14" x14ac:dyDescent="0.3">
      <c r="A10" s="58">
        <v>42006</v>
      </c>
      <c r="B10" s="51" t="s">
        <v>30</v>
      </c>
      <c r="C10" s="47"/>
      <c r="D10" s="62">
        <f>5*2.5+2</f>
        <v>14.5</v>
      </c>
      <c r="E10" s="85">
        <f>+E9-D10</f>
        <v>5083.5</v>
      </c>
      <c r="F10" s="17"/>
      <c r="G10" s="17">
        <f>+J9/E9</f>
        <v>25.860570812083171</v>
      </c>
      <c r="H10" s="50"/>
      <c r="I10" s="17">
        <f>+D10*G10</f>
        <v>374.97827677520598</v>
      </c>
      <c r="J10" s="67">
        <f>+J9-I10</f>
        <v>131462.21172322478</v>
      </c>
      <c r="K10" s="51"/>
      <c r="L10" s="60"/>
      <c r="M10" s="60"/>
      <c r="N10" s="60"/>
    </row>
    <row r="11" spans="1:14" x14ac:dyDescent="0.3">
      <c r="A11" s="58">
        <v>42007</v>
      </c>
      <c r="B11" s="51" t="s">
        <v>34</v>
      </c>
      <c r="C11" s="47"/>
      <c r="D11" s="62">
        <f>3.05+1.1</f>
        <v>4.1500000000000004</v>
      </c>
      <c r="E11" s="85">
        <f t="shared" ref="E11:E25" si="0">+E10-D11</f>
        <v>5079.3500000000004</v>
      </c>
      <c r="F11" s="17"/>
      <c r="G11" s="17">
        <f t="shared" ref="G11:G25" si="1">+J10/E10</f>
        <v>25.860570812083168</v>
      </c>
      <c r="H11" s="50"/>
      <c r="I11" s="17">
        <f t="shared" ref="I11:I25" si="2">+D11*G11</f>
        <v>107.32136887014515</v>
      </c>
      <c r="J11" s="67">
        <f t="shared" ref="J11:J25" si="3">+J10-I11</f>
        <v>131354.89035435463</v>
      </c>
      <c r="K11" s="51"/>
      <c r="L11" s="60"/>
      <c r="M11" s="60"/>
      <c r="N11" s="60"/>
    </row>
    <row r="12" spans="1:14" x14ac:dyDescent="0.3">
      <c r="A12" s="58">
        <v>42010</v>
      </c>
      <c r="B12" s="51" t="s">
        <v>46</v>
      </c>
      <c r="C12" s="47"/>
      <c r="D12" s="62">
        <f>10*5.6</f>
        <v>56</v>
      </c>
      <c r="E12" s="85">
        <f t="shared" si="0"/>
        <v>5023.3500000000004</v>
      </c>
      <c r="F12" s="17"/>
      <c r="G12" s="17">
        <f t="shared" si="1"/>
        <v>25.860570812083164</v>
      </c>
      <c r="H12" s="50"/>
      <c r="I12" s="17">
        <f t="shared" si="2"/>
        <v>1448.1919654766573</v>
      </c>
      <c r="J12" s="67">
        <f t="shared" si="3"/>
        <v>129906.69838887798</v>
      </c>
      <c r="K12" s="51"/>
      <c r="L12" s="60"/>
      <c r="M12" s="60"/>
      <c r="N12" s="60"/>
    </row>
    <row r="13" spans="1:14" x14ac:dyDescent="0.3">
      <c r="A13" s="58">
        <v>42012</v>
      </c>
      <c r="B13" s="51" t="s">
        <v>56</v>
      </c>
      <c r="C13" s="47"/>
      <c r="D13" s="62">
        <f>4*5.9</f>
        <v>23.6</v>
      </c>
      <c r="E13" s="85">
        <f t="shared" si="0"/>
        <v>4999.75</v>
      </c>
      <c r="F13" s="17"/>
      <c r="G13" s="17">
        <f t="shared" si="1"/>
        <v>25.860570812083164</v>
      </c>
      <c r="H13" s="50"/>
      <c r="I13" s="17">
        <f t="shared" si="2"/>
        <v>610.30947116516268</v>
      </c>
      <c r="J13" s="67">
        <f t="shared" si="3"/>
        <v>129296.38891771281</v>
      </c>
      <c r="K13" s="51"/>
      <c r="L13" s="60"/>
      <c r="M13" s="60"/>
      <c r="N13" s="60"/>
    </row>
    <row r="14" spans="1:14" x14ac:dyDescent="0.3">
      <c r="A14" s="58">
        <v>42014</v>
      </c>
      <c r="B14" s="51" t="s">
        <v>66</v>
      </c>
      <c r="C14" s="47"/>
      <c r="D14" s="62">
        <f>32*6.35</f>
        <v>203.2</v>
      </c>
      <c r="E14" s="85">
        <f t="shared" si="0"/>
        <v>4796.55</v>
      </c>
      <c r="F14" s="17"/>
      <c r="G14" s="17">
        <f t="shared" si="1"/>
        <v>25.860570812083168</v>
      </c>
      <c r="H14" s="50"/>
      <c r="I14" s="17">
        <f t="shared" si="2"/>
        <v>5254.8679890152998</v>
      </c>
      <c r="J14" s="67">
        <f t="shared" si="3"/>
        <v>124041.52092869752</v>
      </c>
      <c r="K14" s="51"/>
      <c r="L14" s="60"/>
      <c r="M14" s="60"/>
      <c r="N14" s="60"/>
    </row>
    <row r="15" spans="1:14" x14ac:dyDescent="0.3">
      <c r="A15" s="58">
        <v>42014</v>
      </c>
      <c r="B15" s="51" t="s">
        <v>72</v>
      </c>
      <c r="C15" s="51"/>
      <c r="D15" s="62">
        <f>13*1.6</f>
        <v>20.8</v>
      </c>
      <c r="E15" s="85">
        <f t="shared" si="0"/>
        <v>4775.75</v>
      </c>
      <c r="F15" s="17"/>
      <c r="G15" s="17">
        <f t="shared" si="1"/>
        <v>25.860570812083164</v>
      </c>
      <c r="H15" s="50"/>
      <c r="I15" s="17">
        <f t="shared" si="2"/>
        <v>537.89987289132989</v>
      </c>
      <c r="J15" s="17">
        <f t="shared" si="3"/>
        <v>123503.62105580619</v>
      </c>
      <c r="K15" s="81"/>
      <c r="L15" s="90">
        <f>SUM(I10:I15)</f>
        <v>8333.5689441938011</v>
      </c>
      <c r="M15" s="89"/>
      <c r="N15" s="162">
        <v>42016</v>
      </c>
    </row>
    <row r="16" spans="1:14" x14ac:dyDescent="0.3">
      <c r="A16" s="58">
        <v>42020</v>
      </c>
      <c r="B16" s="51" t="s">
        <v>78</v>
      </c>
      <c r="C16" s="51"/>
      <c r="D16" s="62">
        <v>4.8</v>
      </c>
      <c r="E16" s="85">
        <f t="shared" si="0"/>
        <v>4770.95</v>
      </c>
      <c r="F16" s="17"/>
      <c r="G16" s="17">
        <f t="shared" si="1"/>
        <v>25.860570812083168</v>
      </c>
      <c r="H16" s="50"/>
      <c r="I16" s="17">
        <f t="shared" si="2"/>
        <v>124.13073989799921</v>
      </c>
      <c r="J16" s="17">
        <f t="shared" si="3"/>
        <v>123379.49031590819</v>
      </c>
      <c r="K16" s="51"/>
      <c r="L16" s="60"/>
      <c r="M16" s="60"/>
      <c r="N16" s="60"/>
    </row>
    <row r="17" spans="1:14" x14ac:dyDescent="0.3">
      <c r="A17" s="58">
        <v>42025</v>
      </c>
      <c r="B17" s="51" t="s">
        <v>80</v>
      </c>
      <c r="C17" s="51"/>
      <c r="D17" s="62">
        <f>13+12</f>
        <v>25</v>
      </c>
      <c r="E17" s="85">
        <f t="shared" si="0"/>
        <v>4745.95</v>
      </c>
      <c r="F17" s="17"/>
      <c r="G17" s="17">
        <f t="shared" si="1"/>
        <v>25.860570812083168</v>
      </c>
      <c r="H17" s="50"/>
      <c r="I17" s="17">
        <f t="shared" si="2"/>
        <v>646.51427030207924</v>
      </c>
      <c r="J17" s="17">
        <f t="shared" si="3"/>
        <v>122732.9760456061</v>
      </c>
      <c r="K17" s="51"/>
      <c r="L17" s="60"/>
      <c r="M17" s="60"/>
      <c r="N17" s="60"/>
    </row>
    <row r="18" spans="1:14" x14ac:dyDescent="0.3">
      <c r="A18" s="58">
        <v>42027</v>
      </c>
      <c r="B18" s="51" t="s">
        <v>81</v>
      </c>
      <c r="C18" s="51"/>
      <c r="D18" s="62">
        <f>5*6+8*5.4+8*4.7+8*3.7</f>
        <v>140.4</v>
      </c>
      <c r="E18" s="85">
        <f t="shared" si="0"/>
        <v>4605.55</v>
      </c>
      <c r="F18" s="17"/>
      <c r="G18" s="17">
        <f t="shared" si="1"/>
        <v>25.860570812083168</v>
      </c>
      <c r="H18" s="50"/>
      <c r="I18" s="17">
        <f t="shared" si="2"/>
        <v>3630.8241420164768</v>
      </c>
      <c r="J18" s="17">
        <f t="shared" si="3"/>
        <v>119102.15190358963</v>
      </c>
      <c r="K18" s="51"/>
      <c r="L18" s="60"/>
      <c r="M18" s="60"/>
      <c r="N18" s="60"/>
    </row>
    <row r="19" spans="1:14" x14ac:dyDescent="0.3">
      <c r="A19" s="58">
        <v>42034</v>
      </c>
      <c r="B19" s="51" t="s">
        <v>87</v>
      </c>
      <c r="C19" s="51"/>
      <c r="D19" s="62">
        <f>16*2.5</f>
        <v>40</v>
      </c>
      <c r="E19" s="85">
        <f t="shared" si="0"/>
        <v>4565.55</v>
      </c>
      <c r="F19" s="17"/>
      <c r="G19" s="17">
        <f t="shared" si="1"/>
        <v>25.860570812083168</v>
      </c>
      <c r="H19" s="50"/>
      <c r="I19" s="17">
        <f t="shared" si="2"/>
        <v>1034.4228324833266</v>
      </c>
      <c r="J19" s="17">
        <f t="shared" si="3"/>
        <v>118067.72907110631</v>
      </c>
      <c r="K19" s="51"/>
      <c r="L19" s="60"/>
      <c r="M19" s="60"/>
      <c r="N19" s="60"/>
    </row>
    <row r="20" spans="1:14" x14ac:dyDescent="0.3">
      <c r="A20" s="58">
        <v>42035</v>
      </c>
      <c r="B20" s="51" t="s">
        <v>88</v>
      </c>
      <c r="C20" s="51"/>
      <c r="D20" s="62">
        <f>9-6.7</f>
        <v>2.2999999999999998</v>
      </c>
      <c r="E20" s="85">
        <f t="shared" si="0"/>
        <v>4563.25</v>
      </c>
      <c r="F20" s="17"/>
      <c r="G20" s="17">
        <f t="shared" si="1"/>
        <v>25.860570812083168</v>
      </c>
      <c r="H20" s="50"/>
      <c r="I20" s="17">
        <f t="shared" si="2"/>
        <v>59.479312867791279</v>
      </c>
      <c r="J20" s="17">
        <f t="shared" si="3"/>
        <v>118008.24975823853</v>
      </c>
      <c r="K20" s="81"/>
      <c r="L20" s="90">
        <f>SUM(I16:I20)</f>
        <v>5495.3712975676726</v>
      </c>
      <c r="M20" s="90">
        <f>SUM(L15:L20)</f>
        <v>13828.940241761473</v>
      </c>
      <c r="N20" s="162">
        <v>42035</v>
      </c>
    </row>
    <row r="21" spans="1:14" x14ac:dyDescent="0.3">
      <c r="A21" s="58">
        <v>42047</v>
      </c>
      <c r="B21" s="51" t="s">
        <v>107</v>
      </c>
      <c r="C21" s="51"/>
      <c r="D21" s="62">
        <f>9</f>
        <v>9</v>
      </c>
      <c r="E21" s="85">
        <f t="shared" si="0"/>
        <v>4554.25</v>
      </c>
      <c r="F21" s="17"/>
      <c r="G21" s="17">
        <f t="shared" si="1"/>
        <v>25.860570812083171</v>
      </c>
      <c r="H21" s="50"/>
      <c r="I21" s="17">
        <f t="shared" si="2"/>
        <v>232.74513730874855</v>
      </c>
      <c r="J21" s="17">
        <f t="shared" si="3"/>
        <v>117775.50462092977</v>
      </c>
      <c r="K21" s="51"/>
      <c r="L21" s="60"/>
      <c r="M21" s="60"/>
      <c r="N21" s="60"/>
    </row>
    <row r="22" spans="1:14" x14ac:dyDescent="0.3">
      <c r="A22" s="58">
        <v>42047</v>
      </c>
      <c r="B22" s="51" t="s">
        <v>109</v>
      </c>
      <c r="C22" s="51"/>
      <c r="D22" s="62">
        <f>13*4.5</f>
        <v>58.5</v>
      </c>
      <c r="E22" s="85">
        <f t="shared" si="0"/>
        <v>4495.75</v>
      </c>
      <c r="F22" s="17"/>
      <c r="G22" s="17">
        <f t="shared" si="1"/>
        <v>25.860570812083168</v>
      </c>
      <c r="H22" s="50"/>
      <c r="I22" s="17">
        <f t="shared" si="2"/>
        <v>1512.8433925068653</v>
      </c>
      <c r="J22" s="17">
        <f t="shared" si="3"/>
        <v>116262.6612284229</v>
      </c>
      <c r="K22" s="81"/>
      <c r="L22" s="90">
        <f>SUM(I21:I22)</f>
        <v>1745.5885298156138</v>
      </c>
      <c r="M22" s="90">
        <f>SUM(L22)</f>
        <v>1745.5885298156138</v>
      </c>
      <c r="N22" s="162">
        <v>42049</v>
      </c>
    </row>
    <row r="23" spans="1:14" x14ac:dyDescent="0.3">
      <c r="A23" s="58">
        <v>42089</v>
      </c>
      <c r="B23" s="51" t="s">
        <v>170</v>
      </c>
      <c r="C23" s="51"/>
      <c r="D23" s="62">
        <f>18*4.98+4*1.25+4.45</f>
        <v>99.090000000000018</v>
      </c>
      <c r="E23" s="85">
        <f t="shared" si="0"/>
        <v>4396.66</v>
      </c>
      <c r="F23" s="17"/>
      <c r="G23" s="17">
        <f t="shared" si="1"/>
        <v>25.860570812083168</v>
      </c>
      <c r="H23" s="50"/>
      <c r="I23" s="17">
        <f t="shared" si="2"/>
        <v>2562.5239617693214</v>
      </c>
      <c r="J23" s="17">
        <f t="shared" si="3"/>
        <v>113700.13726665359</v>
      </c>
      <c r="K23" s="81"/>
      <c r="L23" s="90">
        <f>SUM(I23)</f>
        <v>2562.5239617693214</v>
      </c>
      <c r="M23" s="90">
        <f>SUM(L23)</f>
        <v>2562.5239617693214</v>
      </c>
      <c r="N23" s="162">
        <v>42094</v>
      </c>
    </row>
    <row r="24" spans="1:14" x14ac:dyDescent="0.3">
      <c r="A24" s="58">
        <v>42136</v>
      </c>
      <c r="B24" s="51" t="s">
        <v>250</v>
      </c>
      <c r="C24" s="51"/>
      <c r="D24" s="62">
        <f>15*4+6*3.5+4*4.5</f>
        <v>99</v>
      </c>
      <c r="E24" s="85">
        <f t="shared" si="0"/>
        <v>4297.66</v>
      </c>
      <c r="F24" s="17"/>
      <c r="G24" s="17">
        <f t="shared" si="1"/>
        <v>25.860570812083171</v>
      </c>
      <c r="H24" s="50"/>
      <c r="I24" s="17">
        <f t="shared" si="2"/>
        <v>2560.1965103962339</v>
      </c>
      <c r="J24" s="17">
        <f t="shared" si="3"/>
        <v>111139.94075625736</v>
      </c>
      <c r="K24" s="81"/>
      <c r="L24" s="90">
        <f>SUM(I24)</f>
        <v>2560.1965103962339</v>
      </c>
      <c r="M24" s="90">
        <f>SUM(L24)</f>
        <v>2560.1965103962339</v>
      </c>
      <c r="N24" s="162">
        <v>42142</v>
      </c>
    </row>
    <row r="25" spans="1:14" x14ac:dyDescent="0.3">
      <c r="A25" s="58">
        <v>42156</v>
      </c>
      <c r="B25" s="51" t="s">
        <v>271</v>
      </c>
      <c r="C25" s="51"/>
      <c r="D25" s="62">
        <f>2*1.43+2*1.57+2*2.16+9*2.7+2*3.2+2*2.6+2*1.7+2*0.65+2.55+2.39+2.22+2.05+1.9+1.72+1.55</f>
        <v>65.3</v>
      </c>
      <c r="E25" s="85">
        <f t="shared" si="0"/>
        <v>4232.3599999999997</v>
      </c>
      <c r="F25" s="17"/>
      <c r="G25" s="17">
        <f t="shared" si="1"/>
        <v>25.860570812083171</v>
      </c>
      <c r="H25" s="50"/>
      <c r="I25" s="17">
        <f t="shared" si="2"/>
        <v>1688.695274029031</v>
      </c>
      <c r="J25" s="17">
        <f t="shared" si="3"/>
        <v>109451.24548222833</v>
      </c>
      <c r="K25" s="51"/>
      <c r="L25" s="60"/>
      <c r="M25" s="60"/>
      <c r="N25" s="60"/>
    </row>
    <row r="26" spans="1:14" s="34" customFormat="1" x14ac:dyDescent="0.3">
      <c r="A26" s="58">
        <v>42163</v>
      </c>
      <c r="B26" s="51" t="s">
        <v>279</v>
      </c>
      <c r="C26" s="51"/>
      <c r="D26" s="62">
        <f>5*3.8+7*5+10*4</f>
        <v>94</v>
      </c>
      <c r="E26" s="85">
        <f t="shared" ref="E26:E45" si="4">+E25-D26</f>
        <v>4138.3599999999997</v>
      </c>
      <c r="F26" s="17"/>
      <c r="G26" s="17">
        <f t="shared" ref="G26:G45" si="5">+J25/E25</f>
        <v>25.860570812083175</v>
      </c>
      <c r="H26" s="50"/>
      <c r="I26" s="17">
        <f t="shared" ref="I26:I45" si="6">+D26*G26</f>
        <v>2430.8936563358184</v>
      </c>
      <c r="J26" s="17">
        <f t="shared" ref="J26:J45" si="7">+J25-I26</f>
        <v>107020.35182589252</v>
      </c>
      <c r="K26" s="51"/>
      <c r="L26" s="60"/>
      <c r="M26" s="60"/>
      <c r="N26" s="60"/>
    </row>
    <row r="27" spans="1:14" s="34" customFormat="1" x14ac:dyDescent="0.3">
      <c r="A27" s="58">
        <v>42163</v>
      </c>
      <c r="B27" s="51" t="s">
        <v>280</v>
      </c>
      <c r="C27" s="51"/>
      <c r="D27" s="62">
        <f>2</f>
        <v>2</v>
      </c>
      <c r="E27" s="85">
        <f t="shared" si="4"/>
        <v>4136.3599999999997</v>
      </c>
      <c r="F27" s="17"/>
      <c r="G27" s="17">
        <f t="shared" si="5"/>
        <v>25.860570812083175</v>
      </c>
      <c r="H27" s="50"/>
      <c r="I27" s="17">
        <f t="shared" si="6"/>
        <v>51.72114162416635</v>
      </c>
      <c r="J27" s="17">
        <f t="shared" si="7"/>
        <v>106968.63068426836</v>
      </c>
      <c r="K27" s="51"/>
      <c r="L27" s="60"/>
      <c r="M27" s="60"/>
      <c r="N27" s="60"/>
    </row>
    <row r="28" spans="1:14" s="34" customFormat="1" x14ac:dyDescent="0.3">
      <c r="A28" s="58">
        <v>42165</v>
      </c>
      <c r="B28" s="51" t="s">
        <v>288</v>
      </c>
      <c r="C28" s="51"/>
      <c r="D28" s="62">
        <f>3*3.4+3*3.5</f>
        <v>20.7</v>
      </c>
      <c r="E28" s="85">
        <f t="shared" si="4"/>
        <v>4115.66</v>
      </c>
      <c r="F28" s="17"/>
      <c r="G28" s="17">
        <f t="shared" si="5"/>
        <v>25.860570812083175</v>
      </c>
      <c r="H28" s="50"/>
      <c r="I28" s="17">
        <f t="shared" si="6"/>
        <v>535.3138158101217</v>
      </c>
      <c r="J28" s="17">
        <f t="shared" si="7"/>
        <v>106433.31686845823</v>
      </c>
      <c r="K28" s="51"/>
      <c r="L28" s="60"/>
      <c r="M28" s="60"/>
      <c r="N28" s="60"/>
    </row>
    <row r="29" spans="1:14" s="34" customFormat="1" x14ac:dyDescent="0.3">
      <c r="A29" s="58">
        <v>42167</v>
      </c>
      <c r="B29" s="51" t="s">
        <v>297</v>
      </c>
      <c r="C29" s="51"/>
      <c r="D29" s="62">
        <f>20*6</f>
        <v>120</v>
      </c>
      <c r="E29" s="85">
        <f t="shared" si="4"/>
        <v>3995.66</v>
      </c>
      <c r="F29" s="17"/>
      <c r="G29" s="17">
        <f t="shared" si="5"/>
        <v>25.860570812083175</v>
      </c>
      <c r="H29" s="50"/>
      <c r="I29" s="17">
        <f t="shared" si="6"/>
        <v>3103.2684974499812</v>
      </c>
      <c r="J29" s="17">
        <f t="shared" si="7"/>
        <v>103330.04837100825</v>
      </c>
      <c r="K29" s="51"/>
      <c r="L29" s="60"/>
      <c r="M29" s="60"/>
      <c r="N29" s="60"/>
    </row>
    <row r="30" spans="1:14" s="34" customFormat="1" x14ac:dyDescent="0.3">
      <c r="A30" s="58">
        <v>42168</v>
      </c>
      <c r="B30" s="51" t="s">
        <v>298</v>
      </c>
      <c r="C30" s="51"/>
      <c r="D30" s="62">
        <f>13*4.8</f>
        <v>62.4</v>
      </c>
      <c r="E30" s="85">
        <f t="shared" si="4"/>
        <v>3933.2599999999998</v>
      </c>
      <c r="F30" s="17"/>
      <c r="G30" s="17">
        <f t="shared" si="5"/>
        <v>25.860570812083171</v>
      </c>
      <c r="H30" s="50"/>
      <c r="I30" s="17">
        <f t="shared" si="6"/>
        <v>1613.6996186739898</v>
      </c>
      <c r="J30" s="17">
        <f t="shared" si="7"/>
        <v>101716.34875233426</v>
      </c>
      <c r="K30" s="51"/>
      <c r="L30" s="60"/>
      <c r="M30" s="60"/>
      <c r="N30" s="60"/>
    </row>
    <row r="31" spans="1:14" s="34" customFormat="1" x14ac:dyDescent="0.3">
      <c r="A31" s="58">
        <v>42173</v>
      </c>
      <c r="B31" s="51" t="s">
        <v>311</v>
      </c>
      <c r="C31" s="51"/>
      <c r="D31" s="62">
        <f>29*1</f>
        <v>29</v>
      </c>
      <c r="E31" s="85">
        <f t="shared" si="4"/>
        <v>3904.2599999999998</v>
      </c>
      <c r="F31" s="17"/>
      <c r="G31" s="17">
        <f t="shared" si="5"/>
        <v>25.860570812083175</v>
      </c>
      <c r="H31" s="50"/>
      <c r="I31" s="17">
        <f t="shared" si="6"/>
        <v>749.95655355041208</v>
      </c>
      <c r="J31" s="17">
        <f t="shared" si="7"/>
        <v>100966.39219878385</v>
      </c>
      <c r="K31" s="81"/>
      <c r="L31" s="90">
        <f>SUM(I25:I31)</f>
        <v>10173.548557473521</v>
      </c>
      <c r="M31" s="89"/>
      <c r="N31" s="162">
        <v>42173</v>
      </c>
    </row>
    <row r="32" spans="1:14" s="34" customFormat="1" x14ac:dyDescent="0.3">
      <c r="A32" s="58">
        <v>42174</v>
      </c>
      <c r="B32" s="51" t="s">
        <v>312</v>
      </c>
      <c r="C32" s="51"/>
      <c r="D32" s="62">
        <f>10*3.6+10*2.6</f>
        <v>62</v>
      </c>
      <c r="E32" s="85">
        <f t="shared" si="4"/>
        <v>3842.2599999999998</v>
      </c>
      <c r="F32" s="17"/>
      <c r="G32" s="17">
        <f t="shared" si="5"/>
        <v>25.860570812083175</v>
      </c>
      <c r="H32" s="50"/>
      <c r="I32" s="17">
        <f t="shared" si="6"/>
        <v>1603.3553903491568</v>
      </c>
      <c r="J32" s="17">
        <f t="shared" si="7"/>
        <v>99363.036808434699</v>
      </c>
      <c r="K32" s="51"/>
      <c r="L32" s="60"/>
      <c r="M32" s="60"/>
      <c r="N32" s="60"/>
    </row>
    <row r="33" spans="1:14" s="34" customFormat="1" x14ac:dyDescent="0.3">
      <c r="A33" s="58">
        <v>42178</v>
      </c>
      <c r="B33" s="51" t="s">
        <v>321</v>
      </c>
      <c r="C33" s="51"/>
      <c r="D33" s="62">
        <f>9*0.9+3.6</f>
        <v>11.7</v>
      </c>
      <c r="E33" s="85">
        <f t="shared" si="4"/>
        <v>3830.56</v>
      </c>
      <c r="F33" s="17"/>
      <c r="G33" s="17">
        <f t="shared" si="5"/>
        <v>25.860570812083175</v>
      </c>
      <c r="H33" s="50"/>
      <c r="I33" s="17">
        <f t="shared" si="6"/>
        <v>302.56867850137314</v>
      </c>
      <c r="J33" s="17">
        <f t="shared" si="7"/>
        <v>99060.468129933332</v>
      </c>
      <c r="K33" s="51"/>
      <c r="L33" s="60"/>
      <c r="M33" s="60"/>
      <c r="N33" s="60"/>
    </row>
    <row r="34" spans="1:14" s="34" customFormat="1" x14ac:dyDescent="0.3">
      <c r="A34" s="58">
        <v>42179</v>
      </c>
      <c r="B34" s="51" t="s">
        <v>322</v>
      </c>
      <c r="C34" s="51"/>
      <c r="D34" s="62">
        <v>0</v>
      </c>
      <c r="E34" s="85">
        <f t="shared" si="4"/>
        <v>3830.56</v>
      </c>
      <c r="F34" s="17"/>
      <c r="G34" s="17">
        <f t="shared" si="5"/>
        <v>25.860570812083175</v>
      </c>
      <c r="H34" s="50"/>
      <c r="I34" s="17">
        <f t="shared" si="6"/>
        <v>0</v>
      </c>
      <c r="J34" s="17">
        <f t="shared" si="7"/>
        <v>99060.468129933332</v>
      </c>
      <c r="K34" s="81"/>
      <c r="L34" s="90">
        <f>SUM(I32:I34)</f>
        <v>1905.9240688505299</v>
      </c>
      <c r="M34" s="90">
        <f>SUM(L31:L34)</f>
        <v>12079.472626324052</v>
      </c>
      <c r="N34" s="162">
        <v>42185</v>
      </c>
    </row>
    <row r="35" spans="1:14" s="34" customFormat="1" x14ac:dyDescent="0.3">
      <c r="A35" s="58">
        <v>42198</v>
      </c>
      <c r="B35" s="51" t="s">
        <v>370</v>
      </c>
      <c r="C35" s="51"/>
      <c r="D35" s="62">
        <f>2*4</f>
        <v>8</v>
      </c>
      <c r="E35" s="85">
        <f t="shared" si="4"/>
        <v>3822.56</v>
      </c>
      <c r="F35" s="17"/>
      <c r="G35" s="17">
        <f t="shared" si="5"/>
        <v>25.860570812083175</v>
      </c>
      <c r="H35" s="50"/>
      <c r="I35" s="17">
        <f t="shared" si="6"/>
        <v>206.8845664966654</v>
      </c>
      <c r="J35" s="17">
        <f t="shared" si="7"/>
        <v>98853.583563436667</v>
      </c>
      <c r="K35" s="81"/>
      <c r="L35" s="90">
        <f>SUM(I35)</f>
        <v>206.8845664966654</v>
      </c>
      <c r="M35" s="89"/>
      <c r="N35" s="162">
        <v>42199</v>
      </c>
    </row>
    <row r="36" spans="1:14" s="34" customFormat="1" x14ac:dyDescent="0.3">
      <c r="A36" s="58">
        <v>42212</v>
      </c>
      <c r="B36" s="51" t="s">
        <v>415</v>
      </c>
      <c r="C36" s="51"/>
      <c r="D36" s="62">
        <f>7*5.1</f>
        <v>35.699999999999996</v>
      </c>
      <c r="E36" s="85">
        <f t="shared" si="4"/>
        <v>3786.86</v>
      </c>
      <c r="F36" s="17"/>
      <c r="G36" s="17">
        <f t="shared" si="5"/>
        <v>25.860570812083175</v>
      </c>
      <c r="H36" s="50"/>
      <c r="I36" s="17">
        <f t="shared" si="6"/>
        <v>923.22237799136929</v>
      </c>
      <c r="J36" s="17">
        <f t="shared" si="7"/>
        <v>97930.361185445305</v>
      </c>
      <c r="K36" s="51"/>
      <c r="L36" s="60"/>
      <c r="M36" s="60"/>
      <c r="N36" s="60"/>
    </row>
    <row r="37" spans="1:14" s="34" customFormat="1" x14ac:dyDescent="0.3">
      <c r="A37" s="58">
        <v>42212</v>
      </c>
      <c r="B37" s="51" t="s">
        <v>419</v>
      </c>
      <c r="C37" s="51"/>
      <c r="D37" s="62">
        <f>5*4.5</f>
        <v>22.5</v>
      </c>
      <c r="E37" s="85">
        <f t="shared" si="4"/>
        <v>3764.36</v>
      </c>
      <c r="F37" s="17"/>
      <c r="G37" s="17">
        <f t="shared" si="5"/>
        <v>25.860570812083179</v>
      </c>
      <c r="H37" s="50"/>
      <c r="I37" s="17">
        <f t="shared" si="6"/>
        <v>581.8628432718715</v>
      </c>
      <c r="J37" s="17">
        <f t="shared" si="7"/>
        <v>97348.498342173436</v>
      </c>
      <c r="K37" s="51"/>
      <c r="L37" s="60"/>
      <c r="M37" s="60"/>
      <c r="N37" s="60"/>
    </row>
    <row r="38" spans="1:14" s="34" customFormat="1" x14ac:dyDescent="0.3">
      <c r="A38" s="58">
        <v>42216</v>
      </c>
      <c r="B38" s="51" t="s">
        <v>441</v>
      </c>
      <c r="C38" s="51"/>
      <c r="D38" s="62">
        <f>20*5.7</f>
        <v>114</v>
      </c>
      <c r="E38" s="85">
        <f t="shared" si="4"/>
        <v>3650.36</v>
      </c>
      <c r="F38" s="17"/>
      <c r="G38" s="17">
        <f t="shared" si="5"/>
        <v>25.860570812083179</v>
      </c>
      <c r="H38" s="50"/>
      <c r="I38" s="17">
        <f t="shared" si="6"/>
        <v>2948.1050725774821</v>
      </c>
      <c r="J38" s="17">
        <f t="shared" si="7"/>
        <v>94400.393269595952</v>
      </c>
      <c r="K38" s="81"/>
      <c r="L38" s="90">
        <f>SUM(I36:I38)</f>
        <v>4453.1902938407229</v>
      </c>
      <c r="M38" s="90">
        <f>SUM(L35:L38)</f>
        <v>4660.0748603373886</v>
      </c>
      <c r="N38" s="162">
        <v>42216</v>
      </c>
    </row>
    <row r="39" spans="1:14" s="77" customFormat="1" x14ac:dyDescent="0.3">
      <c r="A39" s="133">
        <v>42221</v>
      </c>
      <c r="B39" s="48" t="s">
        <v>460</v>
      </c>
      <c r="C39" s="48"/>
      <c r="D39" s="62">
        <f>15*2.8</f>
        <v>42</v>
      </c>
      <c r="E39" s="86">
        <f t="shared" si="4"/>
        <v>3608.36</v>
      </c>
      <c r="F39" s="62"/>
      <c r="G39" s="62">
        <f t="shared" si="5"/>
        <v>25.860570812083179</v>
      </c>
      <c r="H39" s="62"/>
      <c r="I39" s="62">
        <f t="shared" si="6"/>
        <v>1086.1439741074935</v>
      </c>
      <c r="J39" s="62">
        <f t="shared" si="7"/>
        <v>93314.249295488466</v>
      </c>
      <c r="K39" s="48"/>
      <c r="L39" s="167"/>
      <c r="M39" s="167"/>
      <c r="N39" s="167"/>
    </row>
    <row r="40" spans="1:14" s="34" customFormat="1" x14ac:dyDescent="0.3">
      <c r="A40" s="58">
        <v>42230</v>
      </c>
      <c r="B40" s="51" t="s">
        <v>479</v>
      </c>
      <c r="C40" s="51"/>
      <c r="D40" s="62">
        <f>15*10.2</f>
        <v>153</v>
      </c>
      <c r="E40" s="85">
        <f t="shared" si="4"/>
        <v>3455.36</v>
      </c>
      <c r="F40" s="17"/>
      <c r="G40" s="17">
        <f t="shared" si="5"/>
        <v>25.860570812083179</v>
      </c>
      <c r="H40" s="50"/>
      <c r="I40" s="17">
        <f t="shared" si="6"/>
        <v>3956.6673342487261</v>
      </c>
      <c r="J40" s="17">
        <f t="shared" si="7"/>
        <v>89357.581961239746</v>
      </c>
      <c r="K40" s="51"/>
      <c r="L40" s="60"/>
      <c r="M40" s="60"/>
      <c r="N40" s="60"/>
    </row>
    <row r="41" spans="1:14" s="34" customFormat="1" x14ac:dyDescent="0.3">
      <c r="A41" s="58">
        <v>42234</v>
      </c>
      <c r="B41" s="51" t="s">
        <v>494</v>
      </c>
      <c r="C41" s="51"/>
      <c r="D41" s="62">
        <f>4*3.8+4*3+2*2.05+1.2+2*1.9+4*1+2*1.4+4*1.3+2*1.7+4*3.9</f>
        <v>67.3</v>
      </c>
      <c r="E41" s="85">
        <f t="shared" si="4"/>
        <v>3388.06</v>
      </c>
      <c r="F41" s="17"/>
      <c r="G41" s="17">
        <f t="shared" si="5"/>
        <v>25.860570812083182</v>
      </c>
      <c r="H41" s="50"/>
      <c r="I41" s="17">
        <f t="shared" si="6"/>
        <v>1740.4164156531981</v>
      </c>
      <c r="J41" s="17">
        <f t="shared" si="7"/>
        <v>87617.165545586555</v>
      </c>
      <c r="K41" s="81"/>
      <c r="L41" s="90">
        <f>SUM(I39:I41)</f>
        <v>6783.2277240094172</v>
      </c>
      <c r="M41" s="89"/>
      <c r="N41" s="162">
        <v>42234</v>
      </c>
    </row>
    <row r="42" spans="1:14" s="34" customFormat="1" x14ac:dyDescent="0.3">
      <c r="A42" s="58">
        <v>42236</v>
      </c>
      <c r="B42" s="51" t="s">
        <v>502</v>
      </c>
      <c r="C42" s="51"/>
      <c r="D42" s="62">
        <f>10.2+8.6+6.85+5.3+4.3+3.4+2.45</f>
        <v>41.1</v>
      </c>
      <c r="E42" s="85">
        <f t="shared" si="4"/>
        <v>3346.96</v>
      </c>
      <c r="F42" s="17"/>
      <c r="G42" s="17">
        <f t="shared" si="5"/>
        <v>25.860570812083186</v>
      </c>
      <c r="H42" s="50"/>
      <c r="I42" s="17">
        <f t="shared" si="6"/>
        <v>1062.8694603766189</v>
      </c>
      <c r="J42" s="17">
        <f t="shared" si="7"/>
        <v>86554.296085209935</v>
      </c>
      <c r="K42" s="81"/>
      <c r="L42" s="90">
        <f>SUM(I42)</f>
        <v>1062.8694603766189</v>
      </c>
      <c r="M42" s="90">
        <f>SUM(L41:L42)</f>
        <v>7846.0971843860361</v>
      </c>
      <c r="N42" s="162">
        <v>42247</v>
      </c>
    </row>
    <row r="43" spans="1:14" s="34" customFormat="1" x14ac:dyDescent="0.3">
      <c r="A43" s="58">
        <v>42250</v>
      </c>
      <c r="B43" s="51" t="s">
        <v>552</v>
      </c>
      <c r="C43" s="51"/>
      <c r="D43" s="62">
        <f>0.26+0.47</f>
        <v>0.73</v>
      </c>
      <c r="E43" s="85">
        <f t="shared" si="4"/>
        <v>3346.23</v>
      </c>
      <c r="F43" s="17"/>
      <c r="G43" s="17">
        <f t="shared" si="5"/>
        <v>25.860570812083186</v>
      </c>
      <c r="H43" s="50"/>
      <c r="I43" s="17">
        <f t="shared" si="6"/>
        <v>18.878216692820725</v>
      </c>
      <c r="J43" s="17">
        <f t="shared" si="7"/>
        <v>86535.417868517121</v>
      </c>
      <c r="K43" s="51"/>
      <c r="L43" s="60"/>
      <c r="M43" s="60"/>
      <c r="N43" s="60"/>
    </row>
    <row r="44" spans="1:14" s="34" customFormat="1" x14ac:dyDescent="0.3">
      <c r="A44" s="58">
        <v>42252</v>
      </c>
      <c r="B44" s="51" t="s">
        <v>566</v>
      </c>
      <c r="C44" s="51"/>
      <c r="D44" s="62">
        <f>23*4.7+3*2.7</f>
        <v>116.20000000000002</v>
      </c>
      <c r="E44" s="85">
        <f t="shared" si="4"/>
        <v>3230.03</v>
      </c>
      <c r="F44" s="17"/>
      <c r="G44" s="17">
        <f t="shared" si="5"/>
        <v>25.860570812083186</v>
      </c>
      <c r="H44" s="50"/>
      <c r="I44" s="17">
        <f t="shared" si="6"/>
        <v>3004.9983283640668</v>
      </c>
      <c r="J44" s="17">
        <f t="shared" si="7"/>
        <v>83530.41954015306</v>
      </c>
      <c r="K44" s="51"/>
      <c r="L44" s="60"/>
      <c r="M44" s="60"/>
      <c r="N44" s="60"/>
    </row>
    <row r="45" spans="1:14" s="34" customFormat="1" x14ac:dyDescent="0.3">
      <c r="A45" s="58">
        <v>42252</v>
      </c>
      <c r="B45" s="51" t="s">
        <v>568</v>
      </c>
      <c r="C45" s="51"/>
      <c r="D45" s="87">
        <f>6*2</f>
        <v>12</v>
      </c>
      <c r="E45" s="85">
        <f t="shared" si="4"/>
        <v>3218.03</v>
      </c>
      <c r="F45" s="17"/>
      <c r="G45" s="17">
        <f t="shared" si="5"/>
        <v>25.860570812083186</v>
      </c>
      <c r="H45" s="50"/>
      <c r="I45" s="17">
        <f t="shared" si="6"/>
        <v>310.32684974499824</v>
      </c>
      <c r="J45" s="17">
        <f t="shared" si="7"/>
        <v>83220.092690408055</v>
      </c>
      <c r="K45" s="51"/>
      <c r="L45" s="60"/>
      <c r="M45" s="60"/>
      <c r="N45" s="60"/>
    </row>
    <row r="46" spans="1:14" s="34" customFormat="1" x14ac:dyDescent="0.3">
      <c r="A46" s="58">
        <v>42255</v>
      </c>
      <c r="B46" s="51" t="s">
        <v>580</v>
      </c>
      <c r="C46" s="51"/>
      <c r="D46" s="62">
        <f>13*6.6</f>
        <v>85.8</v>
      </c>
      <c r="E46" s="85">
        <f t="shared" ref="E46:E63" si="8">+E45-D46</f>
        <v>3132.23</v>
      </c>
      <c r="F46" s="17"/>
      <c r="G46" s="17">
        <f t="shared" ref="G46:G63" si="9">+J45/E45</f>
        <v>25.860570812083186</v>
      </c>
      <c r="H46" s="50"/>
      <c r="I46" s="17">
        <f t="shared" ref="I46:I63" si="10">+D46*G46</f>
        <v>2218.8369756767374</v>
      </c>
      <c r="J46" s="17">
        <f t="shared" ref="J46:J63" si="11">+J45-I46</f>
        <v>81001.25571473132</v>
      </c>
      <c r="K46" s="51"/>
      <c r="L46" s="60"/>
      <c r="M46" s="60"/>
      <c r="N46" s="60"/>
    </row>
    <row r="47" spans="1:14" s="34" customFormat="1" x14ac:dyDescent="0.3">
      <c r="A47" s="58">
        <v>42255</v>
      </c>
      <c r="B47" s="51" t="s">
        <v>587</v>
      </c>
      <c r="C47" s="51"/>
      <c r="D47" s="62">
        <f>5*5.75</f>
        <v>28.75</v>
      </c>
      <c r="E47" s="85">
        <f t="shared" si="8"/>
        <v>3103.48</v>
      </c>
      <c r="F47" s="17"/>
      <c r="G47" s="17">
        <f t="shared" si="9"/>
        <v>25.860570812083186</v>
      </c>
      <c r="H47" s="50"/>
      <c r="I47" s="17">
        <f t="shared" si="10"/>
        <v>743.49141084739153</v>
      </c>
      <c r="J47" s="17">
        <f t="shared" si="11"/>
        <v>80257.764303883931</v>
      </c>
      <c r="K47" s="51"/>
      <c r="L47" s="60"/>
      <c r="M47" s="60"/>
      <c r="N47" s="60"/>
    </row>
    <row r="48" spans="1:14" s="34" customFormat="1" x14ac:dyDescent="0.3">
      <c r="A48" s="58">
        <v>42256</v>
      </c>
      <c r="B48" s="51" t="s">
        <v>588</v>
      </c>
      <c r="C48" s="51"/>
      <c r="D48" s="62">
        <f>15*6</f>
        <v>90</v>
      </c>
      <c r="E48" s="85">
        <f t="shared" si="8"/>
        <v>3013.48</v>
      </c>
      <c r="F48" s="17"/>
      <c r="G48" s="17">
        <f t="shared" si="9"/>
        <v>25.860570812083186</v>
      </c>
      <c r="H48" s="50"/>
      <c r="I48" s="17">
        <f t="shared" si="10"/>
        <v>2327.4513730874869</v>
      </c>
      <c r="J48" s="17">
        <f t="shared" si="11"/>
        <v>77930.312930796441</v>
      </c>
      <c r="K48" s="81"/>
      <c r="L48" s="90">
        <f>SUM(I43:I48)</f>
        <v>8623.9831544135013</v>
      </c>
      <c r="M48" s="89"/>
      <c r="N48" s="162">
        <v>42262</v>
      </c>
    </row>
    <row r="49" spans="1:14" s="34" customFormat="1" x14ac:dyDescent="0.3">
      <c r="A49" s="58">
        <v>42264</v>
      </c>
      <c r="B49" s="51" t="s">
        <v>613</v>
      </c>
      <c r="C49" s="51"/>
      <c r="D49" s="62">
        <f>6*4.2</f>
        <v>25.200000000000003</v>
      </c>
      <c r="E49" s="85">
        <f t="shared" si="8"/>
        <v>2988.28</v>
      </c>
      <c r="F49" s="17"/>
      <c r="G49" s="17">
        <f t="shared" si="9"/>
        <v>25.860570812083186</v>
      </c>
      <c r="H49" s="50"/>
      <c r="I49" s="17">
        <f t="shared" si="10"/>
        <v>651.68638446449631</v>
      </c>
      <c r="J49" s="17">
        <f t="shared" si="11"/>
        <v>77278.626546331943</v>
      </c>
      <c r="K49" s="51"/>
      <c r="L49" s="60"/>
      <c r="M49" s="60"/>
      <c r="N49" s="60"/>
    </row>
    <row r="50" spans="1:14" s="34" customFormat="1" x14ac:dyDescent="0.3">
      <c r="A50" s="58">
        <v>42270</v>
      </c>
      <c r="B50" s="51" t="s">
        <v>636</v>
      </c>
      <c r="C50" s="51"/>
      <c r="D50" s="62">
        <f>30*5</f>
        <v>150</v>
      </c>
      <c r="E50" s="85">
        <f t="shared" si="8"/>
        <v>2838.28</v>
      </c>
      <c r="F50" s="17"/>
      <c r="G50" s="17">
        <f t="shared" si="9"/>
        <v>25.860570812083186</v>
      </c>
      <c r="H50" s="50"/>
      <c r="I50" s="17">
        <f t="shared" si="10"/>
        <v>3879.0856218124777</v>
      </c>
      <c r="J50" s="17">
        <f t="shared" si="11"/>
        <v>73399.540924519461</v>
      </c>
      <c r="K50" s="51"/>
      <c r="L50" s="60"/>
      <c r="M50" s="60"/>
      <c r="N50" s="60"/>
    </row>
    <row r="51" spans="1:14" s="34" customFormat="1" x14ac:dyDescent="0.3">
      <c r="A51" s="58">
        <v>42270</v>
      </c>
      <c r="B51" s="51" t="s">
        <v>639</v>
      </c>
      <c r="C51" s="51"/>
      <c r="D51" s="62">
        <f>17*3.5</f>
        <v>59.5</v>
      </c>
      <c r="E51" s="85">
        <f t="shared" si="8"/>
        <v>2778.78</v>
      </c>
      <c r="F51" s="17"/>
      <c r="G51" s="17">
        <f t="shared" si="9"/>
        <v>25.860570812083182</v>
      </c>
      <c r="H51" s="50"/>
      <c r="I51" s="17">
        <f t="shared" si="10"/>
        <v>1538.7039633189493</v>
      </c>
      <c r="J51" s="17">
        <f t="shared" si="11"/>
        <v>71860.836961200504</v>
      </c>
      <c r="K51" s="81"/>
      <c r="L51" s="90">
        <f>SUM(I49:I51)</f>
        <v>6069.4759695959237</v>
      </c>
      <c r="M51" s="90">
        <f>SUM(L48:L51)</f>
        <v>14693.459124009425</v>
      </c>
      <c r="N51" s="162">
        <v>42277</v>
      </c>
    </row>
    <row r="52" spans="1:14" s="34" customFormat="1" x14ac:dyDescent="0.3">
      <c r="A52" s="58">
        <v>42279</v>
      </c>
      <c r="B52" s="51" t="s">
        <v>674</v>
      </c>
      <c r="C52" s="51"/>
      <c r="D52" s="62">
        <f>11*4.75+2.5</f>
        <v>54.75</v>
      </c>
      <c r="E52" s="85">
        <f t="shared" si="8"/>
        <v>2724.03</v>
      </c>
      <c r="F52" s="17"/>
      <c r="G52" s="17">
        <f t="shared" si="9"/>
        <v>25.860570812083179</v>
      </c>
      <c r="H52" s="50"/>
      <c r="I52" s="17">
        <f t="shared" si="10"/>
        <v>1415.8662519615541</v>
      </c>
      <c r="J52" s="17">
        <f t="shared" si="11"/>
        <v>70444.970709238944</v>
      </c>
      <c r="K52" s="51"/>
      <c r="L52" s="60"/>
      <c r="M52" s="60"/>
      <c r="N52" s="60"/>
    </row>
    <row r="53" spans="1:14" s="34" customFormat="1" x14ac:dyDescent="0.3">
      <c r="A53" s="58">
        <v>42283</v>
      </c>
      <c r="B53" s="51" t="s">
        <v>683</v>
      </c>
      <c r="C53" s="51"/>
      <c r="D53" s="62">
        <f>5*5</f>
        <v>25</v>
      </c>
      <c r="E53" s="85">
        <f t="shared" si="8"/>
        <v>2699.03</v>
      </c>
      <c r="F53" s="17"/>
      <c r="G53" s="17">
        <f t="shared" si="9"/>
        <v>25.860570812083179</v>
      </c>
      <c r="H53" s="50"/>
      <c r="I53" s="17">
        <f t="shared" si="10"/>
        <v>646.51427030207947</v>
      </c>
      <c r="J53" s="17">
        <f t="shared" si="11"/>
        <v>69798.456438936861</v>
      </c>
      <c r="K53" s="51"/>
      <c r="L53" s="60"/>
      <c r="M53" s="60"/>
      <c r="N53" s="60"/>
    </row>
    <row r="54" spans="1:14" s="34" customFormat="1" x14ac:dyDescent="0.3">
      <c r="A54" s="58">
        <v>42285</v>
      </c>
      <c r="B54" s="51" t="s">
        <v>691</v>
      </c>
      <c r="C54" s="51"/>
      <c r="D54" s="62">
        <v>5</v>
      </c>
      <c r="E54" s="85">
        <f t="shared" si="8"/>
        <v>2694.03</v>
      </c>
      <c r="F54" s="17"/>
      <c r="G54" s="17">
        <f t="shared" si="9"/>
        <v>25.860570812083175</v>
      </c>
      <c r="H54" s="50"/>
      <c r="I54" s="17">
        <f t="shared" si="10"/>
        <v>129.30285406041588</v>
      </c>
      <c r="J54" s="17">
        <f t="shared" si="11"/>
        <v>69669.153584876447</v>
      </c>
      <c r="K54" s="51"/>
      <c r="L54" s="60"/>
      <c r="M54" s="60"/>
      <c r="N54" s="60"/>
    </row>
    <row r="55" spans="1:14" s="34" customFormat="1" x14ac:dyDescent="0.3">
      <c r="A55" s="58">
        <v>42286</v>
      </c>
      <c r="B55" s="51" t="s">
        <v>697</v>
      </c>
      <c r="C55" s="51"/>
      <c r="D55" s="62">
        <f>6*5.3+7*5.7</f>
        <v>71.699999999999989</v>
      </c>
      <c r="E55" s="85">
        <f t="shared" si="8"/>
        <v>2622.3300000000004</v>
      </c>
      <c r="F55" s="17"/>
      <c r="G55" s="17">
        <f t="shared" si="9"/>
        <v>25.860570812083179</v>
      </c>
      <c r="H55" s="50"/>
      <c r="I55" s="17">
        <f t="shared" si="10"/>
        <v>1854.2029272263635</v>
      </c>
      <c r="J55" s="17">
        <f t="shared" si="11"/>
        <v>67814.950657650086</v>
      </c>
      <c r="K55" s="51"/>
      <c r="L55" s="60"/>
      <c r="M55" s="60"/>
      <c r="N55" s="60"/>
    </row>
    <row r="56" spans="1:14" s="34" customFormat="1" x14ac:dyDescent="0.3">
      <c r="A56" s="58">
        <v>42287</v>
      </c>
      <c r="B56" s="51" t="s">
        <v>704</v>
      </c>
      <c r="C56" s="51"/>
      <c r="D56" s="62">
        <f>14*7.9</f>
        <v>110.60000000000001</v>
      </c>
      <c r="E56" s="85">
        <f t="shared" si="8"/>
        <v>2511.7300000000005</v>
      </c>
      <c r="F56" s="17"/>
      <c r="G56" s="17">
        <f t="shared" si="9"/>
        <v>25.860570812083175</v>
      </c>
      <c r="H56" s="50"/>
      <c r="I56" s="17">
        <f t="shared" si="10"/>
        <v>2860.1791318163991</v>
      </c>
      <c r="J56" s="17">
        <f t="shared" si="11"/>
        <v>64954.77152583369</v>
      </c>
      <c r="K56" s="51"/>
      <c r="L56" s="60"/>
      <c r="M56" s="60"/>
      <c r="N56" s="60"/>
    </row>
    <row r="57" spans="1:14" s="34" customFormat="1" x14ac:dyDescent="0.3">
      <c r="A57" s="58">
        <v>42289</v>
      </c>
      <c r="B57" s="51" t="s">
        <v>710</v>
      </c>
      <c r="C57" s="51"/>
      <c r="D57" s="62">
        <f>26</f>
        <v>26</v>
      </c>
      <c r="E57" s="85">
        <f t="shared" si="8"/>
        <v>2485.7300000000005</v>
      </c>
      <c r="F57" s="17"/>
      <c r="G57" s="17">
        <f t="shared" si="9"/>
        <v>25.860570812083179</v>
      </c>
      <c r="H57" s="50"/>
      <c r="I57" s="17">
        <f t="shared" si="10"/>
        <v>672.37484111416268</v>
      </c>
      <c r="J57" s="17">
        <f t="shared" si="11"/>
        <v>64282.396684719526</v>
      </c>
      <c r="K57" s="51"/>
      <c r="L57" s="60"/>
      <c r="M57" s="60"/>
      <c r="N57" s="60"/>
    </row>
    <row r="58" spans="1:14" s="34" customFormat="1" x14ac:dyDescent="0.3">
      <c r="A58" s="58">
        <v>42290</v>
      </c>
      <c r="B58" s="51" t="s">
        <v>712</v>
      </c>
      <c r="C58" s="51"/>
      <c r="D58" s="62">
        <v>5</v>
      </c>
      <c r="E58" s="85">
        <f t="shared" si="8"/>
        <v>2480.7300000000005</v>
      </c>
      <c r="F58" s="17"/>
      <c r="G58" s="17">
        <f t="shared" si="9"/>
        <v>25.860570812083175</v>
      </c>
      <c r="H58" s="50"/>
      <c r="I58" s="17">
        <f t="shared" si="10"/>
        <v>129.30285406041588</v>
      </c>
      <c r="J58" s="17">
        <f t="shared" si="11"/>
        <v>64153.093830659112</v>
      </c>
      <c r="K58" s="51"/>
      <c r="L58" s="60"/>
      <c r="M58" s="60"/>
      <c r="N58" s="60"/>
    </row>
    <row r="59" spans="1:14" s="34" customFormat="1" x14ac:dyDescent="0.3">
      <c r="A59" s="58">
        <v>42291</v>
      </c>
      <c r="B59" s="51" t="s">
        <v>719</v>
      </c>
      <c r="C59" s="51"/>
      <c r="D59" s="62">
        <f>2*4+2</f>
        <v>10</v>
      </c>
      <c r="E59" s="85">
        <f t="shared" si="8"/>
        <v>2470.7300000000005</v>
      </c>
      <c r="F59" s="17"/>
      <c r="G59" s="17">
        <f t="shared" si="9"/>
        <v>25.860570812083179</v>
      </c>
      <c r="H59" s="50"/>
      <c r="I59" s="17">
        <f t="shared" si="10"/>
        <v>258.60570812083176</v>
      </c>
      <c r="J59" s="17">
        <f t="shared" si="11"/>
        <v>63894.488122538278</v>
      </c>
      <c r="K59" s="51"/>
      <c r="L59" s="60"/>
      <c r="M59" s="60"/>
      <c r="N59" s="60"/>
    </row>
    <row r="60" spans="1:14" s="34" customFormat="1" x14ac:dyDescent="0.3">
      <c r="A60" s="58">
        <v>42293</v>
      </c>
      <c r="B60" s="51" t="s">
        <v>739</v>
      </c>
      <c r="C60" s="51"/>
      <c r="D60" s="62">
        <v>15</v>
      </c>
      <c r="E60" s="85">
        <f t="shared" si="8"/>
        <v>2455.7300000000005</v>
      </c>
      <c r="F60" s="17"/>
      <c r="G60" s="17">
        <f t="shared" si="9"/>
        <v>25.860570812083175</v>
      </c>
      <c r="H60" s="50"/>
      <c r="I60" s="17">
        <f t="shared" si="10"/>
        <v>387.90856218124765</v>
      </c>
      <c r="J60" s="17">
        <f t="shared" si="11"/>
        <v>63506.57956035703</v>
      </c>
      <c r="K60" s="81"/>
      <c r="L60" s="90">
        <f>SUM(I52:I60)</f>
        <v>8354.2574008434694</v>
      </c>
      <c r="M60" s="89"/>
      <c r="N60" s="162">
        <v>42294</v>
      </c>
    </row>
    <row r="61" spans="1:14" s="34" customFormat="1" x14ac:dyDescent="0.3">
      <c r="A61" s="58">
        <v>42298</v>
      </c>
      <c r="B61" s="51" t="s">
        <v>745</v>
      </c>
      <c r="C61" s="51"/>
      <c r="D61" s="62">
        <f>13*5.6</f>
        <v>72.8</v>
      </c>
      <c r="E61" s="85">
        <f t="shared" si="8"/>
        <v>2382.9300000000003</v>
      </c>
      <c r="F61" s="17"/>
      <c r="G61" s="17">
        <f t="shared" si="9"/>
        <v>25.860570812083175</v>
      </c>
      <c r="H61" s="50"/>
      <c r="I61" s="17">
        <f t="shared" si="10"/>
        <v>1882.6495551196551</v>
      </c>
      <c r="J61" s="17">
        <f t="shared" si="11"/>
        <v>61623.930005237373</v>
      </c>
      <c r="K61" s="51"/>
      <c r="L61" s="60"/>
      <c r="M61" s="60"/>
      <c r="N61" s="60"/>
    </row>
    <row r="62" spans="1:14" s="34" customFormat="1" x14ac:dyDescent="0.3">
      <c r="A62" s="58">
        <v>42300</v>
      </c>
      <c r="B62" s="51" t="s">
        <v>751</v>
      </c>
      <c r="C62" s="51"/>
      <c r="D62" s="62">
        <f>17*1.15</f>
        <v>19.549999999999997</v>
      </c>
      <c r="E62" s="85">
        <f t="shared" si="8"/>
        <v>2363.38</v>
      </c>
      <c r="F62" s="17"/>
      <c r="G62" s="17">
        <f t="shared" si="9"/>
        <v>25.860570812083179</v>
      </c>
      <c r="H62" s="50"/>
      <c r="I62" s="17">
        <f t="shared" si="10"/>
        <v>505.57415937622608</v>
      </c>
      <c r="J62" s="17">
        <f t="shared" si="11"/>
        <v>61118.355845861144</v>
      </c>
      <c r="K62" s="51"/>
      <c r="L62" s="60"/>
      <c r="M62" s="60"/>
      <c r="N62" s="60"/>
    </row>
    <row r="63" spans="1:14" s="34" customFormat="1" x14ac:dyDescent="0.3">
      <c r="A63" s="58">
        <v>42308</v>
      </c>
      <c r="B63" s="51" t="s">
        <v>783</v>
      </c>
      <c r="C63" s="51"/>
      <c r="D63" s="62">
        <f>3*1.5+4.7+2*4+3+2+10</f>
        <v>32.200000000000003</v>
      </c>
      <c r="E63" s="85">
        <f t="shared" si="8"/>
        <v>2331.1800000000003</v>
      </c>
      <c r="F63" s="17"/>
      <c r="G63" s="17">
        <f t="shared" si="9"/>
        <v>25.860570812083179</v>
      </c>
      <c r="H63" s="50"/>
      <c r="I63" s="17">
        <f t="shared" si="10"/>
        <v>832.71038014907845</v>
      </c>
      <c r="J63" s="17">
        <f t="shared" si="11"/>
        <v>60285.645465712063</v>
      </c>
      <c r="K63" s="81"/>
      <c r="L63" s="90">
        <f>SUM(I61:I63)</f>
        <v>3220.9340946449597</v>
      </c>
      <c r="M63" s="90">
        <f>SUM(L60:L63)</f>
        <v>11575.191495488429</v>
      </c>
      <c r="N63" s="162">
        <v>42308</v>
      </c>
    </row>
    <row r="64" spans="1:14" s="34" customFormat="1" x14ac:dyDescent="0.3">
      <c r="A64" s="58">
        <v>42322</v>
      </c>
      <c r="B64" s="51" t="s">
        <v>830</v>
      </c>
      <c r="C64" s="51"/>
      <c r="D64" s="62">
        <f>3*1.8</f>
        <v>5.4</v>
      </c>
      <c r="E64" s="85">
        <f t="shared" ref="E64:E80" si="12">+E63-D64</f>
        <v>2325.7800000000002</v>
      </c>
      <c r="F64" s="17"/>
      <c r="G64" s="17">
        <f t="shared" ref="G64:G80" si="13">+J63/E63</f>
        <v>25.860570812083175</v>
      </c>
      <c r="H64" s="50"/>
      <c r="I64" s="17">
        <f t="shared" ref="I64:I80" si="14">+D64*G64</f>
        <v>139.64708238524915</v>
      </c>
      <c r="J64" s="17">
        <f t="shared" ref="J64:J80" si="15">+J63-I64</f>
        <v>60145.998383326812</v>
      </c>
      <c r="K64" s="81"/>
      <c r="L64" s="90">
        <f>SUM(I64)</f>
        <v>139.64708238524915</v>
      </c>
      <c r="M64" s="89"/>
      <c r="N64" s="162">
        <v>42323</v>
      </c>
    </row>
    <row r="65" spans="1:14" s="34" customFormat="1" x14ac:dyDescent="0.3">
      <c r="A65" s="58">
        <v>42324</v>
      </c>
      <c r="B65" s="51" t="s">
        <v>836</v>
      </c>
      <c r="C65" s="51"/>
      <c r="D65" s="62">
        <f>8*4</f>
        <v>32</v>
      </c>
      <c r="E65" s="85">
        <f t="shared" si="12"/>
        <v>2293.7800000000002</v>
      </c>
      <c r="F65" s="17"/>
      <c r="G65" s="17">
        <f t="shared" si="13"/>
        <v>25.860570812083175</v>
      </c>
      <c r="H65" s="50"/>
      <c r="I65" s="17">
        <f t="shared" si="14"/>
        <v>827.5382659866616</v>
      </c>
      <c r="J65" s="17">
        <f t="shared" si="15"/>
        <v>59318.460117340153</v>
      </c>
      <c r="K65" s="51"/>
      <c r="L65" s="60"/>
      <c r="M65" s="60"/>
      <c r="N65" s="60"/>
    </row>
    <row r="66" spans="1:14" s="34" customFormat="1" x14ac:dyDescent="0.3">
      <c r="A66" s="58">
        <v>42325</v>
      </c>
      <c r="B66" s="51" t="s">
        <v>839</v>
      </c>
      <c r="C66" s="51"/>
      <c r="D66" s="62">
        <f>2+2</f>
        <v>4</v>
      </c>
      <c r="E66" s="85">
        <f t="shared" si="12"/>
        <v>2289.7800000000002</v>
      </c>
      <c r="F66" s="17"/>
      <c r="G66" s="17">
        <f t="shared" si="13"/>
        <v>25.860570812083175</v>
      </c>
      <c r="H66" s="50"/>
      <c r="I66" s="17">
        <f t="shared" si="14"/>
        <v>103.4422832483327</v>
      </c>
      <c r="J66" s="17">
        <f t="shared" si="15"/>
        <v>59215.017834091821</v>
      </c>
      <c r="K66" s="51"/>
      <c r="L66" s="60"/>
      <c r="M66" s="60"/>
      <c r="N66" s="60"/>
    </row>
    <row r="67" spans="1:14" s="34" customFormat="1" x14ac:dyDescent="0.3">
      <c r="A67" s="58">
        <v>42325</v>
      </c>
      <c r="B67" s="51" t="s">
        <v>840</v>
      </c>
      <c r="C67" s="51"/>
      <c r="D67" s="62">
        <v>2.5</v>
      </c>
      <c r="E67" s="85">
        <f t="shared" si="12"/>
        <v>2287.2800000000002</v>
      </c>
      <c r="F67" s="17"/>
      <c r="G67" s="17">
        <f t="shared" si="13"/>
        <v>25.860570812083175</v>
      </c>
      <c r="H67" s="50"/>
      <c r="I67" s="17">
        <f t="shared" si="14"/>
        <v>64.651427030207941</v>
      </c>
      <c r="J67" s="17">
        <f t="shared" si="15"/>
        <v>59150.366407061614</v>
      </c>
      <c r="K67" s="51"/>
      <c r="L67" s="60"/>
      <c r="M67" s="60"/>
      <c r="N67" s="60"/>
    </row>
    <row r="68" spans="1:14" s="34" customFormat="1" x14ac:dyDescent="0.3">
      <c r="A68" s="58">
        <v>42328</v>
      </c>
      <c r="B68" s="51" t="s">
        <v>851</v>
      </c>
      <c r="C68" s="51"/>
      <c r="D68" s="62">
        <f>9*5.1+24*4.2</f>
        <v>146.70000000000002</v>
      </c>
      <c r="E68" s="85">
        <f t="shared" si="12"/>
        <v>2140.5800000000004</v>
      </c>
      <c r="F68" s="17"/>
      <c r="G68" s="17">
        <f t="shared" si="13"/>
        <v>25.860570812083179</v>
      </c>
      <c r="H68" s="50"/>
      <c r="I68" s="17">
        <f t="shared" si="14"/>
        <v>3793.7457381326026</v>
      </c>
      <c r="J68" s="17">
        <f t="shared" si="15"/>
        <v>55356.620668929012</v>
      </c>
      <c r="K68" s="51"/>
      <c r="L68" s="60"/>
      <c r="M68" s="60"/>
      <c r="N68" s="60"/>
    </row>
    <row r="69" spans="1:14" s="34" customFormat="1" x14ac:dyDescent="0.3">
      <c r="A69" s="58">
        <v>42328</v>
      </c>
      <c r="B69" s="51" t="s">
        <v>852</v>
      </c>
      <c r="C69" s="51"/>
      <c r="D69" s="62">
        <v>3.08</v>
      </c>
      <c r="E69" s="85">
        <f t="shared" si="12"/>
        <v>2137.5000000000005</v>
      </c>
      <c r="F69" s="17"/>
      <c r="G69" s="17">
        <f t="shared" si="13"/>
        <v>25.860570812083175</v>
      </c>
      <c r="H69" s="50"/>
      <c r="I69" s="17">
        <f t="shared" si="14"/>
        <v>79.650558101216177</v>
      </c>
      <c r="J69" s="17">
        <f t="shared" si="15"/>
        <v>55276.970110827795</v>
      </c>
      <c r="K69" s="51"/>
      <c r="L69" s="60"/>
      <c r="M69" s="60"/>
      <c r="N69" s="60"/>
    </row>
    <row r="70" spans="1:14" s="34" customFormat="1" x14ac:dyDescent="0.3">
      <c r="A70" s="58">
        <v>42331</v>
      </c>
      <c r="B70" s="51" t="s">
        <v>861</v>
      </c>
      <c r="C70" s="51"/>
      <c r="D70" s="62">
        <f>2*3.15</f>
        <v>6.3</v>
      </c>
      <c r="E70" s="85">
        <f t="shared" si="12"/>
        <v>2131.2000000000003</v>
      </c>
      <c r="F70" s="17"/>
      <c r="G70" s="17">
        <f t="shared" si="13"/>
        <v>25.860570812083175</v>
      </c>
      <c r="H70" s="50"/>
      <c r="I70" s="17">
        <f t="shared" si="14"/>
        <v>162.92159611612399</v>
      </c>
      <c r="J70" s="17">
        <f t="shared" si="15"/>
        <v>55114.048514711671</v>
      </c>
      <c r="K70" s="51"/>
      <c r="L70" s="60"/>
      <c r="M70" s="60"/>
      <c r="N70" s="60"/>
    </row>
    <row r="71" spans="1:14" s="34" customFormat="1" x14ac:dyDescent="0.3">
      <c r="A71" s="58">
        <v>42332</v>
      </c>
      <c r="B71" s="51" t="s">
        <v>865</v>
      </c>
      <c r="C71" s="51"/>
      <c r="D71" s="62">
        <f>2*4.1+1.54</f>
        <v>9.7399999999999984</v>
      </c>
      <c r="E71" s="85">
        <f t="shared" si="12"/>
        <v>2121.4600000000005</v>
      </c>
      <c r="F71" s="17"/>
      <c r="G71" s="17">
        <f t="shared" si="13"/>
        <v>25.860570812083175</v>
      </c>
      <c r="H71" s="50"/>
      <c r="I71" s="17">
        <f t="shared" si="14"/>
        <v>251.88195970969008</v>
      </c>
      <c r="J71" s="17">
        <f t="shared" si="15"/>
        <v>54862.166555001982</v>
      </c>
      <c r="K71" s="51"/>
      <c r="L71" s="60"/>
      <c r="M71" s="60"/>
      <c r="N71" s="60"/>
    </row>
    <row r="72" spans="1:14" s="34" customFormat="1" x14ac:dyDescent="0.3">
      <c r="A72" s="58">
        <v>42333</v>
      </c>
      <c r="B72" s="51" t="s">
        <v>868</v>
      </c>
      <c r="C72" s="51"/>
      <c r="D72" s="62">
        <v>4</v>
      </c>
      <c r="E72" s="85">
        <f t="shared" si="12"/>
        <v>2117.4600000000005</v>
      </c>
      <c r="F72" s="17"/>
      <c r="G72" s="17">
        <f t="shared" si="13"/>
        <v>25.860570812083175</v>
      </c>
      <c r="H72" s="50"/>
      <c r="I72" s="17">
        <f t="shared" si="14"/>
        <v>103.4422832483327</v>
      </c>
      <c r="J72" s="17">
        <f t="shared" si="15"/>
        <v>54758.72427175365</v>
      </c>
      <c r="K72" s="51"/>
      <c r="L72" s="60"/>
      <c r="M72" s="60"/>
      <c r="N72" s="60"/>
    </row>
    <row r="73" spans="1:14" s="77" customFormat="1" x14ac:dyDescent="0.3">
      <c r="A73" s="133">
        <v>42334</v>
      </c>
      <c r="B73" s="48" t="s">
        <v>869</v>
      </c>
      <c r="C73" s="48"/>
      <c r="D73" s="62">
        <f>6*5</f>
        <v>30</v>
      </c>
      <c r="E73" s="86">
        <f t="shared" si="12"/>
        <v>2087.4600000000005</v>
      </c>
      <c r="F73" s="62"/>
      <c r="G73" s="62">
        <f t="shared" si="13"/>
        <v>25.860570812083175</v>
      </c>
      <c r="H73" s="62"/>
      <c r="I73" s="62">
        <f t="shared" si="14"/>
        <v>775.81712436249529</v>
      </c>
      <c r="J73" s="62">
        <f t="shared" si="15"/>
        <v>53982.907147391154</v>
      </c>
      <c r="K73" s="97"/>
      <c r="L73" s="98">
        <f>SUM(I65:I73)</f>
        <v>6163.0912359356635</v>
      </c>
      <c r="M73" s="98">
        <f>SUM(L64:L73)</f>
        <v>6302.7383183209122</v>
      </c>
      <c r="N73" s="168">
        <v>42338</v>
      </c>
    </row>
    <row r="74" spans="1:14" s="34" customFormat="1" x14ac:dyDescent="0.3">
      <c r="A74" s="58">
        <v>42347</v>
      </c>
      <c r="B74" s="51" t="s">
        <v>896</v>
      </c>
      <c r="C74" s="51"/>
      <c r="D74" s="62">
        <f>17*4.5+17*4.9</f>
        <v>159.80000000000001</v>
      </c>
      <c r="E74" s="85">
        <f t="shared" si="12"/>
        <v>1927.6600000000005</v>
      </c>
      <c r="F74" s="17"/>
      <c r="G74" s="17">
        <f t="shared" si="13"/>
        <v>25.860570812083175</v>
      </c>
      <c r="H74" s="50"/>
      <c r="I74" s="17">
        <f t="shared" si="14"/>
        <v>4132.5192157708916</v>
      </c>
      <c r="J74" s="17">
        <f t="shared" si="15"/>
        <v>49850.387931620266</v>
      </c>
      <c r="K74" s="51"/>
      <c r="L74" s="60"/>
      <c r="M74" s="60"/>
      <c r="N74" s="60"/>
    </row>
    <row r="75" spans="1:14" s="34" customFormat="1" x14ac:dyDescent="0.3">
      <c r="A75" s="58">
        <v>42347</v>
      </c>
      <c r="B75" s="51" t="s">
        <v>897</v>
      </c>
      <c r="C75" s="51"/>
      <c r="D75" s="62">
        <f>4*2.65</f>
        <v>10.6</v>
      </c>
      <c r="E75" s="85">
        <f t="shared" si="12"/>
        <v>1917.0600000000006</v>
      </c>
      <c r="F75" s="17"/>
      <c r="G75" s="17">
        <f t="shared" si="13"/>
        <v>25.860570812083175</v>
      </c>
      <c r="H75" s="50"/>
      <c r="I75" s="17">
        <f t="shared" si="14"/>
        <v>274.12205060808162</v>
      </c>
      <c r="J75" s="17">
        <f t="shared" si="15"/>
        <v>49576.265881012187</v>
      </c>
      <c r="K75" s="51"/>
      <c r="L75" s="60"/>
      <c r="M75" s="60"/>
      <c r="N75" s="60"/>
    </row>
    <row r="76" spans="1:14" s="34" customFormat="1" x14ac:dyDescent="0.3">
      <c r="A76" s="58">
        <v>42353</v>
      </c>
      <c r="B76" s="51" t="s">
        <v>908</v>
      </c>
      <c r="C76" s="51"/>
      <c r="D76" s="62">
        <f>3*2+2.5</f>
        <v>8.5</v>
      </c>
      <c r="E76" s="85">
        <f t="shared" si="12"/>
        <v>1908.5600000000006</v>
      </c>
      <c r="F76" s="17"/>
      <c r="G76" s="17">
        <f t="shared" si="13"/>
        <v>25.860570812083175</v>
      </c>
      <c r="H76" s="50"/>
      <c r="I76" s="17">
        <f t="shared" si="14"/>
        <v>219.81485190270698</v>
      </c>
      <c r="J76" s="17">
        <f t="shared" si="15"/>
        <v>49356.451029109478</v>
      </c>
      <c r="K76" s="81"/>
      <c r="L76" s="90">
        <f>SUM(I74:I76)</f>
        <v>4626.4561182816806</v>
      </c>
      <c r="M76" s="89"/>
      <c r="N76" s="162">
        <v>42353</v>
      </c>
    </row>
    <row r="77" spans="1:14" s="34" customFormat="1" x14ac:dyDescent="0.3">
      <c r="A77" s="58">
        <v>42356</v>
      </c>
      <c r="B77" s="51" t="s">
        <v>918</v>
      </c>
      <c r="C77" s="51"/>
      <c r="D77" s="62">
        <f>140.76</f>
        <v>140.76</v>
      </c>
      <c r="E77" s="85">
        <f t="shared" si="12"/>
        <v>1767.8000000000006</v>
      </c>
      <c r="F77" s="17"/>
      <c r="G77" s="17">
        <f t="shared" si="13"/>
        <v>25.860570812083175</v>
      </c>
      <c r="H77" s="50"/>
      <c r="I77" s="17">
        <f t="shared" si="14"/>
        <v>3640.1339475088275</v>
      </c>
      <c r="J77" s="17">
        <f t="shared" si="15"/>
        <v>45716.317081600653</v>
      </c>
      <c r="K77" s="51"/>
      <c r="L77" s="60"/>
      <c r="M77" s="60"/>
      <c r="N77" s="60"/>
    </row>
    <row r="78" spans="1:14" s="34" customFormat="1" x14ac:dyDescent="0.3">
      <c r="A78" s="58">
        <v>42360</v>
      </c>
      <c r="B78" s="51" t="s">
        <v>929</v>
      </c>
      <c r="C78" s="51"/>
      <c r="D78" s="62">
        <f>18*3</f>
        <v>54</v>
      </c>
      <c r="E78" s="85">
        <f t="shared" si="12"/>
        <v>1713.8000000000006</v>
      </c>
      <c r="F78" s="17"/>
      <c r="G78" s="17">
        <f t="shared" si="13"/>
        <v>25.860570812083175</v>
      </c>
      <c r="H78" s="50"/>
      <c r="I78" s="17">
        <f t="shared" si="14"/>
        <v>1396.4708238524915</v>
      </c>
      <c r="J78" s="17">
        <f t="shared" si="15"/>
        <v>44319.846257748162</v>
      </c>
      <c r="K78" s="51"/>
      <c r="L78" s="60"/>
      <c r="M78" s="60"/>
      <c r="N78" s="60"/>
    </row>
    <row r="79" spans="1:14" s="34" customFormat="1" x14ac:dyDescent="0.3">
      <c r="A79" s="58">
        <v>42360</v>
      </c>
      <c r="B79" s="51" t="s">
        <v>930</v>
      </c>
      <c r="C79" s="51"/>
      <c r="D79" s="62">
        <f>3*5.75</f>
        <v>17.25</v>
      </c>
      <c r="E79" s="85">
        <f t="shared" si="12"/>
        <v>1696.5500000000006</v>
      </c>
      <c r="F79" s="17"/>
      <c r="G79" s="17">
        <f t="shared" si="13"/>
        <v>25.860570812083175</v>
      </c>
      <c r="H79" s="50"/>
      <c r="I79" s="17">
        <f t="shared" si="14"/>
        <v>446.09484650843478</v>
      </c>
      <c r="J79" s="17">
        <f t="shared" si="15"/>
        <v>43873.751411239726</v>
      </c>
      <c r="K79" s="51"/>
      <c r="L79" s="60"/>
      <c r="M79" s="60"/>
      <c r="N79" s="60"/>
    </row>
    <row r="80" spans="1:14" s="34" customFormat="1" x14ac:dyDescent="0.3">
      <c r="A80" s="58">
        <v>42364</v>
      </c>
      <c r="B80" s="51" t="s">
        <v>941</v>
      </c>
      <c r="C80" s="51"/>
      <c r="D80" s="62">
        <f>10*4+27*3</f>
        <v>121</v>
      </c>
      <c r="E80" s="85">
        <f t="shared" si="12"/>
        <v>1575.5500000000006</v>
      </c>
      <c r="F80" s="17"/>
      <c r="G80" s="17">
        <f t="shared" si="13"/>
        <v>25.860570812083175</v>
      </c>
      <c r="H80" s="50"/>
      <c r="I80" s="17">
        <f t="shared" si="14"/>
        <v>3129.1290682620643</v>
      </c>
      <c r="J80" s="17">
        <f t="shared" si="15"/>
        <v>40744.622342977658</v>
      </c>
      <c r="K80" s="81"/>
      <c r="L80" s="90">
        <f>SUM(I77:I80)</f>
        <v>8611.8286861318174</v>
      </c>
      <c r="M80" s="169">
        <f>SUM(L76:L80)</f>
        <v>13238.284804413499</v>
      </c>
      <c r="N80" s="162">
        <v>42369</v>
      </c>
    </row>
    <row r="81" spans="1:14" s="34" customFormat="1" ht="15" thickBot="1" x14ac:dyDescent="0.35">
      <c r="A81" s="58"/>
      <c r="B81" s="51"/>
      <c r="C81" s="62">
        <f>SUM(C9:C80)</f>
        <v>5098</v>
      </c>
      <c r="D81" s="62">
        <f>SUM(D10:D80)</f>
        <v>3522.45</v>
      </c>
      <c r="E81" s="62"/>
      <c r="F81" s="17"/>
      <c r="G81" s="17"/>
      <c r="H81" s="62">
        <f>SUM(H9:H80)</f>
        <v>131837.19</v>
      </c>
      <c r="I81" s="62">
        <f t="shared" ref="I81" si="16">SUM(I10:I80)</f>
        <v>91092.567657022388</v>
      </c>
      <c r="J81" s="67"/>
      <c r="K81" s="51"/>
      <c r="L81" s="60"/>
      <c r="M81" s="166">
        <f>SUM(M20:M80)</f>
        <v>91092.567657022388</v>
      </c>
      <c r="N81" s="60"/>
    </row>
    <row r="82" spans="1:14" s="39" customFormat="1" ht="15" thickTop="1" x14ac:dyDescent="0.3">
      <c r="A82" s="106"/>
      <c r="B82" s="6"/>
      <c r="C82" s="128"/>
      <c r="D82" s="108"/>
      <c r="E82" s="109"/>
      <c r="F82" s="112"/>
      <c r="G82" s="112"/>
      <c r="H82" s="119"/>
      <c r="I82" s="112"/>
      <c r="J82" s="107"/>
      <c r="K82" s="6"/>
      <c r="L82" s="5"/>
      <c r="M82" s="5"/>
      <c r="N82" s="5"/>
    </row>
    <row r="83" spans="1:14" s="39" customFormat="1" x14ac:dyDescent="0.3">
      <c r="A83" s="127" t="s">
        <v>980</v>
      </c>
      <c r="B83" s="6"/>
      <c r="C83" s="5"/>
      <c r="D83" s="5"/>
      <c r="E83" s="5"/>
      <c r="F83" s="5"/>
      <c r="G83" s="60"/>
      <c r="H83" s="60"/>
      <c r="I83" s="60"/>
      <c r="J83" s="60"/>
      <c r="K83" s="6"/>
      <c r="L83" s="5"/>
      <c r="M83" s="5"/>
      <c r="N83" s="5"/>
    </row>
    <row r="84" spans="1:14" s="39" customFormat="1" x14ac:dyDescent="0.3">
      <c r="A84" s="127" t="s">
        <v>981</v>
      </c>
      <c r="B84" s="6"/>
      <c r="C84" s="5"/>
      <c r="D84" s="5"/>
      <c r="E84" s="5"/>
      <c r="F84" s="5"/>
      <c r="G84" s="60"/>
      <c r="H84" s="60"/>
      <c r="I84" s="60"/>
      <c r="J84" s="163">
        <f>+E80*F9</f>
        <v>40744.622342977658</v>
      </c>
      <c r="K84" s="6"/>
      <c r="L84" s="5"/>
      <c r="M84" s="5"/>
      <c r="N84" s="5"/>
    </row>
    <row r="85" spans="1:14" s="39" customFormat="1" x14ac:dyDescent="0.3">
      <c r="A85" s="127" t="s">
        <v>978</v>
      </c>
      <c r="B85" s="6"/>
      <c r="C85" s="5"/>
      <c r="D85" s="5"/>
      <c r="E85" s="5"/>
      <c r="F85" s="5"/>
      <c r="G85" s="60"/>
      <c r="H85" s="60"/>
      <c r="I85" s="60"/>
      <c r="J85" s="164">
        <f>+J80</f>
        <v>40744.622342977658</v>
      </c>
      <c r="K85" s="6"/>
      <c r="L85" s="5"/>
      <c r="M85" s="5"/>
      <c r="N85" s="5"/>
    </row>
    <row r="86" spans="1:14" s="39" customFormat="1" ht="15" thickBot="1" x14ac:dyDescent="0.35">
      <c r="A86" s="127"/>
      <c r="B86" s="6" t="s">
        <v>979</v>
      </c>
      <c r="C86" s="5"/>
      <c r="D86" s="5"/>
      <c r="E86" s="5"/>
      <c r="F86" s="5"/>
      <c r="G86" s="60"/>
      <c r="H86" s="60"/>
      <c r="I86" s="60"/>
      <c r="J86" s="170">
        <f>+J84-J85</f>
        <v>0</v>
      </c>
      <c r="K86" s="6"/>
      <c r="L86" s="5"/>
      <c r="M86" s="5"/>
      <c r="N86" s="5"/>
    </row>
    <row r="87" spans="1:14" s="39" customFormat="1" ht="15" thickTop="1" x14ac:dyDescent="0.3">
      <c r="A87" s="5"/>
      <c r="B87" s="117"/>
      <c r="C87" s="107"/>
      <c r="D87" s="108"/>
      <c r="E87" s="118"/>
      <c r="F87" s="119"/>
      <c r="G87" s="119"/>
      <c r="H87" s="119"/>
      <c r="I87" s="119"/>
      <c r="J87" s="120"/>
      <c r="K87" s="6"/>
    </row>
    <row r="88" spans="1:14" s="39" customFormat="1" x14ac:dyDescent="0.3">
      <c r="A88" s="106"/>
      <c r="B88" s="6"/>
      <c r="C88" s="128"/>
      <c r="D88" s="108"/>
      <c r="E88" s="109"/>
      <c r="F88" s="112"/>
      <c r="G88" s="112"/>
      <c r="H88" s="119"/>
      <c r="I88" s="112"/>
      <c r="J88" s="107"/>
      <c r="K88" s="6"/>
    </row>
    <row r="89" spans="1:14" s="39" customFormat="1" x14ac:dyDescent="0.3">
      <c r="A89" s="106"/>
      <c r="B89" s="6"/>
      <c r="C89" s="128"/>
      <c r="D89" s="108"/>
      <c r="E89" s="109"/>
      <c r="F89" s="112"/>
      <c r="G89" s="112"/>
      <c r="H89" s="119"/>
      <c r="I89" s="112"/>
      <c r="J89" s="107"/>
      <c r="K89" s="6"/>
    </row>
    <row r="90" spans="1:14" s="39" customFormat="1" x14ac:dyDescent="0.3">
      <c r="A90" s="106"/>
      <c r="B90" s="6"/>
      <c r="C90" s="128"/>
      <c r="D90" s="108"/>
      <c r="E90" s="109"/>
      <c r="F90" s="112"/>
      <c r="G90" s="112"/>
      <c r="H90" s="119"/>
      <c r="I90" s="112"/>
      <c r="J90" s="107"/>
      <c r="K90" s="6"/>
    </row>
    <row r="91" spans="1:14" s="39" customFormat="1" x14ac:dyDescent="0.3">
      <c r="D91" s="19"/>
      <c r="E91" s="19"/>
      <c r="F91" s="19"/>
      <c r="G91" s="19"/>
      <c r="H91" s="19"/>
      <c r="I91" s="19"/>
      <c r="J91" s="19"/>
    </row>
  </sheetData>
  <mergeCells count="4">
    <mergeCell ref="D4:H4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scale="7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78"/>
  <sheetViews>
    <sheetView topLeftCell="C25" workbookViewId="0">
      <selection activeCell="H45" sqref="H45"/>
    </sheetView>
  </sheetViews>
  <sheetFormatPr baseColWidth="10" defaultRowHeight="14.4" x14ac:dyDescent="0.3"/>
  <cols>
    <col min="2" max="2" width="24.44140625" customWidth="1"/>
    <col min="3" max="13" width="10.6640625" customWidth="1"/>
  </cols>
  <sheetData>
    <row r="1" spans="1:13" x14ac:dyDescent="0.3">
      <c r="A1" s="100" t="s">
        <v>0</v>
      </c>
      <c r="B1" s="101"/>
      <c r="C1" s="129"/>
      <c r="D1" s="129"/>
      <c r="E1" s="129"/>
      <c r="F1" s="129"/>
      <c r="G1" s="129"/>
      <c r="H1" s="130" t="s">
        <v>1</v>
      </c>
      <c r="I1" s="129"/>
      <c r="J1" s="174"/>
      <c r="K1" s="60"/>
      <c r="L1" s="60"/>
      <c r="M1" s="60"/>
    </row>
    <row r="2" spans="1:13" x14ac:dyDescent="0.3">
      <c r="A2" s="102" t="s">
        <v>2</v>
      </c>
      <c r="B2" s="38"/>
      <c r="C2" s="5"/>
      <c r="D2" s="5"/>
      <c r="E2" s="5"/>
      <c r="F2" s="5"/>
      <c r="G2" s="5"/>
      <c r="H2" s="6" t="s">
        <v>973</v>
      </c>
      <c r="I2" s="5"/>
      <c r="J2" s="175"/>
      <c r="K2" s="60"/>
      <c r="L2" s="60"/>
      <c r="M2" s="60"/>
    </row>
    <row r="3" spans="1:13" x14ac:dyDescent="0.3">
      <c r="A3" s="103" t="s">
        <v>3</v>
      </c>
      <c r="B3" s="42"/>
      <c r="C3" s="5"/>
      <c r="D3" s="5"/>
      <c r="E3" s="5"/>
      <c r="F3" s="5"/>
      <c r="G3" s="5"/>
      <c r="H3" s="6" t="s">
        <v>967</v>
      </c>
      <c r="I3" s="5"/>
      <c r="J3" s="175"/>
      <c r="K3" s="60"/>
      <c r="L3" s="60"/>
      <c r="M3" s="60"/>
    </row>
    <row r="4" spans="1:13" x14ac:dyDescent="0.3">
      <c r="A4" s="114"/>
      <c r="B4" s="5"/>
      <c r="C4" s="5"/>
      <c r="D4" s="219" t="s">
        <v>5</v>
      </c>
      <c r="E4" s="219"/>
      <c r="F4" s="219"/>
      <c r="G4" s="219"/>
      <c r="H4" s="219"/>
      <c r="I4" s="5"/>
      <c r="J4" s="175"/>
      <c r="K4" s="60"/>
      <c r="L4" s="60"/>
      <c r="M4" s="60"/>
    </row>
    <row r="5" spans="1:13" x14ac:dyDescent="0.3">
      <c r="A5" s="114"/>
      <c r="B5" s="7"/>
      <c r="C5" s="5"/>
      <c r="D5" s="6" t="s">
        <v>274</v>
      </c>
      <c r="E5" s="7"/>
      <c r="F5" s="7"/>
      <c r="G5" s="5"/>
      <c r="H5" s="5"/>
      <c r="I5" s="5"/>
      <c r="J5" s="175"/>
      <c r="K5" s="60"/>
      <c r="L5" s="60"/>
      <c r="M5" s="60"/>
    </row>
    <row r="6" spans="1:13" x14ac:dyDescent="0.3">
      <c r="A6" s="114"/>
      <c r="B6" s="7"/>
      <c r="C6" s="5"/>
      <c r="D6" s="5" t="s">
        <v>6</v>
      </c>
      <c r="E6" s="7"/>
      <c r="F6" s="7"/>
      <c r="G6" s="5"/>
      <c r="H6" s="5"/>
      <c r="I6" s="5"/>
      <c r="J6" s="175"/>
      <c r="K6" s="60"/>
      <c r="L6" s="60"/>
      <c r="M6" s="60"/>
    </row>
    <row r="7" spans="1:13" x14ac:dyDescent="0.3">
      <c r="A7" s="114"/>
      <c r="B7" s="5"/>
      <c r="C7" s="5"/>
      <c r="D7" s="5"/>
      <c r="E7" s="5"/>
      <c r="F7" s="5"/>
      <c r="G7" s="5"/>
      <c r="H7" s="5"/>
      <c r="I7" s="5"/>
      <c r="J7" s="175"/>
      <c r="K7" s="60"/>
      <c r="L7" s="60"/>
      <c r="M7" s="60"/>
    </row>
    <row r="8" spans="1:13" x14ac:dyDescent="0.3">
      <c r="A8" s="114"/>
      <c r="B8" s="5"/>
      <c r="C8" s="5"/>
      <c r="D8" s="5"/>
      <c r="E8" s="5"/>
      <c r="F8" s="5"/>
      <c r="G8" s="5"/>
      <c r="H8" s="5"/>
      <c r="I8" s="5"/>
      <c r="J8" s="175"/>
      <c r="K8" s="60"/>
      <c r="L8" s="60"/>
      <c r="M8" s="60"/>
    </row>
    <row r="9" spans="1:13" x14ac:dyDescent="0.3">
      <c r="A9" s="176" t="s">
        <v>7</v>
      </c>
      <c r="B9" s="177" t="s">
        <v>8</v>
      </c>
      <c r="C9" s="225" t="s">
        <v>9</v>
      </c>
      <c r="D9" s="226"/>
      <c r="E9" s="227"/>
      <c r="F9" s="225" t="s">
        <v>10</v>
      </c>
      <c r="G9" s="227"/>
      <c r="H9" s="225" t="s">
        <v>11</v>
      </c>
      <c r="I9" s="226"/>
      <c r="J9" s="227"/>
      <c r="K9" s="60"/>
      <c r="L9" s="60"/>
      <c r="M9" s="60"/>
    </row>
    <row r="10" spans="1:13" x14ac:dyDescent="0.3">
      <c r="A10" s="178"/>
      <c r="B10" s="179"/>
      <c r="C10" s="178" t="s">
        <v>26</v>
      </c>
      <c r="D10" s="180" t="s">
        <v>14</v>
      </c>
      <c r="E10" s="181" t="s">
        <v>20</v>
      </c>
      <c r="F10" s="180" t="s">
        <v>16</v>
      </c>
      <c r="G10" s="180" t="s">
        <v>17</v>
      </c>
      <c r="H10" s="178" t="s">
        <v>18</v>
      </c>
      <c r="I10" s="180" t="s">
        <v>19</v>
      </c>
      <c r="J10" s="181" t="s">
        <v>20</v>
      </c>
      <c r="K10" s="60"/>
      <c r="L10" s="60"/>
      <c r="M10" s="60"/>
    </row>
    <row r="11" spans="1:13" x14ac:dyDescent="0.3">
      <c r="A11" s="59">
        <v>42005</v>
      </c>
      <c r="B11" s="54" t="s">
        <v>27</v>
      </c>
      <c r="C11" s="2">
        <v>3392</v>
      </c>
      <c r="D11" s="2"/>
      <c r="E11" s="2">
        <v>3392</v>
      </c>
      <c r="F11" s="2">
        <f>+H11/C11</f>
        <v>0.41760023584905659</v>
      </c>
      <c r="G11" s="2"/>
      <c r="H11" s="2">
        <v>1416.5</v>
      </c>
      <c r="I11" s="2"/>
      <c r="J11" s="2">
        <f>+H11</f>
        <v>1416.5</v>
      </c>
      <c r="K11" s="60"/>
      <c r="L11" s="60"/>
      <c r="M11" s="60"/>
    </row>
    <row r="12" spans="1:13" x14ac:dyDescent="0.3">
      <c r="A12" s="59">
        <v>42009</v>
      </c>
      <c r="B12" s="54" t="s">
        <v>39</v>
      </c>
      <c r="C12" s="2"/>
      <c r="D12" s="2">
        <v>50</v>
      </c>
      <c r="E12" s="2">
        <f>+E11-D12</f>
        <v>3342</v>
      </c>
      <c r="F12" s="2"/>
      <c r="G12" s="2">
        <f>+J11/E11</f>
        <v>0.41760023584905659</v>
      </c>
      <c r="H12" s="2"/>
      <c r="I12" s="2">
        <f>+D12*G12</f>
        <v>20.88001179245283</v>
      </c>
      <c r="J12" s="2">
        <f>+J11-I12</f>
        <v>1395.6199882075471</v>
      </c>
      <c r="K12" s="60"/>
      <c r="L12" s="60"/>
      <c r="M12" s="60"/>
    </row>
    <row r="13" spans="1:13" x14ac:dyDescent="0.3">
      <c r="A13" s="59">
        <v>42011</v>
      </c>
      <c r="B13" s="54" t="s">
        <v>53</v>
      </c>
      <c r="C13" s="2"/>
      <c r="D13" s="2">
        <v>300</v>
      </c>
      <c r="E13" s="2">
        <f t="shared" ref="E13:E21" si="0">+E12-D13</f>
        <v>3042</v>
      </c>
      <c r="F13" s="2"/>
      <c r="G13" s="2">
        <f t="shared" ref="G13:G21" si="1">+J12/E12</f>
        <v>0.41760023584905659</v>
      </c>
      <c r="H13" s="2"/>
      <c r="I13" s="2">
        <f t="shared" ref="I13:I21" si="2">+D13*G13</f>
        <v>125.28007075471697</v>
      </c>
      <c r="J13" s="2">
        <f t="shared" ref="J13:J21" si="3">+J12-I13</f>
        <v>1270.3399174528302</v>
      </c>
      <c r="K13" s="60"/>
      <c r="L13" s="60"/>
      <c r="M13" s="60"/>
    </row>
    <row r="14" spans="1:13" x14ac:dyDescent="0.3">
      <c r="A14" s="91">
        <v>42012</v>
      </c>
      <c r="B14" s="93" t="s">
        <v>58</v>
      </c>
      <c r="C14" s="92"/>
      <c r="D14" s="92">
        <v>400</v>
      </c>
      <c r="E14" s="92">
        <f t="shared" si="0"/>
        <v>2642</v>
      </c>
      <c r="F14" s="92"/>
      <c r="G14" s="92">
        <f t="shared" si="1"/>
        <v>0.41760023584905659</v>
      </c>
      <c r="H14" s="92"/>
      <c r="I14" s="92">
        <f t="shared" si="2"/>
        <v>167.04009433962264</v>
      </c>
      <c r="J14" s="92">
        <f t="shared" si="3"/>
        <v>1103.2998231132076</v>
      </c>
      <c r="K14" s="90">
        <f>SUM(I12:I14)</f>
        <v>313.20017688679241</v>
      </c>
      <c r="L14" s="89"/>
      <c r="M14" s="162">
        <v>42016</v>
      </c>
    </row>
    <row r="15" spans="1:13" x14ac:dyDescent="0.3">
      <c r="A15" s="91">
        <v>42018</v>
      </c>
      <c r="B15" s="93" t="s">
        <v>75</v>
      </c>
      <c r="C15" s="92"/>
      <c r="D15" s="92">
        <v>50</v>
      </c>
      <c r="E15" s="92">
        <f t="shared" si="0"/>
        <v>2592</v>
      </c>
      <c r="F15" s="92"/>
      <c r="G15" s="92">
        <f t="shared" si="1"/>
        <v>0.41760023584905664</v>
      </c>
      <c r="H15" s="92"/>
      <c r="I15" s="92">
        <f t="shared" si="2"/>
        <v>20.880011792452834</v>
      </c>
      <c r="J15" s="92">
        <f t="shared" si="3"/>
        <v>1082.4198113207547</v>
      </c>
      <c r="K15" s="60"/>
      <c r="L15" s="60"/>
      <c r="M15" s="60"/>
    </row>
    <row r="16" spans="1:13" x14ac:dyDescent="0.3">
      <c r="A16" s="91">
        <v>42020</v>
      </c>
      <c r="B16" s="93" t="s">
        <v>77</v>
      </c>
      <c r="C16" s="92"/>
      <c r="D16" s="92">
        <v>100</v>
      </c>
      <c r="E16" s="92">
        <f t="shared" si="0"/>
        <v>2492</v>
      </c>
      <c r="F16" s="92"/>
      <c r="G16" s="92">
        <f t="shared" si="1"/>
        <v>0.41760023584905659</v>
      </c>
      <c r="H16" s="92"/>
      <c r="I16" s="92">
        <f t="shared" si="2"/>
        <v>41.76002358490566</v>
      </c>
      <c r="J16" s="92">
        <f t="shared" si="3"/>
        <v>1040.659787735849</v>
      </c>
      <c r="K16" s="60"/>
      <c r="L16" s="60"/>
      <c r="M16" s="60"/>
    </row>
    <row r="17" spans="1:13" x14ac:dyDescent="0.3">
      <c r="A17" s="91">
        <v>42034</v>
      </c>
      <c r="B17" s="93" t="s">
        <v>86</v>
      </c>
      <c r="C17" s="92"/>
      <c r="D17" s="92">
        <v>50</v>
      </c>
      <c r="E17" s="92">
        <f t="shared" si="0"/>
        <v>2442</v>
      </c>
      <c r="F17" s="92"/>
      <c r="G17" s="92">
        <f t="shared" si="1"/>
        <v>0.41760023584905659</v>
      </c>
      <c r="H17" s="92"/>
      <c r="I17" s="92">
        <f t="shared" si="2"/>
        <v>20.88001179245283</v>
      </c>
      <c r="J17" s="92">
        <f t="shared" si="3"/>
        <v>1019.7797759433962</v>
      </c>
      <c r="K17" s="90">
        <f>SUM(I15:I17)</f>
        <v>83.52004716981132</v>
      </c>
      <c r="L17" s="90">
        <f>SUM(K14:K17)</f>
        <v>396.72022405660374</v>
      </c>
      <c r="M17" s="162">
        <v>42035</v>
      </c>
    </row>
    <row r="18" spans="1:13" x14ac:dyDescent="0.3">
      <c r="A18" s="91">
        <v>42061</v>
      </c>
      <c r="B18" s="93" t="s">
        <v>132</v>
      </c>
      <c r="C18" s="92"/>
      <c r="D18" s="92">
        <v>50</v>
      </c>
      <c r="E18" s="92">
        <f t="shared" si="0"/>
        <v>2392</v>
      </c>
      <c r="F18" s="92"/>
      <c r="G18" s="92">
        <f t="shared" si="1"/>
        <v>0.41760023584905659</v>
      </c>
      <c r="H18" s="92"/>
      <c r="I18" s="92">
        <f t="shared" si="2"/>
        <v>20.88001179245283</v>
      </c>
      <c r="J18" s="92">
        <f t="shared" si="3"/>
        <v>998.89976415094338</v>
      </c>
      <c r="K18" s="90">
        <f>SUM(I18)</f>
        <v>20.88001179245283</v>
      </c>
      <c r="L18" s="90">
        <f>SUM(K18)</f>
        <v>20.88001179245283</v>
      </c>
      <c r="M18" s="162">
        <v>42063</v>
      </c>
    </row>
    <row r="19" spans="1:13" x14ac:dyDescent="0.3">
      <c r="A19" s="91">
        <v>42073</v>
      </c>
      <c r="B19" s="93" t="s">
        <v>150</v>
      </c>
      <c r="C19" s="92"/>
      <c r="D19" s="92">
        <v>100</v>
      </c>
      <c r="E19" s="92">
        <f t="shared" si="0"/>
        <v>2292</v>
      </c>
      <c r="F19" s="92"/>
      <c r="G19" s="92">
        <f t="shared" si="1"/>
        <v>0.41760023584905659</v>
      </c>
      <c r="H19" s="92"/>
      <c r="I19" s="92">
        <f t="shared" si="2"/>
        <v>41.76002358490566</v>
      </c>
      <c r="J19" s="92">
        <f t="shared" si="3"/>
        <v>957.13974056603774</v>
      </c>
      <c r="K19" s="90">
        <f>SUM(I19)</f>
        <v>41.76002358490566</v>
      </c>
      <c r="L19" s="90"/>
      <c r="M19" s="162">
        <v>42076</v>
      </c>
    </row>
    <row r="20" spans="1:13" x14ac:dyDescent="0.3">
      <c r="A20" s="91">
        <v>42094</v>
      </c>
      <c r="B20" s="93" t="s">
        <v>181</v>
      </c>
      <c r="C20" s="92"/>
      <c r="D20" s="92">
        <v>400</v>
      </c>
      <c r="E20" s="92">
        <f t="shared" si="0"/>
        <v>1892</v>
      </c>
      <c r="F20" s="92"/>
      <c r="G20" s="92">
        <f t="shared" si="1"/>
        <v>0.41760023584905659</v>
      </c>
      <c r="H20" s="92"/>
      <c r="I20" s="92">
        <f t="shared" si="2"/>
        <v>167.04009433962264</v>
      </c>
      <c r="J20" s="92">
        <f t="shared" si="3"/>
        <v>790.09964622641508</v>
      </c>
      <c r="K20" s="90">
        <f>SUM(I20)</f>
        <v>167.04009433962264</v>
      </c>
      <c r="L20" s="90">
        <f>SUM(K19:K20)</f>
        <v>208.80011792452831</v>
      </c>
      <c r="M20" s="162">
        <v>42094</v>
      </c>
    </row>
    <row r="21" spans="1:13" x14ac:dyDescent="0.3">
      <c r="A21" s="91">
        <v>42100</v>
      </c>
      <c r="B21" s="93" t="s">
        <v>195</v>
      </c>
      <c r="C21" s="92"/>
      <c r="D21" s="92">
        <v>50</v>
      </c>
      <c r="E21" s="92">
        <f t="shared" si="0"/>
        <v>1842</v>
      </c>
      <c r="F21" s="92"/>
      <c r="G21" s="92">
        <f t="shared" si="1"/>
        <v>0.41760023584905659</v>
      </c>
      <c r="H21" s="92"/>
      <c r="I21" s="92">
        <f t="shared" si="2"/>
        <v>20.88001179245283</v>
      </c>
      <c r="J21" s="92">
        <f t="shared" si="3"/>
        <v>769.21963443396226</v>
      </c>
      <c r="K21" s="90">
        <f>SUM(I21)</f>
        <v>20.88001179245283</v>
      </c>
      <c r="L21" s="89"/>
      <c r="M21" s="162">
        <v>42103</v>
      </c>
    </row>
    <row r="22" spans="1:13" s="34" customFormat="1" x14ac:dyDescent="0.3">
      <c r="A22" s="91">
        <v>42112</v>
      </c>
      <c r="B22" s="93" t="s">
        <v>212</v>
      </c>
      <c r="C22" s="92"/>
      <c r="D22" s="92">
        <v>50</v>
      </c>
      <c r="E22" s="92">
        <f t="shared" ref="E22:E41" si="4">+E21-D22</f>
        <v>1792</v>
      </c>
      <c r="F22" s="92"/>
      <c r="G22" s="92">
        <f t="shared" ref="G22:G25" si="5">+J21/E21</f>
        <v>0.41760023584905659</v>
      </c>
      <c r="H22" s="92"/>
      <c r="I22" s="92">
        <f t="shared" ref="I22:I41" si="6">+D22*G22</f>
        <v>20.88001179245283</v>
      </c>
      <c r="J22" s="92">
        <f t="shared" ref="J22:J41" si="7">+J21-I22</f>
        <v>748.33962264150944</v>
      </c>
      <c r="K22" s="60"/>
      <c r="L22" s="60"/>
      <c r="M22" s="60"/>
    </row>
    <row r="23" spans="1:13" s="34" customFormat="1" x14ac:dyDescent="0.3">
      <c r="A23" s="91">
        <v>42116</v>
      </c>
      <c r="B23" s="93" t="s">
        <v>219</v>
      </c>
      <c r="C23" s="92"/>
      <c r="D23" s="92">
        <v>150</v>
      </c>
      <c r="E23" s="92">
        <f t="shared" si="4"/>
        <v>1642</v>
      </c>
      <c r="F23" s="92"/>
      <c r="G23" s="92">
        <f t="shared" si="5"/>
        <v>0.41760023584905659</v>
      </c>
      <c r="H23" s="92"/>
      <c r="I23" s="92">
        <f t="shared" si="6"/>
        <v>62.640035377358487</v>
      </c>
      <c r="J23" s="92">
        <f t="shared" si="7"/>
        <v>685.69958726415098</v>
      </c>
      <c r="K23" s="60"/>
      <c r="L23" s="60"/>
      <c r="M23" s="60"/>
    </row>
    <row r="24" spans="1:13" s="34" customFormat="1" x14ac:dyDescent="0.3">
      <c r="A24" s="91">
        <v>42117</v>
      </c>
      <c r="B24" s="93" t="s">
        <v>222</v>
      </c>
      <c r="C24" s="92"/>
      <c r="D24" s="92">
        <v>50</v>
      </c>
      <c r="E24" s="92">
        <f t="shared" si="4"/>
        <v>1592</v>
      </c>
      <c r="F24" s="92"/>
      <c r="G24" s="92">
        <f t="shared" si="5"/>
        <v>0.41760023584905664</v>
      </c>
      <c r="H24" s="92"/>
      <c r="I24" s="92">
        <f t="shared" si="6"/>
        <v>20.880011792452834</v>
      </c>
      <c r="J24" s="92">
        <f t="shared" si="7"/>
        <v>664.81957547169816</v>
      </c>
      <c r="K24" s="90">
        <f>SUM(I22:I24)</f>
        <v>104.40005896226415</v>
      </c>
      <c r="L24" s="90">
        <f>SUM(K21:K24)</f>
        <v>125.28007075471699</v>
      </c>
      <c r="M24" s="162">
        <v>42124</v>
      </c>
    </row>
    <row r="25" spans="1:13" s="34" customFormat="1" x14ac:dyDescent="0.3">
      <c r="A25" s="91">
        <v>42142</v>
      </c>
      <c r="B25" s="93" t="s">
        <v>255</v>
      </c>
      <c r="C25" s="92"/>
      <c r="D25" s="92">
        <v>50</v>
      </c>
      <c r="E25" s="92">
        <f t="shared" si="4"/>
        <v>1542</v>
      </c>
      <c r="F25" s="92"/>
      <c r="G25" s="92">
        <f t="shared" si="5"/>
        <v>0.41760023584905664</v>
      </c>
      <c r="H25" s="92"/>
      <c r="I25" s="92">
        <f t="shared" si="6"/>
        <v>20.880011792452834</v>
      </c>
      <c r="J25" s="92">
        <f t="shared" si="7"/>
        <v>643.93956367924534</v>
      </c>
      <c r="K25" s="90">
        <f>SUM(I25)</f>
        <v>20.880011792452834</v>
      </c>
      <c r="L25" s="90">
        <f>SUM(K25)</f>
        <v>20.880011792452834</v>
      </c>
      <c r="M25" s="162">
        <v>42142</v>
      </c>
    </row>
    <row r="26" spans="1:13" s="34" customFormat="1" x14ac:dyDescent="0.3">
      <c r="A26" s="91">
        <v>42174</v>
      </c>
      <c r="B26" s="93" t="s">
        <v>428</v>
      </c>
      <c r="C26" s="92">
        <v>1000</v>
      </c>
      <c r="D26" s="92"/>
      <c r="E26" s="92">
        <f>+E25+C26</f>
        <v>2542</v>
      </c>
      <c r="F26" s="92">
        <f>+H26/C26</f>
        <v>0.41411999999999999</v>
      </c>
      <c r="G26" s="92"/>
      <c r="H26" s="92">
        <v>414.12</v>
      </c>
      <c r="I26" s="92"/>
      <c r="J26" s="92">
        <f>+J25+H26</f>
        <v>1058.0595636792455</v>
      </c>
      <c r="K26" s="60"/>
      <c r="L26" s="60"/>
      <c r="M26" s="60"/>
    </row>
    <row r="27" spans="1:13" s="34" customFormat="1" x14ac:dyDescent="0.3">
      <c r="A27" s="91">
        <v>42184</v>
      </c>
      <c r="B27" s="93" t="s">
        <v>334</v>
      </c>
      <c r="C27" s="92"/>
      <c r="D27" s="92">
        <v>250</v>
      </c>
      <c r="E27" s="92">
        <f>+E26-D27</f>
        <v>2292</v>
      </c>
      <c r="F27" s="92"/>
      <c r="G27" s="92">
        <f>+J26/E26</f>
        <v>0.41623114228137115</v>
      </c>
      <c r="H27" s="92"/>
      <c r="I27" s="92">
        <f t="shared" si="6"/>
        <v>104.05778557034279</v>
      </c>
      <c r="J27" s="92">
        <f>+J26-I27</f>
        <v>954.00177810890273</v>
      </c>
      <c r="K27" s="90">
        <f>SUM(I27)</f>
        <v>104.05778557034279</v>
      </c>
      <c r="L27" s="90">
        <f>SUM(K27)</f>
        <v>104.05778557034279</v>
      </c>
      <c r="M27" s="162">
        <v>42185</v>
      </c>
    </row>
    <row r="28" spans="1:13" s="34" customFormat="1" x14ac:dyDescent="0.3">
      <c r="A28" s="91">
        <v>42202</v>
      </c>
      <c r="B28" s="93" t="s">
        <v>388</v>
      </c>
      <c r="C28" s="92"/>
      <c r="D28" s="92">
        <v>50</v>
      </c>
      <c r="E28" s="92">
        <f t="shared" si="4"/>
        <v>2242</v>
      </c>
      <c r="F28" s="92"/>
      <c r="G28" s="92">
        <f t="shared" ref="G28:G41" si="8">+J27/E27</f>
        <v>0.41623114228137115</v>
      </c>
      <c r="H28" s="92"/>
      <c r="I28" s="92">
        <f t="shared" si="6"/>
        <v>20.811557114068556</v>
      </c>
      <c r="J28" s="92">
        <f t="shared" si="7"/>
        <v>933.19022099483414</v>
      </c>
      <c r="K28" s="60"/>
      <c r="L28" s="60"/>
      <c r="M28" s="60"/>
    </row>
    <row r="29" spans="1:13" s="34" customFormat="1" x14ac:dyDescent="0.3">
      <c r="A29" s="91">
        <v>42213</v>
      </c>
      <c r="B29" s="93" t="s">
        <v>420</v>
      </c>
      <c r="C29" s="92"/>
      <c r="D29" s="92">
        <v>100</v>
      </c>
      <c r="E29" s="92">
        <f t="shared" si="4"/>
        <v>2142</v>
      </c>
      <c r="F29" s="92"/>
      <c r="G29" s="92">
        <f t="shared" si="8"/>
        <v>0.41623114228137115</v>
      </c>
      <c r="H29" s="92"/>
      <c r="I29" s="92">
        <f t="shared" si="6"/>
        <v>41.623114228137112</v>
      </c>
      <c r="J29" s="92">
        <f t="shared" si="7"/>
        <v>891.56710676669707</v>
      </c>
      <c r="K29" s="90">
        <f>SUM(I28:I29)</f>
        <v>62.434671342205668</v>
      </c>
      <c r="L29" s="90">
        <f>SUM(K29)</f>
        <v>62.434671342205668</v>
      </c>
      <c r="M29" s="162">
        <v>42216</v>
      </c>
    </row>
    <row r="30" spans="1:13" s="34" customFormat="1" x14ac:dyDescent="0.3">
      <c r="A30" s="91">
        <v>42219</v>
      </c>
      <c r="B30" s="93" t="s">
        <v>452</v>
      </c>
      <c r="C30" s="92"/>
      <c r="D30" s="92">
        <v>150</v>
      </c>
      <c r="E30" s="92">
        <f t="shared" si="4"/>
        <v>1992</v>
      </c>
      <c r="F30" s="92"/>
      <c r="G30" s="92">
        <f t="shared" si="8"/>
        <v>0.4162311422813712</v>
      </c>
      <c r="H30" s="92"/>
      <c r="I30" s="92">
        <f t="shared" si="6"/>
        <v>62.434671342205682</v>
      </c>
      <c r="J30" s="92">
        <f t="shared" si="7"/>
        <v>829.1324354244914</v>
      </c>
      <c r="K30" s="60"/>
      <c r="L30" s="60"/>
      <c r="M30" s="60"/>
    </row>
    <row r="31" spans="1:13" s="77" customFormat="1" x14ac:dyDescent="0.3">
      <c r="A31" s="155">
        <v>42229</v>
      </c>
      <c r="B31" s="156" t="s">
        <v>477</v>
      </c>
      <c r="C31" s="157"/>
      <c r="D31" s="157">
        <v>50</v>
      </c>
      <c r="E31" s="157">
        <f t="shared" si="4"/>
        <v>1942</v>
      </c>
      <c r="F31" s="157"/>
      <c r="G31" s="157">
        <f t="shared" si="8"/>
        <v>0.4162311422813712</v>
      </c>
      <c r="H31" s="157"/>
      <c r="I31" s="157">
        <f t="shared" si="6"/>
        <v>20.81155711406856</v>
      </c>
      <c r="J31" s="157">
        <f t="shared" si="7"/>
        <v>808.32087831042281</v>
      </c>
      <c r="K31" s="167"/>
      <c r="L31" s="167"/>
      <c r="M31" s="167"/>
    </row>
    <row r="32" spans="1:13" s="34" customFormat="1" x14ac:dyDescent="0.3">
      <c r="A32" s="91">
        <v>42230</v>
      </c>
      <c r="B32" s="93" t="s">
        <v>480</v>
      </c>
      <c r="C32" s="92"/>
      <c r="D32" s="92">
        <v>250</v>
      </c>
      <c r="E32" s="92">
        <f t="shared" si="4"/>
        <v>1692</v>
      </c>
      <c r="F32" s="92"/>
      <c r="G32" s="92">
        <f t="shared" si="8"/>
        <v>0.41623114228137115</v>
      </c>
      <c r="H32" s="92"/>
      <c r="I32" s="92">
        <f t="shared" si="6"/>
        <v>104.05778557034279</v>
      </c>
      <c r="J32" s="92">
        <f t="shared" si="7"/>
        <v>704.26309274008008</v>
      </c>
      <c r="K32" s="60"/>
      <c r="L32" s="60"/>
      <c r="M32" s="60"/>
    </row>
    <row r="33" spans="1:13" s="34" customFormat="1" x14ac:dyDescent="0.3">
      <c r="A33" s="91">
        <v>42234</v>
      </c>
      <c r="B33" s="93" t="s">
        <v>490</v>
      </c>
      <c r="C33" s="92"/>
      <c r="D33" s="92">
        <v>50</v>
      </c>
      <c r="E33" s="92">
        <f t="shared" si="4"/>
        <v>1642</v>
      </c>
      <c r="F33" s="92"/>
      <c r="G33" s="92">
        <f t="shared" si="8"/>
        <v>0.4162311422813712</v>
      </c>
      <c r="H33" s="92"/>
      <c r="I33" s="92">
        <f t="shared" si="6"/>
        <v>20.81155711406856</v>
      </c>
      <c r="J33" s="92">
        <f t="shared" si="7"/>
        <v>683.45153562601149</v>
      </c>
      <c r="K33" s="90">
        <f>SUM(I30:I33)</f>
        <v>208.1155711406856</v>
      </c>
      <c r="L33" s="89"/>
      <c r="M33" s="162">
        <v>42234</v>
      </c>
    </row>
    <row r="34" spans="1:13" s="34" customFormat="1" x14ac:dyDescent="0.3">
      <c r="A34" s="91">
        <v>42236</v>
      </c>
      <c r="B34" s="93" t="s">
        <v>503</v>
      </c>
      <c r="C34" s="92"/>
      <c r="D34" s="92">
        <v>50</v>
      </c>
      <c r="E34" s="92">
        <f t="shared" si="4"/>
        <v>1592</v>
      </c>
      <c r="F34" s="92"/>
      <c r="G34" s="92">
        <f t="shared" si="8"/>
        <v>0.4162311422813712</v>
      </c>
      <c r="H34" s="92"/>
      <c r="I34" s="92">
        <f t="shared" si="6"/>
        <v>20.81155711406856</v>
      </c>
      <c r="J34" s="92">
        <f t="shared" si="7"/>
        <v>662.6399785119429</v>
      </c>
      <c r="K34" s="60"/>
      <c r="L34" s="60"/>
      <c r="M34" s="60"/>
    </row>
    <row r="35" spans="1:13" s="34" customFormat="1" x14ac:dyDescent="0.3">
      <c r="A35" s="91">
        <v>42241</v>
      </c>
      <c r="B35" s="93" t="s">
        <v>517</v>
      </c>
      <c r="C35" s="92"/>
      <c r="D35" s="92">
        <v>50</v>
      </c>
      <c r="E35" s="92">
        <f t="shared" si="4"/>
        <v>1542</v>
      </c>
      <c r="F35" s="92"/>
      <c r="G35" s="92">
        <f t="shared" si="8"/>
        <v>0.41623114228137115</v>
      </c>
      <c r="H35" s="92"/>
      <c r="I35" s="92">
        <f t="shared" si="6"/>
        <v>20.811557114068556</v>
      </c>
      <c r="J35" s="92">
        <f t="shared" si="7"/>
        <v>641.82842139787431</v>
      </c>
      <c r="K35" s="60"/>
      <c r="L35" s="60"/>
      <c r="M35" s="60"/>
    </row>
    <row r="36" spans="1:13" s="34" customFormat="1" x14ac:dyDescent="0.3">
      <c r="A36" s="91">
        <v>42241</v>
      </c>
      <c r="B36" s="93" t="s">
        <v>518</v>
      </c>
      <c r="C36" s="92"/>
      <c r="D36" s="92">
        <v>100</v>
      </c>
      <c r="E36" s="92">
        <f t="shared" si="4"/>
        <v>1442</v>
      </c>
      <c r="F36" s="92"/>
      <c r="G36" s="92">
        <f t="shared" si="8"/>
        <v>0.41623114228137115</v>
      </c>
      <c r="H36" s="92"/>
      <c r="I36" s="92">
        <f t="shared" si="6"/>
        <v>41.623114228137112</v>
      </c>
      <c r="J36" s="92">
        <f t="shared" si="7"/>
        <v>600.20530716973724</v>
      </c>
      <c r="K36" s="60"/>
      <c r="L36" s="60"/>
      <c r="M36" s="60"/>
    </row>
    <row r="37" spans="1:13" s="34" customFormat="1" x14ac:dyDescent="0.3">
      <c r="A37" s="91">
        <v>42243</v>
      </c>
      <c r="B37" s="93" t="s">
        <v>522</v>
      </c>
      <c r="C37" s="92"/>
      <c r="D37" s="92">
        <v>50</v>
      </c>
      <c r="E37" s="92">
        <f t="shared" si="4"/>
        <v>1392</v>
      </c>
      <c r="F37" s="92"/>
      <c r="G37" s="92">
        <f t="shared" si="8"/>
        <v>0.4162311422813712</v>
      </c>
      <c r="H37" s="92"/>
      <c r="I37" s="92">
        <f t="shared" si="6"/>
        <v>20.81155711406856</v>
      </c>
      <c r="J37" s="92">
        <f t="shared" si="7"/>
        <v>579.39375005566865</v>
      </c>
      <c r="K37" s="90">
        <f>SUM(I34:I37)</f>
        <v>104.05778557034279</v>
      </c>
      <c r="L37" s="90">
        <f>SUM(K33:K37)</f>
        <v>312.17335671102842</v>
      </c>
      <c r="M37" s="162">
        <v>42247</v>
      </c>
    </row>
    <row r="38" spans="1:13" s="34" customFormat="1" x14ac:dyDescent="0.3">
      <c r="A38" s="91">
        <v>42252</v>
      </c>
      <c r="B38" s="93" t="s">
        <v>569</v>
      </c>
      <c r="C38" s="92"/>
      <c r="D38" s="92">
        <v>350</v>
      </c>
      <c r="E38" s="92">
        <f t="shared" si="4"/>
        <v>1042</v>
      </c>
      <c r="F38" s="92"/>
      <c r="G38" s="92">
        <f t="shared" si="8"/>
        <v>0.41623114228137115</v>
      </c>
      <c r="H38" s="92"/>
      <c r="I38" s="92">
        <f t="shared" si="6"/>
        <v>145.68089979847991</v>
      </c>
      <c r="J38" s="92">
        <f t="shared" si="7"/>
        <v>433.71285025718873</v>
      </c>
      <c r="K38" s="90">
        <f>SUM(I38)</f>
        <v>145.68089979847991</v>
      </c>
      <c r="L38" s="89"/>
      <c r="M38" s="162">
        <v>42262</v>
      </c>
    </row>
    <row r="39" spans="1:13" s="34" customFormat="1" x14ac:dyDescent="0.3">
      <c r="A39" s="91">
        <v>42265</v>
      </c>
      <c r="B39" s="93" t="s">
        <v>620</v>
      </c>
      <c r="C39" s="92"/>
      <c r="D39" s="92">
        <v>150</v>
      </c>
      <c r="E39" s="92">
        <f t="shared" si="4"/>
        <v>892</v>
      </c>
      <c r="F39" s="92"/>
      <c r="G39" s="92">
        <f t="shared" si="8"/>
        <v>0.41623114228137115</v>
      </c>
      <c r="H39" s="92"/>
      <c r="I39" s="92">
        <f t="shared" si="6"/>
        <v>62.434671342205675</v>
      </c>
      <c r="J39" s="92">
        <f t="shared" si="7"/>
        <v>371.27817891498307</v>
      </c>
      <c r="K39" s="60"/>
      <c r="L39" s="60"/>
      <c r="M39" s="60"/>
    </row>
    <row r="40" spans="1:13" s="34" customFormat="1" x14ac:dyDescent="0.3">
      <c r="A40" s="91">
        <v>42276</v>
      </c>
      <c r="B40" s="93" t="s">
        <v>653</v>
      </c>
      <c r="C40" s="92"/>
      <c r="D40" s="92">
        <v>30</v>
      </c>
      <c r="E40" s="92">
        <f t="shared" si="4"/>
        <v>862</v>
      </c>
      <c r="F40" s="92"/>
      <c r="G40" s="92">
        <f t="shared" si="8"/>
        <v>0.41623114228137115</v>
      </c>
      <c r="H40" s="92"/>
      <c r="I40" s="92">
        <f t="shared" si="6"/>
        <v>12.486934268441134</v>
      </c>
      <c r="J40" s="92">
        <f t="shared" si="7"/>
        <v>358.79124464654194</v>
      </c>
      <c r="K40" s="60"/>
      <c r="L40" s="60"/>
      <c r="M40" s="60"/>
    </row>
    <row r="41" spans="1:13" s="34" customFormat="1" x14ac:dyDescent="0.3">
      <c r="A41" s="91">
        <v>42276</v>
      </c>
      <c r="B41" s="93" t="s">
        <v>661</v>
      </c>
      <c r="C41" s="92"/>
      <c r="D41" s="92">
        <v>400</v>
      </c>
      <c r="E41" s="92">
        <f t="shared" si="4"/>
        <v>462</v>
      </c>
      <c r="F41" s="92"/>
      <c r="G41" s="92">
        <f t="shared" si="8"/>
        <v>0.41623114228137115</v>
      </c>
      <c r="H41" s="92"/>
      <c r="I41" s="92">
        <f t="shared" si="6"/>
        <v>166.49245691254845</v>
      </c>
      <c r="J41" s="92">
        <f t="shared" si="7"/>
        <v>192.29878773399349</v>
      </c>
      <c r="K41" s="90">
        <f>SUM(I39:I41)</f>
        <v>241.41406252319524</v>
      </c>
      <c r="L41" s="90">
        <f>SUM(K38:K41)</f>
        <v>387.09496232167515</v>
      </c>
      <c r="M41" s="162">
        <v>42277</v>
      </c>
    </row>
    <row r="42" spans="1:13" s="34" customFormat="1" x14ac:dyDescent="0.3">
      <c r="A42" s="91">
        <v>42280</v>
      </c>
      <c r="B42" s="93" t="s">
        <v>675</v>
      </c>
      <c r="C42" s="92"/>
      <c r="D42" s="92">
        <v>150</v>
      </c>
      <c r="E42" s="92">
        <f t="shared" ref="E42:E43" si="9">+E41-D42</f>
        <v>312</v>
      </c>
      <c r="F42" s="92"/>
      <c r="G42" s="92">
        <f t="shared" ref="G42:G43" si="10">+J41/E41</f>
        <v>0.4162311422813712</v>
      </c>
      <c r="H42" s="92"/>
      <c r="I42" s="92">
        <f t="shared" ref="I42:I45" si="11">+D42*G42</f>
        <v>62.434671342205682</v>
      </c>
      <c r="J42" s="92">
        <f t="shared" ref="J42:J43" si="12">+J41-I42</f>
        <v>129.8641163917878</v>
      </c>
      <c r="K42" s="90">
        <f>SUM(I42)</f>
        <v>62.434671342205682</v>
      </c>
      <c r="L42" s="89"/>
      <c r="M42" s="162">
        <v>42294</v>
      </c>
    </row>
    <row r="43" spans="1:13" s="34" customFormat="1" x14ac:dyDescent="0.3">
      <c r="A43" s="91">
        <v>42296</v>
      </c>
      <c r="B43" s="93" t="s">
        <v>732</v>
      </c>
      <c r="C43" s="92"/>
      <c r="D43" s="92">
        <v>100</v>
      </c>
      <c r="E43" s="92">
        <f t="shared" si="9"/>
        <v>212</v>
      </c>
      <c r="F43" s="92"/>
      <c r="G43" s="92">
        <f t="shared" si="10"/>
        <v>0.41623114228137115</v>
      </c>
      <c r="H43" s="92"/>
      <c r="I43" s="92">
        <f t="shared" si="11"/>
        <v>41.623114228137112</v>
      </c>
      <c r="J43" s="92">
        <f t="shared" si="12"/>
        <v>88.241002163650691</v>
      </c>
      <c r="K43" s="60"/>
      <c r="L43" s="60"/>
      <c r="M43" s="60"/>
    </row>
    <row r="44" spans="1:13" s="34" customFormat="1" x14ac:dyDescent="0.3">
      <c r="A44" s="91">
        <v>42297</v>
      </c>
      <c r="B44" s="93" t="s">
        <v>736</v>
      </c>
      <c r="C44" s="92">
        <v>38</v>
      </c>
      <c r="D44" s="92"/>
      <c r="E44" s="92">
        <f>+E43+C44</f>
        <v>250</v>
      </c>
      <c r="F44" s="92">
        <f>+H44/C44</f>
        <v>0.52657894736842115</v>
      </c>
      <c r="G44" s="92"/>
      <c r="H44" s="92">
        <v>20.010000000000002</v>
      </c>
      <c r="I44" s="92"/>
      <c r="J44" s="92">
        <f>+J43+H44</f>
        <v>108.2510021636507</v>
      </c>
      <c r="K44" s="60"/>
      <c r="L44" s="60"/>
      <c r="M44" s="60"/>
    </row>
    <row r="45" spans="1:13" s="77" customFormat="1" x14ac:dyDescent="0.3">
      <c r="A45" s="155">
        <v>42297</v>
      </c>
      <c r="B45" s="156" t="s">
        <v>735</v>
      </c>
      <c r="C45" s="157"/>
      <c r="D45" s="157">
        <v>250</v>
      </c>
      <c r="E45" s="157">
        <f>+E44-D45</f>
        <v>0</v>
      </c>
      <c r="F45" s="157"/>
      <c r="G45" s="157">
        <f>+J44/E44</f>
        <v>0.43300400865460281</v>
      </c>
      <c r="H45" s="157"/>
      <c r="I45" s="157">
        <f t="shared" si="11"/>
        <v>108.2510021636507</v>
      </c>
      <c r="J45" s="157">
        <f>+J44-I45</f>
        <v>0</v>
      </c>
      <c r="K45" s="98">
        <f>SUM(I43:I45)</f>
        <v>149.87411639178782</v>
      </c>
      <c r="L45" s="182">
        <f>SUM(K42:K45)</f>
        <v>212.30878773399351</v>
      </c>
      <c r="M45" s="168">
        <v>42308</v>
      </c>
    </row>
    <row r="46" spans="1:13" s="77" customFormat="1" ht="15" thickBot="1" x14ac:dyDescent="0.35">
      <c r="A46" s="171"/>
      <c r="B46" s="156" t="s">
        <v>982</v>
      </c>
      <c r="C46" s="157">
        <f>SUM(C11:C45)</f>
        <v>4430</v>
      </c>
      <c r="D46" s="157">
        <f>SUM(D11:D45)</f>
        <v>4430</v>
      </c>
      <c r="E46" s="157"/>
      <c r="F46" s="157"/>
      <c r="G46" s="157"/>
      <c r="H46" s="157">
        <f>SUM(H11:H45)</f>
        <v>1850.6299999999999</v>
      </c>
      <c r="I46" s="157">
        <f>SUM(I11:I45)</f>
        <v>1850.6300000000006</v>
      </c>
      <c r="J46" s="157"/>
      <c r="K46" s="98"/>
      <c r="L46" s="183">
        <f>SUM(L17:L45)</f>
        <v>1850.63</v>
      </c>
      <c r="M46" s="168"/>
    </row>
    <row r="47" spans="1:13" s="77" customFormat="1" ht="15" thickTop="1" x14ac:dyDescent="0.3">
      <c r="A47" s="171"/>
      <c r="B47" s="172"/>
      <c r="C47" s="173"/>
      <c r="D47" s="173"/>
      <c r="E47" s="173"/>
      <c r="F47" s="173"/>
      <c r="G47" s="173"/>
      <c r="H47" s="173"/>
      <c r="I47" s="173"/>
      <c r="J47" s="173"/>
      <c r="K47" s="98"/>
      <c r="L47" s="98"/>
      <c r="M47" s="168"/>
    </row>
    <row r="48" spans="1:13" s="34" customFormat="1" x14ac:dyDescent="0.3">
      <c r="A48" s="127" t="s">
        <v>980</v>
      </c>
      <c r="B48" s="6"/>
      <c r="C48" s="5"/>
      <c r="D48" s="5"/>
      <c r="E48" s="5"/>
      <c r="F48" s="5"/>
      <c r="G48" s="60"/>
      <c r="H48" s="60"/>
      <c r="I48" s="60"/>
      <c r="J48" s="60"/>
      <c r="K48" s="60"/>
      <c r="L48" s="60"/>
      <c r="M48" s="60"/>
    </row>
    <row r="49" spans="1:13" s="34" customFormat="1" x14ac:dyDescent="0.3">
      <c r="A49" s="127" t="s">
        <v>981</v>
      </c>
      <c r="B49" s="6"/>
      <c r="C49" s="5"/>
      <c r="D49" s="5"/>
      <c r="E49" s="5"/>
      <c r="F49" s="5"/>
      <c r="G49" s="60"/>
      <c r="H49" s="60"/>
      <c r="I49" s="60"/>
      <c r="J49" s="163">
        <f>+E45*F44</f>
        <v>0</v>
      </c>
      <c r="K49" s="60"/>
      <c r="L49" s="60"/>
      <c r="M49" s="60"/>
    </row>
    <row r="50" spans="1:13" s="34" customFormat="1" x14ac:dyDescent="0.3">
      <c r="A50" s="127" t="s">
        <v>978</v>
      </c>
      <c r="B50" s="6"/>
      <c r="C50" s="5"/>
      <c r="D50" s="5"/>
      <c r="E50" s="5"/>
      <c r="F50" s="5"/>
      <c r="G50" s="60"/>
      <c r="H50" s="60"/>
      <c r="I50" s="60"/>
      <c r="J50" s="164">
        <f>+J45</f>
        <v>0</v>
      </c>
      <c r="K50" s="60"/>
      <c r="L50" s="60"/>
      <c r="M50" s="60"/>
    </row>
    <row r="51" spans="1:13" s="34" customFormat="1" x14ac:dyDescent="0.3">
      <c r="A51" s="127"/>
      <c r="B51" s="6" t="s">
        <v>979</v>
      </c>
      <c r="C51" s="5"/>
      <c r="D51" s="5"/>
      <c r="E51" s="5"/>
      <c r="F51" s="5"/>
      <c r="G51" s="60"/>
      <c r="H51" s="60"/>
      <c r="I51" s="60"/>
      <c r="J51" s="163">
        <f>+J49-J50</f>
        <v>0</v>
      </c>
      <c r="K51" s="60"/>
      <c r="L51" s="60"/>
      <c r="M51" s="60"/>
    </row>
    <row r="52" spans="1:13" s="34" customFormat="1" x14ac:dyDescent="0.3">
      <c r="A52" s="5"/>
      <c r="B52" s="117"/>
      <c r="C52" s="107"/>
      <c r="D52" s="108"/>
      <c r="E52" s="118"/>
      <c r="F52" s="119"/>
      <c r="G52" s="119"/>
      <c r="H52" s="119"/>
      <c r="I52" s="119"/>
      <c r="J52" s="120"/>
    </row>
    <row r="53" spans="1:13" s="34" customFormat="1" x14ac:dyDescent="0.3">
      <c r="A53" s="127"/>
      <c r="B53" s="5"/>
      <c r="C53" s="122"/>
      <c r="D53" s="122"/>
      <c r="E53" s="122"/>
      <c r="F53" s="122"/>
      <c r="G53" s="122"/>
      <c r="H53" s="122"/>
      <c r="I53" s="122"/>
      <c r="J53" s="122"/>
    </row>
    <row r="54" spans="1:13" s="34" customFormat="1" x14ac:dyDescent="0.3">
      <c r="A54" s="127"/>
      <c r="B54" s="5"/>
      <c r="C54" s="122"/>
      <c r="D54" s="122"/>
      <c r="E54" s="122"/>
      <c r="F54" s="122"/>
      <c r="G54" s="122"/>
      <c r="H54" s="122"/>
      <c r="I54" s="122"/>
      <c r="J54" s="122"/>
    </row>
    <row r="55" spans="1:13" s="34" customFormat="1" x14ac:dyDescent="0.3">
      <c r="A55" s="127"/>
      <c r="B55" s="5"/>
      <c r="C55" s="122"/>
      <c r="D55" s="122"/>
      <c r="E55" s="122"/>
      <c r="F55" s="122"/>
      <c r="G55" s="122"/>
      <c r="H55" s="122"/>
      <c r="I55" s="122"/>
      <c r="J55" s="122"/>
    </row>
    <row r="56" spans="1:13" s="34" customFormat="1" x14ac:dyDescent="0.3">
      <c r="A56" s="127"/>
      <c r="B56" s="5"/>
      <c r="C56" s="122"/>
      <c r="D56" s="122"/>
      <c r="E56" s="122"/>
      <c r="F56" s="122"/>
      <c r="G56" s="122"/>
      <c r="H56" s="122"/>
      <c r="I56" s="122"/>
      <c r="J56" s="122"/>
    </row>
    <row r="57" spans="1:13" s="34" customFormat="1" x14ac:dyDescent="0.3">
      <c r="A57" s="127"/>
      <c r="B57" s="5"/>
      <c r="C57" s="5"/>
      <c r="D57" s="5"/>
      <c r="E57" s="5"/>
      <c r="F57" s="5"/>
      <c r="G57" s="122"/>
      <c r="H57" s="122"/>
      <c r="I57" s="122"/>
      <c r="J57" s="122"/>
    </row>
    <row r="58" spans="1:13" s="34" customFormat="1" x14ac:dyDescent="0.3">
      <c r="A58" s="127"/>
      <c r="B58" s="5"/>
      <c r="C58" s="5"/>
      <c r="D58" s="5"/>
      <c r="E58" s="5"/>
      <c r="F58" s="5"/>
      <c r="G58" s="122"/>
      <c r="H58" s="122"/>
      <c r="I58" s="122"/>
      <c r="J58" s="122"/>
    </row>
    <row r="59" spans="1:13" s="34" customFormat="1" x14ac:dyDescent="0.3">
      <c r="A59" s="127"/>
      <c r="B59" s="5"/>
      <c r="C59" s="5"/>
      <c r="D59" s="5"/>
      <c r="E59" s="5"/>
      <c r="F59" s="5"/>
      <c r="G59" s="122"/>
      <c r="H59" s="122"/>
      <c r="I59" s="122"/>
      <c r="J59" s="122"/>
    </row>
    <row r="60" spans="1:13" s="34" customFormat="1" x14ac:dyDescent="0.3">
      <c r="A60" s="127"/>
      <c r="B60" s="5"/>
      <c r="C60" s="5"/>
      <c r="D60" s="5"/>
      <c r="E60" s="5"/>
      <c r="F60" s="5"/>
      <c r="G60" s="122"/>
      <c r="H60" s="122"/>
      <c r="I60" s="122"/>
      <c r="J60" s="122"/>
    </row>
    <row r="61" spans="1:13" s="34" customFormat="1" x14ac:dyDescent="0.3">
      <c r="A61" s="127"/>
      <c r="B61" s="5"/>
      <c r="C61" s="5"/>
      <c r="D61" s="5"/>
      <c r="E61" s="5"/>
      <c r="F61" s="5"/>
      <c r="G61" s="122"/>
      <c r="H61" s="122"/>
      <c r="I61" s="122"/>
      <c r="J61" s="122"/>
    </row>
    <row r="62" spans="1:13" s="34" customFormat="1" x14ac:dyDescent="0.3">
      <c r="A62" s="127"/>
      <c r="B62" s="5"/>
      <c r="C62" s="5"/>
      <c r="D62" s="5"/>
      <c r="E62" s="5"/>
      <c r="F62" s="5"/>
      <c r="G62" s="122"/>
      <c r="H62" s="122"/>
      <c r="I62" s="122"/>
      <c r="J62" s="122"/>
    </row>
    <row r="63" spans="1:13" s="34" customFormat="1" x14ac:dyDescent="0.3">
      <c r="A63" s="127"/>
      <c r="B63" s="5"/>
      <c r="C63" s="5"/>
      <c r="D63" s="5"/>
      <c r="E63" s="5"/>
      <c r="F63" s="5"/>
      <c r="G63" s="122"/>
      <c r="H63" s="122"/>
      <c r="I63" s="122"/>
      <c r="J63" s="122"/>
    </row>
    <row r="64" spans="1:13" s="34" customFormat="1" x14ac:dyDescent="0.3">
      <c r="A64" s="127"/>
      <c r="B64" s="5"/>
      <c r="C64" s="5"/>
      <c r="D64" s="5"/>
      <c r="E64" s="5"/>
      <c r="F64" s="5"/>
      <c r="G64" s="122"/>
      <c r="H64" s="122"/>
      <c r="I64" s="122"/>
      <c r="J64" s="122"/>
    </row>
    <row r="65" spans="1:10" s="34" customFormat="1" x14ac:dyDescent="0.3">
      <c r="A65" s="127"/>
      <c r="B65" s="5"/>
      <c r="C65" s="5"/>
      <c r="D65" s="5"/>
      <c r="E65" s="5"/>
      <c r="F65" s="5"/>
      <c r="G65" s="122"/>
      <c r="H65" s="122"/>
      <c r="I65" s="122"/>
      <c r="J65" s="122"/>
    </row>
    <row r="66" spans="1:10" s="34" customFormat="1" x14ac:dyDescent="0.3">
      <c r="A66" s="127"/>
      <c r="B66" s="5"/>
      <c r="C66" s="5"/>
      <c r="D66" s="5"/>
      <c r="E66" s="5"/>
      <c r="F66" s="5"/>
      <c r="G66" s="122"/>
      <c r="H66" s="122"/>
      <c r="I66" s="122"/>
      <c r="J66" s="122"/>
    </row>
    <row r="67" spans="1:1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spans="1:1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spans="1:1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spans="1:1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spans="1:1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spans="1:1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spans="1:1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spans="1:1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spans="1:1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spans="1:10" x14ac:dyDescent="0.3">
      <c r="A76" s="39"/>
      <c r="B76" s="39"/>
      <c r="C76" s="39"/>
      <c r="D76" s="39"/>
      <c r="E76" s="39"/>
      <c r="F76" s="39"/>
      <c r="G76" s="39"/>
      <c r="H76" s="39"/>
      <c r="I76" s="39"/>
      <c r="J76" s="39"/>
    </row>
    <row r="77" spans="1:10" x14ac:dyDescent="0.3">
      <c r="A77" s="39"/>
      <c r="B77" s="39"/>
      <c r="C77" s="39"/>
      <c r="D77" s="39"/>
      <c r="E77" s="39"/>
      <c r="F77" s="39"/>
      <c r="G77" s="39"/>
      <c r="H77" s="39"/>
      <c r="I77" s="39"/>
      <c r="J77" s="39"/>
    </row>
    <row r="78" spans="1:10" x14ac:dyDescent="0.3">
      <c r="A78" s="39"/>
      <c r="B78" s="39"/>
      <c r="C78" s="39"/>
      <c r="D78" s="39"/>
      <c r="E78" s="39"/>
      <c r="F78" s="39"/>
      <c r="G78" s="39"/>
      <c r="H78" s="39"/>
      <c r="I78" s="39"/>
      <c r="J78" s="39"/>
    </row>
  </sheetData>
  <mergeCells count="4">
    <mergeCell ref="D4:H4"/>
    <mergeCell ref="C9:E9"/>
    <mergeCell ref="F9:G9"/>
    <mergeCell ref="H9:J9"/>
  </mergeCells>
  <pageMargins left="0.70866141732283472" right="0.70866141732283472" top="0.74803149606299213" bottom="0.74803149606299213" header="0.31496062992125984" footer="0.31496062992125984"/>
  <pageSetup scale="7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B4" workbookViewId="0">
      <selection activeCell="C4" sqref="C1:M1048576"/>
    </sheetView>
  </sheetViews>
  <sheetFormatPr baseColWidth="10" defaultRowHeight="14.4" x14ac:dyDescent="0.3"/>
  <cols>
    <col min="2" max="2" width="29" customWidth="1"/>
    <col min="3" max="13" width="10.6640625" customWidth="1"/>
  </cols>
  <sheetData>
    <row r="1" spans="1:13" x14ac:dyDescent="0.3">
      <c r="A1" s="100" t="s">
        <v>0</v>
      </c>
      <c r="B1" s="101"/>
      <c r="C1" s="129"/>
      <c r="D1" s="129"/>
      <c r="E1" s="129"/>
      <c r="F1" s="129"/>
      <c r="G1" s="129"/>
      <c r="H1" s="130" t="s">
        <v>1</v>
      </c>
      <c r="I1" s="129"/>
      <c r="J1" s="174"/>
      <c r="K1" s="60"/>
      <c r="L1" s="60"/>
      <c r="M1" s="60"/>
    </row>
    <row r="2" spans="1:13" x14ac:dyDescent="0.3">
      <c r="A2" s="102" t="s">
        <v>2</v>
      </c>
      <c r="B2" s="38"/>
      <c r="C2" s="5"/>
      <c r="D2" s="5"/>
      <c r="E2" s="5"/>
      <c r="F2" s="5"/>
      <c r="G2" s="5"/>
      <c r="H2" s="6" t="s">
        <v>972</v>
      </c>
      <c r="I2" s="5"/>
      <c r="J2" s="175"/>
      <c r="K2" s="60"/>
      <c r="L2" s="60"/>
      <c r="M2" s="60"/>
    </row>
    <row r="3" spans="1:13" x14ac:dyDescent="0.3">
      <c r="A3" s="103" t="s">
        <v>3</v>
      </c>
      <c r="B3" s="42"/>
      <c r="C3" s="5"/>
      <c r="D3" s="5"/>
      <c r="E3" s="5"/>
      <c r="F3" s="5"/>
      <c r="G3" s="5"/>
      <c r="H3" s="6" t="s">
        <v>967</v>
      </c>
      <c r="I3" s="5"/>
      <c r="J3" s="175"/>
      <c r="K3" s="60"/>
      <c r="L3" s="60"/>
      <c r="M3" s="60"/>
    </row>
    <row r="4" spans="1:13" x14ac:dyDescent="0.3">
      <c r="A4" s="114"/>
      <c r="B4" s="5"/>
      <c r="C4" s="5"/>
      <c r="D4" s="219" t="s">
        <v>5</v>
      </c>
      <c r="E4" s="219"/>
      <c r="F4" s="219"/>
      <c r="G4" s="219"/>
      <c r="H4" s="219"/>
      <c r="I4" s="5"/>
      <c r="J4" s="175"/>
      <c r="K4" s="60"/>
      <c r="L4" s="60"/>
      <c r="M4" s="60"/>
    </row>
    <row r="5" spans="1:13" x14ac:dyDescent="0.3">
      <c r="A5" s="114"/>
      <c r="B5" s="7"/>
      <c r="C5" s="5"/>
      <c r="D5" s="6" t="s">
        <v>274</v>
      </c>
      <c r="E5" s="7"/>
      <c r="F5" s="7"/>
      <c r="G5" s="5"/>
      <c r="H5" s="5"/>
      <c r="I5" s="5"/>
      <c r="J5" s="175"/>
      <c r="K5" s="60"/>
      <c r="L5" s="60"/>
      <c r="M5" s="60"/>
    </row>
    <row r="6" spans="1:13" x14ac:dyDescent="0.3">
      <c r="A6" s="114"/>
      <c r="B6" s="7"/>
      <c r="C6" s="5"/>
      <c r="D6" s="5" t="s">
        <v>6</v>
      </c>
      <c r="E6" s="7"/>
      <c r="F6" s="7"/>
      <c r="G6" s="5"/>
      <c r="H6" s="5"/>
      <c r="I6" s="5"/>
      <c r="J6" s="175"/>
      <c r="K6" s="60"/>
      <c r="L6" s="60"/>
      <c r="M6" s="60"/>
    </row>
    <row r="7" spans="1:13" x14ac:dyDescent="0.3">
      <c r="A7" s="114"/>
      <c r="B7" s="5"/>
      <c r="C7" s="5"/>
      <c r="D7" s="5"/>
      <c r="E7" s="5"/>
      <c r="F7" s="5"/>
      <c r="G7" s="5"/>
      <c r="H7" s="5"/>
      <c r="I7" s="5"/>
      <c r="J7" s="175"/>
      <c r="K7" s="60"/>
      <c r="L7" s="60"/>
      <c r="M7" s="60"/>
    </row>
    <row r="8" spans="1:13" x14ac:dyDescent="0.3">
      <c r="A8" s="114"/>
      <c r="B8" s="5"/>
      <c r="C8" s="5"/>
      <c r="D8" s="5"/>
      <c r="E8" s="5"/>
      <c r="F8" s="5"/>
      <c r="G8" s="5"/>
      <c r="H8" s="5"/>
      <c r="I8" s="5"/>
      <c r="J8" s="175"/>
      <c r="K8" s="60"/>
      <c r="L8" s="60"/>
      <c r="M8" s="60"/>
    </row>
    <row r="9" spans="1:13" x14ac:dyDescent="0.3">
      <c r="A9" s="176" t="s">
        <v>7</v>
      </c>
      <c r="B9" s="177" t="s">
        <v>8</v>
      </c>
      <c r="C9" s="225" t="s">
        <v>9</v>
      </c>
      <c r="D9" s="226"/>
      <c r="E9" s="227"/>
      <c r="F9" s="228" t="s">
        <v>10</v>
      </c>
      <c r="G9" s="229"/>
      <c r="H9" s="225" t="s">
        <v>11</v>
      </c>
      <c r="I9" s="226"/>
      <c r="J9" s="227"/>
      <c r="K9" s="60"/>
      <c r="L9" s="60"/>
      <c r="M9" s="60"/>
    </row>
    <row r="10" spans="1:13" x14ac:dyDescent="0.3">
      <c r="A10" s="178"/>
      <c r="B10" s="179"/>
      <c r="C10" s="178" t="s">
        <v>26</v>
      </c>
      <c r="D10" s="180" t="s">
        <v>14</v>
      </c>
      <c r="E10" s="181" t="s">
        <v>20</v>
      </c>
      <c r="F10" s="180" t="s">
        <v>16</v>
      </c>
      <c r="G10" s="180" t="s">
        <v>17</v>
      </c>
      <c r="H10" s="178" t="s">
        <v>18</v>
      </c>
      <c r="I10" s="180" t="s">
        <v>19</v>
      </c>
      <c r="J10" s="181" t="s">
        <v>20</v>
      </c>
      <c r="K10" s="60"/>
      <c r="L10" s="60"/>
      <c r="M10" s="60"/>
    </row>
    <row r="11" spans="1:13" x14ac:dyDescent="0.3">
      <c r="A11" s="59">
        <v>42005</v>
      </c>
      <c r="B11" s="54" t="s">
        <v>246</v>
      </c>
      <c r="C11" s="2">
        <v>2010</v>
      </c>
      <c r="D11" s="2"/>
      <c r="E11" s="2">
        <v>2010</v>
      </c>
      <c r="F11" s="2">
        <f>+H11/C11</f>
        <v>0.48110945273631839</v>
      </c>
      <c r="G11" s="122"/>
      <c r="H11" s="2">
        <v>967.03</v>
      </c>
      <c r="I11" s="2"/>
      <c r="J11" s="2">
        <f>+H11</f>
        <v>967.03</v>
      </c>
      <c r="K11" s="60"/>
      <c r="L11" s="60"/>
      <c r="M11" s="60"/>
    </row>
    <row r="12" spans="1:13" x14ac:dyDescent="0.3">
      <c r="A12" s="59">
        <v>42010</v>
      </c>
      <c r="B12" s="54" t="s">
        <v>47</v>
      </c>
      <c r="C12" s="2"/>
      <c r="D12" s="2">
        <v>150</v>
      </c>
      <c r="E12" s="2">
        <f>+E11-D12</f>
        <v>1860</v>
      </c>
      <c r="F12" s="2"/>
      <c r="G12" s="2">
        <f>+J11/E11</f>
        <v>0.48110945273631839</v>
      </c>
      <c r="H12" s="2"/>
      <c r="I12" s="2">
        <f>+D12*G12</f>
        <v>72.166417910447763</v>
      </c>
      <c r="J12" s="2">
        <f>+J11-I12</f>
        <v>894.86358208955221</v>
      </c>
      <c r="K12" s="184"/>
      <c r="L12" s="60"/>
      <c r="M12" s="60"/>
    </row>
    <row r="13" spans="1:13" x14ac:dyDescent="0.3">
      <c r="A13" s="59">
        <v>42011</v>
      </c>
      <c r="B13" s="54" t="s">
        <v>49</v>
      </c>
      <c r="C13" s="2"/>
      <c r="D13" s="2">
        <v>50</v>
      </c>
      <c r="E13" s="2">
        <f t="shared" ref="E13:E20" si="0">+E12-D13</f>
        <v>1810</v>
      </c>
      <c r="F13" s="2"/>
      <c r="G13" s="2">
        <f t="shared" ref="G13:G20" si="1">+J12/E12</f>
        <v>0.48110945273631839</v>
      </c>
      <c r="H13" s="2"/>
      <c r="I13" s="2">
        <f t="shared" ref="I13:I15" si="2">+D13*G13</f>
        <v>24.055472636815921</v>
      </c>
      <c r="J13" s="2">
        <f t="shared" ref="J13:J20" si="3">+J12-I13</f>
        <v>870.80810945273629</v>
      </c>
      <c r="K13" s="184"/>
      <c r="L13" s="60"/>
      <c r="M13" s="60"/>
    </row>
    <row r="14" spans="1:13" s="84" customFormat="1" x14ac:dyDescent="0.3">
      <c r="A14" s="185">
        <v>42012</v>
      </c>
      <c r="B14" s="61" t="s">
        <v>57</v>
      </c>
      <c r="C14" s="82"/>
      <c r="D14" s="82">
        <v>50</v>
      </c>
      <c r="E14" s="82">
        <f t="shared" si="0"/>
        <v>1760</v>
      </c>
      <c r="F14" s="82"/>
      <c r="G14" s="82">
        <f t="shared" si="1"/>
        <v>0.48110945273631839</v>
      </c>
      <c r="H14" s="82"/>
      <c r="I14" s="2">
        <f t="shared" si="2"/>
        <v>24.055472636815921</v>
      </c>
      <c r="J14" s="82">
        <f t="shared" si="3"/>
        <v>846.75263681592037</v>
      </c>
      <c r="K14" s="186">
        <f>SUM(I12:I14)</f>
        <v>120.2773631840796</v>
      </c>
      <c r="L14" s="89"/>
      <c r="M14" s="162">
        <v>42016</v>
      </c>
    </row>
    <row r="15" spans="1:13" s="84" customFormat="1" x14ac:dyDescent="0.3">
      <c r="A15" s="185">
        <v>42027</v>
      </c>
      <c r="B15" s="61" t="s">
        <v>83</v>
      </c>
      <c r="C15" s="82"/>
      <c r="D15" s="82">
        <v>150</v>
      </c>
      <c r="E15" s="82">
        <f t="shared" si="0"/>
        <v>1610</v>
      </c>
      <c r="F15" s="82"/>
      <c r="G15" s="82">
        <f t="shared" si="1"/>
        <v>0.48110945273631839</v>
      </c>
      <c r="H15" s="82"/>
      <c r="I15" s="2">
        <f t="shared" si="2"/>
        <v>72.166417910447763</v>
      </c>
      <c r="J15" s="82">
        <f t="shared" si="3"/>
        <v>774.58621890547261</v>
      </c>
      <c r="K15" s="186">
        <f>SUM(I15)</f>
        <v>72.166417910447763</v>
      </c>
      <c r="L15" s="90">
        <f>SUM(K14:K15)</f>
        <v>192.44378109452737</v>
      </c>
      <c r="M15" s="162">
        <v>42035</v>
      </c>
    </row>
    <row r="16" spans="1:13" s="34" customFormat="1" x14ac:dyDescent="0.3">
      <c r="A16" s="91">
        <v>42070</v>
      </c>
      <c r="B16" s="93" t="s">
        <v>175</v>
      </c>
      <c r="C16" s="92">
        <v>1000</v>
      </c>
      <c r="D16" s="92"/>
      <c r="E16" s="92">
        <f>+E15+C16</f>
        <v>2610</v>
      </c>
      <c r="F16" s="159">
        <f>+H16/C16</f>
        <v>0.48111000000000004</v>
      </c>
      <c r="G16" s="92"/>
      <c r="H16" s="92">
        <v>481.11</v>
      </c>
      <c r="I16" s="92"/>
      <c r="J16" s="92">
        <f>+J15+H16</f>
        <v>1255.6962189054725</v>
      </c>
      <c r="K16" s="184"/>
      <c r="L16" s="60"/>
      <c r="M16" s="60"/>
    </row>
    <row r="17" spans="1:13" x14ac:dyDescent="0.3">
      <c r="A17" s="91">
        <v>42084</v>
      </c>
      <c r="B17" s="93" t="s">
        <v>162</v>
      </c>
      <c r="C17" s="92"/>
      <c r="D17" s="92">
        <v>500</v>
      </c>
      <c r="E17" s="92">
        <f>+E16-D17</f>
        <v>2110</v>
      </c>
      <c r="F17" s="92"/>
      <c r="G17" s="92">
        <f>+J15/E15</f>
        <v>0.48110945273631839</v>
      </c>
      <c r="H17" s="92"/>
      <c r="I17" s="92">
        <f t="shared" ref="I17:I21" si="4">+D17*G17</f>
        <v>240.55472636815918</v>
      </c>
      <c r="J17" s="92">
        <f>+J16-I17</f>
        <v>1015.1414925373133</v>
      </c>
      <c r="K17" s="184"/>
      <c r="L17" s="60"/>
      <c r="M17" s="60"/>
    </row>
    <row r="18" spans="1:13" s="84" customFormat="1" x14ac:dyDescent="0.3">
      <c r="A18" s="185">
        <v>42087</v>
      </c>
      <c r="B18" s="61" t="s">
        <v>167</v>
      </c>
      <c r="C18" s="82"/>
      <c r="D18" s="82">
        <v>200</v>
      </c>
      <c r="E18" s="82">
        <f t="shared" si="0"/>
        <v>1910</v>
      </c>
      <c r="F18" s="82"/>
      <c r="G18" s="82">
        <f t="shared" si="1"/>
        <v>0.48110971210299208</v>
      </c>
      <c r="H18" s="82"/>
      <c r="I18" s="92">
        <f t="shared" si="4"/>
        <v>96.22194242059841</v>
      </c>
      <c r="J18" s="82">
        <f t="shared" si="3"/>
        <v>918.91955011671484</v>
      </c>
      <c r="K18" s="186">
        <f>SUM(I17:I18)</f>
        <v>336.7766687887576</v>
      </c>
      <c r="L18" s="90">
        <f>SUM(K18)</f>
        <v>336.7766687887576</v>
      </c>
      <c r="M18" s="187">
        <v>42094</v>
      </c>
    </row>
    <row r="19" spans="1:13" s="84" customFormat="1" x14ac:dyDescent="0.3">
      <c r="A19" s="185">
        <v>42098</v>
      </c>
      <c r="B19" s="61" t="s">
        <v>185</v>
      </c>
      <c r="C19" s="82"/>
      <c r="D19" s="82">
        <v>250</v>
      </c>
      <c r="E19" s="82">
        <f t="shared" si="0"/>
        <v>1660</v>
      </c>
      <c r="F19" s="82"/>
      <c r="G19" s="82">
        <f t="shared" si="1"/>
        <v>0.48110971210299208</v>
      </c>
      <c r="H19" s="82"/>
      <c r="I19" s="92">
        <f t="shared" si="4"/>
        <v>120.27742802574802</v>
      </c>
      <c r="J19" s="82">
        <f t="shared" si="3"/>
        <v>798.64212209096684</v>
      </c>
      <c r="K19" s="186">
        <f>SUM(I19)</f>
        <v>120.27742802574802</v>
      </c>
      <c r="L19" s="89"/>
      <c r="M19" s="162">
        <v>42103</v>
      </c>
    </row>
    <row r="20" spans="1:13" x14ac:dyDescent="0.3">
      <c r="A20" s="91">
        <v>42105</v>
      </c>
      <c r="B20" s="93" t="s">
        <v>202</v>
      </c>
      <c r="C20" s="92"/>
      <c r="D20" s="92">
        <v>600</v>
      </c>
      <c r="E20" s="92">
        <f t="shared" si="0"/>
        <v>1060</v>
      </c>
      <c r="F20" s="92"/>
      <c r="G20" s="92">
        <f t="shared" si="1"/>
        <v>0.48110971210299208</v>
      </c>
      <c r="H20" s="92"/>
      <c r="I20" s="92">
        <f t="shared" si="4"/>
        <v>288.66582726179524</v>
      </c>
      <c r="J20" s="92">
        <f t="shared" si="3"/>
        <v>509.97629482917159</v>
      </c>
      <c r="K20" s="184"/>
      <c r="L20" s="60"/>
      <c r="M20" s="60"/>
    </row>
    <row r="21" spans="1:13" s="84" customFormat="1" x14ac:dyDescent="0.3">
      <c r="A21" s="185">
        <v>42110</v>
      </c>
      <c r="B21" s="61" t="s">
        <v>205</v>
      </c>
      <c r="C21" s="82"/>
      <c r="D21" s="82">
        <v>50</v>
      </c>
      <c r="E21" s="82">
        <f t="shared" ref="E21" si="5">+E20-D21</f>
        <v>1010</v>
      </c>
      <c r="F21" s="82"/>
      <c r="G21" s="82">
        <f t="shared" ref="G21" si="6">+J20/E20</f>
        <v>0.48110971210299208</v>
      </c>
      <c r="H21" s="82"/>
      <c r="I21" s="92">
        <f t="shared" si="4"/>
        <v>24.055485605149602</v>
      </c>
      <c r="J21" s="82">
        <f t="shared" ref="J21" si="7">+J20-I21</f>
        <v>485.92080922402198</v>
      </c>
      <c r="K21" s="186">
        <f>SUM(I20:I21)</f>
        <v>312.72131286694486</v>
      </c>
      <c r="L21" s="90">
        <f>SUM(K19:K21)</f>
        <v>432.99874089269287</v>
      </c>
      <c r="M21" s="162">
        <v>42124</v>
      </c>
    </row>
    <row r="22" spans="1:13" s="34" customFormat="1" x14ac:dyDescent="0.3">
      <c r="A22" s="91">
        <v>42174</v>
      </c>
      <c r="B22" s="93" t="s">
        <v>429</v>
      </c>
      <c r="C22" s="92">
        <v>1000</v>
      </c>
      <c r="D22" s="92"/>
      <c r="E22" s="92">
        <f>+E21+C22</f>
        <v>2010</v>
      </c>
      <c r="F22" s="159">
        <f>+H22/C22</f>
        <v>0.48111000000000004</v>
      </c>
      <c r="G22" s="92"/>
      <c r="H22" s="92">
        <v>481.11</v>
      </c>
      <c r="I22" s="92"/>
      <c r="J22" s="92">
        <f>+J21+H22</f>
        <v>967.03080922402205</v>
      </c>
      <c r="K22" s="184"/>
      <c r="L22" s="60"/>
      <c r="M22" s="60"/>
    </row>
    <row r="23" spans="1:13" s="34" customFormat="1" x14ac:dyDescent="0.3">
      <c r="A23" s="91">
        <v>42194</v>
      </c>
      <c r="B23" s="93" t="s">
        <v>355</v>
      </c>
      <c r="C23" s="92"/>
      <c r="D23" s="92">
        <v>30</v>
      </c>
      <c r="E23" s="92">
        <f>+E22-D23</f>
        <v>1980</v>
      </c>
      <c r="F23" s="92"/>
      <c r="G23" s="92">
        <f>+J22/E22</f>
        <v>0.48110985533533435</v>
      </c>
      <c r="H23" s="92"/>
      <c r="I23" s="92">
        <f>+D23*G23</f>
        <v>14.433295660060031</v>
      </c>
      <c r="J23" s="92">
        <f>+J22-I23</f>
        <v>952.59751356396202</v>
      </c>
      <c r="K23" s="184"/>
      <c r="L23" s="60"/>
      <c r="M23" s="60"/>
    </row>
    <row r="24" spans="1:13" s="34" customFormat="1" x14ac:dyDescent="0.3">
      <c r="A24" s="91">
        <v>42194</v>
      </c>
      <c r="B24" s="93" t="s">
        <v>357</v>
      </c>
      <c r="C24" s="92"/>
      <c r="D24" s="92">
        <v>250</v>
      </c>
      <c r="E24" s="92">
        <f t="shared" ref="E24:E35" si="8">+E23-D24</f>
        <v>1730</v>
      </c>
      <c r="F24" s="92"/>
      <c r="G24" s="92">
        <f t="shared" ref="G24:G35" si="9">+J23/E23</f>
        <v>0.48110985533533435</v>
      </c>
      <c r="H24" s="92"/>
      <c r="I24" s="92">
        <f t="shared" ref="I24:I35" si="10">+D24*G24</f>
        <v>120.27746383383359</v>
      </c>
      <c r="J24" s="92">
        <f t="shared" ref="J24:J35" si="11">+J23-I24</f>
        <v>832.3200497301284</v>
      </c>
      <c r="K24" s="184"/>
      <c r="L24" s="60"/>
      <c r="M24" s="60"/>
    </row>
    <row r="25" spans="1:13" s="34" customFormat="1" x14ac:dyDescent="0.3">
      <c r="A25" s="91">
        <v>42198</v>
      </c>
      <c r="B25" s="93" t="s">
        <v>372</v>
      </c>
      <c r="C25" s="92"/>
      <c r="D25" s="92">
        <v>50</v>
      </c>
      <c r="E25" s="92">
        <f t="shared" si="8"/>
        <v>1680</v>
      </c>
      <c r="F25" s="92"/>
      <c r="G25" s="92">
        <f t="shared" si="9"/>
        <v>0.48110985533533435</v>
      </c>
      <c r="H25" s="92"/>
      <c r="I25" s="92">
        <f t="shared" si="10"/>
        <v>24.055492766766719</v>
      </c>
      <c r="J25" s="92">
        <f t="shared" si="11"/>
        <v>808.26455696336166</v>
      </c>
      <c r="K25" s="184"/>
      <c r="L25" s="60"/>
      <c r="M25" s="60"/>
    </row>
    <row r="26" spans="1:13" s="84" customFormat="1" x14ac:dyDescent="0.3">
      <c r="A26" s="185">
        <v>42199</v>
      </c>
      <c r="B26" s="61" t="s">
        <v>376</v>
      </c>
      <c r="C26" s="82"/>
      <c r="D26" s="82">
        <v>200</v>
      </c>
      <c r="E26" s="92">
        <f t="shared" si="8"/>
        <v>1480</v>
      </c>
      <c r="F26" s="82"/>
      <c r="G26" s="82">
        <f t="shared" si="9"/>
        <v>0.48110985533533435</v>
      </c>
      <c r="H26" s="82"/>
      <c r="I26" s="92">
        <f t="shared" si="10"/>
        <v>96.221971067066875</v>
      </c>
      <c r="J26" s="92">
        <f t="shared" si="11"/>
        <v>712.04258589629478</v>
      </c>
      <c r="K26" s="186">
        <f>SUM(I23:I26)</f>
        <v>254.98822332772721</v>
      </c>
      <c r="L26" s="90">
        <f>SUM(K26)</f>
        <v>254.98822332772721</v>
      </c>
      <c r="M26" s="162">
        <v>42199</v>
      </c>
    </row>
    <row r="27" spans="1:13" s="84" customFormat="1" x14ac:dyDescent="0.3">
      <c r="A27" s="185">
        <v>42244</v>
      </c>
      <c r="B27" s="61" t="s">
        <v>526</v>
      </c>
      <c r="C27" s="82"/>
      <c r="D27" s="82">
        <v>150</v>
      </c>
      <c r="E27" s="92">
        <f t="shared" si="8"/>
        <v>1330</v>
      </c>
      <c r="F27" s="82"/>
      <c r="G27" s="82">
        <f t="shared" si="9"/>
        <v>0.48110985533533429</v>
      </c>
      <c r="H27" s="82"/>
      <c r="I27" s="92">
        <f t="shared" si="10"/>
        <v>72.166478300300142</v>
      </c>
      <c r="J27" s="92">
        <f t="shared" si="11"/>
        <v>639.87610759599465</v>
      </c>
      <c r="K27" s="186">
        <f>SUM(I27)</f>
        <v>72.166478300300142</v>
      </c>
      <c r="L27" s="90">
        <f>SUM(K27)</f>
        <v>72.166478300300142</v>
      </c>
      <c r="M27" s="162">
        <v>42247</v>
      </c>
    </row>
    <row r="28" spans="1:13" s="34" customFormat="1" x14ac:dyDescent="0.3">
      <c r="A28" s="91">
        <v>42249</v>
      </c>
      <c r="B28" s="93" t="s">
        <v>541</v>
      </c>
      <c r="C28" s="92"/>
      <c r="D28" s="92">
        <v>50</v>
      </c>
      <c r="E28" s="92">
        <f t="shared" si="8"/>
        <v>1280</v>
      </c>
      <c r="F28" s="92"/>
      <c r="G28" s="92">
        <f t="shared" si="9"/>
        <v>0.48110985533533435</v>
      </c>
      <c r="H28" s="92"/>
      <c r="I28" s="92">
        <f t="shared" si="10"/>
        <v>24.055492766766719</v>
      </c>
      <c r="J28" s="92">
        <f t="shared" si="11"/>
        <v>615.82061482922791</v>
      </c>
      <c r="K28" s="184"/>
      <c r="L28" s="60"/>
      <c r="M28" s="60"/>
    </row>
    <row r="29" spans="1:13" s="34" customFormat="1" x14ac:dyDescent="0.3">
      <c r="A29" s="91">
        <v>42250</v>
      </c>
      <c r="B29" s="93" t="s">
        <v>548</v>
      </c>
      <c r="C29" s="92"/>
      <c r="D29" s="92">
        <v>100</v>
      </c>
      <c r="E29" s="92">
        <f t="shared" si="8"/>
        <v>1180</v>
      </c>
      <c r="F29" s="92"/>
      <c r="G29" s="92">
        <f t="shared" si="9"/>
        <v>0.48110985533533429</v>
      </c>
      <c r="H29" s="92"/>
      <c r="I29" s="92">
        <f t="shared" si="10"/>
        <v>48.11098553353343</v>
      </c>
      <c r="J29" s="92">
        <f t="shared" si="11"/>
        <v>567.70962929569453</v>
      </c>
      <c r="K29" s="184"/>
      <c r="L29" s="60"/>
      <c r="M29" s="60"/>
    </row>
    <row r="30" spans="1:13" s="84" customFormat="1" x14ac:dyDescent="0.3">
      <c r="A30" s="185">
        <v>42258</v>
      </c>
      <c r="B30" s="61" t="s">
        <v>598</v>
      </c>
      <c r="C30" s="82"/>
      <c r="D30" s="82">
        <v>50</v>
      </c>
      <c r="E30" s="92">
        <f t="shared" si="8"/>
        <v>1130</v>
      </c>
      <c r="F30" s="82"/>
      <c r="G30" s="82">
        <f t="shared" si="9"/>
        <v>0.48110985533533435</v>
      </c>
      <c r="H30" s="82"/>
      <c r="I30" s="92">
        <f t="shared" si="10"/>
        <v>24.055492766766719</v>
      </c>
      <c r="J30" s="92">
        <f t="shared" si="11"/>
        <v>543.65413652892778</v>
      </c>
      <c r="K30" s="186">
        <f>SUM(I28:I30)</f>
        <v>96.221971067066875</v>
      </c>
      <c r="L30" s="89"/>
      <c r="M30" s="162">
        <v>42262</v>
      </c>
    </row>
    <row r="31" spans="1:13" s="84" customFormat="1" x14ac:dyDescent="0.3">
      <c r="A31" s="185">
        <v>42270</v>
      </c>
      <c r="B31" s="61" t="s">
        <v>641</v>
      </c>
      <c r="C31" s="82"/>
      <c r="D31" s="82">
        <v>100</v>
      </c>
      <c r="E31" s="92">
        <f t="shared" si="8"/>
        <v>1030</v>
      </c>
      <c r="F31" s="82"/>
      <c r="G31" s="82">
        <f t="shared" si="9"/>
        <v>0.48110985533533429</v>
      </c>
      <c r="H31" s="82"/>
      <c r="I31" s="92">
        <f t="shared" si="10"/>
        <v>48.11098553353343</v>
      </c>
      <c r="J31" s="92">
        <f t="shared" si="11"/>
        <v>495.54315099539434</v>
      </c>
      <c r="K31" s="186">
        <f>SUM(I31)</f>
        <v>48.11098553353343</v>
      </c>
      <c r="L31" s="90">
        <f>SUM(K30:K31)</f>
        <v>144.33295660060031</v>
      </c>
      <c r="M31" s="162">
        <v>42277</v>
      </c>
    </row>
    <row r="32" spans="1:13" s="34" customFormat="1" x14ac:dyDescent="0.3">
      <c r="A32" s="91">
        <v>42283</v>
      </c>
      <c r="B32" s="93" t="s">
        <v>686</v>
      </c>
      <c r="C32" s="92"/>
      <c r="D32" s="92">
        <v>50</v>
      </c>
      <c r="E32" s="92">
        <f t="shared" si="8"/>
        <v>980</v>
      </c>
      <c r="F32" s="92"/>
      <c r="G32" s="92">
        <f t="shared" si="9"/>
        <v>0.48110985533533429</v>
      </c>
      <c r="H32" s="92"/>
      <c r="I32" s="92">
        <f t="shared" si="10"/>
        <v>24.055492766766715</v>
      </c>
      <c r="J32" s="92">
        <f t="shared" si="11"/>
        <v>471.48765822862765</v>
      </c>
      <c r="K32" s="184"/>
      <c r="L32" s="60"/>
      <c r="M32" s="60"/>
    </row>
    <row r="33" spans="1:13" s="34" customFormat="1" x14ac:dyDescent="0.3">
      <c r="A33" s="91">
        <v>42285</v>
      </c>
      <c r="B33" s="93" t="s">
        <v>693</v>
      </c>
      <c r="C33" s="92"/>
      <c r="D33" s="92">
        <v>450</v>
      </c>
      <c r="E33" s="92">
        <f t="shared" si="8"/>
        <v>530</v>
      </c>
      <c r="F33" s="92"/>
      <c r="G33" s="92">
        <f t="shared" si="9"/>
        <v>0.48110985533533435</v>
      </c>
      <c r="H33" s="92"/>
      <c r="I33" s="92">
        <f t="shared" si="10"/>
        <v>216.49943490090047</v>
      </c>
      <c r="J33" s="92">
        <f t="shared" si="11"/>
        <v>254.98822332772718</v>
      </c>
      <c r="K33" s="184"/>
      <c r="L33" s="60"/>
      <c r="M33" s="60"/>
    </row>
    <row r="34" spans="1:13" s="34" customFormat="1" x14ac:dyDescent="0.3">
      <c r="A34" s="91">
        <v>42286</v>
      </c>
      <c r="B34" s="93" t="s">
        <v>699</v>
      </c>
      <c r="C34" s="92"/>
      <c r="D34" s="92">
        <v>200</v>
      </c>
      <c r="E34" s="92">
        <f t="shared" si="8"/>
        <v>330</v>
      </c>
      <c r="F34" s="92"/>
      <c r="G34" s="92">
        <f t="shared" si="9"/>
        <v>0.48110985533533429</v>
      </c>
      <c r="H34" s="92"/>
      <c r="I34" s="92">
        <f t="shared" si="10"/>
        <v>96.22197106706686</v>
      </c>
      <c r="J34" s="92">
        <f t="shared" si="11"/>
        <v>158.76625226066034</v>
      </c>
      <c r="K34" s="184"/>
      <c r="L34" s="60"/>
      <c r="M34" s="60"/>
    </row>
    <row r="35" spans="1:13" s="84" customFormat="1" x14ac:dyDescent="0.3">
      <c r="A35" s="185">
        <v>42286</v>
      </c>
      <c r="B35" s="61" t="s">
        <v>701</v>
      </c>
      <c r="C35" s="82"/>
      <c r="D35" s="82">
        <v>300</v>
      </c>
      <c r="E35" s="92">
        <f t="shared" si="8"/>
        <v>30</v>
      </c>
      <c r="F35" s="82"/>
      <c r="G35" s="82">
        <f t="shared" si="9"/>
        <v>0.48110985533533435</v>
      </c>
      <c r="H35" s="82"/>
      <c r="I35" s="92">
        <f t="shared" si="10"/>
        <v>144.33295660060031</v>
      </c>
      <c r="J35" s="92">
        <f t="shared" si="11"/>
        <v>14.433295660060026</v>
      </c>
      <c r="K35" s="186">
        <f>SUM(I32:I35)</f>
        <v>481.10985533533437</v>
      </c>
      <c r="L35" s="169">
        <f>SUM(K35)</f>
        <v>481.10985533533437</v>
      </c>
      <c r="M35" s="162">
        <v>42294</v>
      </c>
    </row>
    <row r="36" spans="1:13" s="34" customFormat="1" ht="15" thickBot="1" x14ac:dyDescent="0.35">
      <c r="A36" s="59"/>
      <c r="B36" s="54" t="s">
        <v>982</v>
      </c>
      <c r="C36" s="2">
        <f>SUM(C11:C35)</f>
        <v>4010</v>
      </c>
      <c r="D36" s="2">
        <f>SUM(D11:D35)</f>
        <v>3980</v>
      </c>
      <c r="E36" s="2"/>
      <c r="F36" s="2"/>
      <c r="G36" s="2"/>
      <c r="H36" s="2">
        <f t="shared" ref="H36" si="12">SUM(H11:H35)</f>
        <v>1929.25</v>
      </c>
      <c r="I36" s="2">
        <f>SUM(I12:I35)</f>
        <v>1914.8167043399401</v>
      </c>
      <c r="J36" s="2"/>
      <c r="K36" s="184"/>
      <c r="L36" s="189">
        <f>SUM(L15:L35)</f>
        <v>1914.8167043399399</v>
      </c>
      <c r="M36" s="60"/>
    </row>
    <row r="37" spans="1:13" s="39" customFormat="1" ht="15" thickTop="1" x14ac:dyDescent="0.3">
      <c r="A37" s="127"/>
      <c r="B37" s="5"/>
      <c r="C37" s="122"/>
      <c r="D37" s="122"/>
      <c r="E37" s="122"/>
      <c r="F37" s="122"/>
      <c r="G37" s="122"/>
      <c r="H37" s="122"/>
      <c r="I37" s="122"/>
      <c r="J37" s="122"/>
      <c r="K37" s="188"/>
      <c r="L37" s="122"/>
      <c r="M37" s="5"/>
    </row>
    <row r="38" spans="1:13" s="39" customFormat="1" x14ac:dyDescent="0.3">
      <c r="A38" s="127" t="s">
        <v>977</v>
      </c>
      <c r="B38" s="6"/>
      <c r="C38" s="5"/>
      <c r="D38" s="5"/>
      <c r="E38" s="5"/>
      <c r="F38" s="5"/>
      <c r="G38" s="60"/>
      <c r="H38" s="60"/>
      <c r="I38" s="70"/>
      <c r="J38" s="60"/>
      <c r="K38" s="188"/>
      <c r="L38" s="5"/>
      <c r="M38" s="5"/>
    </row>
    <row r="39" spans="1:13" s="39" customFormat="1" x14ac:dyDescent="0.3">
      <c r="A39" s="127" t="s">
        <v>981</v>
      </c>
      <c r="B39" s="6"/>
      <c r="C39" s="5"/>
      <c r="D39" s="5"/>
      <c r="E39" s="5"/>
      <c r="F39" s="5"/>
      <c r="G39" s="60"/>
      <c r="H39" s="60"/>
      <c r="I39" s="60"/>
      <c r="J39" s="163">
        <f>+E35*F22</f>
        <v>14.433300000000001</v>
      </c>
      <c r="K39" s="188"/>
      <c r="L39" s="5"/>
      <c r="M39" s="5"/>
    </row>
    <row r="40" spans="1:13" s="39" customFormat="1" x14ac:dyDescent="0.3">
      <c r="A40" s="127" t="s">
        <v>978</v>
      </c>
      <c r="B40" s="6"/>
      <c r="C40" s="5"/>
      <c r="D40" s="5"/>
      <c r="E40" s="5"/>
      <c r="F40" s="5"/>
      <c r="G40" s="60"/>
      <c r="H40" s="60"/>
      <c r="I40" s="60"/>
      <c r="J40" s="164">
        <f>+J35</f>
        <v>14.433295660060026</v>
      </c>
      <c r="K40" s="188"/>
      <c r="L40" s="5"/>
      <c r="M40" s="5"/>
    </row>
    <row r="41" spans="1:13" s="39" customFormat="1" x14ac:dyDescent="0.3">
      <c r="A41" s="127"/>
      <c r="B41" s="6" t="s">
        <v>979</v>
      </c>
      <c r="C41" s="5"/>
      <c r="D41" s="5"/>
      <c r="E41" s="5"/>
      <c r="F41" s="5"/>
      <c r="G41" s="60"/>
      <c r="H41" s="60"/>
      <c r="I41" s="60"/>
      <c r="J41" s="163">
        <f>+J39-J40</f>
        <v>4.3399399753951684E-6</v>
      </c>
      <c r="K41" s="188"/>
      <c r="L41" s="5"/>
      <c r="M41" s="5"/>
    </row>
    <row r="42" spans="1:13" s="39" customFormat="1" x14ac:dyDescent="0.3">
      <c r="A42" s="5"/>
      <c r="B42" s="117"/>
      <c r="C42" s="107"/>
      <c r="D42" s="108"/>
      <c r="E42" s="118"/>
      <c r="F42" s="119"/>
      <c r="G42" s="119"/>
      <c r="H42" s="119"/>
      <c r="I42" s="119"/>
      <c r="J42" s="120"/>
      <c r="K42" s="188"/>
      <c r="L42" s="5"/>
      <c r="M42" s="5"/>
    </row>
    <row r="43" spans="1:13" s="39" customFormat="1" x14ac:dyDescent="0.3">
      <c r="A43" s="127"/>
      <c r="B43" s="5"/>
      <c r="C43" s="122"/>
      <c r="D43" s="122"/>
      <c r="E43" s="122"/>
      <c r="F43" s="122"/>
      <c r="G43" s="122"/>
      <c r="H43" s="122"/>
      <c r="I43" s="122"/>
      <c r="J43" s="122"/>
      <c r="K43" s="188"/>
      <c r="L43" s="5"/>
      <c r="M43" s="5"/>
    </row>
    <row r="44" spans="1:13" s="39" customFormat="1" x14ac:dyDescent="0.3">
      <c r="A44" s="99"/>
      <c r="C44" s="19"/>
      <c r="D44" s="19"/>
      <c r="E44" s="19"/>
      <c r="F44" s="19"/>
      <c r="G44" s="19"/>
      <c r="H44" s="19"/>
      <c r="I44" s="19"/>
      <c r="J44" s="19"/>
      <c r="K44" s="105"/>
    </row>
    <row r="45" spans="1:13" s="39" customFormat="1" x14ac:dyDescent="0.3">
      <c r="A45" s="99"/>
      <c r="C45" s="19"/>
      <c r="D45" s="19"/>
      <c r="E45" s="19"/>
      <c r="F45" s="19"/>
      <c r="G45" s="19"/>
      <c r="H45" s="19"/>
      <c r="I45" s="19"/>
      <c r="J45" s="19"/>
      <c r="K45" s="105"/>
    </row>
    <row r="46" spans="1:13" s="39" customFormat="1" x14ac:dyDescent="0.3">
      <c r="A46" s="99"/>
      <c r="C46" s="19"/>
      <c r="D46" s="19"/>
      <c r="E46" s="19"/>
      <c r="F46" s="19"/>
      <c r="G46" s="19"/>
      <c r="H46" s="19"/>
      <c r="I46" s="19"/>
      <c r="J46" s="19"/>
      <c r="K46" s="105"/>
    </row>
    <row r="47" spans="1:13" s="39" customFormat="1" x14ac:dyDescent="0.3">
      <c r="A47" s="99"/>
      <c r="C47" s="19"/>
      <c r="D47" s="19"/>
      <c r="E47" s="19"/>
      <c r="F47" s="19"/>
      <c r="G47" s="19"/>
      <c r="H47" s="19"/>
      <c r="I47" s="19"/>
      <c r="J47" s="19"/>
      <c r="K47" s="105"/>
    </row>
    <row r="48" spans="1:13" s="39" customFormat="1" x14ac:dyDescent="0.3">
      <c r="A48" s="99"/>
      <c r="C48" s="19"/>
      <c r="D48" s="19"/>
      <c r="E48" s="19"/>
      <c r="F48" s="19"/>
      <c r="G48" s="19"/>
      <c r="H48" s="19"/>
      <c r="I48" s="19"/>
      <c r="J48" s="19"/>
      <c r="K48" s="105"/>
    </row>
    <row r="49" spans="1:11" s="39" customFormat="1" x14ac:dyDescent="0.3">
      <c r="A49" s="99"/>
      <c r="C49" s="19"/>
      <c r="D49" s="19"/>
      <c r="E49" s="19"/>
      <c r="F49" s="19"/>
      <c r="G49" s="19"/>
      <c r="H49" s="19"/>
      <c r="I49" s="19"/>
      <c r="J49" s="19"/>
      <c r="K49" s="105"/>
    </row>
    <row r="50" spans="1:11" s="39" customFormat="1" x14ac:dyDescent="0.3">
      <c r="A50" s="99"/>
      <c r="C50" s="19"/>
      <c r="D50" s="19"/>
      <c r="E50" s="19"/>
      <c r="F50" s="19"/>
      <c r="G50" s="19"/>
      <c r="H50" s="19"/>
      <c r="I50" s="19"/>
      <c r="J50" s="19"/>
      <c r="K50" s="105"/>
    </row>
    <row r="51" spans="1:11" s="39" customFormat="1" x14ac:dyDescent="0.3">
      <c r="A51" s="99"/>
      <c r="C51" s="19"/>
      <c r="D51" s="19"/>
      <c r="E51" s="19"/>
      <c r="F51" s="19"/>
      <c r="G51" s="19"/>
      <c r="H51" s="19"/>
      <c r="I51" s="19"/>
      <c r="J51" s="19"/>
      <c r="K51" s="105"/>
    </row>
    <row r="52" spans="1:11" s="39" customFormat="1" x14ac:dyDescent="0.3">
      <c r="A52" s="99"/>
      <c r="C52" s="19"/>
      <c r="D52" s="19"/>
      <c r="E52" s="19"/>
      <c r="F52" s="19"/>
      <c r="G52" s="19"/>
      <c r="H52" s="19"/>
      <c r="I52" s="19"/>
      <c r="J52" s="19"/>
      <c r="K52" s="105"/>
    </row>
    <row r="53" spans="1:11" s="39" customFormat="1" x14ac:dyDescent="0.3">
      <c r="A53" s="99"/>
      <c r="C53" s="19"/>
      <c r="D53" s="19"/>
      <c r="E53" s="19"/>
      <c r="F53" s="19"/>
      <c r="G53" s="19"/>
      <c r="H53" s="19"/>
      <c r="I53" s="19"/>
      <c r="J53" s="19"/>
      <c r="K53" s="105"/>
    </row>
    <row r="54" spans="1:11" s="39" customFormat="1" x14ac:dyDescent="0.3">
      <c r="A54" s="99"/>
      <c r="C54" s="19"/>
      <c r="D54" s="19"/>
      <c r="E54" s="19"/>
      <c r="F54" s="19"/>
      <c r="G54" s="19"/>
      <c r="H54" s="19"/>
      <c r="I54" s="19"/>
      <c r="J54" s="19"/>
      <c r="K54" s="105"/>
    </row>
    <row r="55" spans="1:11" s="39" customFormat="1" x14ac:dyDescent="0.3">
      <c r="A55" s="99"/>
      <c r="C55" s="19"/>
      <c r="D55" s="19"/>
      <c r="E55" s="19"/>
      <c r="F55" s="19"/>
      <c r="G55" s="19"/>
      <c r="H55" s="19"/>
      <c r="I55" s="19"/>
      <c r="J55" s="19"/>
      <c r="K55" s="105"/>
    </row>
    <row r="56" spans="1:11" s="39" customFormat="1" x14ac:dyDescent="0.3">
      <c r="A56" s="99"/>
      <c r="C56" s="19"/>
      <c r="D56" s="19"/>
      <c r="E56" s="19"/>
      <c r="F56" s="19"/>
      <c r="G56" s="19"/>
      <c r="H56" s="19"/>
      <c r="I56" s="19"/>
      <c r="J56" s="19"/>
      <c r="K56" s="105"/>
    </row>
    <row r="57" spans="1:11" s="39" customFormat="1" x14ac:dyDescent="0.3">
      <c r="A57" s="99"/>
      <c r="C57" s="19"/>
      <c r="D57" s="19"/>
      <c r="E57" s="19"/>
      <c r="F57" s="19"/>
      <c r="G57" s="19"/>
      <c r="H57" s="19"/>
      <c r="I57" s="19"/>
      <c r="J57" s="19"/>
      <c r="K57" s="105"/>
    </row>
    <row r="58" spans="1:11" s="39" customFormat="1" x14ac:dyDescent="0.3">
      <c r="A58" s="99"/>
      <c r="C58" s="19"/>
      <c r="D58" s="19"/>
      <c r="E58" s="19"/>
      <c r="F58" s="19"/>
      <c r="G58" s="19"/>
      <c r="H58" s="19"/>
      <c r="I58" s="19"/>
      <c r="J58" s="19"/>
      <c r="K58" s="105"/>
    </row>
    <row r="59" spans="1:11" s="39" customFormat="1" x14ac:dyDescent="0.3">
      <c r="A59" s="99"/>
      <c r="C59" s="19"/>
      <c r="D59" s="19"/>
      <c r="E59" s="19"/>
      <c r="F59" s="19"/>
      <c r="G59" s="19"/>
      <c r="H59" s="19"/>
      <c r="I59" s="19"/>
      <c r="J59" s="19"/>
      <c r="K59" s="105"/>
    </row>
    <row r="60" spans="1:11" s="39" customFormat="1" x14ac:dyDescent="0.3">
      <c r="A60" s="99"/>
      <c r="C60" s="19"/>
      <c r="D60" s="19"/>
      <c r="E60" s="19"/>
      <c r="F60" s="19"/>
      <c r="G60" s="19"/>
      <c r="H60" s="19"/>
      <c r="I60" s="19"/>
      <c r="J60" s="19"/>
      <c r="K60" s="105"/>
    </row>
    <row r="61" spans="1:11" s="39" customFormat="1" x14ac:dyDescent="0.3">
      <c r="A61" s="99"/>
      <c r="C61" s="19"/>
      <c r="D61" s="19"/>
      <c r="E61" s="19"/>
      <c r="F61" s="19"/>
      <c r="G61" s="19"/>
      <c r="H61" s="19"/>
      <c r="I61" s="19"/>
      <c r="J61" s="19"/>
      <c r="K61" s="105"/>
    </row>
    <row r="62" spans="1:11" s="39" customFormat="1" x14ac:dyDescent="0.3">
      <c r="C62" s="19"/>
      <c r="D62" s="19"/>
      <c r="E62" s="19"/>
      <c r="F62" s="19"/>
      <c r="G62" s="19"/>
      <c r="H62" s="19"/>
      <c r="I62" s="19"/>
      <c r="J62" s="19"/>
    </row>
    <row r="63" spans="1:11" s="39" customFormat="1" x14ac:dyDescent="0.3"/>
    <row r="64" spans="1:11" s="39" customFormat="1" x14ac:dyDescent="0.3"/>
    <row r="65" s="39" customFormat="1" x14ac:dyDescent="0.3"/>
    <row r="66" s="39" customFormat="1" x14ac:dyDescent="0.3"/>
    <row r="67" s="39" customFormat="1" x14ac:dyDescent="0.3"/>
    <row r="68" s="39" customFormat="1" x14ac:dyDescent="0.3"/>
    <row r="69" s="39" customFormat="1" x14ac:dyDescent="0.3"/>
    <row r="70" s="39" customFormat="1" x14ac:dyDescent="0.3"/>
    <row r="71" s="39" customFormat="1" x14ac:dyDescent="0.3"/>
  </sheetData>
  <mergeCells count="4">
    <mergeCell ref="D4:H4"/>
    <mergeCell ref="C9:E9"/>
    <mergeCell ref="F9:G9"/>
    <mergeCell ref="H9:J9"/>
  </mergeCells>
  <pageMargins left="0.70866141732283472" right="0.70866141732283472" top="0.74803149606299213" bottom="0.74803149606299213" header="0.31496062992125984" footer="0.31496062992125984"/>
  <pageSetup scale="70" orientation="landscape" verticalDpi="0" r:id="rId1"/>
  <ignoredErrors>
    <ignoredError sqref="E16 J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topLeftCell="B112" workbookViewId="0">
      <selection activeCell="K139" sqref="K139"/>
    </sheetView>
  </sheetViews>
  <sheetFormatPr baseColWidth="10" defaultRowHeight="14.4" x14ac:dyDescent="0.3"/>
  <cols>
    <col min="2" max="2" width="25.77734375" customWidth="1"/>
    <col min="3" max="13" width="10.6640625" customWidth="1"/>
  </cols>
  <sheetData>
    <row r="1" spans="1:13" x14ac:dyDescent="0.3">
      <c r="A1" s="100" t="s">
        <v>0</v>
      </c>
      <c r="B1" s="101"/>
      <c r="C1" s="129"/>
      <c r="D1" s="129"/>
      <c r="E1" s="129"/>
      <c r="F1" s="129"/>
      <c r="G1" s="130" t="s">
        <v>1</v>
      </c>
      <c r="H1" s="129"/>
      <c r="I1" s="129"/>
      <c r="J1" s="131"/>
      <c r="K1" s="60"/>
      <c r="L1" s="60"/>
      <c r="M1" s="60"/>
    </row>
    <row r="2" spans="1:13" x14ac:dyDescent="0.3">
      <c r="A2" s="102" t="s">
        <v>2</v>
      </c>
      <c r="B2" s="38"/>
      <c r="C2" s="5"/>
      <c r="D2" s="5"/>
      <c r="E2" s="5"/>
      <c r="F2" s="5"/>
      <c r="G2" s="6" t="s">
        <v>970</v>
      </c>
      <c r="H2" s="5"/>
      <c r="I2" s="5"/>
      <c r="J2" s="132"/>
      <c r="K2" s="60"/>
      <c r="L2" s="60"/>
      <c r="M2" s="60"/>
    </row>
    <row r="3" spans="1:13" x14ac:dyDescent="0.3">
      <c r="A3" s="103" t="s">
        <v>3</v>
      </c>
      <c r="B3" s="42"/>
      <c r="C3" s="5"/>
      <c r="D3" s="5"/>
      <c r="E3" s="5"/>
      <c r="F3" s="5"/>
      <c r="G3" s="6" t="s">
        <v>971</v>
      </c>
      <c r="H3" s="5"/>
      <c r="I3" s="5"/>
      <c r="J3" s="132"/>
      <c r="K3" s="60"/>
      <c r="L3" s="60"/>
      <c r="M3" s="60"/>
    </row>
    <row r="4" spans="1:13" x14ac:dyDescent="0.3">
      <c r="A4" s="114"/>
      <c r="B4" s="5"/>
      <c r="C4" s="5"/>
      <c r="D4" s="190" t="s">
        <v>5</v>
      </c>
      <c r="E4" s="190"/>
      <c r="F4" s="190"/>
      <c r="G4" s="190"/>
      <c r="H4" s="190"/>
      <c r="I4" s="5"/>
      <c r="J4" s="175"/>
      <c r="K4" s="60"/>
      <c r="L4" s="60"/>
      <c r="M4" s="60"/>
    </row>
    <row r="5" spans="1:13" x14ac:dyDescent="0.3">
      <c r="A5" s="230" t="s">
        <v>274</v>
      </c>
      <c r="B5" s="231"/>
      <c r="C5" s="231"/>
      <c r="D5" s="231"/>
      <c r="E5" s="231"/>
      <c r="F5" s="231"/>
      <c r="G5" s="231"/>
      <c r="H5" s="231"/>
      <c r="I5" s="231"/>
      <c r="J5" s="175"/>
      <c r="K5" s="60"/>
      <c r="L5" s="60"/>
      <c r="M5" s="60"/>
    </row>
    <row r="6" spans="1:13" x14ac:dyDescent="0.3">
      <c r="A6" s="232" t="s">
        <v>6</v>
      </c>
      <c r="B6" s="233"/>
      <c r="C6" s="233"/>
      <c r="D6" s="233"/>
      <c r="E6" s="233"/>
      <c r="F6" s="233"/>
      <c r="G6" s="233"/>
      <c r="H6" s="233"/>
      <c r="I6" s="233"/>
      <c r="J6" s="234"/>
      <c r="K6" s="60"/>
      <c r="L6" s="60"/>
      <c r="M6" s="60"/>
    </row>
    <row r="7" spans="1:13" x14ac:dyDescent="0.3">
      <c r="A7" s="114"/>
      <c r="B7" s="5"/>
      <c r="C7" s="5"/>
      <c r="D7" s="5"/>
      <c r="E7" s="5"/>
      <c r="F7" s="5"/>
      <c r="G7" s="5"/>
      <c r="H7" s="5"/>
      <c r="I7" s="5"/>
      <c r="J7" s="175"/>
      <c r="K7" s="60"/>
      <c r="L7" s="191"/>
      <c r="M7" s="60"/>
    </row>
    <row r="8" spans="1:13" x14ac:dyDescent="0.3">
      <c r="A8" s="114"/>
      <c r="B8" s="5"/>
      <c r="C8" s="5"/>
      <c r="D8" s="5"/>
      <c r="E8" s="5"/>
      <c r="F8" s="5"/>
      <c r="G8" s="5"/>
      <c r="H8" s="5"/>
      <c r="I8" s="5"/>
      <c r="J8" s="175"/>
      <c r="K8" s="60"/>
      <c r="L8" s="60"/>
      <c r="M8" s="60"/>
    </row>
    <row r="9" spans="1:13" x14ac:dyDescent="0.3">
      <c r="A9" s="176" t="s">
        <v>7</v>
      </c>
      <c r="B9" s="177" t="s">
        <v>8</v>
      </c>
      <c r="C9" s="225" t="s">
        <v>9</v>
      </c>
      <c r="D9" s="226"/>
      <c r="E9" s="227"/>
      <c r="F9" s="228" t="s">
        <v>10</v>
      </c>
      <c r="G9" s="229"/>
      <c r="H9" s="225" t="s">
        <v>11</v>
      </c>
      <c r="I9" s="226"/>
      <c r="J9" s="227"/>
      <c r="K9" s="60"/>
      <c r="L9" s="60"/>
      <c r="M9" s="60"/>
    </row>
    <row r="10" spans="1:13" x14ac:dyDescent="0.3">
      <c r="A10" s="178"/>
      <c r="B10" s="179"/>
      <c r="C10" s="178" t="s">
        <v>26</v>
      </c>
      <c r="D10" s="180" t="s">
        <v>14</v>
      </c>
      <c r="E10" s="181" t="s">
        <v>20</v>
      </c>
      <c r="F10" s="180" t="s">
        <v>16</v>
      </c>
      <c r="G10" s="180" t="s">
        <v>17</v>
      </c>
      <c r="H10" s="178" t="s">
        <v>18</v>
      </c>
      <c r="I10" s="180" t="s">
        <v>19</v>
      </c>
      <c r="J10" s="181" t="s">
        <v>20</v>
      </c>
      <c r="K10" s="60"/>
      <c r="L10" s="60"/>
      <c r="M10" s="60"/>
    </row>
    <row r="11" spans="1:13" x14ac:dyDescent="0.3">
      <c r="A11" s="59">
        <v>42006</v>
      </c>
      <c r="B11" s="54" t="s">
        <v>976</v>
      </c>
      <c r="C11" s="2">
        <v>193.5</v>
      </c>
      <c r="D11" s="2"/>
      <c r="E11" s="2">
        <v>193.5</v>
      </c>
      <c r="F11" s="2">
        <f>+H11/C11</f>
        <v>14.47984496124031</v>
      </c>
      <c r="G11" s="2"/>
      <c r="H11" s="2">
        <v>2801.85</v>
      </c>
      <c r="I11" s="2"/>
      <c r="J11" s="2">
        <f>+H11</f>
        <v>2801.85</v>
      </c>
      <c r="K11" s="90"/>
      <c r="L11" s="60"/>
      <c r="M11" s="60"/>
    </row>
    <row r="12" spans="1:13" s="34" customFormat="1" x14ac:dyDescent="0.3">
      <c r="A12" s="59">
        <v>42009</v>
      </c>
      <c r="B12" s="54" t="s">
        <v>177</v>
      </c>
      <c r="C12" s="2">
        <v>92</v>
      </c>
      <c r="D12" s="2"/>
      <c r="E12" s="2">
        <f>+E11+C12</f>
        <v>285.5</v>
      </c>
      <c r="F12" s="2">
        <f>+H12/C12</f>
        <v>14.479782608695654</v>
      </c>
      <c r="G12" s="2"/>
      <c r="H12" s="2">
        <v>1332.14</v>
      </c>
      <c r="I12" s="2"/>
      <c r="J12" s="2">
        <f>+J11+H12</f>
        <v>4133.99</v>
      </c>
      <c r="K12" s="90"/>
      <c r="L12" s="60"/>
      <c r="M12" s="60"/>
    </row>
    <row r="13" spans="1:13" x14ac:dyDescent="0.3">
      <c r="A13" s="59">
        <v>42011</v>
      </c>
      <c r="B13" s="54" t="s">
        <v>51</v>
      </c>
      <c r="C13" s="2"/>
      <c r="D13" s="2">
        <v>8</v>
      </c>
      <c r="E13" s="2">
        <f>+E12-D13</f>
        <v>277.5</v>
      </c>
      <c r="F13" s="2"/>
      <c r="G13" s="2">
        <f>+J12/E12</f>
        <v>14.479824868651487</v>
      </c>
      <c r="H13" s="2"/>
      <c r="I13" s="2">
        <f>+D13*G13</f>
        <v>115.8385989492119</v>
      </c>
      <c r="J13" s="2">
        <f>+J12-I13</f>
        <v>4018.1514010507881</v>
      </c>
      <c r="K13" s="90"/>
      <c r="L13" s="60"/>
      <c r="M13" s="60"/>
    </row>
    <row r="14" spans="1:13" x14ac:dyDescent="0.3">
      <c r="A14" s="59">
        <v>42013</v>
      </c>
      <c r="B14" s="54" t="s">
        <v>64</v>
      </c>
      <c r="C14" s="2"/>
      <c r="D14" s="2">
        <v>2</v>
      </c>
      <c r="E14" s="2">
        <f t="shared" ref="E14:E21" si="0">+E13-D14</f>
        <v>275.5</v>
      </c>
      <c r="F14" s="2"/>
      <c r="G14" s="2">
        <f t="shared" ref="G14:G17" si="1">+J13/E13</f>
        <v>14.479824868651489</v>
      </c>
      <c r="H14" s="2"/>
      <c r="I14" s="2">
        <f t="shared" ref="I14:I21" si="2">+D14*G14</f>
        <v>28.959649737302978</v>
      </c>
      <c r="J14" s="2">
        <f t="shared" ref="J14:J21" si="3">+J13-I14</f>
        <v>3989.1917513134849</v>
      </c>
      <c r="K14" s="90"/>
      <c r="L14" s="60"/>
      <c r="M14" s="60"/>
    </row>
    <row r="15" spans="1:13" x14ac:dyDescent="0.3">
      <c r="A15" s="59">
        <v>42014</v>
      </c>
      <c r="B15" s="54" t="s">
        <v>65</v>
      </c>
      <c r="C15" s="2"/>
      <c r="D15" s="2">
        <v>8</v>
      </c>
      <c r="E15" s="2">
        <f t="shared" si="0"/>
        <v>267.5</v>
      </c>
      <c r="F15" s="2"/>
      <c r="G15" s="2">
        <f t="shared" si="1"/>
        <v>14.479824868651487</v>
      </c>
      <c r="H15" s="2"/>
      <c r="I15" s="2">
        <f t="shared" si="2"/>
        <v>115.8385989492119</v>
      </c>
      <c r="J15" s="2">
        <f t="shared" si="3"/>
        <v>3873.3531523642732</v>
      </c>
      <c r="K15" s="90"/>
      <c r="L15" s="60"/>
      <c r="M15" s="60"/>
    </row>
    <row r="16" spans="1:13" x14ac:dyDescent="0.3">
      <c r="A16" s="91">
        <v>42014</v>
      </c>
      <c r="B16" s="93" t="s">
        <v>69</v>
      </c>
      <c r="C16" s="92"/>
      <c r="D16" s="92">
        <v>2</v>
      </c>
      <c r="E16" s="92">
        <f t="shared" si="0"/>
        <v>265.5</v>
      </c>
      <c r="F16" s="92"/>
      <c r="G16" s="92">
        <f t="shared" si="1"/>
        <v>14.479824868651489</v>
      </c>
      <c r="H16" s="92"/>
      <c r="I16" s="92">
        <f t="shared" si="2"/>
        <v>28.959649737302978</v>
      </c>
      <c r="J16" s="92">
        <f t="shared" si="3"/>
        <v>3844.3935026269701</v>
      </c>
      <c r="K16" s="90">
        <f>SUM(I13:I16)</f>
        <v>289.59649737302976</v>
      </c>
      <c r="L16" s="89"/>
      <c r="M16" s="162">
        <v>42016</v>
      </c>
    </row>
    <row r="17" spans="1:13" x14ac:dyDescent="0.3">
      <c r="A17" s="91">
        <v>42027</v>
      </c>
      <c r="B17" s="93" t="s">
        <v>82</v>
      </c>
      <c r="C17" s="92"/>
      <c r="D17" s="92">
        <v>5</v>
      </c>
      <c r="E17" s="92">
        <f t="shared" si="0"/>
        <v>260.5</v>
      </c>
      <c r="F17" s="92"/>
      <c r="G17" s="92">
        <f t="shared" si="1"/>
        <v>14.479824868651487</v>
      </c>
      <c r="H17" s="92"/>
      <c r="I17" s="92">
        <f t="shared" si="2"/>
        <v>72.399124343257441</v>
      </c>
      <c r="J17" s="92">
        <f t="shared" si="3"/>
        <v>3771.9943782837126</v>
      </c>
      <c r="K17" s="90">
        <f>SUM(I17)</f>
        <v>72.399124343257441</v>
      </c>
      <c r="L17" s="90">
        <f>SUM(K16:K17)</f>
        <v>361.99562171628719</v>
      </c>
      <c r="M17" s="162">
        <v>42035</v>
      </c>
    </row>
    <row r="18" spans="1:13" s="34" customFormat="1" x14ac:dyDescent="0.3">
      <c r="A18" s="91">
        <v>42038</v>
      </c>
      <c r="B18" s="93" t="s">
        <v>176</v>
      </c>
      <c r="C18" s="92">
        <v>92</v>
      </c>
      <c r="D18" s="92"/>
      <c r="E18" s="92">
        <f>+E17+C18</f>
        <v>352.5</v>
      </c>
      <c r="F18" s="92">
        <f>+H18/C18</f>
        <v>14.479782608695654</v>
      </c>
      <c r="G18" s="92"/>
      <c r="H18" s="92">
        <v>1332.14</v>
      </c>
      <c r="I18" s="92"/>
      <c r="J18" s="92">
        <f>+J17+H18</f>
        <v>5104.134378283713</v>
      </c>
      <c r="K18" s="90"/>
      <c r="L18" s="60"/>
      <c r="M18" s="60"/>
    </row>
    <row r="19" spans="1:13" x14ac:dyDescent="0.3">
      <c r="A19" s="91">
        <v>42042</v>
      </c>
      <c r="B19" s="93" t="s">
        <v>90</v>
      </c>
      <c r="C19" s="92"/>
      <c r="D19" s="92">
        <v>3</v>
      </c>
      <c r="E19" s="92">
        <f>+E18-D19</f>
        <v>349.5</v>
      </c>
      <c r="F19" s="92"/>
      <c r="G19" s="92">
        <f>+J18/E18</f>
        <v>14.479813839102732</v>
      </c>
      <c r="H19" s="92"/>
      <c r="I19" s="92">
        <f t="shared" si="2"/>
        <v>43.439441517308197</v>
      </c>
      <c r="J19" s="92">
        <f>+J18-I19</f>
        <v>5060.6949367664047</v>
      </c>
      <c r="K19" s="90"/>
      <c r="L19" s="60"/>
      <c r="M19" s="60"/>
    </row>
    <row r="20" spans="1:13" x14ac:dyDescent="0.3">
      <c r="A20" s="91">
        <v>42042</v>
      </c>
      <c r="B20" s="93" t="s">
        <v>92</v>
      </c>
      <c r="C20" s="92"/>
      <c r="D20" s="92">
        <v>2</v>
      </c>
      <c r="E20" s="92">
        <f t="shared" si="0"/>
        <v>347.5</v>
      </c>
      <c r="F20" s="92"/>
      <c r="G20" s="92">
        <f t="shared" ref="G20:G23" si="4">+J19/E19</f>
        <v>14.479813839102732</v>
      </c>
      <c r="H20" s="92"/>
      <c r="I20" s="92">
        <f t="shared" si="2"/>
        <v>28.959627678205464</v>
      </c>
      <c r="J20" s="92">
        <f t="shared" si="3"/>
        <v>5031.7353090881988</v>
      </c>
      <c r="K20" s="90"/>
      <c r="L20" s="60"/>
      <c r="M20" s="60"/>
    </row>
    <row r="21" spans="1:13" x14ac:dyDescent="0.3">
      <c r="A21" s="91">
        <v>42048</v>
      </c>
      <c r="B21" s="93" t="s">
        <v>113</v>
      </c>
      <c r="C21" s="92"/>
      <c r="D21" s="92">
        <v>3</v>
      </c>
      <c r="E21" s="92">
        <f t="shared" si="0"/>
        <v>344.5</v>
      </c>
      <c r="F21" s="92"/>
      <c r="G21" s="92">
        <f t="shared" si="4"/>
        <v>14.47981383910273</v>
      </c>
      <c r="H21" s="92"/>
      <c r="I21" s="92">
        <f t="shared" si="2"/>
        <v>43.43944151730819</v>
      </c>
      <c r="J21" s="92">
        <f t="shared" si="3"/>
        <v>4988.2958675708906</v>
      </c>
      <c r="K21" s="90"/>
      <c r="L21" s="60"/>
      <c r="M21" s="60"/>
    </row>
    <row r="22" spans="1:13" s="34" customFormat="1" x14ac:dyDescent="0.3">
      <c r="A22" s="91">
        <v>42049</v>
      </c>
      <c r="B22" s="93" t="s">
        <v>119</v>
      </c>
      <c r="C22" s="92"/>
      <c r="D22" s="92">
        <v>4</v>
      </c>
      <c r="E22" s="92">
        <f t="shared" ref="E22:E51" si="5">+E21-D22</f>
        <v>340.5</v>
      </c>
      <c r="F22" s="92"/>
      <c r="G22" s="92">
        <f t="shared" si="4"/>
        <v>14.47981383910273</v>
      </c>
      <c r="H22" s="92"/>
      <c r="I22" s="92">
        <f t="shared" ref="I22:I43" si="6">+D22*G22</f>
        <v>57.919255356410922</v>
      </c>
      <c r="J22" s="92">
        <f t="shared" ref="J22:J43" si="7">+J21-I22</f>
        <v>4930.3766122144798</v>
      </c>
      <c r="K22" s="90">
        <f>SUM(I19:I22)</f>
        <v>173.75776606923279</v>
      </c>
      <c r="L22" s="89"/>
      <c r="M22" s="162">
        <v>42049</v>
      </c>
    </row>
    <row r="23" spans="1:13" s="34" customFormat="1" x14ac:dyDescent="0.3">
      <c r="A23" s="91">
        <v>42062</v>
      </c>
      <c r="B23" s="93" t="s">
        <v>134</v>
      </c>
      <c r="C23" s="92"/>
      <c r="D23" s="92">
        <v>1</v>
      </c>
      <c r="E23" s="92">
        <f t="shared" si="5"/>
        <v>339.5</v>
      </c>
      <c r="F23" s="92"/>
      <c r="G23" s="92">
        <f t="shared" si="4"/>
        <v>14.47981383910273</v>
      </c>
      <c r="H23" s="92"/>
      <c r="I23" s="92">
        <f t="shared" si="6"/>
        <v>14.47981383910273</v>
      </c>
      <c r="J23" s="92">
        <f t="shared" si="7"/>
        <v>4915.8967983753773</v>
      </c>
      <c r="K23" s="90">
        <f>SUM(I23)</f>
        <v>14.47981383910273</v>
      </c>
      <c r="L23" s="90">
        <f>SUM(K22:K23)</f>
        <v>188.2375799083355</v>
      </c>
      <c r="M23" s="162">
        <v>42063</v>
      </c>
    </row>
    <row r="24" spans="1:13" s="34" customFormat="1" x14ac:dyDescent="0.3">
      <c r="A24" s="91">
        <v>42066</v>
      </c>
      <c r="B24" s="93" t="s">
        <v>140</v>
      </c>
      <c r="C24" s="92"/>
      <c r="D24" s="92">
        <v>1</v>
      </c>
      <c r="E24" s="92">
        <f t="shared" si="5"/>
        <v>338.5</v>
      </c>
      <c r="F24" s="92"/>
      <c r="G24" s="92">
        <f t="shared" ref="G24:G51" si="8">+J23/E23</f>
        <v>14.479813839102732</v>
      </c>
      <c r="H24" s="92"/>
      <c r="I24" s="92">
        <f t="shared" si="6"/>
        <v>14.479813839102732</v>
      </c>
      <c r="J24" s="92">
        <f t="shared" si="7"/>
        <v>4901.4169845362749</v>
      </c>
      <c r="K24" s="90">
        <f>SUM(I24)</f>
        <v>14.479813839102732</v>
      </c>
      <c r="L24" s="89"/>
      <c r="M24" s="162">
        <v>42076</v>
      </c>
    </row>
    <row r="25" spans="1:13" s="34" customFormat="1" x14ac:dyDescent="0.3">
      <c r="A25" s="91">
        <v>42084</v>
      </c>
      <c r="B25" s="93" t="s">
        <v>164</v>
      </c>
      <c r="C25" s="92"/>
      <c r="D25" s="92">
        <v>1</v>
      </c>
      <c r="E25" s="92">
        <f t="shared" si="5"/>
        <v>337.5</v>
      </c>
      <c r="F25" s="92"/>
      <c r="G25" s="92">
        <f t="shared" si="8"/>
        <v>14.479813839102732</v>
      </c>
      <c r="H25" s="92"/>
      <c r="I25" s="92">
        <f t="shared" si="6"/>
        <v>14.479813839102732</v>
      </c>
      <c r="J25" s="92">
        <f t="shared" si="7"/>
        <v>4886.9371706971724</v>
      </c>
      <c r="K25" s="90"/>
      <c r="L25" s="60"/>
      <c r="M25" s="60"/>
    </row>
    <row r="26" spans="1:13" s="34" customFormat="1" x14ac:dyDescent="0.3">
      <c r="A26" s="91">
        <v>42094</v>
      </c>
      <c r="B26" s="93" t="s">
        <v>179</v>
      </c>
      <c r="C26" s="92"/>
      <c r="D26" s="92">
        <v>1</v>
      </c>
      <c r="E26" s="92">
        <f t="shared" si="5"/>
        <v>336.5</v>
      </c>
      <c r="F26" s="92"/>
      <c r="G26" s="92">
        <f t="shared" si="8"/>
        <v>14.479813839102732</v>
      </c>
      <c r="H26" s="92"/>
      <c r="I26" s="92">
        <f t="shared" si="6"/>
        <v>14.479813839102732</v>
      </c>
      <c r="J26" s="92">
        <f t="shared" si="7"/>
        <v>4872.4573568580699</v>
      </c>
      <c r="K26" s="90">
        <f>SUM(I25:I26)</f>
        <v>28.959627678205464</v>
      </c>
      <c r="L26" s="90">
        <f>SUM(K24:K26)</f>
        <v>43.439441517308197</v>
      </c>
      <c r="M26" s="162">
        <v>42094</v>
      </c>
    </row>
    <row r="27" spans="1:13" s="34" customFormat="1" x14ac:dyDescent="0.3">
      <c r="A27" s="91">
        <v>42100</v>
      </c>
      <c r="B27" s="93" t="s">
        <v>192</v>
      </c>
      <c r="C27" s="92"/>
      <c r="D27" s="92">
        <v>1</v>
      </c>
      <c r="E27" s="92">
        <f t="shared" si="5"/>
        <v>335.5</v>
      </c>
      <c r="F27" s="92"/>
      <c r="G27" s="92">
        <f t="shared" si="8"/>
        <v>14.479813839102734</v>
      </c>
      <c r="H27" s="92"/>
      <c r="I27" s="92">
        <f t="shared" si="6"/>
        <v>14.479813839102734</v>
      </c>
      <c r="J27" s="92">
        <f t="shared" si="7"/>
        <v>4857.9775430189675</v>
      </c>
      <c r="K27" s="90"/>
      <c r="L27" s="60"/>
      <c r="M27" s="60"/>
    </row>
    <row r="28" spans="1:13" s="34" customFormat="1" x14ac:dyDescent="0.3">
      <c r="A28" s="91">
        <v>42100</v>
      </c>
      <c r="B28" s="93" t="s">
        <v>193</v>
      </c>
      <c r="C28" s="92"/>
      <c r="D28" s="92">
        <v>1</v>
      </c>
      <c r="E28" s="92">
        <f t="shared" si="5"/>
        <v>334.5</v>
      </c>
      <c r="F28" s="92"/>
      <c r="G28" s="92">
        <f t="shared" si="8"/>
        <v>14.479813839102734</v>
      </c>
      <c r="H28" s="92"/>
      <c r="I28" s="92">
        <f t="shared" si="6"/>
        <v>14.479813839102734</v>
      </c>
      <c r="J28" s="92">
        <f t="shared" si="7"/>
        <v>4843.497729179865</v>
      </c>
      <c r="K28" s="90">
        <f>SUM(I27:I28)</f>
        <v>28.959627678205468</v>
      </c>
      <c r="L28" s="90">
        <f>SUM(K28)</f>
        <v>28.959627678205468</v>
      </c>
      <c r="M28" s="162">
        <v>42103</v>
      </c>
    </row>
    <row r="29" spans="1:13" s="34" customFormat="1" x14ac:dyDescent="0.3">
      <c r="A29" s="91">
        <v>42126</v>
      </c>
      <c r="B29" s="93" t="s">
        <v>241</v>
      </c>
      <c r="C29" s="92"/>
      <c r="D29" s="92">
        <v>1</v>
      </c>
      <c r="E29" s="92">
        <f t="shared" si="5"/>
        <v>333.5</v>
      </c>
      <c r="F29" s="92"/>
      <c r="G29" s="92">
        <f t="shared" si="8"/>
        <v>14.479813839102736</v>
      </c>
      <c r="H29" s="92"/>
      <c r="I29" s="92">
        <f t="shared" si="6"/>
        <v>14.479813839102736</v>
      </c>
      <c r="J29" s="92">
        <f t="shared" si="7"/>
        <v>4829.0179153407626</v>
      </c>
      <c r="K29" s="90"/>
      <c r="L29" s="60"/>
      <c r="M29" s="60"/>
    </row>
    <row r="30" spans="1:13" s="34" customFormat="1" x14ac:dyDescent="0.3">
      <c r="A30" s="91">
        <v>42128</v>
      </c>
      <c r="B30" s="93" t="s">
        <v>242</v>
      </c>
      <c r="C30" s="92"/>
      <c r="D30" s="92">
        <v>1</v>
      </c>
      <c r="E30" s="92">
        <f t="shared" si="5"/>
        <v>332.5</v>
      </c>
      <c r="F30" s="92"/>
      <c r="G30" s="92">
        <f t="shared" si="8"/>
        <v>14.479813839102736</v>
      </c>
      <c r="H30" s="92"/>
      <c r="I30" s="92">
        <f t="shared" si="6"/>
        <v>14.479813839102736</v>
      </c>
      <c r="J30" s="92">
        <f t="shared" si="7"/>
        <v>4814.5381015016601</v>
      </c>
      <c r="K30" s="90"/>
      <c r="L30" s="60"/>
      <c r="M30" s="60"/>
    </row>
    <row r="31" spans="1:13" s="34" customFormat="1" x14ac:dyDescent="0.3">
      <c r="A31" s="91">
        <v>42142</v>
      </c>
      <c r="B31" s="93" t="s">
        <v>257</v>
      </c>
      <c r="C31" s="92"/>
      <c r="D31" s="92">
        <v>2</v>
      </c>
      <c r="E31" s="92">
        <f t="shared" si="5"/>
        <v>330.5</v>
      </c>
      <c r="F31" s="92"/>
      <c r="G31" s="92">
        <f t="shared" si="8"/>
        <v>14.479813839102738</v>
      </c>
      <c r="H31" s="92"/>
      <c r="I31" s="92">
        <f t="shared" si="6"/>
        <v>28.959627678205475</v>
      </c>
      <c r="J31" s="92">
        <f t="shared" si="7"/>
        <v>4785.5784738234543</v>
      </c>
      <c r="K31" s="90"/>
      <c r="L31" s="60"/>
      <c r="M31" s="60"/>
    </row>
    <row r="32" spans="1:13" s="34" customFormat="1" x14ac:dyDescent="0.3">
      <c r="A32" s="91">
        <v>42142</v>
      </c>
      <c r="B32" s="93" t="s">
        <v>260</v>
      </c>
      <c r="C32" s="92"/>
      <c r="D32" s="92">
        <v>2</v>
      </c>
      <c r="E32" s="92">
        <f t="shared" si="5"/>
        <v>328.5</v>
      </c>
      <c r="F32" s="92"/>
      <c r="G32" s="92">
        <f t="shared" si="8"/>
        <v>14.479813839102736</v>
      </c>
      <c r="H32" s="92"/>
      <c r="I32" s="92">
        <f t="shared" si="6"/>
        <v>28.959627678205472</v>
      </c>
      <c r="J32" s="92">
        <f t="shared" si="7"/>
        <v>4756.6188461452484</v>
      </c>
      <c r="K32" s="90">
        <f>SUM(I29:I32)</f>
        <v>86.878883034616422</v>
      </c>
      <c r="L32" s="90">
        <f>SUM(K32)</f>
        <v>86.878883034616422</v>
      </c>
      <c r="M32" s="162">
        <v>42142</v>
      </c>
    </row>
    <row r="33" spans="1:13" s="34" customFormat="1" x14ac:dyDescent="0.3">
      <c r="A33" s="91">
        <v>42164</v>
      </c>
      <c r="B33" s="93" t="s">
        <v>283</v>
      </c>
      <c r="C33" s="92"/>
      <c r="D33" s="92">
        <v>3</v>
      </c>
      <c r="E33" s="92">
        <f t="shared" si="5"/>
        <v>325.5</v>
      </c>
      <c r="F33" s="92"/>
      <c r="G33" s="92">
        <f t="shared" si="8"/>
        <v>14.479813839102736</v>
      </c>
      <c r="H33" s="92"/>
      <c r="I33" s="92">
        <f t="shared" si="6"/>
        <v>43.439441517308211</v>
      </c>
      <c r="J33" s="92">
        <f t="shared" si="7"/>
        <v>4713.1794046279401</v>
      </c>
      <c r="K33" s="90"/>
      <c r="L33" s="60"/>
      <c r="M33" s="60"/>
    </row>
    <row r="34" spans="1:13" s="34" customFormat="1" x14ac:dyDescent="0.3">
      <c r="A34" s="91">
        <v>42164</v>
      </c>
      <c r="B34" s="93" t="s">
        <v>285</v>
      </c>
      <c r="C34" s="92"/>
      <c r="D34" s="92">
        <v>1</v>
      </c>
      <c r="E34" s="92">
        <f t="shared" si="5"/>
        <v>324.5</v>
      </c>
      <c r="F34" s="92"/>
      <c r="G34" s="92">
        <f t="shared" si="8"/>
        <v>14.479813839102734</v>
      </c>
      <c r="H34" s="92"/>
      <c r="I34" s="92">
        <f t="shared" si="6"/>
        <v>14.479813839102734</v>
      </c>
      <c r="J34" s="92">
        <f t="shared" si="7"/>
        <v>4698.6995907888377</v>
      </c>
      <c r="K34" s="90"/>
      <c r="L34" s="60"/>
      <c r="M34" s="60"/>
    </row>
    <row r="35" spans="1:13" s="34" customFormat="1" x14ac:dyDescent="0.3">
      <c r="A35" s="91">
        <v>42167</v>
      </c>
      <c r="B35" s="93" t="s">
        <v>295</v>
      </c>
      <c r="C35" s="92"/>
      <c r="D35" s="92">
        <v>1</v>
      </c>
      <c r="E35" s="92">
        <f t="shared" si="5"/>
        <v>323.5</v>
      </c>
      <c r="F35" s="92"/>
      <c r="G35" s="92">
        <f t="shared" si="8"/>
        <v>14.479813839102736</v>
      </c>
      <c r="H35" s="92"/>
      <c r="I35" s="92">
        <f t="shared" si="6"/>
        <v>14.479813839102736</v>
      </c>
      <c r="J35" s="92">
        <f t="shared" si="7"/>
        <v>4684.2197769497352</v>
      </c>
      <c r="K35" s="90"/>
      <c r="L35" s="60"/>
      <c r="M35" s="60"/>
    </row>
    <row r="36" spans="1:13" s="34" customFormat="1" x14ac:dyDescent="0.3">
      <c r="A36" s="91">
        <v>42171</v>
      </c>
      <c r="B36" s="93" t="s">
        <v>304</v>
      </c>
      <c r="C36" s="92"/>
      <c r="D36" s="92">
        <v>4</v>
      </c>
      <c r="E36" s="92">
        <f t="shared" si="5"/>
        <v>319.5</v>
      </c>
      <c r="F36" s="92"/>
      <c r="G36" s="92">
        <f t="shared" si="8"/>
        <v>14.479813839102736</v>
      </c>
      <c r="H36" s="92"/>
      <c r="I36" s="92">
        <f t="shared" si="6"/>
        <v>57.919255356410943</v>
      </c>
      <c r="J36" s="92">
        <f t="shared" si="7"/>
        <v>4626.3005215933244</v>
      </c>
      <c r="K36" s="90"/>
      <c r="L36" s="60"/>
      <c r="M36" s="60"/>
    </row>
    <row r="37" spans="1:13" s="34" customFormat="1" x14ac:dyDescent="0.3">
      <c r="A37" s="91">
        <v>42173</v>
      </c>
      <c r="B37" s="93" t="s">
        <v>307</v>
      </c>
      <c r="C37" s="92"/>
      <c r="D37" s="92">
        <v>14</v>
      </c>
      <c r="E37" s="92">
        <f t="shared" si="5"/>
        <v>305.5</v>
      </c>
      <c r="F37" s="92"/>
      <c r="G37" s="92">
        <f t="shared" si="8"/>
        <v>14.479813839102738</v>
      </c>
      <c r="H37" s="92"/>
      <c r="I37" s="92">
        <f t="shared" si="6"/>
        <v>202.71739374743834</v>
      </c>
      <c r="J37" s="92">
        <f t="shared" si="7"/>
        <v>4423.5831278458863</v>
      </c>
      <c r="K37" s="90">
        <f>SUM(I33:I37)</f>
        <v>333.03571829936294</v>
      </c>
      <c r="L37" s="89"/>
      <c r="M37" s="162">
        <v>42173</v>
      </c>
    </row>
    <row r="38" spans="1:13" s="34" customFormat="1" x14ac:dyDescent="0.3">
      <c r="A38" s="91">
        <v>42179</v>
      </c>
      <c r="B38" s="93" t="s">
        <v>324</v>
      </c>
      <c r="C38" s="92"/>
      <c r="D38" s="92">
        <v>6</v>
      </c>
      <c r="E38" s="92">
        <f t="shared" si="5"/>
        <v>299.5</v>
      </c>
      <c r="F38" s="92"/>
      <c r="G38" s="92">
        <f t="shared" si="8"/>
        <v>14.479813839102738</v>
      </c>
      <c r="H38" s="92"/>
      <c r="I38" s="92">
        <f t="shared" si="6"/>
        <v>86.878883034616422</v>
      </c>
      <c r="J38" s="92">
        <f t="shared" si="7"/>
        <v>4336.7042448112697</v>
      </c>
      <c r="K38" s="90"/>
      <c r="L38" s="60"/>
      <c r="M38" s="60"/>
    </row>
    <row r="39" spans="1:13" s="34" customFormat="1" x14ac:dyDescent="0.3">
      <c r="A39" s="91">
        <v>42181</v>
      </c>
      <c r="B39" s="93" t="s">
        <v>329</v>
      </c>
      <c r="C39" s="92"/>
      <c r="D39" s="92">
        <v>6</v>
      </c>
      <c r="E39" s="92">
        <f t="shared" si="5"/>
        <v>293.5</v>
      </c>
      <c r="F39" s="92"/>
      <c r="G39" s="92">
        <f t="shared" si="8"/>
        <v>14.479813839102738</v>
      </c>
      <c r="H39" s="92"/>
      <c r="I39" s="92">
        <f t="shared" si="6"/>
        <v>86.878883034616422</v>
      </c>
      <c r="J39" s="92">
        <f t="shared" si="7"/>
        <v>4249.8253617766532</v>
      </c>
      <c r="K39" s="90">
        <f>SUM(I38:I39)</f>
        <v>173.75776606923284</v>
      </c>
      <c r="L39" s="90">
        <f>SUM(K37:K39)</f>
        <v>506.79348436859578</v>
      </c>
      <c r="M39" s="162">
        <v>42185</v>
      </c>
    </row>
    <row r="40" spans="1:13" s="34" customFormat="1" x14ac:dyDescent="0.3">
      <c r="A40" s="91">
        <v>42187</v>
      </c>
      <c r="B40" s="93" t="s">
        <v>343</v>
      </c>
      <c r="C40" s="92"/>
      <c r="D40" s="92">
        <v>1</v>
      </c>
      <c r="E40" s="92">
        <f t="shared" si="5"/>
        <v>292.5</v>
      </c>
      <c r="F40" s="92"/>
      <c r="G40" s="92">
        <f t="shared" si="8"/>
        <v>14.479813839102736</v>
      </c>
      <c r="H40" s="92"/>
      <c r="I40" s="92">
        <f t="shared" si="6"/>
        <v>14.479813839102736</v>
      </c>
      <c r="J40" s="92">
        <f t="shared" si="7"/>
        <v>4235.3455479375507</v>
      </c>
      <c r="K40" s="90"/>
      <c r="L40" s="60"/>
      <c r="M40" s="60"/>
    </row>
    <row r="41" spans="1:13" s="34" customFormat="1" x14ac:dyDescent="0.3">
      <c r="A41" s="91">
        <v>42191</v>
      </c>
      <c r="B41" s="93" t="s">
        <v>354</v>
      </c>
      <c r="C41" s="92"/>
      <c r="D41" s="92">
        <v>3</v>
      </c>
      <c r="E41" s="92">
        <f t="shared" si="5"/>
        <v>289.5</v>
      </c>
      <c r="F41" s="92"/>
      <c r="G41" s="92">
        <f t="shared" si="8"/>
        <v>14.479813839102738</v>
      </c>
      <c r="H41" s="92"/>
      <c r="I41" s="92">
        <f t="shared" si="6"/>
        <v>43.439441517308211</v>
      </c>
      <c r="J41" s="92">
        <f t="shared" si="7"/>
        <v>4191.9061064202424</v>
      </c>
      <c r="K41" s="90"/>
      <c r="L41" s="60"/>
      <c r="M41" s="60"/>
    </row>
    <row r="42" spans="1:13" s="34" customFormat="1" x14ac:dyDescent="0.3">
      <c r="A42" s="91">
        <v>42194</v>
      </c>
      <c r="B42" s="93" t="s">
        <v>353</v>
      </c>
      <c r="C42" s="92"/>
      <c r="D42" s="92">
        <v>2</v>
      </c>
      <c r="E42" s="92">
        <f t="shared" si="5"/>
        <v>287.5</v>
      </c>
      <c r="F42" s="92"/>
      <c r="G42" s="92">
        <f t="shared" si="8"/>
        <v>14.479813839102738</v>
      </c>
      <c r="H42" s="92"/>
      <c r="I42" s="92">
        <f t="shared" si="6"/>
        <v>28.959627678205475</v>
      </c>
      <c r="J42" s="92">
        <f t="shared" si="7"/>
        <v>4162.9464787420366</v>
      </c>
      <c r="K42" s="90"/>
      <c r="L42" s="60"/>
      <c r="M42" s="60"/>
    </row>
    <row r="43" spans="1:13" s="34" customFormat="1" x14ac:dyDescent="0.3">
      <c r="A43" s="91">
        <v>42194</v>
      </c>
      <c r="B43" s="93" t="s">
        <v>358</v>
      </c>
      <c r="C43" s="92"/>
      <c r="D43" s="92">
        <v>1</v>
      </c>
      <c r="E43" s="92">
        <f t="shared" si="5"/>
        <v>286.5</v>
      </c>
      <c r="F43" s="92"/>
      <c r="G43" s="92">
        <f t="shared" si="8"/>
        <v>14.479813839102736</v>
      </c>
      <c r="H43" s="92"/>
      <c r="I43" s="92">
        <f t="shared" si="6"/>
        <v>14.479813839102736</v>
      </c>
      <c r="J43" s="92">
        <f t="shared" si="7"/>
        <v>4148.4666649029341</v>
      </c>
      <c r="K43" s="90"/>
      <c r="L43" s="60"/>
      <c r="M43" s="60"/>
    </row>
    <row r="44" spans="1:13" x14ac:dyDescent="0.3">
      <c r="A44" s="91">
        <v>42194</v>
      </c>
      <c r="B44" s="93" t="s">
        <v>359</v>
      </c>
      <c r="C44" s="92"/>
      <c r="D44" s="157">
        <v>2</v>
      </c>
      <c r="E44" s="92">
        <f t="shared" si="5"/>
        <v>284.5</v>
      </c>
      <c r="F44" s="92"/>
      <c r="G44" s="92">
        <f t="shared" si="8"/>
        <v>14.479813839102738</v>
      </c>
      <c r="H44" s="92"/>
      <c r="I44" s="92">
        <f t="shared" ref="I44:I51" si="9">+D44*G44</f>
        <v>28.959627678205475</v>
      </c>
      <c r="J44" s="92">
        <f t="shared" ref="J44:J51" si="10">+J43-I44</f>
        <v>4119.5070372247283</v>
      </c>
      <c r="K44" s="60"/>
      <c r="L44" s="60"/>
      <c r="M44" s="60"/>
    </row>
    <row r="45" spans="1:13" x14ac:dyDescent="0.3">
      <c r="A45" s="91">
        <v>42195</v>
      </c>
      <c r="B45" s="93" t="s">
        <v>359</v>
      </c>
      <c r="C45" s="92"/>
      <c r="D45" s="157">
        <v>2</v>
      </c>
      <c r="E45" s="92">
        <f t="shared" si="5"/>
        <v>282.5</v>
      </c>
      <c r="F45" s="92"/>
      <c r="G45" s="92">
        <f t="shared" si="8"/>
        <v>14.479813839102736</v>
      </c>
      <c r="H45" s="92"/>
      <c r="I45" s="92">
        <f t="shared" si="9"/>
        <v>28.959627678205472</v>
      </c>
      <c r="J45" s="92">
        <f t="shared" si="10"/>
        <v>4090.5474095465229</v>
      </c>
      <c r="K45" s="60"/>
      <c r="L45" s="60"/>
      <c r="M45" s="60"/>
    </row>
    <row r="46" spans="1:13" x14ac:dyDescent="0.3">
      <c r="A46" s="91">
        <v>42195</v>
      </c>
      <c r="B46" s="93" t="s">
        <v>360</v>
      </c>
      <c r="C46" s="92"/>
      <c r="D46" s="92">
        <v>1</v>
      </c>
      <c r="E46" s="92">
        <f t="shared" si="5"/>
        <v>281.5</v>
      </c>
      <c r="F46" s="92"/>
      <c r="G46" s="92">
        <f t="shared" si="8"/>
        <v>14.479813839102736</v>
      </c>
      <c r="H46" s="92"/>
      <c r="I46" s="92">
        <f t="shared" si="9"/>
        <v>14.479813839102736</v>
      </c>
      <c r="J46" s="92">
        <f t="shared" si="10"/>
        <v>4076.06759570742</v>
      </c>
      <c r="K46" s="60"/>
      <c r="L46" s="60"/>
      <c r="M46" s="60"/>
    </row>
    <row r="47" spans="1:13" x14ac:dyDescent="0.3">
      <c r="A47" s="91">
        <v>42195</v>
      </c>
      <c r="B47" s="93" t="s">
        <v>361</v>
      </c>
      <c r="C47" s="92"/>
      <c r="D47" s="92">
        <v>0</v>
      </c>
      <c r="E47" s="92">
        <f t="shared" si="5"/>
        <v>281.5</v>
      </c>
      <c r="F47" s="92"/>
      <c r="G47" s="92">
        <f t="shared" si="8"/>
        <v>14.479813839102736</v>
      </c>
      <c r="H47" s="92"/>
      <c r="I47" s="92">
        <f t="shared" si="9"/>
        <v>0</v>
      </c>
      <c r="J47" s="92">
        <f t="shared" si="10"/>
        <v>4076.06759570742</v>
      </c>
      <c r="K47" s="60"/>
      <c r="L47" s="60"/>
      <c r="M47" s="60"/>
    </row>
    <row r="48" spans="1:13" x14ac:dyDescent="0.3">
      <c r="A48" s="91">
        <v>42195</v>
      </c>
      <c r="B48" s="93" t="s">
        <v>363</v>
      </c>
      <c r="C48" s="92"/>
      <c r="D48" s="92">
        <v>5</v>
      </c>
      <c r="E48" s="92">
        <f t="shared" si="5"/>
        <v>276.5</v>
      </c>
      <c r="F48" s="92"/>
      <c r="G48" s="92">
        <f t="shared" si="8"/>
        <v>14.479813839102736</v>
      </c>
      <c r="H48" s="92"/>
      <c r="I48" s="92">
        <f t="shared" si="9"/>
        <v>72.399069195513675</v>
      </c>
      <c r="J48" s="92">
        <f t="shared" si="10"/>
        <v>4003.6685265119063</v>
      </c>
      <c r="K48" s="60"/>
      <c r="L48" s="60"/>
      <c r="M48" s="60"/>
    </row>
    <row r="49" spans="1:13" x14ac:dyDescent="0.3">
      <c r="A49" s="91">
        <v>42195</v>
      </c>
      <c r="B49" s="93" t="s">
        <v>368</v>
      </c>
      <c r="C49" s="92"/>
      <c r="D49" s="92">
        <v>1</v>
      </c>
      <c r="E49" s="92">
        <f t="shared" si="5"/>
        <v>275.5</v>
      </c>
      <c r="F49" s="92"/>
      <c r="G49" s="92">
        <f t="shared" si="8"/>
        <v>14.479813839102736</v>
      </c>
      <c r="H49" s="92"/>
      <c r="I49" s="92">
        <f t="shared" si="9"/>
        <v>14.479813839102736</v>
      </c>
      <c r="J49" s="92">
        <f t="shared" si="10"/>
        <v>3989.1887126728034</v>
      </c>
      <c r="K49" s="60"/>
      <c r="L49" s="60"/>
      <c r="M49" s="60"/>
    </row>
    <row r="50" spans="1:13" x14ac:dyDescent="0.3">
      <c r="A50" s="91">
        <v>42199</v>
      </c>
      <c r="B50" s="93" t="s">
        <v>373</v>
      </c>
      <c r="C50" s="92"/>
      <c r="D50" s="92">
        <v>7</v>
      </c>
      <c r="E50" s="92">
        <f t="shared" si="5"/>
        <v>268.5</v>
      </c>
      <c r="F50" s="92"/>
      <c r="G50" s="92">
        <f t="shared" si="8"/>
        <v>14.479813839102734</v>
      </c>
      <c r="H50" s="92"/>
      <c r="I50" s="92">
        <f t="shared" si="9"/>
        <v>101.35869687371914</v>
      </c>
      <c r="J50" s="92">
        <f t="shared" si="10"/>
        <v>3887.8300157990843</v>
      </c>
      <c r="K50" s="60"/>
      <c r="L50" s="60"/>
      <c r="M50" s="60"/>
    </row>
    <row r="51" spans="1:13" x14ac:dyDescent="0.3">
      <c r="A51" s="91">
        <v>42199</v>
      </c>
      <c r="B51" s="93" t="s">
        <v>381</v>
      </c>
      <c r="C51" s="92"/>
      <c r="D51" s="92">
        <v>3</v>
      </c>
      <c r="E51" s="92">
        <f t="shared" si="5"/>
        <v>265.5</v>
      </c>
      <c r="F51" s="92"/>
      <c r="G51" s="92">
        <f t="shared" si="8"/>
        <v>14.479813839102736</v>
      </c>
      <c r="H51" s="92"/>
      <c r="I51" s="92">
        <f t="shared" si="9"/>
        <v>43.439441517308211</v>
      </c>
      <c r="J51" s="92">
        <f t="shared" si="10"/>
        <v>3844.390574281776</v>
      </c>
      <c r="K51" s="90">
        <f>SUM(I40:I51)</f>
        <v>405.43478749487656</v>
      </c>
      <c r="L51" s="89"/>
      <c r="M51" s="162">
        <v>42199</v>
      </c>
    </row>
    <row r="52" spans="1:13" x14ac:dyDescent="0.3">
      <c r="A52" s="91">
        <v>42203</v>
      </c>
      <c r="B52" s="93" t="s">
        <v>393</v>
      </c>
      <c r="C52" s="92"/>
      <c r="D52" s="92">
        <v>2</v>
      </c>
      <c r="E52" s="92">
        <f t="shared" ref="E52:E61" si="11">+E51-D52</f>
        <v>263.5</v>
      </c>
      <c r="F52" s="92"/>
      <c r="G52" s="92">
        <f t="shared" ref="G52:G61" si="12">+J51/E51</f>
        <v>14.479813839102734</v>
      </c>
      <c r="H52" s="92"/>
      <c r="I52" s="92">
        <f t="shared" ref="I52:I65" si="13">+D52*G52</f>
        <v>28.959627678205468</v>
      </c>
      <c r="J52" s="92">
        <f t="shared" ref="J52:J61" si="14">+J51-I52</f>
        <v>3815.4309466035706</v>
      </c>
      <c r="K52" s="60"/>
      <c r="L52" s="60"/>
      <c r="M52" s="60"/>
    </row>
    <row r="53" spans="1:13" x14ac:dyDescent="0.3">
      <c r="A53" s="91">
        <v>42205</v>
      </c>
      <c r="B53" s="93" t="s">
        <v>396</v>
      </c>
      <c r="C53" s="92"/>
      <c r="D53" s="92">
        <v>2</v>
      </c>
      <c r="E53" s="92">
        <f t="shared" si="11"/>
        <v>261.5</v>
      </c>
      <c r="F53" s="92"/>
      <c r="G53" s="92">
        <f t="shared" si="12"/>
        <v>14.479813839102736</v>
      </c>
      <c r="H53" s="92"/>
      <c r="I53" s="92">
        <f t="shared" si="13"/>
        <v>28.959627678205472</v>
      </c>
      <c r="J53" s="92">
        <f t="shared" si="14"/>
        <v>3786.4713189253653</v>
      </c>
      <c r="K53" s="60"/>
      <c r="L53" s="60"/>
      <c r="M53" s="60"/>
    </row>
    <row r="54" spans="1:13" x14ac:dyDescent="0.3">
      <c r="A54" s="91">
        <v>42207</v>
      </c>
      <c r="B54" s="93" t="s">
        <v>401</v>
      </c>
      <c r="C54" s="92"/>
      <c r="D54" s="92">
        <v>5</v>
      </c>
      <c r="E54" s="92">
        <f t="shared" si="11"/>
        <v>256.5</v>
      </c>
      <c r="F54" s="92"/>
      <c r="G54" s="92">
        <f t="shared" si="12"/>
        <v>14.479813839102736</v>
      </c>
      <c r="H54" s="92"/>
      <c r="I54" s="92">
        <f t="shared" si="13"/>
        <v>72.399069195513675</v>
      </c>
      <c r="J54" s="92">
        <f t="shared" si="14"/>
        <v>3714.0722497298516</v>
      </c>
      <c r="K54" s="60"/>
      <c r="L54" s="60"/>
      <c r="M54" s="60"/>
    </row>
    <row r="55" spans="1:13" x14ac:dyDescent="0.3">
      <c r="A55" s="91">
        <v>42208</v>
      </c>
      <c r="B55" s="93" t="s">
        <v>402</v>
      </c>
      <c r="C55" s="92"/>
      <c r="D55" s="92">
        <v>3</v>
      </c>
      <c r="E55" s="92">
        <f t="shared" si="11"/>
        <v>253.5</v>
      </c>
      <c r="F55" s="92"/>
      <c r="G55" s="92">
        <f t="shared" si="12"/>
        <v>14.479813839102736</v>
      </c>
      <c r="H55" s="92"/>
      <c r="I55" s="92">
        <f t="shared" si="13"/>
        <v>43.439441517308211</v>
      </c>
      <c r="J55" s="92">
        <f t="shared" si="14"/>
        <v>3670.6328082125433</v>
      </c>
      <c r="K55" s="60"/>
      <c r="L55" s="60"/>
      <c r="M55" s="60"/>
    </row>
    <row r="56" spans="1:13" x14ac:dyDescent="0.3">
      <c r="A56" s="91">
        <v>42208</v>
      </c>
      <c r="B56" s="93" t="s">
        <v>407</v>
      </c>
      <c r="C56" s="92"/>
      <c r="D56" s="92">
        <v>5</v>
      </c>
      <c r="E56" s="92">
        <f t="shared" si="11"/>
        <v>248.5</v>
      </c>
      <c r="F56" s="92"/>
      <c r="G56" s="92">
        <f t="shared" si="12"/>
        <v>14.479813839102734</v>
      </c>
      <c r="H56" s="92"/>
      <c r="I56" s="92">
        <f t="shared" si="13"/>
        <v>72.399069195513675</v>
      </c>
      <c r="J56" s="92">
        <f t="shared" si="14"/>
        <v>3598.2337390170296</v>
      </c>
      <c r="K56" s="60"/>
      <c r="L56" s="60"/>
      <c r="M56" s="60"/>
    </row>
    <row r="57" spans="1:13" x14ac:dyDescent="0.3">
      <c r="A57" s="91">
        <v>42210</v>
      </c>
      <c r="B57" s="93" t="s">
        <v>412</v>
      </c>
      <c r="C57" s="92"/>
      <c r="D57" s="92">
        <v>6</v>
      </c>
      <c r="E57" s="92">
        <f t="shared" si="11"/>
        <v>242.5</v>
      </c>
      <c r="F57" s="92"/>
      <c r="G57" s="92">
        <f t="shared" si="12"/>
        <v>14.479813839102734</v>
      </c>
      <c r="H57" s="92"/>
      <c r="I57" s="92">
        <f t="shared" si="13"/>
        <v>86.878883034616408</v>
      </c>
      <c r="J57" s="92">
        <f t="shared" si="14"/>
        <v>3511.354855982413</v>
      </c>
      <c r="K57" s="60"/>
      <c r="L57" s="60"/>
      <c r="M57" s="60"/>
    </row>
    <row r="58" spans="1:13" x14ac:dyDescent="0.3">
      <c r="A58" s="91">
        <v>42212</v>
      </c>
      <c r="B58" s="93" t="s">
        <v>417</v>
      </c>
      <c r="C58" s="92"/>
      <c r="D58" s="92">
        <v>10</v>
      </c>
      <c r="E58" s="92">
        <f t="shared" si="11"/>
        <v>232.5</v>
      </c>
      <c r="F58" s="92"/>
      <c r="G58" s="92">
        <f t="shared" si="12"/>
        <v>14.479813839102734</v>
      </c>
      <c r="H58" s="92"/>
      <c r="I58" s="92">
        <f t="shared" si="13"/>
        <v>144.79813839102735</v>
      </c>
      <c r="J58" s="92">
        <f t="shared" si="14"/>
        <v>3366.5567175913857</v>
      </c>
      <c r="K58" s="60"/>
      <c r="L58" s="60"/>
      <c r="M58" s="60"/>
    </row>
    <row r="59" spans="1:13" x14ac:dyDescent="0.3">
      <c r="A59" s="91">
        <v>42213</v>
      </c>
      <c r="B59" s="93" t="s">
        <v>425</v>
      </c>
      <c r="C59" s="92"/>
      <c r="D59" s="92">
        <v>1</v>
      </c>
      <c r="E59" s="92">
        <f t="shared" si="11"/>
        <v>231.5</v>
      </c>
      <c r="F59" s="92"/>
      <c r="G59" s="92">
        <f t="shared" si="12"/>
        <v>14.479813839102734</v>
      </c>
      <c r="H59" s="92"/>
      <c r="I59" s="92">
        <f t="shared" si="13"/>
        <v>14.479813839102734</v>
      </c>
      <c r="J59" s="92">
        <f t="shared" si="14"/>
        <v>3352.0769037522828</v>
      </c>
      <c r="K59" s="60"/>
      <c r="L59" s="60"/>
      <c r="M59" s="60"/>
    </row>
    <row r="60" spans="1:13" x14ac:dyDescent="0.3">
      <c r="A60" s="91">
        <v>42213</v>
      </c>
      <c r="B60" s="93" t="s">
        <v>426</v>
      </c>
      <c r="C60" s="92"/>
      <c r="D60" s="92">
        <v>6</v>
      </c>
      <c r="E60" s="92">
        <f t="shared" si="11"/>
        <v>225.5</v>
      </c>
      <c r="F60" s="92"/>
      <c r="G60" s="92">
        <f t="shared" si="12"/>
        <v>14.479813839102734</v>
      </c>
      <c r="H60" s="92"/>
      <c r="I60" s="92">
        <f t="shared" si="13"/>
        <v>86.878883034616408</v>
      </c>
      <c r="J60" s="92">
        <f t="shared" si="14"/>
        <v>3265.1980207176662</v>
      </c>
      <c r="K60" s="60"/>
      <c r="L60" s="60"/>
      <c r="M60" s="60"/>
    </row>
    <row r="61" spans="1:13" x14ac:dyDescent="0.3">
      <c r="A61" s="91">
        <v>42213</v>
      </c>
      <c r="B61" s="93" t="s">
        <v>433</v>
      </c>
      <c r="C61" s="92"/>
      <c r="D61" s="92">
        <v>1</v>
      </c>
      <c r="E61" s="92">
        <f t="shared" si="11"/>
        <v>224.5</v>
      </c>
      <c r="F61" s="92"/>
      <c r="G61" s="92">
        <f t="shared" si="12"/>
        <v>14.479813839102732</v>
      </c>
      <c r="H61" s="92"/>
      <c r="I61" s="92">
        <f t="shared" si="13"/>
        <v>14.479813839102732</v>
      </c>
      <c r="J61" s="92">
        <f t="shared" si="14"/>
        <v>3250.7182068785633</v>
      </c>
      <c r="K61" s="60"/>
      <c r="L61" s="60"/>
      <c r="M61" s="60"/>
    </row>
    <row r="62" spans="1:13" s="34" customFormat="1" x14ac:dyDescent="0.3">
      <c r="A62" s="91">
        <v>42215</v>
      </c>
      <c r="B62" s="93" t="s">
        <v>985</v>
      </c>
      <c r="C62" s="92">
        <v>92</v>
      </c>
      <c r="D62" s="92"/>
      <c r="E62" s="92">
        <f>+E61+C62</f>
        <v>316.5</v>
      </c>
      <c r="F62" s="92">
        <f>+H62/C62</f>
        <v>14.479782608695654</v>
      </c>
      <c r="G62" s="92"/>
      <c r="H62" s="92">
        <v>1332.14</v>
      </c>
      <c r="I62" s="92"/>
      <c r="J62" s="92">
        <f>+J61+H62</f>
        <v>4582.8582068785636</v>
      </c>
      <c r="K62" s="60"/>
      <c r="L62" s="60"/>
      <c r="M62" s="60"/>
    </row>
    <row r="63" spans="1:13" x14ac:dyDescent="0.3">
      <c r="A63" s="91">
        <v>42216</v>
      </c>
      <c r="B63" s="93" t="s">
        <v>442</v>
      </c>
      <c r="C63" s="92"/>
      <c r="D63" s="92">
        <v>4</v>
      </c>
      <c r="E63" s="92">
        <f>+E62-D63</f>
        <v>312.5</v>
      </c>
      <c r="F63" s="92"/>
      <c r="G63" s="92">
        <f>+J62/E62</f>
        <v>14.479804761069712</v>
      </c>
      <c r="H63" s="92"/>
      <c r="I63" s="92">
        <f t="shared" si="13"/>
        <v>57.919219044278847</v>
      </c>
      <c r="J63" s="92">
        <f>+J62-I63</f>
        <v>4524.9389878342845</v>
      </c>
      <c r="K63" s="90">
        <f>SUM(I52:I63)</f>
        <v>651.59158644749095</v>
      </c>
      <c r="L63" s="90">
        <f>SUM(K51:K63)</f>
        <v>1057.0263739423676</v>
      </c>
      <c r="M63" s="162">
        <v>42216</v>
      </c>
    </row>
    <row r="64" spans="1:13" x14ac:dyDescent="0.3">
      <c r="A64" s="91">
        <v>42220</v>
      </c>
      <c r="B64" s="93" t="s">
        <v>455</v>
      </c>
      <c r="C64" s="92"/>
      <c r="D64" s="92">
        <v>0</v>
      </c>
      <c r="E64" s="92">
        <f t="shared" ref="E64:E127" si="15">+E63-D64</f>
        <v>312.5</v>
      </c>
      <c r="F64" s="92"/>
      <c r="G64" s="92">
        <f t="shared" ref="G64:G127" si="16">+J63/E63</f>
        <v>14.47980476106971</v>
      </c>
      <c r="H64" s="92"/>
      <c r="I64" s="92">
        <f t="shared" si="13"/>
        <v>0</v>
      </c>
      <c r="J64" s="92">
        <f t="shared" ref="J64:J127" si="17">+J63-I64</f>
        <v>4524.9389878342845</v>
      </c>
      <c r="K64" s="60"/>
      <c r="L64" s="60"/>
      <c r="M64" s="60"/>
    </row>
    <row r="65" spans="1:13" x14ac:dyDescent="0.3">
      <c r="A65" s="91">
        <v>42220</v>
      </c>
      <c r="B65" s="93" t="s">
        <v>454</v>
      </c>
      <c r="C65" s="92"/>
      <c r="D65" s="92">
        <v>4</v>
      </c>
      <c r="E65" s="92">
        <f t="shared" si="15"/>
        <v>308.5</v>
      </c>
      <c r="F65" s="92"/>
      <c r="G65" s="92">
        <f t="shared" si="16"/>
        <v>14.47980476106971</v>
      </c>
      <c r="H65" s="92"/>
      <c r="I65" s="92">
        <f t="shared" si="13"/>
        <v>57.91921904427884</v>
      </c>
      <c r="J65" s="92">
        <f t="shared" si="17"/>
        <v>4467.0197687900054</v>
      </c>
      <c r="K65" s="60"/>
      <c r="L65" s="60"/>
      <c r="M65" s="60"/>
    </row>
    <row r="66" spans="1:13" x14ac:dyDescent="0.3">
      <c r="A66" s="91">
        <v>42226</v>
      </c>
      <c r="B66" s="93" t="s">
        <v>465</v>
      </c>
      <c r="C66" s="92"/>
      <c r="D66" s="92">
        <v>2</v>
      </c>
      <c r="E66" s="92">
        <f t="shared" si="15"/>
        <v>306.5</v>
      </c>
      <c r="F66" s="92"/>
      <c r="G66" s="92">
        <f t="shared" si="16"/>
        <v>14.47980476106971</v>
      </c>
      <c r="H66" s="92"/>
      <c r="I66" s="92">
        <f t="shared" ref="I66:I91" si="18">+D66*G66</f>
        <v>28.95960952213942</v>
      </c>
      <c r="J66" s="92">
        <f t="shared" si="17"/>
        <v>4438.0601592678659</v>
      </c>
      <c r="K66" s="60"/>
      <c r="L66" s="60"/>
      <c r="M66" s="60"/>
    </row>
    <row r="67" spans="1:13" x14ac:dyDescent="0.3">
      <c r="A67" s="91">
        <v>42234</v>
      </c>
      <c r="B67" s="93" t="s">
        <v>492</v>
      </c>
      <c r="C67" s="92"/>
      <c r="D67" s="92">
        <v>1</v>
      </c>
      <c r="E67" s="92">
        <f t="shared" si="15"/>
        <v>305.5</v>
      </c>
      <c r="F67" s="92"/>
      <c r="G67" s="92">
        <f t="shared" si="16"/>
        <v>14.47980476106971</v>
      </c>
      <c r="H67" s="92"/>
      <c r="I67" s="92">
        <f t="shared" si="18"/>
        <v>14.47980476106971</v>
      </c>
      <c r="J67" s="92">
        <f t="shared" si="17"/>
        <v>4423.5803545067965</v>
      </c>
      <c r="K67" s="90">
        <f>SUM(I64:I67)</f>
        <v>101.35863332748798</v>
      </c>
      <c r="L67" s="90">
        <f>SUM(K67)</f>
        <v>101.35863332748798</v>
      </c>
      <c r="M67" s="162">
        <v>42234</v>
      </c>
    </row>
    <row r="68" spans="1:13" x14ac:dyDescent="0.3">
      <c r="A68" s="91">
        <v>42250</v>
      </c>
      <c r="B68" s="93" t="s">
        <v>551</v>
      </c>
      <c r="C68" s="92"/>
      <c r="D68" s="92">
        <v>3</v>
      </c>
      <c r="E68" s="92">
        <f t="shared" si="15"/>
        <v>302.5</v>
      </c>
      <c r="F68" s="92"/>
      <c r="G68" s="92">
        <f t="shared" si="16"/>
        <v>14.47980476106971</v>
      </c>
      <c r="H68" s="92"/>
      <c r="I68" s="92">
        <f t="shared" si="18"/>
        <v>43.439414283209132</v>
      </c>
      <c r="J68" s="92">
        <f t="shared" si="17"/>
        <v>4380.1409402235877</v>
      </c>
      <c r="K68" s="60"/>
      <c r="L68" s="60"/>
      <c r="M68" s="60"/>
    </row>
    <row r="69" spans="1:13" x14ac:dyDescent="0.3">
      <c r="A69" s="91">
        <v>42254</v>
      </c>
      <c r="B69" s="93" t="s">
        <v>572</v>
      </c>
      <c r="C69" s="92"/>
      <c r="D69" s="92">
        <v>3</v>
      </c>
      <c r="E69" s="92">
        <f t="shared" si="15"/>
        <v>299.5</v>
      </c>
      <c r="F69" s="92"/>
      <c r="G69" s="92">
        <f t="shared" si="16"/>
        <v>14.479804761069712</v>
      </c>
      <c r="H69" s="92"/>
      <c r="I69" s="92">
        <f t="shared" ref="I69" si="19">+D69*G69</f>
        <v>43.439414283209132</v>
      </c>
      <c r="J69" s="92">
        <f t="shared" si="17"/>
        <v>4336.7015259403788</v>
      </c>
      <c r="K69" s="60"/>
      <c r="L69" s="60"/>
      <c r="M69" s="60"/>
    </row>
    <row r="70" spans="1:13" x14ac:dyDescent="0.3">
      <c r="A70" s="91">
        <v>42254</v>
      </c>
      <c r="B70" s="93" t="s">
        <v>576</v>
      </c>
      <c r="C70" s="92"/>
      <c r="D70" s="92">
        <v>2</v>
      </c>
      <c r="E70" s="92">
        <f t="shared" si="15"/>
        <v>297.5</v>
      </c>
      <c r="F70" s="92"/>
      <c r="G70" s="92">
        <f t="shared" si="16"/>
        <v>14.479804761069712</v>
      </c>
      <c r="H70" s="92"/>
      <c r="I70" s="92">
        <f t="shared" si="18"/>
        <v>28.959609522139424</v>
      </c>
      <c r="J70" s="92">
        <f t="shared" si="17"/>
        <v>4307.7419164182393</v>
      </c>
      <c r="K70" s="60"/>
      <c r="L70" s="60"/>
      <c r="M70" s="60"/>
    </row>
    <row r="71" spans="1:13" x14ac:dyDescent="0.3">
      <c r="A71" s="91">
        <v>42254</v>
      </c>
      <c r="B71" s="93" t="s">
        <v>577</v>
      </c>
      <c r="C71" s="92"/>
      <c r="D71" s="92">
        <v>8</v>
      </c>
      <c r="E71" s="92">
        <f t="shared" si="15"/>
        <v>289.5</v>
      </c>
      <c r="F71" s="92"/>
      <c r="G71" s="92">
        <f t="shared" si="16"/>
        <v>14.479804761069712</v>
      </c>
      <c r="H71" s="92"/>
      <c r="I71" s="92">
        <f t="shared" si="18"/>
        <v>115.83843808855769</v>
      </c>
      <c r="J71" s="92">
        <f t="shared" si="17"/>
        <v>4191.903478329682</v>
      </c>
      <c r="K71" s="60"/>
      <c r="L71" s="60"/>
      <c r="M71" s="60"/>
    </row>
    <row r="72" spans="1:13" x14ac:dyDescent="0.3">
      <c r="A72" s="91">
        <v>42255</v>
      </c>
      <c r="B72" s="93" t="s">
        <v>581</v>
      </c>
      <c r="C72" s="92"/>
      <c r="D72" s="92">
        <v>4</v>
      </c>
      <c r="E72" s="92">
        <f t="shared" si="15"/>
        <v>285.5</v>
      </c>
      <c r="F72" s="92"/>
      <c r="G72" s="92">
        <f t="shared" si="16"/>
        <v>14.479804761069714</v>
      </c>
      <c r="H72" s="92"/>
      <c r="I72" s="92">
        <f t="shared" si="18"/>
        <v>57.919219044278854</v>
      </c>
      <c r="J72" s="92">
        <f t="shared" si="17"/>
        <v>4133.9842592854029</v>
      </c>
      <c r="K72" s="60"/>
      <c r="L72" s="60"/>
      <c r="M72" s="60"/>
    </row>
    <row r="73" spans="1:13" x14ac:dyDescent="0.3">
      <c r="A73" s="91">
        <v>42258</v>
      </c>
      <c r="B73" s="93" t="s">
        <v>596</v>
      </c>
      <c r="C73" s="92"/>
      <c r="D73" s="92">
        <v>1</v>
      </c>
      <c r="E73" s="92">
        <f t="shared" si="15"/>
        <v>284.5</v>
      </c>
      <c r="F73" s="92"/>
      <c r="G73" s="92">
        <f t="shared" si="16"/>
        <v>14.479804761069712</v>
      </c>
      <c r="H73" s="92"/>
      <c r="I73" s="92">
        <f t="shared" si="18"/>
        <v>14.479804761069712</v>
      </c>
      <c r="J73" s="92">
        <f t="shared" si="17"/>
        <v>4119.5044545243336</v>
      </c>
      <c r="K73" s="60"/>
      <c r="L73" s="60"/>
      <c r="M73" s="60"/>
    </row>
    <row r="74" spans="1:13" x14ac:dyDescent="0.3">
      <c r="A74" s="91">
        <v>42258</v>
      </c>
      <c r="B74" s="93" t="s">
        <v>602</v>
      </c>
      <c r="C74" s="92"/>
      <c r="D74" s="92">
        <v>1</v>
      </c>
      <c r="E74" s="92">
        <f t="shared" si="15"/>
        <v>283.5</v>
      </c>
      <c r="F74" s="92"/>
      <c r="G74" s="92">
        <f t="shared" si="16"/>
        <v>14.479804761069714</v>
      </c>
      <c r="H74" s="92"/>
      <c r="I74" s="92">
        <f t="shared" si="18"/>
        <v>14.479804761069714</v>
      </c>
      <c r="J74" s="92">
        <f t="shared" si="17"/>
        <v>4105.0246497632643</v>
      </c>
      <c r="K74" s="90">
        <f>SUM(I68:I74)</f>
        <v>318.55570474353368</v>
      </c>
      <c r="L74" s="89"/>
      <c r="M74" s="162">
        <v>42262</v>
      </c>
    </row>
    <row r="75" spans="1:13" x14ac:dyDescent="0.3">
      <c r="A75" s="91">
        <v>42266</v>
      </c>
      <c r="B75" s="93" t="s">
        <v>624</v>
      </c>
      <c r="C75" s="92"/>
      <c r="D75" s="92">
        <v>3</v>
      </c>
      <c r="E75" s="92">
        <f t="shared" si="15"/>
        <v>280.5</v>
      </c>
      <c r="F75" s="92"/>
      <c r="G75" s="92">
        <f t="shared" si="16"/>
        <v>14.479804761069715</v>
      </c>
      <c r="H75" s="92"/>
      <c r="I75" s="92">
        <f t="shared" si="18"/>
        <v>43.439414283209146</v>
      </c>
      <c r="J75" s="92">
        <f t="shared" si="17"/>
        <v>4061.585235480055</v>
      </c>
      <c r="K75" s="60"/>
      <c r="L75" s="60"/>
      <c r="M75" s="60"/>
    </row>
    <row r="76" spans="1:13" x14ac:dyDescent="0.3">
      <c r="A76" s="91">
        <v>42270</v>
      </c>
      <c r="B76" s="93" t="s">
        <v>642</v>
      </c>
      <c r="C76" s="92"/>
      <c r="D76" s="92">
        <v>1</v>
      </c>
      <c r="E76" s="92">
        <f t="shared" si="15"/>
        <v>279.5</v>
      </c>
      <c r="F76" s="92"/>
      <c r="G76" s="92">
        <f t="shared" si="16"/>
        <v>14.479804761069715</v>
      </c>
      <c r="H76" s="92"/>
      <c r="I76" s="92">
        <f t="shared" si="18"/>
        <v>14.479804761069715</v>
      </c>
      <c r="J76" s="92">
        <f t="shared" si="17"/>
        <v>4047.1054307189852</v>
      </c>
      <c r="K76" s="60"/>
      <c r="L76" s="60"/>
      <c r="M76" s="60"/>
    </row>
    <row r="77" spans="1:13" x14ac:dyDescent="0.3">
      <c r="A77" s="91">
        <v>42276</v>
      </c>
      <c r="B77" s="93" t="s">
        <v>652</v>
      </c>
      <c r="C77" s="92"/>
      <c r="D77" s="92">
        <v>3</v>
      </c>
      <c r="E77" s="92">
        <f t="shared" si="15"/>
        <v>276.5</v>
      </c>
      <c r="F77" s="92"/>
      <c r="G77" s="92">
        <f t="shared" si="16"/>
        <v>14.479804761069714</v>
      </c>
      <c r="H77" s="92"/>
      <c r="I77" s="92">
        <f t="shared" si="18"/>
        <v>43.439414283209139</v>
      </c>
      <c r="J77" s="92">
        <f t="shared" si="17"/>
        <v>4003.6660164357759</v>
      </c>
      <c r="K77" s="60"/>
      <c r="L77" s="60"/>
      <c r="M77" s="60"/>
    </row>
    <row r="78" spans="1:13" x14ac:dyDescent="0.3">
      <c r="A78" s="91">
        <v>42276</v>
      </c>
      <c r="B78" s="93" t="s">
        <v>658</v>
      </c>
      <c r="C78" s="92"/>
      <c r="D78" s="92">
        <v>1</v>
      </c>
      <c r="E78" s="92">
        <f t="shared" si="15"/>
        <v>275.5</v>
      </c>
      <c r="F78" s="92"/>
      <c r="G78" s="92">
        <f t="shared" si="16"/>
        <v>14.479804761069714</v>
      </c>
      <c r="H78" s="92"/>
      <c r="I78" s="92">
        <f t="shared" si="18"/>
        <v>14.479804761069714</v>
      </c>
      <c r="J78" s="92">
        <f t="shared" si="17"/>
        <v>3989.1862116747061</v>
      </c>
      <c r="K78" s="60"/>
      <c r="L78" s="60"/>
      <c r="M78" s="60"/>
    </row>
    <row r="79" spans="1:13" x14ac:dyDescent="0.3">
      <c r="A79" s="91">
        <v>42277</v>
      </c>
      <c r="B79" s="93" t="s">
        <v>669</v>
      </c>
      <c r="C79" s="92"/>
      <c r="D79" s="92">
        <v>4</v>
      </c>
      <c r="E79" s="92">
        <f t="shared" si="15"/>
        <v>271.5</v>
      </c>
      <c r="F79" s="92"/>
      <c r="G79" s="92">
        <f t="shared" si="16"/>
        <v>14.479804761069714</v>
      </c>
      <c r="H79" s="92"/>
      <c r="I79" s="92">
        <f t="shared" si="18"/>
        <v>57.919219044278854</v>
      </c>
      <c r="J79" s="92">
        <f t="shared" si="17"/>
        <v>3931.2669926304275</v>
      </c>
      <c r="K79" s="90">
        <f>SUM(I75:I79)</f>
        <v>173.75765713283658</v>
      </c>
      <c r="L79" s="90">
        <f>SUM(K74:K79)</f>
        <v>492.31336187637027</v>
      </c>
      <c r="M79" s="162">
        <v>42277</v>
      </c>
    </row>
    <row r="80" spans="1:13" x14ac:dyDescent="0.3">
      <c r="A80" s="91">
        <v>42278</v>
      </c>
      <c r="B80" s="93" t="s">
        <v>671</v>
      </c>
      <c r="C80" s="92"/>
      <c r="D80" s="92">
        <v>2</v>
      </c>
      <c r="E80" s="92">
        <f t="shared" si="15"/>
        <v>269.5</v>
      </c>
      <c r="F80" s="92"/>
      <c r="G80" s="92">
        <f t="shared" si="16"/>
        <v>14.479804761069714</v>
      </c>
      <c r="H80" s="92"/>
      <c r="I80" s="92">
        <f t="shared" si="18"/>
        <v>28.959609522139427</v>
      </c>
      <c r="J80" s="92">
        <f t="shared" si="17"/>
        <v>3902.3073831082879</v>
      </c>
      <c r="K80" s="60"/>
      <c r="L80" s="60"/>
      <c r="M80" s="60"/>
    </row>
    <row r="81" spans="1:13" x14ac:dyDescent="0.3">
      <c r="A81" s="91">
        <v>42282</v>
      </c>
      <c r="B81" s="93" t="s">
        <v>680</v>
      </c>
      <c r="C81" s="92"/>
      <c r="D81" s="92">
        <v>3</v>
      </c>
      <c r="E81" s="92">
        <f t="shared" si="15"/>
        <v>266.5</v>
      </c>
      <c r="F81" s="92"/>
      <c r="G81" s="92">
        <f t="shared" si="16"/>
        <v>14.479804761069714</v>
      </c>
      <c r="H81" s="92"/>
      <c r="I81" s="92">
        <f t="shared" si="18"/>
        <v>43.439414283209139</v>
      </c>
      <c r="J81" s="92">
        <f t="shared" si="17"/>
        <v>3858.8679688250786</v>
      </c>
      <c r="K81" s="60"/>
      <c r="L81" s="60"/>
      <c r="M81" s="60"/>
    </row>
    <row r="82" spans="1:13" x14ac:dyDescent="0.3">
      <c r="A82" s="91">
        <v>42286</v>
      </c>
      <c r="B82" s="93" t="s">
        <v>698</v>
      </c>
      <c r="C82" s="92"/>
      <c r="D82" s="92">
        <v>2</v>
      </c>
      <c r="E82" s="92">
        <f t="shared" si="15"/>
        <v>264.5</v>
      </c>
      <c r="F82" s="92"/>
      <c r="G82" s="92">
        <f t="shared" si="16"/>
        <v>14.479804761069714</v>
      </c>
      <c r="H82" s="92"/>
      <c r="I82" s="92">
        <f t="shared" si="18"/>
        <v>28.959609522139427</v>
      </c>
      <c r="J82" s="92">
        <f t="shared" si="17"/>
        <v>3829.9083593029391</v>
      </c>
      <c r="K82" s="60"/>
      <c r="L82" s="60"/>
      <c r="M82" s="60"/>
    </row>
    <row r="83" spans="1:13" x14ac:dyDescent="0.3">
      <c r="A83" s="91">
        <v>42286</v>
      </c>
      <c r="B83" s="93" t="s">
        <v>700</v>
      </c>
      <c r="C83" s="92"/>
      <c r="D83" s="92">
        <v>4</v>
      </c>
      <c r="E83" s="92">
        <f t="shared" si="15"/>
        <v>260.5</v>
      </c>
      <c r="F83" s="92"/>
      <c r="G83" s="92">
        <f t="shared" si="16"/>
        <v>14.479804761069714</v>
      </c>
      <c r="H83" s="92"/>
      <c r="I83" s="92">
        <f t="shared" si="18"/>
        <v>57.919219044278854</v>
      </c>
      <c r="J83" s="92">
        <f t="shared" si="17"/>
        <v>3771.9891402586604</v>
      </c>
      <c r="K83" s="60"/>
      <c r="L83" s="60"/>
      <c r="M83" s="60"/>
    </row>
    <row r="84" spans="1:13" x14ac:dyDescent="0.3">
      <c r="A84" s="91">
        <v>42287</v>
      </c>
      <c r="B84" s="93" t="s">
        <v>707</v>
      </c>
      <c r="C84" s="92"/>
      <c r="D84" s="92">
        <v>1</v>
      </c>
      <c r="E84" s="92">
        <f t="shared" si="15"/>
        <v>259.5</v>
      </c>
      <c r="F84" s="92"/>
      <c r="G84" s="92">
        <f t="shared" si="16"/>
        <v>14.479804761069714</v>
      </c>
      <c r="H84" s="92"/>
      <c r="I84" s="92">
        <f t="shared" si="18"/>
        <v>14.479804761069714</v>
      </c>
      <c r="J84" s="92">
        <f t="shared" si="17"/>
        <v>3757.5093354975907</v>
      </c>
      <c r="K84" s="60"/>
      <c r="L84" s="60"/>
      <c r="M84" s="60"/>
    </row>
    <row r="85" spans="1:13" x14ac:dyDescent="0.3">
      <c r="A85" s="91">
        <v>42294</v>
      </c>
      <c r="B85" s="93" t="s">
        <v>723</v>
      </c>
      <c r="C85" s="92"/>
      <c r="D85" s="92">
        <v>4</v>
      </c>
      <c r="E85" s="92">
        <f t="shared" si="15"/>
        <v>255.5</v>
      </c>
      <c r="F85" s="92"/>
      <c r="G85" s="92">
        <f t="shared" si="16"/>
        <v>14.479804761069714</v>
      </c>
      <c r="H85" s="92"/>
      <c r="I85" s="92">
        <f t="shared" si="18"/>
        <v>57.919219044278854</v>
      </c>
      <c r="J85" s="92">
        <f t="shared" si="17"/>
        <v>3699.590116453312</v>
      </c>
      <c r="K85" s="60"/>
      <c r="L85" s="60"/>
      <c r="M85" s="60"/>
    </row>
    <row r="86" spans="1:13" x14ac:dyDescent="0.3">
      <c r="A86" s="91">
        <v>42294</v>
      </c>
      <c r="B86" s="93" t="s">
        <v>728</v>
      </c>
      <c r="C86" s="92"/>
      <c r="D86" s="92">
        <v>5</v>
      </c>
      <c r="E86" s="92">
        <f t="shared" si="15"/>
        <v>250.5</v>
      </c>
      <c r="F86" s="92"/>
      <c r="G86" s="92">
        <f t="shared" si="16"/>
        <v>14.479804761069714</v>
      </c>
      <c r="H86" s="92"/>
      <c r="I86" s="92">
        <f t="shared" si="18"/>
        <v>72.399023805348563</v>
      </c>
      <c r="J86" s="92">
        <f t="shared" si="17"/>
        <v>3627.1910926479636</v>
      </c>
      <c r="K86" s="90">
        <f>SUM(I80:I86)</f>
        <v>304.07589998246397</v>
      </c>
      <c r="L86" s="89"/>
      <c r="M86" s="162">
        <v>42294</v>
      </c>
    </row>
    <row r="87" spans="1:13" x14ac:dyDescent="0.3">
      <c r="A87" s="91">
        <v>42300</v>
      </c>
      <c r="B87" s="93" t="s">
        <v>750</v>
      </c>
      <c r="C87" s="92"/>
      <c r="D87" s="92">
        <v>4</v>
      </c>
      <c r="E87" s="92">
        <f t="shared" si="15"/>
        <v>246.5</v>
      </c>
      <c r="F87" s="92"/>
      <c r="G87" s="92">
        <f t="shared" si="16"/>
        <v>14.479804761069715</v>
      </c>
      <c r="H87" s="92"/>
      <c r="I87" s="92">
        <f t="shared" si="18"/>
        <v>57.919219044278861</v>
      </c>
      <c r="J87" s="92">
        <f t="shared" si="17"/>
        <v>3569.271873603685</v>
      </c>
      <c r="K87" s="60"/>
      <c r="L87" s="60"/>
      <c r="M87" s="60"/>
    </row>
    <row r="88" spans="1:13" x14ac:dyDescent="0.3">
      <c r="A88" s="91">
        <v>42301</v>
      </c>
      <c r="B88" s="93" t="s">
        <v>753</v>
      </c>
      <c r="C88" s="92"/>
      <c r="D88" s="92">
        <v>6</v>
      </c>
      <c r="E88" s="92">
        <f t="shared" si="15"/>
        <v>240.5</v>
      </c>
      <c r="F88" s="92"/>
      <c r="G88" s="92">
        <f t="shared" si="16"/>
        <v>14.479804761069715</v>
      </c>
      <c r="H88" s="92"/>
      <c r="I88" s="92">
        <f t="shared" si="18"/>
        <v>86.878828566418292</v>
      </c>
      <c r="J88" s="92">
        <f t="shared" si="17"/>
        <v>3482.3930450372668</v>
      </c>
      <c r="K88" s="60"/>
      <c r="L88" s="60"/>
      <c r="M88" s="60"/>
    </row>
    <row r="89" spans="1:13" x14ac:dyDescent="0.3">
      <c r="A89" s="91">
        <v>42301</v>
      </c>
      <c r="B89" s="93" t="s">
        <v>755</v>
      </c>
      <c r="C89" s="92"/>
      <c r="D89" s="92">
        <v>1</v>
      </c>
      <c r="E89" s="92">
        <f t="shared" si="15"/>
        <v>239.5</v>
      </c>
      <c r="F89" s="92"/>
      <c r="G89" s="92">
        <f t="shared" si="16"/>
        <v>14.479804761069717</v>
      </c>
      <c r="H89" s="92"/>
      <c r="I89" s="92">
        <f t="shared" si="18"/>
        <v>14.479804761069717</v>
      </c>
      <c r="J89" s="92">
        <f t="shared" si="17"/>
        <v>3467.913240276197</v>
      </c>
      <c r="K89" s="60"/>
      <c r="L89" s="60"/>
      <c r="M89" s="60"/>
    </row>
    <row r="90" spans="1:13" x14ac:dyDescent="0.3">
      <c r="A90" s="91">
        <v>42304</v>
      </c>
      <c r="B90" s="93" t="s">
        <v>764</v>
      </c>
      <c r="C90" s="92"/>
      <c r="D90" s="92">
        <v>1</v>
      </c>
      <c r="E90" s="92">
        <f t="shared" si="15"/>
        <v>238.5</v>
      </c>
      <c r="F90" s="92"/>
      <c r="G90" s="92">
        <f t="shared" si="16"/>
        <v>14.479804761069715</v>
      </c>
      <c r="H90" s="92"/>
      <c r="I90" s="92">
        <f t="shared" si="18"/>
        <v>14.479804761069715</v>
      </c>
      <c r="J90" s="92">
        <f t="shared" si="17"/>
        <v>3453.4334355151273</v>
      </c>
      <c r="K90" s="60"/>
      <c r="L90" s="60"/>
      <c r="M90" s="60"/>
    </row>
    <row r="91" spans="1:13" x14ac:dyDescent="0.3">
      <c r="A91" s="91">
        <v>42306</v>
      </c>
      <c r="B91" s="93" t="s">
        <v>775</v>
      </c>
      <c r="C91" s="92"/>
      <c r="D91" s="92">
        <v>2</v>
      </c>
      <c r="E91" s="92">
        <f t="shared" si="15"/>
        <v>236.5</v>
      </c>
      <c r="F91" s="92"/>
      <c r="G91" s="92">
        <f t="shared" si="16"/>
        <v>14.479804761069715</v>
      </c>
      <c r="H91" s="92"/>
      <c r="I91" s="92">
        <f t="shared" si="18"/>
        <v>28.959609522139431</v>
      </c>
      <c r="J91" s="92">
        <f t="shared" si="17"/>
        <v>3424.4738259929877</v>
      </c>
      <c r="K91" s="60"/>
      <c r="L91" s="60"/>
      <c r="M91" s="60"/>
    </row>
    <row r="92" spans="1:13" s="34" customFormat="1" x14ac:dyDescent="0.3">
      <c r="A92" s="91">
        <v>42307</v>
      </c>
      <c r="B92" s="93" t="s">
        <v>777</v>
      </c>
      <c r="C92" s="92"/>
      <c r="D92" s="92">
        <v>1</v>
      </c>
      <c r="E92" s="92">
        <f t="shared" si="15"/>
        <v>235.5</v>
      </c>
      <c r="F92" s="92"/>
      <c r="G92" s="92">
        <f t="shared" si="16"/>
        <v>14.479804761069715</v>
      </c>
      <c r="H92" s="92"/>
      <c r="I92" s="92">
        <f t="shared" ref="I92:I109" si="20">+D92*G92</f>
        <v>14.479804761069715</v>
      </c>
      <c r="J92" s="92">
        <f t="shared" si="17"/>
        <v>3409.9940212319179</v>
      </c>
      <c r="K92" s="60"/>
      <c r="L92" s="60"/>
      <c r="M92" s="60"/>
    </row>
    <row r="93" spans="1:13" s="34" customFormat="1" x14ac:dyDescent="0.3">
      <c r="A93" s="91">
        <v>42307</v>
      </c>
      <c r="B93" s="93" t="s">
        <v>778</v>
      </c>
      <c r="C93" s="92"/>
      <c r="D93" s="92">
        <v>3</v>
      </c>
      <c r="E93" s="92">
        <f t="shared" si="15"/>
        <v>232.5</v>
      </c>
      <c r="F93" s="92"/>
      <c r="G93" s="92">
        <f t="shared" si="16"/>
        <v>14.479804761069715</v>
      </c>
      <c r="H93" s="92"/>
      <c r="I93" s="92">
        <f t="shared" si="20"/>
        <v>43.439414283209146</v>
      </c>
      <c r="J93" s="92">
        <f t="shared" si="17"/>
        <v>3366.5546069487086</v>
      </c>
      <c r="K93" s="60"/>
      <c r="L93" s="60"/>
      <c r="M93" s="60"/>
    </row>
    <row r="94" spans="1:13" s="34" customFormat="1" x14ac:dyDescent="0.3">
      <c r="A94" s="91">
        <v>42307</v>
      </c>
      <c r="B94" s="93" t="s">
        <v>780</v>
      </c>
      <c r="C94" s="92"/>
      <c r="D94" s="92">
        <v>1</v>
      </c>
      <c r="E94" s="92">
        <f t="shared" si="15"/>
        <v>231.5</v>
      </c>
      <c r="F94" s="92"/>
      <c r="G94" s="92">
        <f t="shared" si="16"/>
        <v>14.479804761069715</v>
      </c>
      <c r="H94" s="92"/>
      <c r="I94" s="92">
        <f t="shared" si="20"/>
        <v>14.479804761069715</v>
      </c>
      <c r="J94" s="92">
        <f t="shared" si="17"/>
        <v>3352.0748021876389</v>
      </c>
      <c r="K94" s="60"/>
      <c r="L94" s="60"/>
      <c r="M94" s="60"/>
    </row>
    <row r="95" spans="1:13" s="34" customFormat="1" x14ac:dyDescent="0.3">
      <c r="A95" s="91">
        <v>42308</v>
      </c>
      <c r="B95" s="93" t="s">
        <v>787</v>
      </c>
      <c r="C95" s="92"/>
      <c r="D95" s="92">
        <v>1</v>
      </c>
      <c r="E95" s="92">
        <f t="shared" si="15"/>
        <v>230.5</v>
      </c>
      <c r="F95" s="92"/>
      <c r="G95" s="92">
        <f t="shared" si="16"/>
        <v>14.479804761069714</v>
      </c>
      <c r="H95" s="92"/>
      <c r="I95" s="92">
        <f t="shared" si="20"/>
        <v>14.479804761069714</v>
      </c>
      <c r="J95" s="92">
        <f t="shared" si="17"/>
        <v>3337.5949974265691</v>
      </c>
      <c r="K95" s="90">
        <f>SUM(I87:I95)</f>
        <v>289.59609522139431</v>
      </c>
      <c r="L95" s="90">
        <f>SUM(K86:K95)</f>
        <v>593.67199520385827</v>
      </c>
      <c r="M95" s="162">
        <v>42308</v>
      </c>
    </row>
    <row r="96" spans="1:13" s="34" customFormat="1" x14ac:dyDescent="0.3">
      <c r="A96" s="91">
        <v>42311</v>
      </c>
      <c r="B96" s="93" t="s">
        <v>793</v>
      </c>
      <c r="C96" s="92"/>
      <c r="D96" s="92">
        <v>4</v>
      </c>
      <c r="E96" s="92">
        <f t="shared" si="15"/>
        <v>226.5</v>
      </c>
      <c r="F96" s="92"/>
      <c r="G96" s="92">
        <f t="shared" si="16"/>
        <v>14.479804761069714</v>
      </c>
      <c r="H96" s="92"/>
      <c r="I96" s="92">
        <f t="shared" si="20"/>
        <v>57.919219044278854</v>
      </c>
      <c r="J96" s="92">
        <f t="shared" si="17"/>
        <v>3279.6757783822904</v>
      </c>
      <c r="K96" s="60"/>
      <c r="L96" s="60"/>
      <c r="M96" s="60"/>
    </row>
    <row r="97" spans="1:13" s="34" customFormat="1" x14ac:dyDescent="0.3">
      <c r="A97" s="91">
        <v>42312</v>
      </c>
      <c r="B97" s="93" t="s">
        <v>799</v>
      </c>
      <c r="C97" s="92"/>
      <c r="D97" s="92">
        <v>3</v>
      </c>
      <c r="E97" s="92">
        <f t="shared" si="15"/>
        <v>223.5</v>
      </c>
      <c r="F97" s="92"/>
      <c r="G97" s="92">
        <f t="shared" si="16"/>
        <v>14.479804761069715</v>
      </c>
      <c r="H97" s="92"/>
      <c r="I97" s="92">
        <f t="shared" si="20"/>
        <v>43.439414283209146</v>
      </c>
      <c r="J97" s="92">
        <f t="shared" si="17"/>
        <v>3236.2363640990811</v>
      </c>
      <c r="K97" s="60"/>
      <c r="L97" s="60"/>
      <c r="M97" s="60"/>
    </row>
    <row r="98" spans="1:13" s="34" customFormat="1" x14ac:dyDescent="0.3">
      <c r="A98" s="91">
        <v>42313</v>
      </c>
      <c r="B98" s="93" t="s">
        <v>802</v>
      </c>
      <c r="C98" s="92"/>
      <c r="D98" s="92">
        <v>1</v>
      </c>
      <c r="E98" s="92">
        <f t="shared" si="15"/>
        <v>222.5</v>
      </c>
      <c r="F98" s="92"/>
      <c r="G98" s="92">
        <f t="shared" si="16"/>
        <v>14.479804761069714</v>
      </c>
      <c r="H98" s="92"/>
      <c r="I98" s="92">
        <f t="shared" si="20"/>
        <v>14.479804761069714</v>
      </c>
      <c r="J98" s="92">
        <f t="shared" si="17"/>
        <v>3221.7565593380114</v>
      </c>
      <c r="K98" s="60"/>
      <c r="L98" s="60"/>
      <c r="M98" s="60"/>
    </row>
    <row r="99" spans="1:13" s="34" customFormat="1" x14ac:dyDescent="0.3">
      <c r="A99" s="91">
        <v>42313</v>
      </c>
      <c r="B99" s="93" t="s">
        <v>805</v>
      </c>
      <c r="C99" s="92"/>
      <c r="D99" s="92">
        <v>4</v>
      </c>
      <c r="E99" s="92">
        <f t="shared" si="15"/>
        <v>218.5</v>
      </c>
      <c r="F99" s="92"/>
      <c r="G99" s="92">
        <f t="shared" si="16"/>
        <v>14.479804761069714</v>
      </c>
      <c r="H99" s="92"/>
      <c r="I99" s="92">
        <f t="shared" si="20"/>
        <v>57.919219044278854</v>
      </c>
      <c r="J99" s="92">
        <f t="shared" si="17"/>
        <v>3163.8373402937327</v>
      </c>
      <c r="K99" s="60"/>
      <c r="L99" s="60"/>
      <c r="M99" s="60"/>
    </row>
    <row r="100" spans="1:13" s="34" customFormat="1" x14ac:dyDescent="0.3">
      <c r="A100" s="91">
        <v>42314</v>
      </c>
      <c r="B100" s="93" t="s">
        <v>812</v>
      </c>
      <c r="C100" s="92"/>
      <c r="D100" s="92">
        <v>2</v>
      </c>
      <c r="E100" s="92">
        <f t="shared" si="15"/>
        <v>216.5</v>
      </c>
      <c r="F100" s="92"/>
      <c r="G100" s="92">
        <f t="shared" si="16"/>
        <v>14.479804761069715</v>
      </c>
      <c r="H100" s="92"/>
      <c r="I100" s="92">
        <f t="shared" si="20"/>
        <v>28.959609522139431</v>
      </c>
      <c r="J100" s="92">
        <f t="shared" si="17"/>
        <v>3134.8777307715932</v>
      </c>
      <c r="K100" s="60"/>
      <c r="L100" s="60"/>
      <c r="M100" s="60"/>
    </row>
    <row r="101" spans="1:13" s="34" customFormat="1" x14ac:dyDescent="0.3">
      <c r="A101" s="91">
        <v>42319</v>
      </c>
      <c r="B101" s="93" t="s">
        <v>821</v>
      </c>
      <c r="C101" s="92"/>
      <c r="D101" s="92">
        <v>1</v>
      </c>
      <c r="E101" s="92">
        <f t="shared" si="15"/>
        <v>215.5</v>
      </c>
      <c r="F101" s="92"/>
      <c r="G101" s="92">
        <f t="shared" si="16"/>
        <v>14.479804761069714</v>
      </c>
      <c r="H101" s="92"/>
      <c r="I101" s="92">
        <f t="shared" si="20"/>
        <v>14.479804761069714</v>
      </c>
      <c r="J101" s="92">
        <f t="shared" si="17"/>
        <v>3120.3979260105234</v>
      </c>
      <c r="K101" s="60"/>
      <c r="L101" s="60"/>
      <c r="M101" s="60"/>
    </row>
    <row r="102" spans="1:13" s="34" customFormat="1" x14ac:dyDescent="0.3">
      <c r="A102" s="91">
        <v>42320</v>
      </c>
      <c r="B102" s="93" t="s">
        <v>822</v>
      </c>
      <c r="C102" s="92"/>
      <c r="D102" s="92">
        <v>0</v>
      </c>
      <c r="E102" s="92">
        <f t="shared" si="15"/>
        <v>215.5</v>
      </c>
      <c r="F102" s="92"/>
      <c r="G102" s="92">
        <f t="shared" si="16"/>
        <v>14.479804761069714</v>
      </c>
      <c r="H102" s="92"/>
      <c r="I102" s="92">
        <f t="shared" si="20"/>
        <v>0</v>
      </c>
      <c r="J102" s="92">
        <f t="shared" si="17"/>
        <v>3120.3979260105234</v>
      </c>
      <c r="K102" s="60"/>
      <c r="L102" s="60"/>
      <c r="M102" s="60"/>
    </row>
    <row r="103" spans="1:13" s="34" customFormat="1" x14ac:dyDescent="0.3">
      <c r="A103" s="91">
        <v>42320</v>
      </c>
      <c r="B103" s="93" t="s">
        <v>823</v>
      </c>
      <c r="C103" s="92"/>
      <c r="D103" s="92">
        <v>1</v>
      </c>
      <c r="E103" s="92">
        <f t="shared" si="15"/>
        <v>214.5</v>
      </c>
      <c r="F103" s="92"/>
      <c r="G103" s="92">
        <f t="shared" si="16"/>
        <v>14.479804761069714</v>
      </c>
      <c r="H103" s="92"/>
      <c r="I103" s="92">
        <f t="shared" si="20"/>
        <v>14.479804761069714</v>
      </c>
      <c r="J103" s="92">
        <f t="shared" si="17"/>
        <v>3105.9181212494536</v>
      </c>
      <c r="K103" s="90">
        <f>SUM(I96:I103)</f>
        <v>231.67687617711545</v>
      </c>
      <c r="L103" s="89"/>
      <c r="M103" s="162">
        <v>42323</v>
      </c>
    </row>
    <row r="104" spans="1:13" s="34" customFormat="1" x14ac:dyDescent="0.3">
      <c r="A104" s="91">
        <v>42324</v>
      </c>
      <c r="B104" s="93" t="s">
        <v>832</v>
      </c>
      <c r="C104" s="92"/>
      <c r="D104" s="92">
        <v>5</v>
      </c>
      <c r="E104" s="92">
        <f t="shared" si="15"/>
        <v>209.5</v>
      </c>
      <c r="F104" s="92"/>
      <c r="G104" s="92">
        <f t="shared" si="16"/>
        <v>14.479804761069714</v>
      </c>
      <c r="H104" s="92"/>
      <c r="I104" s="92">
        <f t="shared" si="20"/>
        <v>72.399023805348563</v>
      </c>
      <c r="J104" s="92">
        <f t="shared" si="17"/>
        <v>3033.5190974441052</v>
      </c>
      <c r="K104" s="60"/>
      <c r="L104" s="60"/>
      <c r="M104" s="60"/>
    </row>
    <row r="105" spans="1:13" s="34" customFormat="1" x14ac:dyDescent="0.3">
      <c r="A105" s="91">
        <v>42324</v>
      </c>
      <c r="B105" s="93" t="s">
        <v>833</v>
      </c>
      <c r="C105" s="92"/>
      <c r="D105" s="92">
        <v>4</v>
      </c>
      <c r="E105" s="92">
        <f t="shared" si="15"/>
        <v>205.5</v>
      </c>
      <c r="F105" s="92"/>
      <c r="G105" s="92">
        <f t="shared" si="16"/>
        <v>14.479804761069715</v>
      </c>
      <c r="H105" s="92"/>
      <c r="I105" s="92">
        <f t="shared" si="20"/>
        <v>57.919219044278861</v>
      </c>
      <c r="J105" s="92">
        <f t="shared" si="17"/>
        <v>2975.5998783998266</v>
      </c>
      <c r="K105" s="60"/>
      <c r="L105" s="60"/>
      <c r="M105" s="60"/>
    </row>
    <row r="106" spans="1:13" s="34" customFormat="1" x14ac:dyDescent="0.3">
      <c r="A106" s="91">
        <v>42324</v>
      </c>
      <c r="B106" s="93" t="s">
        <v>834</v>
      </c>
      <c r="C106" s="92"/>
      <c r="D106" s="92">
        <v>2</v>
      </c>
      <c r="E106" s="92">
        <f t="shared" si="15"/>
        <v>203.5</v>
      </c>
      <c r="F106" s="92"/>
      <c r="G106" s="92">
        <f t="shared" si="16"/>
        <v>14.479804761069715</v>
      </c>
      <c r="H106" s="92"/>
      <c r="I106" s="92">
        <f t="shared" si="20"/>
        <v>28.959609522139431</v>
      </c>
      <c r="J106" s="92">
        <f t="shared" si="17"/>
        <v>2946.640268877687</v>
      </c>
      <c r="K106" s="60"/>
      <c r="L106" s="60"/>
      <c r="M106" s="60"/>
    </row>
    <row r="107" spans="1:13" s="34" customFormat="1" x14ac:dyDescent="0.3">
      <c r="A107" s="91">
        <v>42324</v>
      </c>
      <c r="B107" s="93" t="s">
        <v>835</v>
      </c>
      <c r="C107" s="92"/>
      <c r="D107" s="92">
        <v>2</v>
      </c>
      <c r="E107" s="92">
        <f t="shared" si="15"/>
        <v>201.5</v>
      </c>
      <c r="F107" s="92"/>
      <c r="G107" s="92">
        <f t="shared" si="16"/>
        <v>14.479804761069715</v>
      </c>
      <c r="H107" s="92"/>
      <c r="I107" s="92">
        <f t="shared" si="20"/>
        <v>28.959609522139431</v>
      </c>
      <c r="J107" s="92">
        <f t="shared" si="17"/>
        <v>2917.6806593555475</v>
      </c>
      <c r="K107" s="60"/>
      <c r="L107" s="60"/>
      <c r="M107" s="60"/>
    </row>
    <row r="108" spans="1:13" s="34" customFormat="1" x14ac:dyDescent="0.3">
      <c r="A108" s="91">
        <v>42326</v>
      </c>
      <c r="B108" s="93" t="s">
        <v>841</v>
      </c>
      <c r="C108" s="92"/>
      <c r="D108" s="92">
        <v>2</v>
      </c>
      <c r="E108" s="92">
        <f t="shared" si="15"/>
        <v>199.5</v>
      </c>
      <c r="F108" s="92"/>
      <c r="G108" s="92">
        <f t="shared" si="16"/>
        <v>14.479804761069715</v>
      </c>
      <c r="H108" s="92"/>
      <c r="I108" s="92">
        <f t="shared" si="20"/>
        <v>28.959609522139431</v>
      </c>
      <c r="J108" s="92">
        <f t="shared" si="17"/>
        <v>2888.721049833408</v>
      </c>
      <c r="K108" s="60"/>
      <c r="L108" s="60"/>
      <c r="M108" s="60"/>
    </row>
    <row r="109" spans="1:13" s="34" customFormat="1" x14ac:dyDescent="0.3">
      <c r="A109" s="91">
        <v>42327</v>
      </c>
      <c r="B109" s="93" t="s">
        <v>844</v>
      </c>
      <c r="C109" s="92"/>
      <c r="D109" s="92">
        <v>0</v>
      </c>
      <c r="E109" s="92">
        <f t="shared" si="15"/>
        <v>199.5</v>
      </c>
      <c r="F109" s="92"/>
      <c r="G109" s="92">
        <f t="shared" si="16"/>
        <v>14.479804761069714</v>
      </c>
      <c r="H109" s="92"/>
      <c r="I109" s="92">
        <f t="shared" si="20"/>
        <v>0</v>
      </c>
      <c r="J109" s="92">
        <f t="shared" si="17"/>
        <v>2888.721049833408</v>
      </c>
      <c r="K109" s="60"/>
      <c r="L109" s="60"/>
      <c r="M109" s="60"/>
    </row>
    <row r="110" spans="1:13" x14ac:dyDescent="0.3">
      <c r="A110" s="91">
        <v>42327</v>
      </c>
      <c r="B110" s="93" t="s">
        <v>845</v>
      </c>
      <c r="C110" s="92"/>
      <c r="D110" s="92">
        <v>5</v>
      </c>
      <c r="E110" s="92">
        <f t="shared" si="15"/>
        <v>194.5</v>
      </c>
      <c r="F110" s="92"/>
      <c r="G110" s="92">
        <f t="shared" si="16"/>
        <v>14.479804761069714</v>
      </c>
      <c r="H110" s="92"/>
      <c r="I110" s="92">
        <f t="shared" ref="I110:I132" si="21">+D110*G110</f>
        <v>72.399023805348563</v>
      </c>
      <c r="J110" s="92">
        <f t="shared" si="17"/>
        <v>2816.3220260280596</v>
      </c>
      <c r="K110" s="60"/>
      <c r="L110" s="60"/>
      <c r="M110" s="60"/>
    </row>
    <row r="111" spans="1:13" x14ac:dyDescent="0.3">
      <c r="A111" s="91">
        <v>42329</v>
      </c>
      <c r="B111" s="93" t="s">
        <v>858</v>
      </c>
      <c r="C111" s="92"/>
      <c r="D111" s="92">
        <v>1</v>
      </c>
      <c r="E111" s="92">
        <f t="shared" si="15"/>
        <v>193.5</v>
      </c>
      <c r="F111" s="92"/>
      <c r="G111" s="92">
        <f t="shared" si="16"/>
        <v>14.479804761069715</v>
      </c>
      <c r="H111" s="92"/>
      <c r="I111" s="92">
        <f t="shared" si="21"/>
        <v>14.479804761069715</v>
      </c>
      <c r="J111" s="92">
        <f t="shared" si="17"/>
        <v>2801.8422212669898</v>
      </c>
      <c r="K111" s="60"/>
      <c r="L111" s="60"/>
      <c r="M111" s="60"/>
    </row>
    <row r="112" spans="1:13" x14ac:dyDescent="0.3">
      <c r="A112" s="91">
        <v>42329</v>
      </c>
      <c r="B112" s="93" t="s">
        <v>860</v>
      </c>
      <c r="C112" s="92"/>
      <c r="D112" s="92">
        <v>5</v>
      </c>
      <c r="E112" s="92">
        <f t="shared" si="15"/>
        <v>188.5</v>
      </c>
      <c r="F112" s="92"/>
      <c r="G112" s="92">
        <f t="shared" si="16"/>
        <v>14.479804761069715</v>
      </c>
      <c r="H112" s="92"/>
      <c r="I112" s="92">
        <f t="shared" si="21"/>
        <v>72.399023805348577</v>
      </c>
      <c r="J112" s="92">
        <f t="shared" si="17"/>
        <v>2729.4431974616414</v>
      </c>
      <c r="K112" s="60"/>
      <c r="L112" s="60"/>
      <c r="M112" s="60"/>
    </row>
    <row r="113" spans="1:13" x14ac:dyDescent="0.3">
      <c r="A113" s="91">
        <v>42332</v>
      </c>
      <c r="B113" s="93" t="s">
        <v>884</v>
      </c>
      <c r="C113" s="92"/>
      <c r="D113" s="157">
        <v>1</v>
      </c>
      <c r="E113" s="92">
        <f t="shared" si="15"/>
        <v>187.5</v>
      </c>
      <c r="F113" s="92"/>
      <c r="G113" s="92">
        <f t="shared" si="16"/>
        <v>14.479804761069715</v>
      </c>
      <c r="H113" s="92"/>
      <c r="I113" s="92">
        <f t="shared" si="21"/>
        <v>14.479804761069715</v>
      </c>
      <c r="J113" s="92">
        <f t="shared" si="17"/>
        <v>2714.9633927005716</v>
      </c>
      <c r="K113" s="60"/>
      <c r="L113" s="60"/>
      <c r="M113" s="60"/>
    </row>
    <row r="114" spans="1:13" s="77" customFormat="1" x14ac:dyDescent="0.3">
      <c r="A114" s="155">
        <v>42332</v>
      </c>
      <c r="B114" s="156" t="s">
        <v>866</v>
      </c>
      <c r="C114" s="157"/>
      <c r="D114" s="157">
        <v>2</v>
      </c>
      <c r="E114" s="92">
        <f t="shared" si="15"/>
        <v>185.5</v>
      </c>
      <c r="F114" s="157"/>
      <c r="G114" s="92">
        <f t="shared" si="16"/>
        <v>14.479804761069715</v>
      </c>
      <c r="H114" s="157"/>
      <c r="I114" s="157">
        <f t="shared" si="21"/>
        <v>28.959609522139431</v>
      </c>
      <c r="J114" s="92">
        <f t="shared" si="17"/>
        <v>2686.0037831784321</v>
      </c>
      <c r="K114" s="98">
        <f>SUM(I104:I114)</f>
        <v>419.91433807102175</v>
      </c>
      <c r="L114" s="98">
        <f>SUM(K103:K114)</f>
        <v>651.59121424813725</v>
      </c>
      <c r="M114" s="168">
        <v>42338</v>
      </c>
    </row>
    <row r="115" spans="1:13" x14ac:dyDescent="0.3">
      <c r="A115" s="91">
        <v>42340</v>
      </c>
      <c r="B115" s="93" t="s">
        <v>889</v>
      </c>
      <c r="C115" s="92"/>
      <c r="D115" s="92">
        <v>3</v>
      </c>
      <c r="E115" s="92">
        <f t="shared" si="15"/>
        <v>182.5</v>
      </c>
      <c r="F115" s="92"/>
      <c r="G115" s="92">
        <f t="shared" si="16"/>
        <v>14.479804761069715</v>
      </c>
      <c r="H115" s="92"/>
      <c r="I115" s="92">
        <f t="shared" si="21"/>
        <v>43.439414283209146</v>
      </c>
      <c r="J115" s="92">
        <f t="shared" si="17"/>
        <v>2642.5643688952227</v>
      </c>
      <c r="K115" s="60"/>
      <c r="L115" s="60"/>
      <c r="M115" s="60"/>
    </row>
    <row r="116" spans="1:13" x14ac:dyDescent="0.3">
      <c r="A116" s="91">
        <v>42340</v>
      </c>
      <c r="B116" s="93" t="s">
        <v>890</v>
      </c>
      <c r="C116" s="92"/>
      <c r="D116" s="92">
        <v>1</v>
      </c>
      <c r="E116" s="92">
        <f t="shared" si="15"/>
        <v>181.5</v>
      </c>
      <c r="F116" s="92"/>
      <c r="G116" s="92">
        <f t="shared" si="16"/>
        <v>14.479804761069714</v>
      </c>
      <c r="H116" s="92"/>
      <c r="I116" s="92">
        <f t="shared" si="21"/>
        <v>14.479804761069714</v>
      </c>
      <c r="J116" s="92">
        <f t="shared" si="17"/>
        <v>2628.084564134153</v>
      </c>
      <c r="K116" s="60"/>
      <c r="L116" s="60"/>
      <c r="M116" s="60"/>
    </row>
    <row r="117" spans="1:13" x14ac:dyDescent="0.3">
      <c r="A117" s="91">
        <v>42343</v>
      </c>
      <c r="B117" s="93" t="s">
        <v>892</v>
      </c>
      <c r="C117" s="92"/>
      <c r="D117" s="92">
        <v>1</v>
      </c>
      <c r="E117" s="92">
        <f t="shared" si="15"/>
        <v>180.5</v>
      </c>
      <c r="F117" s="92"/>
      <c r="G117" s="92">
        <f t="shared" si="16"/>
        <v>14.479804761069714</v>
      </c>
      <c r="H117" s="92"/>
      <c r="I117" s="92">
        <f t="shared" si="21"/>
        <v>14.479804761069714</v>
      </c>
      <c r="J117" s="92">
        <f t="shared" si="17"/>
        <v>2613.6047593730832</v>
      </c>
      <c r="K117" s="60"/>
      <c r="L117" s="60"/>
      <c r="M117" s="60"/>
    </row>
    <row r="118" spans="1:13" x14ac:dyDescent="0.3">
      <c r="A118" s="91">
        <v>42345</v>
      </c>
      <c r="B118" s="93" t="s">
        <v>895</v>
      </c>
      <c r="C118" s="92"/>
      <c r="D118" s="92">
        <v>4</v>
      </c>
      <c r="E118" s="92">
        <f t="shared" si="15"/>
        <v>176.5</v>
      </c>
      <c r="F118" s="92"/>
      <c r="G118" s="92">
        <f t="shared" si="16"/>
        <v>14.479804761069714</v>
      </c>
      <c r="H118" s="92"/>
      <c r="I118" s="92">
        <f t="shared" si="21"/>
        <v>57.919219044278854</v>
      </c>
      <c r="J118" s="92">
        <f t="shared" si="17"/>
        <v>2555.6855403288046</v>
      </c>
      <c r="K118" s="60"/>
      <c r="L118" s="60"/>
      <c r="M118" s="60"/>
    </row>
    <row r="119" spans="1:13" x14ac:dyDescent="0.3">
      <c r="A119" s="91">
        <v>42350</v>
      </c>
      <c r="B119" s="93" t="s">
        <v>904</v>
      </c>
      <c r="C119" s="92"/>
      <c r="D119" s="92">
        <v>7</v>
      </c>
      <c r="E119" s="92">
        <f t="shared" si="15"/>
        <v>169.5</v>
      </c>
      <c r="F119" s="92"/>
      <c r="G119" s="92">
        <f t="shared" si="16"/>
        <v>14.479804761069714</v>
      </c>
      <c r="H119" s="92"/>
      <c r="I119" s="92">
        <f t="shared" si="21"/>
        <v>101.35863332748799</v>
      </c>
      <c r="J119" s="92">
        <f t="shared" si="17"/>
        <v>2454.3269070013166</v>
      </c>
      <c r="K119" s="60"/>
      <c r="L119" s="60"/>
      <c r="M119" s="60"/>
    </row>
    <row r="120" spans="1:13" x14ac:dyDescent="0.3">
      <c r="A120" s="91">
        <v>42353</v>
      </c>
      <c r="B120" s="93" t="s">
        <v>910</v>
      </c>
      <c r="C120" s="92"/>
      <c r="D120" s="92">
        <v>5</v>
      </c>
      <c r="E120" s="92">
        <f t="shared" si="15"/>
        <v>164.5</v>
      </c>
      <c r="F120" s="92"/>
      <c r="G120" s="92">
        <f t="shared" si="16"/>
        <v>14.479804761069715</v>
      </c>
      <c r="H120" s="92"/>
      <c r="I120" s="92">
        <f t="shared" si="21"/>
        <v>72.399023805348577</v>
      </c>
      <c r="J120" s="92">
        <f t="shared" si="17"/>
        <v>2381.9278831959682</v>
      </c>
      <c r="K120" s="60"/>
      <c r="L120" s="60"/>
      <c r="M120" s="60"/>
    </row>
    <row r="121" spans="1:13" x14ac:dyDescent="0.3">
      <c r="A121" s="91">
        <v>42353</v>
      </c>
      <c r="B121" s="93" t="s">
        <v>911</v>
      </c>
      <c r="C121" s="92"/>
      <c r="D121" s="92">
        <v>1</v>
      </c>
      <c r="E121" s="92">
        <f t="shared" si="15"/>
        <v>163.5</v>
      </c>
      <c r="F121" s="92"/>
      <c r="G121" s="92">
        <f t="shared" si="16"/>
        <v>14.479804761069715</v>
      </c>
      <c r="H121" s="92"/>
      <c r="I121" s="92">
        <f t="shared" si="21"/>
        <v>14.479804761069715</v>
      </c>
      <c r="J121" s="92">
        <f t="shared" si="17"/>
        <v>2367.4480784348984</v>
      </c>
      <c r="K121" s="90">
        <f>SUM(I115:I121)</f>
        <v>318.55570474353374</v>
      </c>
      <c r="L121" s="89"/>
      <c r="M121" s="162">
        <v>42353</v>
      </c>
    </row>
    <row r="122" spans="1:13" x14ac:dyDescent="0.3">
      <c r="A122" s="91">
        <v>42354</v>
      </c>
      <c r="B122" s="93" t="s">
        <v>912</v>
      </c>
      <c r="C122" s="92"/>
      <c r="D122" s="92">
        <v>1</v>
      </c>
      <c r="E122" s="92">
        <f t="shared" si="15"/>
        <v>162.5</v>
      </c>
      <c r="F122" s="92"/>
      <c r="G122" s="92">
        <f t="shared" si="16"/>
        <v>14.479804761069715</v>
      </c>
      <c r="H122" s="92"/>
      <c r="I122" s="92">
        <f t="shared" si="21"/>
        <v>14.479804761069715</v>
      </c>
      <c r="J122" s="92">
        <f t="shared" si="17"/>
        <v>2352.9682736738287</v>
      </c>
      <c r="K122" s="60"/>
      <c r="L122" s="60"/>
      <c r="M122" s="60"/>
    </row>
    <row r="123" spans="1:13" x14ac:dyDescent="0.3">
      <c r="A123" s="91">
        <v>42356</v>
      </c>
      <c r="B123" s="93" t="s">
        <v>917</v>
      </c>
      <c r="C123" s="92"/>
      <c r="D123" s="92">
        <v>6</v>
      </c>
      <c r="E123" s="92">
        <f t="shared" si="15"/>
        <v>156.5</v>
      </c>
      <c r="F123" s="92"/>
      <c r="G123" s="92">
        <f t="shared" si="16"/>
        <v>14.479804761069715</v>
      </c>
      <c r="H123" s="92"/>
      <c r="I123" s="92">
        <f t="shared" si="21"/>
        <v>86.878828566418292</v>
      </c>
      <c r="J123" s="92">
        <f t="shared" si="17"/>
        <v>2266.0894451074105</v>
      </c>
      <c r="K123" s="60"/>
      <c r="L123" s="60"/>
      <c r="M123" s="60"/>
    </row>
    <row r="124" spans="1:13" x14ac:dyDescent="0.3">
      <c r="A124" s="91">
        <v>42357</v>
      </c>
      <c r="B124" s="93" t="s">
        <v>925</v>
      </c>
      <c r="C124" s="92"/>
      <c r="D124" s="92">
        <v>6</v>
      </c>
      <c r="E124" s="92">
        <f t="shared" si="15"/>
        <v>150.5</v>
      </c>
      <c r="F124" s="92"/>
      <c r="G124" s="92">
        <f t="shared" si="16"/>
        <v>14.479804761069715</v>
      </c>
      <c r="H124" s="92"/>
      <c r="I124" s="92">
        <f t="shared" si="21"/>
        <v>86.878828566418292</v>
      </c>
      <c r="J124" s="92">
        <f t="shared" si="17"/>
        <v>2179.2106165409923</v>
      </c>
      <c r="K124" s="60"/>
      <c r="L124" s="60"/>
      <c r="M124" s="60"/>
    </row>
    <row r="125" spans="1:13" x14ac:dyDescent="0.3">
      <c r="A125" s="91">
        <v>42357</v>
      </c>
      <c r="B125" s="93" t="s">
        <v>926</v>
      </c>
      <c r="C125" s="92"/>
      <c r="D125" s="92">
        <v>3</v>
      </c>
      <c r="E125" s="92">
        <f t="shared" si="15"/>
        <v>147.5</v>
      </c>
      <c r="F125" s="92"/>
      <c r="G125" s="92">
        <f t="shared" si="16"/>
        <v>14.479804761069717</v>
      </c>
      <c r="H125" s="92"/>
      <c r="I125" s="92">
        <f t="shared" si="21"/>
        <v>43.439414283209153</v>
      </c>
      <c r="J125" s="92">
        <f t="shared" si="17"/>
        <v>2135.771202257783</v>
      </c>
      <c r="K125" s="60"/>
      <c r="L125" s="60"/>
      <c r="M125" s="60"/>
    </row>
    <row r="126" spans="1:13" x14ac:dyDescent="0.3">
      <c r="A126" s="91">
        <v>42359</v>
      </c>
      <c r="B126" s="93" t="s">
        <v>928</v>
      </c>
      <c r="C126" s="92"/>
      <c r="D126" s="92">
        <v>1</v>
      </c>
      <c r="E126" s="92">
        <f t="shared" si="15"/>
        <v>146.5</v>
      </c>
      <c r="F126" s="92"/>
      <c r="G126" s="92">
        <f t="shared" si="16"/>
        <v>14.479804761069715</v>
      </c>
      <c r="H126" s="92"/>
      <c r="I126" s="92">
        <f t="shared" si="21"/>
        <v>14.479804761069715</v>
      </c>
      <c r="J126" s="92">
        <f t="shared" si="17"/>
        <v>2121.2913974967132</v>
      </c>
      <c r="K126" s="60"/>
      <c r="L126" s="60"/>
      <c r="M126" s="60"/>
    </row>
    <row r="127" spans="1:13" x14ac:dyDescent="0.3">
      <c r="A127" s="91">
        <v>75232</v>
      </c>
      <c r="B127" s="93" t="s">
        <v>934</v>
      </c>
      <c r="C127" s="93"/>
      <c r="D127" s="93">
        <v>5</v>
      </c>
      <c r="E127" s="92">
        <f t="shared" si="15"/>
        <v>141.5</v>
      </c>
      <c r="F127" s="92"/>
      <c r="G127" s="92">
        <f t="shared" si="16"/>
        <v>14.479804761069715</v>
      </c>
      <c r="H127" s="92"/>
      <c r="I127" s="92">
        <f t="shared" si="21"/>
        <v>72.399023805348577</v>
      </c>
      <c r="J127" s="92">
        <f t="shared" si="17"/>
        <v>2048.8923736913648</v>
      </c>
      <c r="K127" s="60"/>
      <c r="L127" s="60"/>
      <c r="M127" s="60"/>
    </row>
    <row r="128" spans="1:13" x14ac:dyDescent="0.3">
      <c r="A128" s="91">
        <v>42364</v>
      </c>
      <c r="B128" s="93" t="s">
        <v>939</v>
      </c>
      <c r="C128" s="93"/>
      <c r="D128" s="93">
        <v>4</v>
      </c>
      <c r="E128" s="92">
        <f t="shared" ref="E128:E132" si="22">+E127-D128</f>
        <v>137.5</v>
      </c>
      <c r="F128" s="92"/>
      <c r="G128" s="92">
        <f t="shared" ref="G128:G132" si="23">+J127/E127</f>
        <v>14.479804761069715</v>
      </c>
      <c r="H128" s="92"/>
      <c r="I128" s="92">
        <f t="shared" si="21"/>
        <v>57.919219044278861</v>
      </c>
      <c r="J128" s="92">
        <f t="shared" ref="J128:J132" si="24">+J127-I128</f>
        <v>1990.9731546470859</v>
      </c>
      <c r="K128" s="60"/>
      <c r="L128" s="60"/>
      <c r="M128" s="60"/>
    </row>
    <row r="129" spans="1:13" x14ac:dyDescent="0.3">
      <c r="A129" s="91">
        <v>42364</v>
      </c>
      <c r="B129" s="93" t="s">
        <v>945</v>
      </c>
      <c r="C129" s="93"/>
      <c r="D129" s="93">
        <v>10</v>
      </c>
      <c r="E129" s="92">
        <f t="shared" si="22"/>
        <v>127.5</v>
      </c>
      <c r="F129" s="92"/>
      <c r="G129" s="92">
        <f t="shared" si="23"/>
        <v>14.479804761069715</v>
      </c>
      <c r="H129" s="92"/>
      <c r="I129" s="92">
        <f t="shared" si="21"/>
        <v>144.79804761069715</v>
      </c>
      <c r="J129" s="92">
        <f t="shared" si="24"/>
        <v>1846.1751070363889</v>
      </c>
      <c r="K129" s="60"/>
      <c r="L129" s="60"/>
      <c r="M129" s="60"/>
    </row>
    <row r="130" spans="1:13" x14ac:dyDescent="0.3">
      <c r="A130" s="91">
        <v>42366</v>
      </c>
      <c r="B130" s="93" t="s">
        <v>946</v>
      </c>
      <c r="C130" s="93"/>
      <c r="D130" s="93">
        <v>2</v>
      </c>
      <c r="E130" s="92">
        <f t="shared" si="22"/>
        <v>125.5</v>
      </c>
      <c r="F130" s="92"/>
      <c r="G130" s="92">
        <f t="shared" si="23"/>
        <v>14.479804761069717</v>
      </c>
      <c r="H130" s="92"/>
      <c r="I130" s="92">
        <f t="shared" si="21"/>
        <v>28.959609522139434</v>
      </c>
      <c r="J130" s="92">
        <f t="shared" si="24"/>
        <v>1817.2154975142494</v>
      </c>
      <c r="K130" s="60"/>
      <c r="L130" s="60"/>
      <c r="M130" s="60"/>
    </row>
    <row r="131" spans="1:13" x14ac:dyDescent="0.3">
      <c r="A131" s="91">
        <v>42366</v>
      </c>
      <c r="B131" s="93" t="s">
        <v>948</v>
      </c>
      <c r="C131" s="93"/>
      <c r="D131" s="93">
        <v>2</v>
      </c>
      <c r="E131" s="92">
        <f t="shared" si="22"/>
        <v>123.5</v>
      </c>
      <c r="F131" s="92"/>
      <c r="G131" s="92">
        <f t="shared" si="23"/>
        <v>14.479804761069715</v>
      </c>
      <c r="H131" s="92"/>
      <c r="I131" s="92">
        <f t="shared" si="21"/>
        <v>28.959609522139431</v>
      </c>
      <c r="J131" s="92">
        <f t="shared" si="24"/>
        <v>1788.2558879921098</v>
      </c>
      <c r="K131" s="60"/>
      <c r="L131" s="60"/>
      <c r="M131" s="60"/>
    </row>
    <row r="132" spans="1:13" x14ac:dyDescent="0.3">
      <c r="A132" s="91">
        <v>42369</v>
      </c>
      <c r="B132" s="93" t="s">
        <v>963</v>
      </c>
      <c r="C132" s="93"/>
      <c r="D132" s="93">
        <v>1</v>
      </c>
      <c r="E132" s="92">
        <f t="shared" si="22"/>
        <v>122.5</v>
      </c>
      <c r="F132" s="92"/>
      <c r="G132" s="92">
        <f t="shared" si="23"/>
        <v>14.479804761069715</v>
      </c>
      <c r="H132" s="92"/>
      <c r="I132" s="92">
        <f t="shared" si="21"/>
        <v>14.479804761069715</v>
      </c>
      <c r="J132" s="92">
        <f t="shared" si="24"/>
        <v>1773.77608323104</v>
      </c>
      <c r="K132" s="90">
        <f>SUM(I122:I132)</f>
        <v>593.67199520385839</v>
      </c>
      <c r="L132" s="169">
        <f>SUM(K121:K132)</f>
        <v>912.22769994739213</v>
      </c>
      <c r="M132" s="162">
        <v>42369</v>
      </c>
    </row>
    <row r="133" spans="1:13" ht="15" thickBot="1" x14ac:dyDescent="0.35">
      <c r="A133" s="93"/>
      <c r="B133" s="93" t="s">
        <v>982</v>
      </c>
      <c r="C133" s="92">
        <f>SUM(C11:C132)</f>
        <v>469.5</v>
      </c>
      <c r="D133" s="92">
        <f>SUM(D11:D132)</f>
        <v>347</v>
      </c>
      <c r="E133" s="158"/>
      <c r="F133" s="92"/>
      <c r="G133" s="92"/>
      <c r="H133" s="92">
        <f t="shared" ref="H133:I133" si="25">SUM(H11:H132)</f>
        <v>6798.27</v>
      </c>
      <c r="I133" s="92">
        <f t="shared" si="25"/>
        <v>5024.4939167689599</v>
      </c>
      <c r="J133" s="92"/>
      <c r="K133" s="60"/>
      <c r="L133" s="166">
        <f>SUM(L17:L132)</f>
        <v>5024.4939167689627</v>
      </c>
      <c r="M133" s="60"/>
    </row>
    <row r="134" spans="1:13" s="39" customFormat="1" ht="15" thickTop="1" x14ac:dyDescent="0.3">
      <c r="A134" s="5"/>
      <c r="B134" s="5"/>
      <c r="C134" s="5"/>
      <c r="D134" s="5"/>
      <c r="E134" s="122"/>
      <c r="F134" s="122"/>
      <c r="G134" s="122"/>
      <c r="H134" s="122"/>
      <c r="I134" s="122"/>
      <c r="J134" s="122"/>
      <c r="K134" s="5"/>
      <c r="L134" s="5"/>
      <c r="M134" s="5"/>
    </row>
    <row r="135" spans="1:13" s="39" customForma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3" x14ac:dyDescent="0.3">
      <c r="A136" s="127" t="s">
        <v>977</v>
      </c>
      <c r="B136" s="6"/>
      <c r="C136" s="5"/>
      <c r="D136" s="5"/>
      <c r="E136" s="5"/>
      <c r="F136" s="5"/>
      <c r="G136" s="60"/>
      <c r="H136" s="60"/>
      <c r="I136" s="60"/>
      <c r="J136" s="217"/>
      <c r="K136" s="60"/>
      <c r="L136" s="60"/>
      <c r="M136" s="60"/>
    </row>
    <row r="137" spans="1:13" x14ac:dyDescent="0.3">
      <c r="A137" s="127" t="s">
        <v>981</v>
      </c>
      <c r="B137" s="6"/>
      <c r="C137" s="5"/>
      <c r="D137" s="5"/>
      <c r="E137" s="5"/>
      <c r="F137" s="5"/>
      <c r="G137" s="60"/>
      <c r="H137" s="60"/>
      <c r="I137" s="60"/>
      <c r="J137" s="217">
        <f>+E132*F62</f>
        <v>1773.7733695652175</v>
      </c>
      <c r="K137" s="60"/>
      <c r="L137" s="60"/>
      <c r="M137" s="60"/>
    </row>
    <row r="138" spans="1:13" x14ac:dyDescent="0.3">
      <c r="A138" s="127" t="s">
        <v>978</v>
      </c>
      <c r="B138" s="6"/>
      <c r="C138" s="5"/>
      <c r="D138" s="5"/>
      <c r="E138" s="5"/>
      <c r="F138" s="5"/>
      <c r="G138" s="60"/>
      <c r="H138" s="60"/>
      <c r="I138" s="60"/>
      <c r="J138" s="218">
        <f>+J132</f>
        <v>1773.77608323104</v>
      </c>
      <c r="K138" s="60"/>
      <c r="L138" s="60"/>
      <c r="M138" s="60"/>
    </row>
    <row r="139" spans="1:13" x14ac:dyDescent="0.3">
      <c r="A139" s="127"/>
      <c r="B139" s="6" t="s">
        <v>979</v>
      </c>
      <c r="C139" s="5"/>
      <c r="D139" s="5"/>
      <c r="E139" s="5"/>
      <c r="F139" s="5"/>
      <c r="G139" s="60"/>
      <c r="H139" s="60"/>
      <c r="I139" s="60"/>
      <c r="J139" s="163">
        <f>+J137-J138</f>
        <v>-2.7136658225117571E-3</v>
      </c>
      <c r="K139" s="60"/>
      <c r="L139" s="60"/>
      <c r="M139" s="60"/>
    </row>
    <row r="140" spans="1:13" x14ac:dyDescent="0.3">
      <c r="A140" s="5"/>
      <c r="B140" s="117"/>
      <c r="C140" s="107"/>
      <c r="D140" s="108"/>
      <c r="E140" s="118"/>
      <c r="F140" s="119"/>
      <c r="G140" s="119"/>
      <c r="H140" s="119"/>
      <c r="I140" s="119"/>
      <c r="J140" s="120"/>
    </row>
    <row r="141" spans="1:13" x14ac:dyDescent="0.3">
      <c r="A141" s="60"/>
      <c r="B141" s="60"/>
      <c r="C141" s="60"/>
      <c r="D141" s="60"/>
      <c r="E141" s="60"/>
      <c r="F141" s="60"/>
      <c r="G141" s="60"/>
      <c r="H141" s="60"/>
      <c r="I141" s="60"/>
      <c r="J141" s="60"/>
    </row>
    <row r="142" spans="1:13" x14ac:dyDescent="0.3">
      <c r="A142" s="60"/>
      <c r="B142" s="60"/>
      <c r="C142" s="60"/>
      <c r="D142" s="60"/>
      <c r="E142" s="60"/>
      <c r="F142" s="60"/>
      <c r="G142" s="60"/>
      <c r="H142" s="60"/>
      <c r="I142" s="60"/>
      <c r="J142" s="60"/>
    </row>
    <row r="143" spans="1:13" x14ac:dyDescent="0.3">
      <c r="A143" s="60"/>
      <c r="B143" s="60"/>
      <c r="C143" s="60"/>
      <c r="D143" s="60"/>
      <c r="E143" s="60"/>
      <c r="F143" s="60"/>
      <c r="G143" s="60"/>
      <c r="H143" s="60"/>
      <c r="I143" s="60"/>
      <c r="J143" s="60"/>
    </row>
    <row r="144" spans="1:13" x14ac:dyDescent="0.3">
      <c r="A144" s="60"/>
      <c r="B144" s="60"/>
      <c r="C144" s="60"/>
      <c r="D144" s="60"/>
      <c r="E144" s="60"/>
      <c r="F144" s="60"/>
      <c r="G144" s="60"/>
      <c r="H144" s="60"/>
      <c r="I144" s="60"/>
      <c r="J144" s="60"/>
    </row>
    <row r="145" spans="1:10" x14ac:dyDescent="0.3">
      <c r="A145" s="60"/>
      <c r="B145" s="60"/>
      <c r="C145" s="60"/>
      <c r="D145" s="60"/>
      <c r="E145" s="60"/>
      <c r="F145" s="60"/>
      <c r="G145" s="60"/>
      <c r="H145" s="60"/>
      <c r="I145" s="60"/>
      <c r="J145" s="60"/>
    </row>
    <row r="146" spans="1:10" x14ac:dyDescent="0.3">
      <c r="A146" s="60"/>
      <c r="B146" s="60"/>
      <c r="C146" s="60"/>
      <c r="D146" s="60"/>
      <c r="E146" s="60"/>
      <c r="F146" s="60"/>
      <c r="G146" s="60"/>
      <c r="H146" s="60"/>
      <c r="I146" s="60"/>
      <c r="J146" s="60"/>
    </row>
  </sheetData>
  <mergeCells count="5">
    <mergeCell ref="A5:I5"/>
    <mergeCell ref="A6:J6"/>
    <mergeCell ref="C9:E9"/>
    <mergeCell ref="F9:G9"/>
    <mergeCell ref="H9:J9"/>
  </mergeCells>
  <pageMargins left="0.70866141732283472" right="0.70866141732283472" top="0.74803149606299213" bottom="0.74803149606299213" header="0.31496062992125984" footer="0.31496062992125984"/>
  <pageSetup scale="70" orientation="landscape" verticalDpi="0" r:id="rId1"/>
  <ignoredErrors>
    <ignoredError sqref="E18 J18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344"/>
  <sheetViews>
    <sheetView topLeftCell="C298" workbookViewId="0">
      <selection activeCell="J308" sqref="J308"/>
    </sheetView>
  </sheetViews>
  <sheetFormatPr baseColWidth="10" defaultRowHeight="14.4" x14ac:dyDescent="0.3"/>
  <cols>
    <col min="2" max="2" width="22" customWidth="1"/>
    <col min="3" max="14" width="10.6640625" customWidth="1"/>
  </cols>
  <sheetData>
    <row r="1" spans="1:14" x14ac:dyDescent="0.3">
      <c r="A1" s="100" t="s">
        <v>0</v>
      </c>
      <c r="B1" s="101"/>
      <c r="C1" s="129"/>
      <c r="D1" s="129"/>
      <c r="E1" s="129"/>
      <c r="F1" s="129"/>
      <c r="G1" s="129"/>
      <c r="H1" s="130" t="s">
        <v>1</v>
      </c>
      <c r="I1" s="129"/>
      <c r="J1" s="129"/>
      <c r="K1" s="131"/>
      <c r="L1" s="60"/>
      <c r="M1" s="60"/>
      <c r="N1" s="60"/>
    </row>
    <row r="2" spans="1:14" x14ac:dyDescent="0.3">
      <c r="A2" s="102" t="s">
        <v>2</v>
      </c>
      <c r="B2" s="38"/>
      <c r="C2" s="5"/>
      <c r="D2" s="192"/>
      <c r="E2" s="192"/>
      <c r="F2" s="192"/>
      <c r="G2" s="5"/>
      <c r="H2" s="6" t="s">
        <v>969</v>
      </c>
      <c r="I2" s="5"/>
      <c r="J2" s="5"/>
      <c r="K2" s="132"/>
      <c r="L2" s="60"/>
      <c r="M2" s="60"/>
      <c r="N2" s="60"/>
    </row>
    <row r="3" spans="1:14" x14ac:dyDescent="0.3">
      <c r="A3" s="103" t="s">
        <v>3</v>
      </c>
      <c r="B3" s="42"/>
      <c r="C3" s="5"/>
      <c r="D3" s="192"/>
      <c r="E3" s="192"/>
      <c r="F3" s="192"/>
      <c r="G3" s="5"/>
      <c r="H3" s="6" t="s">
        <v>4</v>
      </c>
      <c r="I3" s="5"/>
      <c r="J3" s="5"/>
      <c r="K3" s="132"/>
      <c r="L3" s="60"/>
      <c r="M3" s="60"/>
      <c r="N3" s="60"/>
    </row>
    <row r="4" spans="1:14" x14ac:dyDescent="0.3">
      <c r="A4" s="114"/>
      <c r="B4" s="5"/>
      <c r="C4" s="5"/>
      <c r="D4" s="219" t="s">
        <v>5</v>
      </c>
      <c r="E4" s="219"/>
      <c r="F4" s="219"/>
      <c r="G4" s="219"/>
      <c r="H4" s="219"/>
      <c r="I4" s="5"/>
      <c r="J4" s="5"/>
      <c r="K4" s="132"/>
      <c r="L4" s="60"/>
      <c r="M4" s="60"/>
      <c r="N4" s="60"/>
    </row>
    <row r="5" spans="1:14" x14ac:dyDescent="0.3">
      <c r="A5" s="114"/>
      <c r="B5" s="7"/>
      <c r="C5" s="5"/>
      <c r="D5" s="6" t="s">
        <v>685</v>
      </c>
      <c r="E5" s="7"/>
      <c r="F5" s="7"/>
      <c r="G5" s="5"/>
      <c r="H5" s="5"/>
      <c r="I5" s="5"/>
      <c r="J5" s="5"/>
      <c r="K5" s="132"/>
      <c r="L5" s="60"/>
      <c r="M5" s="60"/>
      <c r="N5" s="60"/>
    </row>
    <row r="6" spans="1:14" x14ac:dyDescent="0.3">
      <c r="A6" s="114"/>
      <c r="B6" s="7"/>
      <c r="C6" s="5"/>
      <c r="D6" s="5" t="s">
        <v>6</v>
      </c>
      <c r="E6" s="7"/>
      <c r="F6" s="7"/>
      <c r="G6" s="5"/>
      <c r="H6" s="5"/>
      <c r="I6" s="5"/>
      <c r="J6" s="5"/>
      <c r="K6" s="132"/>
      <c r="L6" s="60"/>
      <c r="M6" s="60"/>
      <c r="N6" s="60"/>
    </row>
    <row r="7" spans="1:14" x14ac:dyDescent="0.3">
      <c r="A7" s="9" t="s">
        <v>7</v>
      </c>
      <c r="B7" s="8" t="s">
        <v>8</v>
      </c>
      <c r="C7" s="220" t="s">
        <v>9</v>
      </c>
      <c r="D7" s="220"/>
      <c r="E7" s="221"/>
      <c r="F7" s="222" t="s">
        <v>10</v>
      </c>
      <c r="G7" s="222"/>
      <c r="H7" s="223" t="s">
        <v>11</v>
      </c>
      <c r="I7" s="224"/>
      <c r="J7" s="224"/>
      <c r="K7" s="9" t="s">
        <v>12</v>
      </c>
      <c r="L7" s="60"/>
      <c r="M7" s="60"/>
      <c r="N7" s="60"/>
    </row>
    <row r="8" spans="1:14" x14ac:dyDescent="0.3">
      <c r="A8" s="11"/>
      <c r="B8" s="10"/>
      <c r="C8" s="10" t="s">
        <v>13</v>
      </c>
      <c r="D8" s="11" t="s">
        <v>14</v>
      </c>
      <c r="E8" s="12" t="s">
        <v>15</v>
      </c>
      <c r="F8" s="13" t="s">
        <v>16</v>
      </c>
      <c r="G8" s="13" t="s">
        <v>17</v>
      </c>
      <c r="H8" s="11" t="s">
        <v>18</v>
      </c>
      <c r="I8" s="14" t="s">
        <v>19</v>
      </c>
      <c r="J8" s="15" t="s">
        <v>20</v>
      </c>
      <c r="K8" s="16"/>
      <c r="L8" s="60"/>
      <c r="M8" s="60"/>
      <c r="N8" s="60"/>
    </row>
    <row r="9" spans="1:14" x14ac:dyDescent="0.3">
      <c r="A9" s="115">
        <v>41794</v>
      </c>
      <c r="B9" s="63" t="s">
        <v>28</v>
      </c>
      <c r="C9" s="62">
        <v>2215.12</v>
      </c>
      <c r="D9" s="64"/>
      <c r="E9" s="65">
        <f>+C9</f>
        <v>2215.12</v>
      </c>
      <c r="F9" s="17">
        <f>+H9/C9</f>
        <v>29.433859113727475</v>
      </c>
      <c r="G9" s="17"/>
      <c r="H9" s="2">
        <v>65199.53</v>
      </c>
      <c r="I9" s="66"/>
      <c r="J9" s="66">
        <f>+H9</f>
        <v>65199.53</v>
      </c>
      <c r="K9" s="126"/>
      <c r="L9" s="70"/>
      <c r="M9" s="60"/>
      <c r="N9" s="60"/>
    </row>
    <row r="10" spans="1:14" x14ac:dyDescent="0.3">
      <c r="A10" s="58">
        <v>42007</v>
      </c>
      <c r="B10" s="51" t="s">
        <v>35</v>
      </c>
      <c r="C10" s="67"/>
      <c r="D10" s="68">
        <f>(7*1+3)*1.05</f>
        <v>10.5</v>
      </c>
      <c r="E10" s="69">
        <f>+E9-D10</f>
        <v>2204.62</v>
      </c>
      <c r="F10" s="50"/>
      <c r="G10" s="17">
        <f>+J9/E9</f>
        <v>29.433859113727475</v>
      </c>
      <c r="H10" s="50"/>
      <c r="I10" s="64">
        <f>+D10*G10</f>
        <v>309.05552069413847</v>
      </c>
      <c r="J10" s="66">
        <f>+J9-I10</f>
        <v>64890.474479305863</v>
      </c>
      <c r="K10" s="67"/>
      <c r="L10" s="60"/>
      <c r="M10" s="60"/>
      <c r="N10" s="60"/>
    </row>
    <row r="11" spans="1:14" x14ac:dyDescent="0.3">
      <c r="A11" s="58">
        <v>42009</v>
      </c>
      <c r="B11" s="51" t="s">
        <v>42</v>
      </c>
      <c r="C11" s="67"/>
      <c r="D11" s="68">
        <f>(8*3.25+20*6+4*3.75+15*5.25+5*4.75)*1.05+10</f>
        <v>286.67500000000001</v>
      </c>
      <c r="E11" s="69">
        <f t="shared" ref="E11:E29" si="0">+E10-D11</f>
        <v>1917.9449999999999</v>
      </c>
      <c r="F11" s="50"/>
      <c r="G11" s="17">
        <f t="shared" ref="G11:G22" si="1">+J10/E10</f>
        <v>29.433859113727475</v>
      </c>
      <c r="H11" s="50"/>
      <c r="I11" s="64">
        <f t="shared" ref="I11:I22" si="2">+D11*G11</f>
        <v>8437.9515614278243</v>
      </c>
      <c r="J11" s="66">
        <f t="shared" ref="J11:J22" si="3">+J10-I11</f>
        <v>56452.522917878043</v>
      </c>
      <c r="K11" s="67"/>
      <c r="L11" s="60"/>
      <c r="M11" s="60"/>
      <c r="N11" s="60"/>
    </row>
    <row r="12" spans="1:14" x14ac:dyDescent="0.3">
      <c r="A12" s="58">
        <v>42009</v>
      </c>
      <c r="B12" s="51" t="s">
        <v>44</v>
      </c>
      <c r="C12" s="67"/>
      <c r="D12" s="68">
        <f>(11*5.25)*1.05</f>
        <v>60.637500000000003</v>
      </c>
      <c r="E12" s="69">
        <f t="shared" si="0"/>
        <v>1857.3074999999999</v>
      </c>
      <c r="F12" s="50"/>
      <c r="G12" s="17">
        <f t="shared" si="1"/>
        <v>29.433859113727475</v>
      </c>
      <c r="H12" s="50"/>
      <c r="I12" s="64">
        <f t="shared" si="2"/>
        <v>1784.7956320086498</v>
      </c>
      <c r="J12" s="66">
        <f t="shared" si="3"/>
        <v>54667.72728586939</v>
      </c>
      <c r="K12" s="67"/>
      <c r="L12" s="60"/>
      <c r="M12" s="60"/>
      <c r="N12" s="60"/>
    </row>
    <row r="13" spans="1:14" x14ac:dyDescent="0.3">
      <c r="A13" s="115">
        <v>42014</v>
      </c>
      <c r="B13" s="51" t="s">
        <v>70</v>
      </c>
      <c r="C13" s="17"/>
      <c r="D13" s="68">
        <f>10*6</f>
        <v>60</v>
      </c>
      <c r="E13" s="69">
        <f t="shared" si="0"/>
        <v>1797.3074999999999</v>
      </c>
      <c r="F13" s="50"/>
      <c r="G13" s="17">
        <f t="shared" si="1"/>
        <v>29.433859113727475</v>
      </c>
      <c r="H13" s="50"/>
      <c r="I13" s="64">
        <f t="shared" si="2"/>
        <v>1766.0315468236486</v>
      </c>
      <c r="J13" s="64">
        <f t="shared" si="3"/>
        <v>52901.695739045739</v>
      </c>
      <c r="K13" s="83"/>
      <c r="L13" s="90">
        <f>SUM(I10:I13)</f>
        <v>12297.834260954263</v>
      </c>
      <c r="M13" s="89"/>
      <c r="N13" s="162">
        <v>42016</v>
      </c>
    </row>
    <row r="14" spans="1:14" x14ac:dyDescent="0.3">
      <c r="A14" s="115">
        <v>42020</v>
      </c>
      <c r="B14" s="51" t="s">
        <v>78</v>
      </c>
      <c r="C14" s="17"/>
      <c r="D14" s="68">
        <f>4*5.76+2*6.1+3*5.5+3*5.4+2*4.8</f>
        <v>77.539999999999992</v>
      </c>
      <c r="E14" s="69">
        <f t="shared" si="0"/>
        <v>1719.7674999999999</v>
      </c>
      <c r="F14" s="50"/>
      <c r="G14" s="17">
        <f t="shared" si="1"/>
        <v>29.433859113727475</v>
      </c>
      <c r="H14" s="50"/>
      <c r="I14" s="64">
        <f t="shared" si="2"/>
        <v>2282.3014356784283</v>
      </c>
      <c r="J14" s="64">
        <f t="shared" si="3"/>
        <v>50619.394303367313</v>
      </c>
      <c r="K14" s="83"/>
      <c r="L14" s="90">
        <f>SUM(I14)</f>
        <v>2282.3014356784283</v>
      </c>
      <c r="M14" s="90">
        <f>SUM(L13:L14)</f>
        <v>14580.135696632691</v>
      </c>
      <c r="N14" s="162">
        <v>42035</v>
      </c>
    </row>
    <row r="15" spans="1:14" x14ac:dyDescent="0.3">
      <c r="A15" s="115">
        <v>42044</v>
      </c>
      <c r="B15" s="51" t="s">
        <v>94</v>
      </c>
      <c r="C15" s="17"/>
      <c r="D15" s="68">
        <f>(3*1)*1.05</f>
        <v>3.1500000000000004</v>
      </c>
      <c r="E15" s="69">
        <f t="shared" si="0"/>
        <v>1716.6174999999998</v>
      </c>
      <c r="F15" s="50"/>
      <c r="G15" s="17">
        <f t="shared" si="1"/>
        <v>29.433859113727475</v>
      </c>
      <c r="H15" s="50"/>
      <c r="I15" s="64">
        <f t="shared" si="2"/>
        <v>92.71665620824156</v>
      </c>
      <c r="J15" s="64">
        <f t="shared" si="3"/>
        <v>50526.677647159071</v>
      </c>
      <c r="K15" s="67"/>
      <c r="L15" s="60"/>
      <c r="M15" s="60"/>
      <c r="N15" s="60"/>
    </row>
    <row r="16" spans="1:14" x14ac:dyDescent="0.3">
      <c r="A16" s="115">
        <v>42045</v>
      </c>
      <c r="B16" s="51" t="s">
        <v>96</v>
      </c>
      <c r="C16" s="17"/>
      <c r="D16" s="68">
        <f>0.7</f>
        <v>0.7</v>
      </c>
      <c r="E16" s="69">
        <f t="shared" si="0"/>
        <v>1715.9174999999998</v>
      </c>
      <c r="F16" s="50"/>
      <c r="G16" s="17">
        <f t="shared" si="1"/>
        <v>29.433859113727475</v>
      </c>
      <c r="H16" s="50"/>
      <c r="I16" s="64">
        <f t="shared" si="2"/>
        <v>20.60370137960923</v>
      </c>
      <c r="J16" s="64">
        <f t="shared" si="3"/>
        <v>50506.073945779463</v>
      </c>
      <c r="K16" s="67"/>
      <c r="L16" s="60"/>
      <c r="M16" s="60"/>
      <c r="N16" s="60"/>
    </row>
    <row r="17" spans="1:14" x14ac:dyDescent="0.3">
      <c r="A17" s="115">
        <v>42046</v>
      </c>
      <c r="B17" s="51" t="s">
        <v>99</v>
      </c>
      <c r="C17" s="17"/>
      <c r="D17" s="68">
        <f>(6*5.5+5.25+3.75+4.5+2.75+2*2.5+2*1.75+5*1+3.25+4+5+4*1.5+4*0.5+12*4.75)*1.05+8</f>
        <v>155</v>
      </c>
      <c r="E17" s="69">
        <f t="shared" si="0"/>
        <v>1560.9174999999998</v>
      </c>
      <c r="F17" s="50"/>
      <c r="G17" s="17">
        <f t="shared" si="1"/>
        <v>29.433859113727479</v>
      </c>
      <c r="H17" s="50"/>
      <c r="I17" s="64">
        <f t="shared" si="2"/>
        <v>4562.2481626277595</v>
      </c>
      <c r="J17" s="64">
        <f t="shared" si="3"/>
        <v>45943.825783151704</v>
      </c>
      <c r="K17" s="67"/>
      <c r="L17" s="60"/>
      <c r="M17" s="60"/>
      <c r="N17" s="60"/>
    </row>
    <row r="18" spans="1:14" x14ac:dyDescent="0.3">
      <c r="A18" s="115">
        <v>42046</v>
      </c>
      <c r="B18" s="51" t="s">
        <v>100</v>
      </c>
      <c r="C18" s="17"/>
      <c r="D18" s="68">
        <v>0</v>
      </c>
      <c r="E18" s="69">
        <f t="shared" si="0"/>
        <v>1560.9174999999998</v>
      </c>
      <c r="F18" s="50"/>
      <c r="G18" s="17">
        <f t="shared" si="1"/>
        <v>29.433859113727479</v>
      </c>
      <c r="H18" s="50"/>
      <c r="I18" s="64">
        <f t="shared" si="2"/>
        <v>0</v>
      </c>
      <c r="J18" s="64">
        <f t="shared" si="3"/>
        <v>45943.825783151704</v>
      </c>
      <c r="K18" s="67"/>
      <c r="L18" s="60"/>
      <c r="M18" s="60"/>
      <c r="N18" s="60"/>
    </row>
    <row r="19" spans="1:14" x14ac:dyDescent="0.3">
      <c r="A19" s="115">
        <v>42046</v>
      </c>
      <c r="B19" s="51" t="s">
        <v>101</v>
      </c>
      <c r="C19" s="17"/>
      <c r="D19" s="68">
        <f>(23*3.5+3*2.75+5*1.75+3*2.25+4*1.5+5*1+2*3+5*0.75+2.5+4+12*2+2*1.25)*1.05+16</f>
        <v>181.9</v>
      </c>
      <c r="E19" s="69">
        <f t="shared" si="0"/>
        <v>1379.0174999999997</v>
      </c>
      <c r="F19" s="50"/>
      <c r="G19" s="17">
        <f t="shared" si="1"/>
        <v>29.433859113727479</v>
      </c>
      <c r="H19" s="50"/>
      <c r="I19" s="64">
        <f t="shared" si="2"/>
        <v>5354.0189727870284</v>
      </c>
      <c r="J19" s="64">
        <f t="shared" si="3"/>
        <v>40589.806810364673</v>
      </c>
      <c r="K19" s="67"/>
      <c r="L19" s="60"/>
      <c r="M19" s="60"/>
      <c r="N19" s="60"/>
    </row>
    <row r="20" spans="1:14" x14ac:dyDescent="0.3">
      <c r="A20" s="115">
        <v>42046</v>
      </c>
      <c r="B20" s="51" t="s">
        <v>104</v>
      </c>
      <c r="C20" s="17"/>
      <c r="D20" s="68">
        <f>(40*4.25+6*5.5+24*1.25)*1.05+13</f>
        <v>257.64999999999998</v>
      </c>
      <c r="E20" s="69">
        <f t="shared" si="0"/>
        <v>1121.3674999999998</v>
      </c>
      <c r="F20" s="50"/>
      <c r="G20" s="17">
        <f t="shared" si="1"/>
        <v>29.433859113727479</v>
      </c>
      <c r="H20" s="50"/>
      <c r="I20" s="64">
        <f t="shared" si="2"/>
        <v>7583.6338006518845</v>
      </c>
      <c r="J20" s="64">
        <f t="shared" si="3"/>
        <v>33006.173009712787</v>
      </c>
      <c r="K20" s="67"/>
      <c r="L20" s="60"/>
      <c r="M20" s="60"/>
      <c r="N20" s="60"/>
    </row>
    <row r="21" spans="1:14" x14ac:dyDescent="0.3">
      <c r="A21" s="115">
        <v>42047</v>
      </c>
      <c r="B21" s="51" t="s">
        <v>105</v>
      </c>
      <c r="C21" s="17"/>
      <c r="D21" s="68">
        <f>(42*4)*1.05+9</f>
        <v>185.4</v>
      </c>
      <c r="E21" s="69">
        <f t="shared" si="0"/>
        <v>935.96749999999986</v>
      </c>
      <c r="F21" s="50"/>
      <c r="G21" s="17">
        <f t="shared" si="1"/>
        <v>29.433859113727472</v>
      </c>
      <c r="H21" s="50"/>
      <c r="I21" s="64">
        <f t="shared" si="2"/>
        <v>5457.0374796850738</v>
      </c>
      <c r="J21" s="64">
        <f t="shared" si="3"/>
        <v>27549.135530027714</v>
      </c>
      <c r="K21" s="67"/>
      <c r="L21" s="60"/>
      <c r="M21" s="60"/>
      <c r="N21" s="60"/>
    </row>
    <row r="22" spans="1:14" x14ac:dyDescent="0.3">
      <c r="A22" s="115">
        <v>42047</v>
      </c>
      <c r="B22" s="51" t="s">
        <v>108</v>
      </c>
      <c r="C22" s="17"/>
      <c r="D22" s="68">
        <f>(15*5.25)*1.05</f>
        <v>82.6875</v>
      </c>
      <c r="E22" s="69">
        <f t="shared" si="0"/>
        <v>853.27999999999986</v>
      </c>
      <c r="F22" s="50"/>
      <c r="G22" s="17">
        <f t="shared" si="1"/>
        <v>29.433859113727472</v>
      </c>
      <c r="H22" s="50"/>
      <c r="I22" s="64">
        <f t="shared" si="2"/>
        <v>2433.8122254663404</v>
      </c>
      <c r="J22" s="64">
        <f t="shared" si="3"/>
        <v>25115.323304561374</v>
      </c>
      <c r="K22" s="67"/>
      <c r="L22" s="60"/>
      <c r="M22" s="60"/>
      <c r="N22" s="60"/>
    </row>
    <row r="23" spans="1:14" s="34" customFormat="1" x14ac:dyDescent="0.3">
      <c r="A23" s="115">
        <v>42048</v>
      </c>
      <c r="B23" s="51" t="s">
        <v>110</v>
      </c>
      <c r="C23" s="17"/>
      <c r="D23" s="68">
        <f>(6*6.5)*1.05</f>
        <v>40.950000000000003</v>
      </c>
      <c r="E23" s="69">
        <f t="shared" si="0"/>
        <v>812.32999999999981</v>
      </c>
      <c r="F23" s="50"/>
      <c r="G23" s="17">
        <f t="shared" ref="G23:G33" si="4">+J22/E22</f>
        <v>29.433859113727472</v>
      </c>
      <c r="H23" s="50"/>
      <c r="I23" s="64">
        <f t="shared" ref="I23:I33" si="5">+D23*G23</f>
        <v>1205.3165307071401</v>
      </c>
      <c r="J23" s="64">
        <f t="shared" ref="J23:J29" si="6">+J22-I23</f>
        <v>23910.006773854235</v>
      </c>
      <c r="K23" s="67"/>
      <c r="L23" s="60"/>
      <c r="M23" s="60"/>
      <c r="N23" s="60"/>
    </row>
    <row r="24" spans="1:14" s="34" customFormat="1" x14ac:dyDescent="0.3">
      <c r="A24" s="115">
        <v>42048</v>
      </c>
      <c r="B24" s="51" t="s">
        <v>111</v>
      </c>
      <c r="C24" s="17"/>
      <c r="D24" s="68">
        <f>(13*5.5+6*1.75)*1.05+1.55</f>
        <v>87.65</v>
      </c>
      <c r="E24" s="69">
        <f t="shared" si="0"/>
        <v>724.67999999999984</v>
      </c>
      <c r="F24" s="50"/>
      <c r="G24" s="17">
        <f t="shared" si="4"/>
        <v>29.433859113727475</v>
      </c>
      <c r="H24" s="50"/>
      <c r="I24" s="64">
        <f t="shared" si="5"/>
        <v>2579.8777513182135</v>
      </c>
      <c r="J24" s="64">
        <f t="shared" si="6"/>
        <v>21330.129022536021</v>
      </c>
      <c r="K24" s="67"/>
      <c r="L24" s="60"/>
      <c r="M24" s="60"/>
      <c r="N24" s="60"/>
    </row>
    <row r="25" spans="1:14" s="34" customFormat="1" x14ac:dyDescent="0.3">
      <c r="A25" s="115">
        <v>42048</v>
      </c>
      <c r="B25" s="51" t="s">
        <v>114</v>
      </c>
      <c r="C25" s="17"/>
      <c r="D25" s="68">
        <f>(14*4+4*3.75+6*3+12*2.25+5*1.25+6*1+10*1.75+8*2.5+2*3.25+8*4.25+4*5+2*4.5+5*2.75+6*2+7*0.75+5*1.5)*1.05+23</f>
        <v>310.4375</v>
      </c>
      <c r="E25" s="69">
        <f t="shared" si="0"/>
        <v>414.24249999999984</v>
      </c>
      <c r="F25" s="50"/>
      <c r="G25" s="17">
        <f t="shared" si="4"/>
        <v>29.433859113727472</v>
      </c>
      <c r="H25" s="50"/>
      <c r="I25" s="64">
        <f t="shared" si="5"/>
        <v>9137.3736386177716</v>
      </c>
      <c r="J25" s="64">
        <f t="shared" si="6"/>
        <v>12192.755383918249</v>
      </c>
      <c r="K25" s="67"/>
      <c r="L25" s="60"/>
      <c r="M25" s="60"/>
      <c r="N25" s="60"/>
    </row>
    <row r="26" spans="1:14" s="34" customFormat="1" x14ac:dyDescent="0.3">
      <c r="A26" s="115">
        <v>42049</v>
      </c>
      <c r="B26" s="51" t="s">
        <v>115</v>
      </c>
      <c r="C26" s="17"/>
      <c r="D26" s="68">
        <f>(19*5.25+4*3.5+2*2.5+2*1.5)*1.05+6</f>
        <v>133.83750000000001</v>
      </c>
      <c r="E26" s="69">
        <f t="shared" si="0"/>
        <v>280.40499999999986</v>
      </c>
      <c r="F26" s="50"/>
      <c r="G26" s="17">
        <f t="shared" si="4"/>
        <v>29.433859113727475</v>
      </c>
      <c r="H26" s="50"/>
      <c r="I26" s="64">
        <f t="shared" si="5"/>
        <v>3939.3541191335012</v>
      </c>
      <c r="J26" s="64">
        <f t="shared" si="6"/>
        <v>8253.4012647847485</v>
      </c>
      <c r="K26" s="67"/>
      <c r="L26" s="60"/>
      <c r="M26" s="60"/>
      <c r="N26" s="60"/>
    </row>
    <row r="27" spans="1:14" s="34" customFormat="1" x14ac:dyDescent="0.3">
      <c r="A27" s="115">
        <v>42049</v>
      </c>
      <c r="B27" s="51" t="s">
        <v>116</v>
      </c>
      <c r="C27" s="17"/>
      <c r="D27" s="68">
        <f>(8*1.75)*1.05</f>
        <v>14.700000000000001</v>
      </c>
      <c r="E27" s="69">
        <f t="shared" si="0"/>
        <v>265.70499999999987</v>
      </c>
      <c r="F27" s="50"/>
      <c r="G27" s="17">
        <f t="shared" si="4"/>
        <v>29.433859113727475</v>
      </c>
      <c r="H27" s="50"/>
      <c r="I27" s="64">
        <f t="shared" si="5"/>
        <v>432.6777289717939</v>
      </c>
      <c r="J27" s="64">
        <f t="shared" si="6"/>
        <v>7820.7235358129547</v>
      </c>
      <c r="K27" s="83"/>
      <c r="L27" s="90">
        <f>SUM(I15:I27)</f>
        <v>42798.670767554358</v>
      </c>
      <c r="M27" s="89"/>
      <c r="N27" s="162">
        <v>42049</v>
      </c>
    </row>
    <row r="28" spans="1:14" s="34" customFormat="1" x14ac:dyDescent="0.3">
      <c r="A28" s="115">
        <v>42061</v>
      </c>
      <c r="B28" s="51" t="s">
        <v>130</v>
      </c>
      <c r="C28" s="17"/>
      <c r="D28" s="68">
        <f>(4*0.5)*1.05</f>
        <v>2.1</v>
      </c>
      <c r="E28" s="69">
        <f t="shared" si="0"/>
        <v>263.60499999999985</v>
      </c>
      <c r="F28" s="50"/>
      <c r="G28" s="17">
        <f t="shared" si="4"/>
        <v>29.433859113727475</v>
      </c>
      <c r="H28" s="50"/>
      <c r="I28" s="64">
        <f t="shared" si="5"/>
        <v>61.811104138827702</v>
      </c>
      <c r="J28" s="64">
        <f t="shared" si="6"/>
        <v>7758.9124316741272</v>
      </c>
      <c r="K28" s="83"/>
      <c r="L28" s="90">
        <f>SUM(I28)</f>
        <v>61.811104138827702</v>
      </c>
      <c r="M28" s="90">
        <f>SUM(L27:L28)</f>
        <v>42860.481871693184</v>
      </c>
      <c r="N28" s="162">
        <v>42063</v>
      </c>
    </row>
    <row r="29" spans="1:14" s="34" customFormat="1" x14ac:dyDescent="0.3">
      <c r="A29" s="115">
        <v>42070</v>
      </c>
      <c r="B29" s="51" t="s">
        <v>146</v>
      </c>
      <c r="C29" s="17"/>
      <c r="D29" s="68">
        <f>(9*4.75+4.25)*1.05</f>
        <v>49.35</v>
      </c>
      <c r="E29" s="69">
        <f t="shared" si="0"/>
        <v>214.25499999999985</v>
      </c>
      <c r="F29" s="50"/>
      <c r="G29" s="17">
        <f t="shared" si="4"/>
        <v>29.433859113727479</v>
      </c>
      <c r="H29" s="50"/>
      <c r="I29" s="64">
        <f t="shared" si="5"/>
        <v>1452.5609472624512</v>
      </c>
      <c r="J29" s="64">
        <f t="shared" si="6"/>
        <v>6306.3514844116762</v>
      </c>
      <c r="K29" s="83"/>
      <c r="L29" s="90">
        <f>SUM(I29)</f>
        <v>1452.5609472624512</v>
      </c>
      <c r="M29" s="89"/>
      <c r="N29" s="162">
        <v>42076</v>
      </c>
    </row>
    <row r="30" spans="1:14" s="34" customFormat="1" x14ac:dyDescent="0.3">
      <c r="A30" s="115">
        <v>42089</v>
      </c>
      <c r="B30" s="51" t="s">
        <v>249</v>
      </c>
      <c r="C30" s="17">
        <v>23834.880000000001</v>
      </c>
      <c r="D30" s="68"/>
      <c r="E30" s="69">
        <f>+E29+C30</f>
        <v>24049.135000000002</v>
      </c>
      <c r="F30" s="17">
        <f>+H30/C30</f>
        <v>25.858204446592552</v>
      </c>
      <c r="G30" s="17"/>
      <c r="H30" s="50">
        <v>616327.19999999995</v>
      </c>
      <c r="I30" s="64"/>
      <c r="J30" s="64">
        <f>+J29+H30</f>
        <v>622633.55148441158</v>
      </c>
      <c r="K30" s="67"/>
      <c r="L30" s="60"/>
      <c r="M30" s="60"/>
      <c r="N30" s="60"/>
    </row>
    <row r="31" spans="1:14" s="34" customFormat="1" x14ac:dyDescent="0.3">
      <c r="A31" s="115">
        <v>42093</v>
      </c>
      <c r="B31" s="51" t="s">
        <v>174</v>
      </c>
      <c r="C31" s="17"/>
      <c r="D31" s="68">
        <f>0.5</f>
        <v>0.5</v>
      </c>
      <c r="E31" s="69">
        <f>+E30-D31</f>
        <v>24048.635000000002</v>
      </c>
      <c r="F31" s="50"/>
      <c r="G31" s="17">
        <f>+J30/E30</f>
        <v>25.890060140808039</v>
      </c>
      <c r="H31" s="50"/>
      <c r="I31" s="64">
        <f t="shared" si="5"/>
        <v>12.94503007040402</v>
      </c>
      <c r="J31" s="64">
        <f>+J30-I31</f>
        <v>622620.60645434121</v>
      </c>
      <c r="K31" s="83"/>
      <c r="L31" s="90">
        <f>SUM(I31)</f>
        <v>12.94503007040402</v>
      </c>
      <c r="M31" s="90">
        <f>SUM(L29:L31)</f>
        <v>1465.5059773328553</v>
      </c>
      <c r="N31" s="162">
        <v>42094</v>
      </c>
    </row>
    <row r="32" spans="1:14" s="34" customFormat="1" x14ac:dyDescent="0.3">
      <c r="A32" s="115">
        <v>42103</v>
      </c>
      <c r="B32" s="51" t="s">
        <v>200</v>
      </c>
      <c r="C32" s="17"/>
      <c r="D32" s="68">
        <f>(3.5)*1.05</f>
        <v>3.6750000000000003</v>
      </c>
      <c r="E32" s="69">
        <f t="shared" ref="E32:E95" si="7">+E31-D32</f>
        <v>24044.960000000003</v>
      </c>
      <c r="F32" s="50"/>
      <c r="G32" s="17">
        <f t="shared" si="4"/>
        <v>25.890060140808039</v>
      </c>
      <c r="H32" s="50"/>
      <c r="I32" s="64">
        <f t="shared" si="5"/>
        <v>95.145971017469549</v>
      </c>
      <c r="J32" s="64">
        <f t="shared" ref="J32:J94" si="8">+J31-I32</f>
        <v>622525.46048332378</v>
      </c>
      <c r="K32" s="83"/>
      <c r="L32" s="90">
        <f>SUM(I32)</f>
        <v>95.145971017469549</v>
      </c>
      <c r="M32" s="89"/>
      <c r="N32" s="162">
        <v>42103</v>
      </c>
    </row>
    <row r="33" spans="1:14" s="34" customFormat="1" x14ac:dyDescent="0.3">
      <c r="A33" s="115">
        <v>42108</v>
      </c>
      <c r="B33" s="51" t="s">
        <v>203</v>
      </c>
      <c r="C33" s="17"/>
      <c r="D33" s="68">
        <f>(11*1.5)*1.05</f>
        <v>17.324999999999999</v>
      </c>
      <c r="E33" s="69">
        <f t="shared" si="7"/>
        <v>24027.635000000002</v>
      </c>
      <c r="F33" s="50"/>
      <c r="G33" s="17">
        <f t="shared" si="4"/>
        <v>25.890060140808043</v>
      </c>
      <c r="H33" s="50"/>
      <c r="I33" s="64">
        <f t="shared" si="5"/>
        <v>448.54529193949929</v>
      </c>
      <c r="J33" s="64">
        <f t="shared" si="8"/>
        <v>622076.91519138427</v>
      </c>
      <c r="K33" s="67"/>
      <c r="L33" s="60"/>
      <c r="M33" s="60"/>
      <c r="N33" s="60"/>
    </row>
    <row r="34" spans="1:14" s="34" customFormat="1" x14ac:dyDescent="0.3">
      <c r="A34" s="115">
        <v>42110</v>
      </c>
      <c r="B34" s="51" t="s">
        <v>206</v>
      </c>
      <c r="C34" s="17"/>
      <c r="D34" s="68">
        <f>(14*6.25+14*6+4*5+12*3.5+16*2.5+6*2+4*2.25+4*1)*1.05+19</f>
        <v>332.42500000000001</v>
      </c>
      <c r="E34" s="69">
        <f t="shared" si="7"/>
        <v>23695.210000000003</v>
      </c>
      <c r="F34" s="50"/>
      <c r="G34" s="17">
        <f t="shared" ref="G34:G53" si="9">+J33/E33</f>
        <v>25.890060140808043</v>
      </c>
      <c r="H34" s="50"/>
      <c r="I34" s="64">
        <f t="shared" ref="I34:I53" si="10">+D34*G34</f>
        <v>8606.5032423081138</v>
      </c>
      <c r="J34" s="64">
        <f t="shared" si="8"/>
        <v>613470.41194907611</v>
      </c>
      <c r="K34" s="67"/>
      <c r="L34" s="60"/>
      <c r="M34" s="60"/>
      <c r="N34" s="60"/>
    </row>
    <row r="35" spans="1:14" s="34" customFormat="1" x14ac:dyDescent="0.3">
      <c r="A35" s="115">
        <v>42111</v>
      </c>
      <c r="B35" s="51" t="s">
        <v>207</v>
      </c>
      <c r="C35" s="17"/>
      <c r="D35" s="68">
        <f>(4*1+4*2+4*2.75+4*3.5+3*4.25+2*4.5+3*5.25+5*6+3*6.5+2*7+8+11*7.75)*1.05+10</f>
        <v>252.8125</v>
      </c>
      <c r="E35" s="69">
        <f t="shared" si="7"/>
        <v>23442.397500000003</v>
      </c>
      <c r="F35" s="50"/>
      <c r="G35" s="17">
        <f t="shared" si="9"/>
        <v>25.890060140808039</v>
      </c>
      <c r="H35" s="50"/>
      <c r="I35" s="64">
        <f t="shared" si="10"/>
        <v>6545.3308293480322</v>
      </c>
      <c r="J35" s="64">
        <f t="shared" si="8"/>
        <v>606925.08111972804</v>
      </c>
      <c r="K35" s="67"/>
      <c r="L35" s="60"/>
      <c r="M35" s="60"/>
      <c r="N35" s="60"/>
    </row>
    <row r="36" spans="1:14" s="34" customFormat="1" x14ac:dyDescent="0.3">
      <c r="A36" s="115">
        <v>42111</v>
      </c>
      <c r="B36" s="51" t="s">
        <v>208</v>
      </c>
      <c r="C36" s="17"/>
      <c r="D36" s="68">
        <f>(6*5.75)*1.05</f>
        <v>36.225000000000001</v>
      </c>
      <c r="E36" s="69">
        <f t="shared" si="7"/>
        <v>23406.172500000004</v>
      </c>
      <c r="F36" s="50"/>
      <c r="G36" s="17">
        <f t="shared" si="9"/>
        <v>25.890060140808036</v>
      </c>
      <c r="H36" s="50"/>
      <c r="I36" s="64">
        <f t="shared" si="10"/>
        <v>937.86742860077118</v>
      </c>
      <c r="J36" s="64">
        <f t="shared" si="8"/>
        <v>605987.21369112725</v>
      </c>
      <c r="K36" s="67"/>
      <c r="L36" s="60"/>
      <c r="M36" s="60"/>
      <c r="N36" s="60"/>
    </row>
    <row r="37" spans="1:14" s="34" customFormat="1" x14ac:dyDescent="0.3">
      <c r="A37" s="115">
        <v>42115</v>
      </c>
      <c r="B37" s="51" t="s">
        <v>216</v>
      </c>
      <c r="C37" s="17"/>
      <c r="D37" s="68">
        <f>(34*6+7+8*5)*1.05+1.5</f>
        <v>265.05</v>
      </c>
      <c r="E37" s="69">
        <f t="shared" si="7"/>
        <v>23141.122500000005</v>
      </c>
      <c r="F37" s="50"/>
      <c r="G37" s="17">
        <f t="shared" si="9"/>
        <v>25.890060140808036</v>
      </c>
      <c r="H37" s="50"/>
      <c r="I37" s="64">
        <f t="shared" si="10"/>
        <v>6862.1604403211704</v>
      </c>
      <c r="J37" s="64">
        <f t="shared" si="8"/>
        <v>599125.05325080606</v>
      </c>
      <c r="K37" s="67"/>
      <c r="L37" s="60"/>
      <c r="M37" s="60"/>
      <c r="N37" s="60"/>
    </row>
    <row r="38" spans="1:14" s="34" customFormat="1" x14ac:dyDescent="0.3">
      <c r="A38" s="115">
        <v>42115</v>
      </c>
      <c r="B38" s="51" t="s">
        <v>217</v>
      </c>
      <c r="C38" s="17"/>
      <c r="D38" s="68">
        <f>(4*2.5)*1.05</f>
        <v>10.5</v>
      </c>
      <c r="E38" s="69">
        <f t="shared" si="7"/>
        <v>23130.622500000005</v>
      </c>
      <c r="F38" s="50"/>
      <c r="G38" s="17">
        <f t="shared" si="9"/>
        <v>25.890060140808032</v>
      </c>
      <c r="H38" s="50"/>
      <c r="I38" s="64">
        <f t="shared" si="10"/>
        <v>271.84563147848434</v>
      </c>
      <c r="J38" s="64">
        <f t="shared" si="8"/>
        <v>598853.20761932759</v>
      </c>
      <c r="K38" s="67"/>
      <c r="L38" s="60"/>
      <c r="M38" s="60"/>
      <c r="N38" s="60"/>
    </row>
    <row r="39" spans="1:14" s="34" customFormat="1" x14ac:dyDescent="0.3">
      <c r="A39" s="115">
        <v>42117</v>
      </c>
      <c r="B39" s="51" t="s">
        <v>221</v>
      </c>
      <c r="C39" s="17"/>
      <c r="D39" s="68">
        <f>(14*2)*1.05</f>
        <v>29.400000000000002</v>
      </c>
      <c r="E39" s="69">
        <f t="shared" si="7"/>
        <v>23101.222500000003</v>
      </c>
      <c r="F39" s="50"/>
      <c r="G39" s="17">
        <f t="shared" si="9"/>
        <v>25.890060140808032</v>
      </c>
      <c r="H39" s="50"/>
      <c r="I39" s="64">
        <f t="shared" si="10"/>
        <v>761.16776813975616</v>
      </c>
      <c r="J39" s="64">
        <f t="shared" si="8"/>
        <v>598092.03985118784</v>
      </c>
      <c r="K39" s="67"/>
      <c r="L39" s="60"/>
      <c r="M39" s="60"/>
      <c r="N39" s="60"/>
    </row>
    <row r="40" spans="1:14" s="34" customFormat="1" x14ac:dyDescent="0.3">
      <c r="A40" s="115">
        <v>42119</v>
      </c>
      <c r="B40" s="51" t="s">
        <v>227</v>
      </c>
      <c r="C40" s="17"/>
      <c r="D40" s="68">
        <f>(6*2.75+6*2.5)*1.05</f>
        <v>33.075000000000003</v>
      </c>
      <c r="E40" s="69">
        <f t="shared" si="7"/>
        <v>23068.147500000003</v>
      </c>
      <c r="F40" s="50"/>
      <c r="G40" s="17">
        <f t="shared" si="9"/>
        <v>25.890060140808036</v>
      </c>
      <c r="H40" s="50"/>
      <c r="I40" s="64">
        <f t="shared" si="10"/>
        <v>856.31373915722588</v>
      </c>
      <c r="J40" s="64">
        <f t="shared" si="8"/>
        <v>597235.72611203056</v>
      </c>
      <c r="K40" s="67"/>
      <c r="L40" s="60"/>
      <c r="M40" s="60"/>
      <c r="N40" s="60"/>
    </row>
    <row r="41" spans="1:14" s="34" customFormat="1" x14ac:dyDescent="0.3">
      <c r="A41" s="115">
        <v>42119</v>
      </c>
      <c r="B41" s="51" t="s">
        <v>228</v>
      </c>
      <c r="C41" s="17"/>
      <c r="D41" s="68">
        <f>2</f>
        <v>2</v>
      </c>
      <c r="E41" s="69">
        <f t="shared" si="7"/>
        <v>23066.147500000003</v>
      </c>
      <c r="F41" s="50"/>
      <c r="G41" s="17">
        <f t="shared" si="9"/>
        <v>25.890060140808032</v>
      </c>
      <c r="H41" s="50"/>
      <c r="I41" s="64">
        <f t="shared" si="10"/>
        <v>51.780120281616064</v>
      </c>
      <c r="J41" s="64">
        <f t="shared" si="8"/>
        <v>597183.94599174894</v>
      </c>
      <c r="K41" s="67"/>
      <c r="L41" s="60"/>
      <c r="M41" s="60"/>
      <c r="N41" s="60"/>
    </row>
    <row r="42" spans="1:14" s="34" customFormat="1" x14ac:dyDescent="0.3">
      <c r="A42" s="115">
        <v>42123</v>
      </c>
      <c r="B42" s="51" t="s">
        <v>231</v>
      </c>
      <c r="C42" s="17"/>
      <c r="D42" s="68">
        <f>(7*6+4*5.5+2*5.25+3*5+4.75+10*4.5+4*4+2*3.75+10*3.5+5*3.25+5*3+5*2.75+9*2.5+5*2.25+7*2+5*1.75+3*1.5+47*1.25+30*1)*1.05+48</f>
        <v>460.125</v>
      </c>
      <c r="E42" s="69">
        <f t="shared" si="7"/>
        <v>22606.022500000003</v>
      </c>
      <c r="F42" s="50"/>
      <c r="G42" s="17">
        <f t="shared" si="9"/>
        <v>25.890060140808032</v>
      </c>
      <c r="H42" s="50"/>
      <c r="I42" s="64">
        <f t="shared" si="10"/>
        <v>11912.663922289295</v>
      </c>
      <c r="J42" s="64">
        <f t="shared" si="8"/>
        <v>585271.28206945967</v>
      </c>
      <c r="K42" s="67"/>
      <c r="L42" s="60"/>
      <c r="M42" s="60"/>
      <c r="N42" s="60"/>
    </row>
    <row r="43" spans="1:14" s="34" customFormat="1" x14ac:dyDescent="0.3">
      <c r="A43" s="115">
        <v>42123</v>
      </c>
      <c r="B43" s="51" t="s">
        <v>232</v>
      </c>
      <c r="C43" s="17"/>
      <c r="D43" s="68">
        <f>(3*8.5+2*8+7+6.5+2*5.5+5+4.5+3*3+2*4+2*2.5)*1.05+5</f>
        <v>107.375</v>
      </c>
      <c r="E43" s="69">
        <f t="shared" si="7"/>
        <v>22498.647500000003</v>
      </c>
      <c r="F43" s="50"/>
      <c r="G43" s="17">
        <f t="shared" si="9"/>
        <v>25.890060140808036</v>
      </c>
      <c r="H43" s="50"/>
      <c r="I43" s="64">
        <f t="shared" si="10"/>
        <v>2779.9452076192629</v>
      </c>
      <c r="J43" s="64">
        <f t="shared" si="8"/>
        <v>582491.33686184045</v>
      </c>
      <c r="K43" s="67"/>
      <c r="L43" s="60"/>
      <c r="M43" s="60"/>
      <c r="N43" s="60"/>
    </row>
    <row r="44" spans="1:14" s="34" customFormat="1" x14ac:dyDescent="0.3">
      <c r="A44" s="115">
        <v>42124</v>
      </c>
      <c r="B44" s="51" t="s">
        <v>233</v>
      </c>
      <c r="C44" s="17"/>
      <c r="D44" s="68">
        <f>(5*7+10*6+10*4+6*3.5)*1.05</f>
        <v>163.80000000000001</v>
      </c>
      <c r="E44" s="69">
        <f t="shared" si="7"/>
        <v>22334.847500000003</v>
      </c>
      <c r="F44" s="50"/>
      <c r="G44" s="17">
        <f t="shared" si="9"/>
        <v>25.890060140808036</v>
      </c>
      <c r="H44" s="50"/>
      <c r="I44" s="64">
        <f t="shared" si="10"/>
        <v>4240.7918510643567</v>
      </c>
      <c r="J44" s="64">
        <f t="shared" si="8"/>
        <v>578250.54501077614</v>
      </c>
      <c r="K44" s="67"/>
      <c r="L44" s="60"/>
      <c r="M44" s="60"/>
      <c r="N44" s="60"/>
    </row>
    <row r="45" spans="1:14" s="34" customFormat="1" x14ac:dyDescent="0.3">
      <c r="A45" s="115">
        <v>42124</v>
      </c>
      <c r="B45" s="51" t="s">
        <v>234</v>
      </c>
      <c r="C45" s="17"/>
      <c r="D45" s="68">
        <f>(5*3.5+5*4+5*4.5)*1.05+55</f>
        <v>118</v>
      </c>
      <c r="E45" s="69">
        <f t="shared" si="7"/>
        <v>22216.847500000003</v>
      </c>
      <c r="F45" s="50"/>
      <c r="G45" s="17">
        <f t="shared" si="9"/>
        <v>25.890060140808039</v>
      </c>
      <c r="H45" s="50"/>
      <c r="I45" s="64">
        <f t="shared" si="10"/>
        <v>3055.0270966153485</v>
      </c>
      <c r="J45" s="64">
        <f t="shared" si="8"/>
        <v>575195.51791416074</v>
      </c>
      <c r="K45" s="83"/>
      <c r="L45" s="90">
        <f>SUM(I33:I45)</f>
        <v>47329.942569162929</v>
      </c>
      <c r="M45" s="90">
        <f>SUM(L32:L45)</f>
        <v>47425.088540180397</v>
      </c>
      <c r="N45" s="162">
        <v>42124</v>
      </c>
    </row>
    <row r="46" spans="1:14" s="34" customFormat="1" x14ac:dyDescent="0.3">
      <c r="A46" s="115">
        <v>42132</v>
      </c>
      <c r="B46" s="51" t="s">
        <v>245</v>
      </c>
      <c r="C46" s="17"/>
      <c r="D46" s="68">
        <f>(10*5.5)*1.05</f>
        <v>57.75</v>
      </c>
      <c r="E46" s="69">
        <f t="shared" si="7"/>
        <v>22159.097500000003</v>
      </c>
      <c r="F46" s="50"/>
      <c r="G46" s="17">
        <f t="shared" si="9"/>
        <v>25.890060140808036</v>
      </c>
      <c r="H46" s="50"/>
      <c r="I46" s="64">
        <f t="shared" si="10"/>
        <v>1495.1509731316642</v>
      </c>
      <c r="J46" s="64">
        <f t="shared" si="8"/>
        <v>573700.36694102909</v>
      </c>
      <c r="K46" s="67"/>
      <c r="L46" s="60"/>
      <c r="M46" s="60"/>
      <c r="N46" s="60"/>
    </row>
    <row r="47" spans="1:14" s="34" customFormat="1" x14ac:dyDescent="0.3">
      <c r="A47" s="115">
        <v>42138</v>
      </c>
      <c r="B47" s="51" t="s">
        <v>251</v>
      </c>
      <c r="C47" s="17"/>
      <c r="D47" s="68">
        <f>6*4.25</f>
        <v>25.5</v>
      </c>
      <c r="E47" s="69">
        <f t="shared" si="7"/>
        <v>22133.597500000003</v>
      </c>
      <c r="F47" s="50"/>
      <c r="G47" s="17">
        <f t="shared" si="9"/>
        <v>25.890060140808036</v>
      </c>
      <c r="H47" s="50"/>
      <c r="I47" s="64">
        <f t="shared" si="10"/>
        <v>660.19653359060487</v>
      </c>
      <c r="J47" s="64">
        <f t="shared" si="8"/>
        <v>573040.17040743853</v>
      </c>
      <c r="K47" s="67"/>
      <c r="L47" s="60"/>
      <c r="M47" s="60"/>
      <c r="N47" s="60"/>
    </row>
    <row r="48" spans="1:14" s="34" customFormat="1" x14ac:dyDescent="0.3">
      <c r="A48" s="115">
        <v>42139</v>
      </c>
      <c r="B48" s="51" t="s">
        <v>252</v>
      </c>
      <c r="C48" s="17"/>
      <c r="D48" s="68">
        <f>+(5*5.25+17*4.75+10*4+2.5+3+2*1.75+2*1.5+2*1.25+2*0.75+2)*1.05</f>
        <v>173.25</v>
      </c>
      <c r="E48" s="69">
        <f t="shared" si="7"/>
        <v>21960.347500000003</v>
      </c>
      <c r="F48" s="50"/>
      <c r="G48" s="17">
        <f t="shared" si="9"/>
        <v>25.890060140808039</v>
      </c>
      <c r="H48" s="50"/>
      <c r="I48" s="64">
        <f t="shared" si="10"/>
        <v>4485.4529193949929</v>
      </c>
      <c r="J48" s="64">
        <f t="shared" si="8"/>
        <v>568554.71748804359</v>
      </c>
      <c r="K48" s="83"/>
      <c r="L48" s="90">
        <f>SUM(I46:I48)</f>
        <v>6640.8004261172618</v>
      </c>
      <c r="M48" s="89"/>
      <c r="N48" s="162">
        <v>42142</v>
      </c>
    </row>
    <row r="49" spans="1:14" s="34" customFormat="1" x14ac:dyDescent="0.3">
      <c r="A49" s="115">
        <v>42143</v>
      </c>
      <c r="B49" s="51" t="s">
        <v>262</v>
      </c>
      <c r="C49" s="17"/>
      <c r="D49" s="68">
        <f>(10*5.5)*1.05</f>
        <v>57.75</v>
      </c>
      <c r="E49" s="69">
        <f t="shared" si="7"/>
        <v>21902.597500000003</v>
      </c>
      <c r="F49" s="50"/>
      <c r="G49" s="17">
        <f t="shared" si="9"/>
        <v>25.890060140808039</v>
      </c>
      <c r="H49" s="50"/>
      <c r="I49" s="64">
        <f t="shared" si="10"/>
        <v>1495.1509731316642</v>
      </c>
      <c r="J49" s="64">
        <f t="shared" si="8"/>
        <v>567059.56651491194</v>
      </c>
      <c r="K49" s="67"/>
      <c r="L49" s="60"/>
      <c r="M49" s="60"/>
      <c r="N49" s="60"/>
    </row>
    <row r="50" spans="1:14" s="34" customFormat="1" x14ac:dyDescent="0.3">
      <c r="A50" s="115">
        <v>42147</v>
      </c>
      <c r="B50" s="51" t="s">
        <v>264</v>
      </c>
      <c r="C50" s="17"/>
      <c r="D50" s="68">
        <f>(8*3.5)*1.05+2</f>
        <v>31.400000000000002</v>
      </c>
      <c r="E50" s="69">
        <f t="shared" si="7"/>
        <v>21871.197500000002</v>
      </c>
      <c r="F50" s="50"/>
      <c r="G50" s="17">
        <f t="shared" si="9"/>
        <v>25.890060140808043</v>
      </c>
      <c r="H50" s="50"/>
      <c r="I50" s="64">
        <f t="shared" si="10"/>
        <v>812.94788842137257</v>
      </c>
      <c r="J50" s="64">
        <f t="shared" si="8"/>
        <v>566246.61862649058</v>
      </c>
      <c r="K50" s="67"/>
      <c r="L50" s="60"/>
      <c r="M50" s="60"/>
      <c r="N50" s="60"/>
    </row>
    <row r="51" spans="1:14" s="34" customFormat="1" x14ac:dyDescent="0.3">
      <c r="A51" s="115">
        <v>42147</v>
      </c>
      <c r="B51" s="51" t="s">
        <v>265</v>
      </c>
      <c r="C51" s="17"/>
      <c r="D51" s="68">
        <f>(11*4.25+3*2.25)*1.05</f>
        <v>56.175000000000004</v>
      </c>
      <c r="E51" s="69">
        <f t="shared" si="7"/>
        <v>21815.022500000003</v>
      </c>
      <c r="F51" s="50"/>
      <c r="G51" s="17">
        <f t="shared" si="9"/>
        <v>25.890060140808043</v>
      </c>
      <c r="H51" s="50"/>
      <c r="I51" s="64">
        <f t="shared" si="10"/>
        <v>1454.3741284098919</v>
      </c>
      <c r="J51" s="64">
        <f t="shared" si="8"/>
        <v>564792.24449808069</v>
      </c>
      <c r="K51" s="67"/>
      <c r="L51" s="60"/>
      <c r="M51" s="60"/>
      <c r="N51" s="60"/>
    </row>
    <row r="52" spans="1:14" s="34" customFormat="1" x14ac:dyDescent="0.3">
      <c r="A52" s="115">
        <v>42147</v>
      </c>
      <c r="B52" s="51" t="s">
        <v>266</v>
      </c>
      <c r="C52" s="17"/>
      <c r="D52" s="68">
        <f>(21*5)*1.05</f>
        <v>110.25</v>
      </c>
      <c r="E52" s="69">
        <f t="shared" si="7"/>
        <v>21704.772500000003</v>
      </c>
      <c r="F52" s="50"/>
      <c r="G52" s="17">
        <f t="shared" si="9"/>
        <v>25.890060140808043</v>
      </c>
      <c r="H52" s="50"/>
      <c r="I52" s="64">
        <f t="shared" si="10"/>
        <v>2854.3791305240866</v>
      </c>
      <c r="J52" s="64">
        <f t="shared" si="8"/>
        <v>561937.86536755657</v>
      </c>
      <c r="K52" s="67"/>
      <c r="L52" s="60"/>
      <c r="M52" s="60"/>
      <c r="N52" s="60"/>
    </row>
    <row r="53" spans="1:14" s="34" customFormat="1" x14ac:dyDescent="0.3">
      <c r="A53" s="115">
        <v>42149</v>
      </c>
      <c r="B53" s="51" t="s">
        <v>267</v>
      </c>
      <c r="C53" s="17"/>
      <c r="D53" s="68">
        <f>(50*2)*1.05+4</f>
        <v>109</v>
      </c>
      <c r="E53" s="69">
        <f t="shared" si="7"/>
        <v>21595.772500000003</v>
      </c>
      <c r="F53" s="50"/>
      <c r="G53" s="17">
        <f t="shared" si="9"/>
        <v>25.890060140808043</v>
      </c>
      <c r="H53" s="50"/>
      <c r="I53" s="64">
        <f t="shared" si="10"/>
        <v>2822.0165553480765</v>
      </c>
      <c r="J53" s="64">
        <f t="shared" si="8"/>
        <v>559115.84881220851</v>
      </c>
      <c r="K53" s="67"/>
      <c r="L53" s="60"/>
      <c r="M53" s="60"/>
      <c r="N53" s="60"/>
    </row>
    <row r="54" spans="1:14" s="34" customFormat="1" x14ac:dyDescent="0.3">
      <c r="A54" s="115">
        <v>42152</v>
      </c>
      <c r="B54" s="51" t="s">
        <v>268</v>
      </c>
      <c r="C54" s="17"/>
      <c r="D54" s="68">
        <f>(8*1)*1.05</f>
        <v>8.4</v>
      </c>
      <c r="E54" s="69">
        <f t="shared" si="7"/>
        <v>21587.372500000001</v>
      </c>
      <c r="F54" s="50"/>
      <c r="G54" s="17">
        <f t="shared" ref="G54:G117" si="11">+J53/E53</f>
        <v>25.890060140808043</v>
      </c>
      <c r="H54" s="50"/>
      <c r="I54" s="64">
        <f t="shared" ref="I54:I94" si="12">+D54*G54</f>
        <v>217.47650518278758</v>
      </c>
      <c r="J54" s="64">
        <f t="shared" si="8"/>
        <v>558898.37230702571</v>
      </c>
      <c r="K54" s="67"/>
      <c r="L54" s="60"/>
      <c r="M54" s="60"/>
      <c r="N54" s="60"/>
    </row>
    <row r="55" spans="1:14" s="34" customFormat="1" x14ac:dyDescent="0.3">
      <c r="A55" s="115">
        <v>42153</v>
      </c>
      <c r="B55" s="51" t="s">
        <v>269</v>
      </c>
      <c r="C55" s="17"/>
      <c r="D55" s="68">
        <v>0</v>
      </c>
      <c r="E55" s="69">
        <f t="shared" si="7"/>
        <v>21587.372500000001</v>
      </c>
      <c r="F55" s="50"/>
      <c r="G55" s="17">
        <f t="shared" si="11"/>
        <v>25.890060140808043</v>
      </c>
      <c r="H55" s="50"/>
      <c r="I55" s="64">
        <f t="shared" si="12"/>
        <v>0</v>
      </c>
      <c r="J55" s="64">
        <f t="shared" si="8"/>
        <v>558898.37230702571</v>
      </c>
      <c r="K55" s="67"/>
      <c r="L55" s="60"/>
      <c r="M55" s="60"/>
      <c r="N55" s="60"/>
    </row>
    <row r="56" spans="1:14" s="34" customFormat="1" x14ac:dyDescent="0.3">
      <c r="A56" s="115">
        <v>42153</v>
      </c>
      <c r="B56" s="51" t="s">
        <v>270</v>
      </c>
      <c r="C56" s="17"/>
      <c r="D56" s="68">
        <f>(10*5+3*4.25+3*3.75+4*4+5*3.25+4*3+11*1.75+2*1+3*4.75+7*2.5+5*1.5+3.5+6*5.25+5*6.25+3*5.5+2*2.25+1.25+6+4*4.5)*1.05+20</f>
        <v>325.8125</v>
      </c>
      <c r="E56" s="69">
        <f t="shared" si="7"/>
        <v>21261.56</v>
      </c>
      <c r="F56" s="50"/>
      <c r="G56" s="17">
        <f t="shared" si="11"/>
        <v>25.890060140808043</v>
      </c>
      <c r="H56" s="50"/>
      <c r="I56" s="64">
        <f t="shared" si="12"/>
        <v>8435.3052196270201</v>
      </c>
      <c r="J56" s="64">
        <f t="shared" si="8"/>
        <v>550463.06708739873</v>
      </c>
      <c r="K56" s="83"/>
      <c r="L56" s="90">
        <f>SUM(I49:I56)</f>
        <v>18091.650400644899</v>
      </c>
      <c r="M56" s="90">
        <f>SUM(L48:L56)</f>
        <v>24732.45082676216</v>
      </c>
      <c r="N56" s="162">
        <v>42155</v>
      </c>
    </row>
    <row r="57" spans="1:14" s="34" customFormat="1" x14ac:dyDescent="0.3">
      <c r="A57" s="115">
        <v>42157</v>
      </c>
      <c r="B57" s="51" t="s">
        <v>272</v>
      </c>
      <c r="C57" s="17"/>
      <c r="D57" s="68">
        <f>(33*5.5+7*1.5)*1.05+1</f>
        <v>202.60000000000002</v>
      </c>
      <c r="E57" s="69">
        <f t="shared" si="7"/>
        <v>21058.960000000003</v>
      </c>
      <c r="F57" s="50"/>
      <c r="G57" s="17">
        <f t="shared" si="11"/>
        <v>25.890060140808046</v>
      </c>
      <c r="H57" s="50"/>
      <c r="I57" s="64">
        <f t="shared" si="12"/>
        <v>5245.3261845277111</v>
      </c>
      <c r="J57" s="64">
        <f t="shared" si="8"/>
        <v>545217.74090287101</v>
      </c>
      <c r="K57" s="67"/>
      <c r="L57" s="60"/>
      <c r="M57" s="60"/>
      <c r="N57" s="60"/>
    </row>
    <row r="58" spans="1:14" s="34" customFormat="1" x14ac:dyDescent="0.3">
      <c r="A58" s="115">
        <v>42160</v>
      </c>
      <c r="B58" s="51" t="s">
        <v>276</v>
      </c>
      <c r="C58" s="17"/>
      <c r="D58" s="68">
        <f>(4*3.5+6*4)*1.05</f>
        <v>39.9</v>
      </c>
      <c r="E58" s="69">
        <f t="shared" si="7"/>
        <v>21019.06</v>
      </c>
      <c r="F58" s="50"/>
      <c r="G58" s="17">
        <f t="shared" si="11"/>
        <v>25.890060140808043</v>
      </c>
      <c r="H58" s="50"/>
      <c r="I58" s="64">
        <f t="shared" si="12"/>
        <v>1033.0133996182408</v>
      </c>
      <c r="J58" s="64">
        <f t="shared" si="8"/>
        <v>544184.7275032528</v>
      </c>
      <c r="K58" s="67"/>
      <c r="L58" s="60"/>
      <c r="M58" s="60"/>
      <c r="N58" s="60"/>
    </row>
    <row r="59" spans="1:14" s="34" customFormat="1" x14ac:dyDescent="0.3">
      <c r="A59" s="115">
        <v>42161</v>
      </c>
      <c r="B59" s="51" t="s">
        <v>278</v>
      </c>
      <c r="C59" s="17"/>
      <c r="D59" s="68">
        <f>(10*5.25+7*4.75+7*5)*1.05</f>
        <v>126.78750000000001</v>
      </c>
      <c r="E59" s="69">
        <f t="shared" si="7"/>
        <v>20892.272500000003</v>
      </c>
      <c r="F59" s="50"/>
      <c r="G59" s="17">
        <f t="shared" si="11"/>
        <v>25.890060140808046</v>
      </c>
      <c r="H59" s="50"/>
      <c r="I59" s="64">
        <f t="shared" si="12"/>
        <v>3282.5360001027002</v>
      </c>
      <c r="J59" s="64">
        <f t="shared" si="8"/>
        <v>540902.19150315016</v>
      </c>
      <c r="K59" s="67"/>
      <c r="L59" s="60"/>
      <c r="M59" s="60"/>
      <c r="N59" s="60"/>
    </row>
    <row r="60" spans="1:14" s="34" customFormat="1" x14ac:dyDescent="0.3">
      <c r="A60" s="115">
        <v>42163</v>
      </c>
      <c r="B60" s="51" t="s">
        <v>279</v>
      </c>
      <c r="C60" s="17"/>
      <c r="D60" s="68">
        <f>(11*2.5+7*2)*1.05</f>
        <v>43.575000000000003</v>
      </c>
      <c r="E60" s="69">
        <f t="shared" si="7"/>
        <v>20848.697500000002</v>
      </c>
      <c r="F60" s="50"/>
      <c r="G60" s="17">
        <f t="shared" si="11"/>
        <v>25.890060140808046</v>
      </c>
      <c r="H60" s="50"/>
      <c r="I60" s="64">
        <f t="shared" si="12"/>
        <v>1128.1593706357107</v>
      </c>
      <c r="J60" s="64">
        <f t="shared" si="8"/>
        <v>539774.0321325144</v>
      </c>
      <c r="K60" s="67"/>
      <c r="L60" s="60"/>
      <c r="M60" s="60"/>
      <c r="N60" s="60"/>
    </row>
    <row r="61" spans="1:14" s="34" customFormat="1" x14ac:dyDescent="0.3">
      <c r="A61" s="115">
        <v>42163</v>
      </c>
      <c r="B61" s="51" t="s">
        <v>280</v>
      </c>
      <c r="C61" s="17"/>
      <c r="D61" s="68">
        <f>(2*2.6)*1.05</f>
        <v>5.4600000000000009</v>
      </c>
      <c r="E61" s="69">
        <f t="shared" si="7"/>
        <v>20843.237500000003</v>
      </c>
      <c r="F61" s="50"/>
      <c r="G61" s="17">
        <f t="shared" si="11"/>
        <v>25.890060140808046</v>
      </c>
      <c r="H61" s="50"/>
      <c r="I61" s="64">
        <f t="shared" si="12"/>
        <v>141.35972836881194</v>
      </c>
      <c r="J61" s="64">
        <f t="shared" si="8"/>
        <v>539632.67240414559</v>
      </c>
      <c r="K61" s="67"/>
      <c r="L61" s="60"/>
      <c r="M61" s="60"/>
      <c r="N61" s="60"/>
    </row>
    <row r="62" spans="1:14" s="34" customFormat="1" x14ac:dyDescent="0.3">
      <c r="A62" s="115">
        <v>42165</v>
      </c>
      <c r="B62" s="51" t="s">
        <v>286</v>
      </c>
      <c r="C62" s="17"/>
      <c r="D62" s="68">
        <f>(32*5)*1.05+7</f>
        <v>175</v>
      </c>
      <c r="E62" s="69">
        <f t="shared" si="7"/>
        <v>20668.237500000003</v>
      </c>
      <c r="F62" s="50"/>
      <c r="G62" s="17">
        <f t="shared" si="11"/>
        <v>25.890060140808046</v>
      </c>
      <c r="H62" s="50"/>
      <c r="I62" s="64">
        <f t="shared" si="12"/>
        <v>4530.7605246414078</v>
      </c>
      <c r="J62" s="64">
        <f t="shared" si="8"/>
        <v>535101.91187950422</v>
      </c>
      <c r="K62" s="67"/>
      <c r="L62" s="60"/>
      <c r="M62" s="60"/>
      <c r="N62" s="60"/>
    </row>
    <row r="63" spans="1:14" s="34" customFormat="1" x14ac:dyDescent="0.3">
      <c r="A63" s="115">
        <v>42166</v>
      </c>
      <c r="B63" s="51" t="s">
        <v>290</v>
      </c>
      <c r="C63" s="17"/>
      <c r="D63" s="68">
        <f>(6*5.75)*1.05</f>
        <v>36.225000000000001</v>
      </c>
      <c r="E63" s="69">
        <f t="shared" si="7"/>
        <v>20632.012500000004</v>
      </c>
      <c r="F63" s="50"/>
      <c r="G63" s="17">
        <f t="shared" si="11"/>
        <v>25.890060140808046</v>
      </c>
      <c r="H63" s="50"/>
      <c r="I63" s="64">
        <f t="shared" si="12"/>
        <v>937.86742860077152</v>
      </c>
      <c r="J63" s="64">
        <f t="shared" si="8"/>
        <v>534164.04445090343</v>
      </c>
      <c r="K63" s="67"/>
      <c r="L63" s="60"/>
      <c r="M63" s="60"/>
      <c r="N63" s="60"/>
    </row>
    <row r="64" spans="1:14" s="34" customFormat="1" x14ac:dyDescent="0.3">
      <c r="A64" s="115">
        <v>42167</v>
      </c>
      <c r="B64" s="51" t="s">
        <v>291</v>
      </c>
      <c r="C64" s="17"/>
      <c r="D64" s="68">
        <f>(9*4.75)*1.05</f>
        <v>44.887500000000003</v>
      </c>
      <c r="E64" s="69">
        <f t="shared" si="7"/>
        <v>20587.125000000004</v>
      </c>
      <c r="F64" s="50"/>
      <c r="G64" s="17">
        <f t="shared" si="11"/>
        <v>25.890060140808043</v>
      </c>
      <c r="H64" s="50"/>
      <c r="I64" s="64">
        <f t="shared" si="12"/>
        <v>1162.1400745705212</v>
      </c>
      <c r="J64" s="64">
        <f t="shared" si="8"/>
        <v>533001.90437633288</v>
      </c>
      <c r="K64" s="67"/>
      <c r="L64" s="60"/>
      <c r="M64" s="60"/>
      <c r="N64" s="60"/>
    </row>
    <row r="65" spans="1:14" s="34" customFormat="1" x14ac:dyDescent="0.3">
      <c r="A65" s="115">
        <v>42167</v>
      </c>
      <c r="B65" s="51" t="s">
        <v>292</v>
      </c>
      <c r="C65" s="17"/>
      <c r="D65" s="68">
        <f>(9*1.75+3*2.5+3*3.25+4*4+7*4.75+3*5.5+2*5.75+3*4.5+4*3+4*2.25+5*1.5+4*0.75+4*1+9*2.75+2*3.75+6+5+8*4.25+3*3.5+3*1.25)*1.05</f>
        <v>263.28750000000002</v>
      </c>
      <c r="E65" s="69">
        <f t="shared" si="7"/>
        <v>20323.837500000005</v>
      </c>
      <c r="F65" s="50"/>
      <c r="G65" s="17">
        <f t="shared" si="11"/>
        <v>25.890060140808043</v>
      </c>
      <c r="H65" s="50"/>
      <c r="I65" s="64">
        <f t="shared" si="12"/>
        <v>6816.5292093229982</v>
      </c>
      <c r="J65" s="64">
        <f t="shared" si="8"/>
        <v>526185.37516700989</v>
      </c>
      <c r="K65" s="67"/>
      <c r="L65" s="60"/>
      <c r="M65" s="60"/>
      <c r="N65" s="60"/>
    </row>
    <row r="66" spans="1:14" s="34" customFormat="1" x14ac:dyDescent="0.3">
      <c r="A66" s="115">
        <v>42167</v>
      </c>
      <c r="B66" s="51" t="s">
        <v>293</v>
      </c>
      <c r="C66" s="17"/>
      <c r="D66" s="68">
        <f>(0.5+2)*1.05+25</f>
        <v>27.625</v>
      </c>
      <c r="E66" s="69">
        <f t="shared" si="7"/>
        <v>20296.212500000005</v>
      </c>
      <c r="F66" s="50"/>
      <c r="G66" s="17">
        <f t="shared" si="11"/>
        <v>25.890060140808043</v>
      </c>
      <c r="H66" s="50"/>
      <c r="I66" s="64">
        <f t="shared" si="12"/>
        <v>715.21291138982212</v>
      </c>
      <c r="J66" s="64">
        <f t="shared" si="8"/>
        <v>525470.16225562012</v>
      </c>
      <c r="K66" s="67"/>
      <c r="L66" s="60"/>
      <c r="M66" s="60"/>
      <c r="N66" s="60"/>
    </row>
    <row r="67" spans="1:14" s="34" customFormat="1" x14ac:dyDescent="0.3">
      <c r="A67" s="115">
        <v>42168</v>
      </c>
      <c r="B67" s="51" t="s">
        <v>299</v>
      </c>
      <c r="C67" s="17"/>
      <c r="D67" s="68">
        <f>(30*3+5*2+4*1.5+2*1)*1.05+8</f>
        <v>121.4</v>
      </c>
      <c r="E67" s="69">
        <f t="shared" si="7"/>
        <v>20174.812500000004</v>
      </c>
      <c r="F67" s="50"/>
      <c r="G67" s="17">
        <f t="shared" si="11"/>
        <v>25.890060140808043</v>
      </c>
      <c r="H67" s="50"/>
      <c r="I67" s="64">
        <f t="shared" si="12"/>
        <v>3143.0533010940967</v>
      </c>
      <c r="J67" s="64">
        <f t="shared" si="8"/>
        <v>522327.10895452602</v>
      </c>
      <c r="K67" s="67"/>
      <c r="L67" s="60"/>
      <c r="M67" s="60"/>
      <c r="N67" s="60"/>
    </row>
    <row r="68" spans="1:14" s="34" customFormat="1" x14ac:dyDescent="0.3">
      <c r="A68" s="115">
        <v>42170</v>
      </c>
      <c r="B68" s="51" t="s">
        <v>300</v>
      </c>
      <c r="C68" s="17"/>
      <c r="D68" s="68">
        <f>(5*4.5)*1.05</f>
        <v>23.625</v>
      </c>
      <c r="E68" s="69">
        <f t="shared" si="7"/>
        <v>20151.187500000004</v>
      </c>
      <c r="F68" s="50"/>
      <c r="G68" s="17">
        <f t="shared" si="11"/>
        <v>25.890060140808046</v>
      </c>
      <c r="H68" s="50"/>
      <c r="I68" s="64">
        <f t="shared" si="12"/>
        <v>611.65267082659011</v>
      </c>
      <c r="J68" s="64">
        <f t="shared" si="8"/>
        <v>521715.45628369943</v>
      </c>
      <c r="K68" s="67"/>
      <c r="L68" s="60"/>
      <c r="M68" s="60"/>
      <c r="N68" s="60"/>
    </row>
    <row r="69" spans="1:14" s="34" customFormat="1" x14ac:dyDescent="0.3">
      <c r="A69" s="115">
        <v>42170</v>
      </c>
      <c r="B69" s="51" t="s">
        <v>301</v>
      </c>
      <c r="C69" s="17"/>
      <c r="D69" s="68">
        <f>(12*1)*1.05+3</f>
        <v>15.600000000000001</v>
      </c>
      <c r="E69" s="69">
        <f t="shared" si="7"/>
        <v>20135.587500000005</v>
      </c>
      <c r="F69" s="50"/>
      <c r="G69" s="17">
        <f t="shared" si="11"/>
        <v>25.890060140808046</v>
      </c>
      <c r="H69" s="50"/>
      <c r="I69" s="64">
        <f t="shared" si="12"/>
        <v>403.88493819660556</v>
      </c>
      <c r="J69" s="64">
        <f t="shared" si="8"/>
        <v>521311.5713455028</v>
      </c>
      <c r="K69" s="67"/>
      <c r="L69" s="60"/>
      <c r="M69" s="60"/>
      <c r="N69" s="60"/>
    </row>
    <row r="70" spans="1:14" s="34" customFormat="1" x14ac:dyDescent="0.3">
      <c r="A70" s="115">
        <v>42171</v>
      </c>
      <c r="B70" s="51" t="s">
        <v>302</v>
      </c>
      <c r="C70" s="17"/>
      <c r="D70" s="68">
        <f>(2*1.25+2*0.75)*1.05</f>
        <v>4.2</v>
      </c>
      <c r="E70" s="69">
        <f t="shared" si="7"/>
        <v>20131.387500000004</v>
      </c>
      <c r="F70" s="50"/>
      <c r="G70" s="17">
        <f t="shared" si="11"/>
        <v>25.890060140808043</v>
      </c>
      <c r="H70" s="50"/>
      <c r="I70" s="64">
        <f t="shared" si="12"/>
        <v>108.73825259139379</v>
      </c>
      <c r="J70" s="64">
        <f t="shared" si="8"/>
        <v>521202.8330929114</v>
      </c>
      <c r="K70" s="67"/>
      <c r="L70" s="60"/>
      <c r="M70" s="60"/>
      <c r="N70" s="60"/>
    </row>
    <row r="71" spans="1:14" s="34" customFormat="1" x14ac:dyDescent="0.3">
      <c r="A71" s="115">
        <v>42173</v>
      </c>
      <c r="B71" s="51" t="s">
        <v>309</v>
      </c>
      <c r="C71" s="17"/>
      <c r="D71" s="68">
        <f>(6*5.75+5*4.5+6*5.5+4+3.25+2.75+2.25+1.75+0.75+4.25+3.5+2.5+1)*1.05</f>
        <v>121.80000000000001</v>
      </c>
      <c r="E71" s="69">
        <f t="shared" si="7"/>
        <v>20009.587500000005</v>
      </c>
      <c r="F71" s="50"/>
      <c r="G71" s="17">
        <f t="shared" si="11"/>
        <v>25.890060140808043</v>
      </c>
      <c r="H71" s="50"/>
      <c r="I71" s="64">
        <f t="shared" si="12"/>
        <v>3153.40932515042</v>
      </c>
      <c r="J71" s="64">
        <f t="shared" si="8"/>
        <v>518049.42376776098</v>
      </c>
      <c r="K71" s="83"/>
      <c r="L71" s="90">
        <f>SUM(I57:I71)</f>
        <v>32413.643319637802</v>
      </c>
      <c r="M71" s="89"/>
      <c r="N71" s="162">
        <v>42173</v>
      </c>
    </row>
    <row r="72" spans="1:14" s="34" customFormat="1" x14ac:dyDescent="0.3">
      <c r="A72" s="115">
        <v>42174</v>
      </c>
      <c r="B72" s="51" t="s">
        <v>313</v>
      </c>
      <c r="C72" s="17"/>
      <c r="D72" s="68">
        <f>(13*3.5+2*3.25)*1.05</f>
        <v>54.6</v>
      </c>
      <c r="E72" s="69">
        <f t="shared" si="7"/>
        <v>19954.987500000007</v>
      </c>
      <c r="F72" s="50"/>
      <c r="G72" s="17">
        <f t="shared" si="11"/>
        <v>25.890060140808043</v>
      </c>
      <c r="H72" s="50"/>
      <c r="I72" s="64">
        <f t="shared" si="12"/>
        <v>1413.5972836881192</v>
      </c>
      <c r="J72" s="64">
        <f t="shared" si="8"/>
        <v>516635.82648407284</v>
      </c>
      <c r="K72" s="67"/>
      <c r="L72" s="60"/>
      <c r="M72" s="60"/>
      <c r="N72" s="60"/>
    </row>
    <row r="73" spans="1:14" s="34" customFormat="1" x14ac:dyDescent="0.3">
      <c r="A73" s="115">
        <v>42174</v>
      </c>
      <c r="B73" s="51" t="s">
        <v>314</v>
      </c>
      <c r="C73" s="17"/>
      <c r="D73" s="68">
        <f>(18*2.25)*1.05</f>
        <v>42.524999999999999</v>
      </c>
      <c r="E73" s="69">
        <f t="shared" si="7"/>
        <v>19912.462500000005</v>
      </c>
      <c r="F73" s="50"/>
      <c r="G73" s="17">
        <f t="shared" si="11"/>
        <v>25.890060140808039</v>
      </c>
      <c r="H73" s="50"/>
      <c r="I73" s="64">
        <f t="shared" si="12"/>
        <v>1100.9748074878619</v>
      </c>
      <c r="J73" s="64">
        <f t="shared" si="8"/>
        <v>515534.85167658498</v>
      </c>
      <c r="K73" s="67"/>
      <c r="L73" s="60"/>
      <c r="M73" s="60"/>
      <c r="N73" s="60"/>
    </row>
    <row r="74" spans="1:14" s="34" customFormat="1" x14ac:dyDescent="0.3">
      <c r="A74" s="115">
        <v>42177</v>
      </c>
      <c r="B74" s="51" t="s">
        <v>315</v>
      </c>
      <c r="C74" s="17"/>
      <c r="D74" s="68">
        <f>(16*2)*1.05</f>
        <v>33.6</v>
      </c>
      <c r="E74" s="69">
        <f t="shared" si="7"/>
        <v>19878.862500000007</v>
      </c>
      <c r="F74" s="50"/>
      <c r="G74" s="17">
        <f t="shared" si="11"/>
        <v>25.890060140808043</v>
      </c>
      <c r="H74" s="50"/>
      <c r="I74" s="64">
        <f t="shared" si="12"/>
        <v>869.90602073115031</v>
      </c>
      <c r="J74" s="64">
        <f t="shared" si="8"/>
        <v>514664.94565585384</v>
      </c>
      <c r="K74" s="67"/>
      <c r="L74" s="60"/>
      <c r="M74" s="60"/>
      <c r="N74" s="60"/>
    </row>
    <row r="75" spans="1:14" s="34" customFormat="1" x14ac:dyDescent="0.3">
      <c r="A75" s="115">
        <v>42177</v>
      </c>
      <c r="B75" s="51" t="s">
        <v>316</v>
      </c>
      <c r="C75" s="17"/>
      <c r="D75" s="68">
        <f>4</f>
        <v>4</v>
      </c>
      <c r="E75" s="69">
        <f t="shared" si="7"/>
        <v>19874.862500000007</v>
      </c>
      <c r="F75" s="50"/>
      <c r="G75" s="17">
        <f t="shared" si="11"/>
        <v>25.890060140808039</v>
      </c>
      <c r="H75" s="50"/>
      <c r="I75" s="64">
        <f t="shared" si="12"/>
        <v>103.56024056323216</v>
      </c>
      <c r="J75" s="64">
        <f t="shared" si="8"/>
        <v>514561.3854152906</v>
      </c>
      <c r="K75" s="67"/>
      <c r="L75" s="60"/>
      <c r="M75" s="60"/>
      <c r="N75" s="60"/>
    </row>
    <row r="76" spans="1:14" s="34" customFormat="1" x14ac:dyDescent="0.3">
      <c r="A76" s="115">
        <v>42178</v>
      </c>
      <c r="B76" s="51" t="s">
        <v>317</v>
      </c>
      <c r="C76" s="17"/>
      <c r="D76" s="68">
        <f>(10*3)*1.05+2</f>
        <v>33.5</v>
      </c>
      <c r="E76" s="69">
        <f t="shared" si="7"/>
        <v>19841.362500000007</v>
      </c>
      <c r="F76" s="50"/>
      <c r="G76" s="17">
        <f t="shared" si="11"/>
        <v>25.890060140808039</v>
      </c>
      <c r="H76" s="50"/>
      <c r="I76" s="64">
        <f t="shared" si="12"/>
        <v>867.31701471706936</v>
      </c>
      <c r="J76" s="64">
        <f t="shared" si="8"/>
        <v>513694.06840057351</v>
      </c>
      <c r="K76" s="67"/>
      <c r="L76" s="60"/>
      <c r="M76" s="60"/>
      <c r="N76" s="60"/>
    </row>
    <row r="77" spans="1:14" s="34" customFormat="1" x14ac:dyDescent="0.3">
      <c r="A77" s="115">
        <v>42178</v>
      </c>
      <c r="B77" s="51" t="s">
        <v>318</v>
      </c>
      <c r="C77" s="17"/>
      <c r="D77" s="68">
        <f>+(1*2+2*3+3*4+4.75+2*5.75+1.25+2*2.25+3.25+4.5+5.5+2*5+3.5+1.5+3.75+2.5)*1.05</f>
        <v>80.325000000000003</v>
      </c>
      <c r="E77" s="69">
        <f t="shared" si="7"/>
        <v>19761.037500000006</v>
      </c>
      <c r="F77" s="50"/>
      <c r="G77" s="17">
        <f t="shared" si="11"/>
        <v>25.890060140808039</v>
      </c>
      <c r="H77" s="50"/>
      <c r="I77" s="64">
        <f t="shared" si="12"/>
        <v>2079.6190808104056</v>
      </c>
      <c r="J77" s="64">
        <f t="shared" si="8"/>
        <v>511614.44931976311</v>
      </c>
      <c r="K77" s="67"/>
      <c r="L77" s="60"/>
      <c r="M77" s="60"/>
      <c r="N77" s="60"/>
    </row>
    <row r="78" spans="1:14" s="34" customFormat="1" x14ac:dyDescent="0.3">
      <c r="A78" s="115">
        <v>42178</v>
      </c>
      <c r="B78" s="51" t="s">
        <v>319</v>
      </c>
      <c r="C78" s="17"/>
      <c r="D78" s="68">
        <f>+(11*5+6*6)*1.05</f>
        <v>95.55</v>
      </c>
      <c r="E78" s="69">
        <f t="shared" si="7"/>
        <v>19665.487500000007</v>
      </c>
      <c r="F78" s="50"/>
      <c r="G78" s="17">
        <f t="shared" si="11"/>
        <v>25.890060140808039</v>
      </c>
      <c r="H78" s="50"/>
      <c r="I78" s="64">
        <f t="shared" si="12"/>
        <v>2473.7952464542082</v>
      </c>
      <c r="J78" s="64">
        <f t="shared" si="8"/>
        <v>509140.65407330892</v>
      </c>
      <c r="K78" s="67"/>
      <c r="L78" s="60"/>
      <c r="M78" s="60"/>
      <c r="N78" s="60"/>
    </row>
    <row r="79" spans="1:14" s="34" customFormat="1" x14ac:dyDescent="0.3">
      <c r="A79" s="115">
        <v>42178</v>
      </c>
      <c r="B79" s="51" t="s">
        <v>320</v>
      </c>
      <c r="C79" s="17"/>
      <c r="D79" s="68">
        <f>4</f>
        <v>4</v>
      </c>
      <c r="E79" s="69">
        <f t="shared" si="7"/>
        <v>19661.487500000007</v>
      </c>
      <c r="F79" s="50"/>
      <c r="G79" s="17">
        <f t="shared" si="11"/>
        <v>25.890060140808039</v>
      </c>
      <c r="H79" s="50"/>
      <c r="I79" s="64">
        <f t="shared" si="12"/>
        <v>103.56024056323216</v>
      </c>
      <c r="J79" s="64">
        <f t="shared" si="8"/>
        <v>509037.09383274568</v>
      </c>
      <c r="K79" s="67"/>
      <c r="L79" s="60"/>
      <c r="M79" s="60"/>
      <c r="N79" s="60"/>
    </row>
    <row r="80" spans="1:14" s="34" customFormat="1" x14ac:dyDescent="0.3">
      <c r="A80" s="115">
        <v>42178</v>
      </c>
      <c r="B80" s="51" t="s">
        <v>321</v>
      </c>
      <c r="C80" s="17"/>
      <c r="D80" s="68">
        <f>3*1.05</f>
        <v>3.1500000000000004</v>
      </c>
      <c r="E80" s="69">
        <f t="shared" si="7"/>
        <v>19658.337500000005</v>
      </c>
      <c r="F80" s="50"/>
      <c r="G80" s="17">
        <f t="shared" si="11"/>
        <v>25.890060140808039</v>
      </c>
      <c r="H80" s="50"/>
      <c r="I80" s="64">
        <f t="shared" si="12"/>
        <v>81.553689443545338</v>
      </c>
      <c r="J80" s="64">
        <f t="shared" si="8"/>
        <v>508955.54014330212</v>
      </c>
      <c r="K80" s="67"/>
      <c r="L80" s="60"/>
      <c r="M80" s="60"/>
      <c r="N80" s="60"/>
    </row>
    <row r="81" spans="1:14" s="34" customFormat="1" x14ac:dyDescent="0.3">
      <c r="A81" s="115">
        <v>42181</v>
      </c>
      <c r="B81" s="51" t="s">
        <v>323</v>
      </c>
      <c r="C81" s="17"/>
      <c r="D81" s="68">
        <f>+(7*2.5)*1.05</f>
        <v>18.375</v>
      </c>
      <c r="E81" s="69">
        <f t="shared" si="7"/>
        <v>19639.962500000005</v>
      </c>
      <c r="F81" s="50"/>
      <c r="G81" s="17">
        <f t="shared" si="11"/>
        <v>25.890060140808039</v>
      </c>
      <c r="H81" s="50"/>
      <c r="I81" s="64">
        <f t="shared" si="12"/>
        <v>475.72985508734774</v>
      </c>
      <c r="J81" s="64">
        <f t="shared" si="8"/>
        <v>508479.81028821477</v>
      </c>
      <c r="K81" s="67"/>
      <c r="L81" s="60"/>
      <c r="M81" s="60"/>
      <c r="N81" s="60"/>
    </row>
    <row r="82" spans="1:14" s="34" customFormat="1" x14ac:dyDescent="0.3">
      <c r="A82" s="115">
        <v>42179</v>
      </c>
      <c r="B82" s="51" t="s">
        <v>325</v>
      </c>
      <c r="C82" s="17"/>
      <c r="D82" s="92">
        <f>+(7.5+2*7+6*6.5+5.5+5+1)</f>
        <v>72</v>
      </c>
      <c r="E82" s="69">
        <f t="shared" si="7"/>
        <v>19567.962500000005</v>
      </c>
      <c r="F82" s="50"/>
      <c r="G82" s="17">
        <f t="shared" si="11"/>
        <v>25.890060140808039</v>
      </c>
      <c r="H82" s="50"/>
      <c r="I82" s="64">
        <f t="shared" si="12"/>
        <v>1864.0843301381788</v>
      </c>
      <c r="J82" s="64">
        <f t="shared" si="8"/>
        <v>506615.7259580766</v>
      </c>
      <c r="K82" s="67"/>
      <c r="L82" s="60"/>
      <c r="M82" s="60"/>
      <c r="N82" s="60"/>
    </row>
    <row r="83" spans="1:14" s="34" customFormat="1" x14ac:dyDescent="0.3">
      <c r="A83" s="115">
        <v>42180</v>
      </c>
      <c r="B83" s="51" t="s">
        <v>326</v>
      </c>
      <c r="C83" s="17"/>
      <c r="D83" s="92">
        <f>+(22*3.5+18*2+17*1.5+3*3)*1.05</f>
        <v>154.875</v>
      </c>
      <c r="E83" s="69">
        <f t="shared" si="7"/>
        <v>19413.087500000005</v>
      </c>
      <c r="F83" s="50"/>
      <c r="G83" s="17">
        <f t="shared" si="11"/>
        <v>25.890060140808043</v>
      </c>
      <c r="H83" s="50"/>
      <c r="I83" s="64">
        <f t="shared" si="12"/>
        <v>4009.7230643076455</v>
      </c>
      <c r="J83" s="64">
        <f t="shared" si="8"/>
        <v>502606.00289376895</v>
      </c>
      <c r="K83" s="67"/>
      <c r="L83" s="60"/>
      <c r="M83" s="60"/>
      <c r="N83" s="60"/>
    </row>
    <row r="84" spans="1:14" x14ac:dyDescent="0.3">
      <c r="A84" s="58">
        <v>42180</v>
      </c>
      <c r="B84" s="51" t="s">
        <v>327</v>
      </c>
      <c r="C84" s="92"/>
      <c r="D84" s="92">
        <v>15</v>
      </c>
      <c r="E84" s="69">
        <f t="shared" si="7"/>
        <v>19398.087500000005</v>
      </c>
      <c r="F84" s="92"/>
      <c r="G84" s="17">
        <f t="shared" si="11"/>
        <v>25.890060140808039</v>
      </c>
      <c r="H84" s="92"/>
      <c r="I84" s="64">
        <f t="shared" si="12"/>
        <v>388.35090211212059</v>
      </c>
      <c r="J84" s="64">
        <f t="shared" si="8"/>
        <v>502217.65199165681</v>
      </c>
      <c r="K84" s="2"/>
      <c r="L84" s="60"/>
      <c r="M84" s="60"/>
      <c r="N84" s="60"/>
    </row>
    <row r="85" spans="1:14" x14ac:dyDescent="0.3">
      <c r="A85" s="58">
        <v>42180</v>
      </c>
      <c r="B85" s="51" t="s">
        <v>328</v>
      </c>
      <c r="C85" s="92"/>
      <c r="D85" s="92">
        <f>+(24*5+13*0.5)*1.05+8</f>
        <v>140.82500000000002</v>
      </c>
      <c r="E85" s="69">
        <f t="shared" si="7"/>
        <v>19257.262500000004</v>
      </c>
      <c r="F85" s="92"/>
      <c r="G85" s="17">
        <f t="shared" si="11"/>
        <v>25.890060140808039</v>
      </c>
      <c r="H85" s="92"/>
      <c r="I85" s="64">
        <f t="shared" si="12"/>
        <v>3645.9677193292923</v>
      </c>
      <c r="J85" s="64">
        <f t="shared" si="8"/>
        <v>498571.68427232752</v>
      </c>
      <c r="K85" s="2"/>
      <c r="L85" s="60"/>
      <c r="M85" s="60"/>
      <c r="N85" s="60"/>
    </row>
    <row r="86" spans="1:14" x14ac:dyDescent="0.3">
      <c r="A86" s="58">
        <v>42181</v>
      </c>
      <c r="B86" s="51" t="s">
        <v>330</v>
      </c>
      <c r="C86" s="92"/>
      <c r="D86" s="92">
        <v>44</v>
      </c>
      <c r="E86" s="69">
        <f t="shared" si="7"/>
        <v>19213.262500000004</v>
      </c>
      <c r="F86" s="92"/>
      <c r="G86" s="17">
        <f t="shared" si="11"/>
        <v>25.890060140808043</v>
      </c>
      <c r="H86" s="92"/>
      <c r="I86" s="64">
        <f t="shared" si="12"/>
        <v>1139.1626461955539</v>
      </c>
      <c r="J86" s="64">
        <f t="shared" si="8"/>
        <v>497432.52162613196</v>
      </c>
      <c r="K86" s="2"/>
      <c r="L86" s="60"/>
      <c r="M86" s="60"/>
      <c r="N86" s="60"/>
    </row>
    <row r="87" spans="1:14" x14ac:dyDescent="0.3">
      <c r="A87" s="58">
        <v>42181</v>
      </c>
      <c r="B87" s="51" t="s">
        <v>331</v>
      </c>
      <c r="C87" s="92"/>
      <c r="D87" s="92">
        <f>+(6*5.75+7*5)*1.05+2</f>
        <v>74.975000000000009</v>
      </c>
      <c r="E87" s="69">
        <f t="shared" si="7"/>
        <v>19138.287500000006</v>
      </c>
      <c r="F87" s="92"/>
      <c r="G87" s="17">
        <f t="shared" si="11"/>
        <v>25.890060140808039</v>
      </c>
      <c r="H87" s="92"/>
      <c r="I87" s="64">
        <f t="shared" si="12"/>
        <v>1941.107259057083</v>
      </c>
      <c r="J87" s="64">
        <f t="shared" si="8"/>
        <v>495491.4143670749</v>
      </c>
      <c r="K87" s="2"/>
      <c r="L87" s="60"/>
      <c r="M87" s="60"/>
      <c r="N87" s="60"/>
    </row>
    <row r="88" spans="1:14" x14ac:dyDescent="0.3">
      <c r="A88" s="58">
        <v>42181</v>
      </c>
      <c r="B88" s="51" t="s">
        <v>332</v>
      </c>
      <c r="C88" s="92"/>
      <c r="D88" s="92">
        <f>+(10*6+5+4.25+3.5+2*2.75+2*2+1.25+5.25+4.5+3.75+1)*1.05</f>
        <v>102.9</v>
      </c>
      <c r="E88" s="69">
        <f t="shared" si="7"/>
        <v>19035.387500000004</v>
      </c>
      <c r="F88" s="92"/>
      <c r="G88" s="17">
        <f t="shared" si="11"/>
        <v>25.890060140808039</v>
      </c>
      <c r="H88" s="92"/>
      <c r="I88" s="64">
        <f t="shared" si="12"/>
        <v>2664.0871884891476</v>
      </c>
      <c r="J88" s="64">
        <f t="shared" si="8"/>
        <v>492827.32717858575</v>
      </c>
      <c r="K88" s="2"/>
      <c r="L88" s="60"/>
      <c r="M88" s="60"/>
      <c r="N88" s="60"/>
    </row>
    <row r="89" spans="1:14" x14ac:dyDescent="0.3">
      <c r="A89" s="58">
        <v>42184</v>
      </c>
      <c r="B89" s="51" t="s">
        <v>335</v>
      </c>
      <c r="C89" s="92"/>
      <c r="D89" s="92">
        <f>+(7*7+4*1.5)*1.05</f>
        <v>57.75</v>
      </c>
      <c r="E89" s="69">
        <f t="shared" si="7"/>
        <v>18977.637500000004</v>
      </c>
      <c r="F89" s="92"/>
      <c r="G89" s="17">
        <f t="shared" si="11"/>
        <v>25.890060140808043</v>
      </c>
      <c r="H89" s="92"/>
      <c r="I89" s="64">
        <f t="shared" si="12"/>
        <v>1495.1509731316644</v>
      </c>
      <c r="J89" s="64">
        <f t="shared" si="8"/>
        <v>491332.1762054541</v>
      </c>
      <c r="K89" s="2"/>
      <c r="L89" s="60"/>
      <c r="M89" s="60"/>
      <c r="N89" s="60"/>
    </row>
    <row r="90" spans="1:14" x14ac:dyDescent="0.3">
      <c r="A90" s="58">
        <v>42185</v>
      </c>
      <c r="B90" s="51" t="s">
        <v>336</v>
      </c>
      <c r="C90" s="92"/>
      <c r="D90" s="92">
        <f>+(11*5.75+5.25+5+4.5+4)*1.05</f>
        <v>86.100000000000009</v>
      </c>
      <c r="E90" s="69">
        <f t="shared" si="7"/>
        <v>18891.537500000006</v>
      </c>
      <c r="F90" s="92"/>
      <c r="G90" s="17">
        <f t="shared" si="11"/>
        <v>25.890060140808043</v>
      </c>
      <c r="H90" s="92"/>
      <c r="I90" s="64">
        <f t="shared" si="12"/>
        <v>2229.1341781235728</v>
      </c>
      <c r="J90" s="64">
        <f t="shared" si="8"/>
        <v>489103.04202733055</v>
      </c>
      <c r="K90" s="2"/>
      <c r="L90" s="60"/>
      <c r="M90" s="60"/>
      <c r="N90" s="60"/>
    </row>
    <row r="91" spans="1:14" x14ac:dyDescent="0.3">
      <c r="A91" s="58">
        <v>42185</v>
      </c>
      <c r="B91" s="51" t="s">
        <v>337</v>
      </c>
      <c r="C91" s="92"/>
      <c r="D91" s="92">
        <f>+(2*3.5)*1.05</f>
        <v>7.3500000000000005</v>
      </c>
      <c r="E91" s="69">
        <f t="shared" si="7"/>
        <v>18884.187500000007</v>
      </c>
      <c r="F91" s="92"/>
      <c r="G91" s="17">
        <f t="shared" si="11"/>
        <v>25.890060140808043</v>
      </c>
      <c r="H91" s="92"/>
      <c r="I91" s="64">
        <f t="shared" si="12"/>
        <v>190.29194203493913</v>
      </c>
      <c r="J91" s="64">
        <f t="shared" si="8"/>
        <v>488912.75008529559</v>
      </c>
      <c r="K91" s="2"/>
      <c r="L91" s="60"/>
      <c r="M91" s="60"/>
      <c r="N91" s="60"/>
    </row>
    <row r="92" spans="1:14" x14ac:dyDescent="0.3">
      <c r="A92" s="58">
        <v>42185</v>
      </c>
      <c r="B92" s="51" t="s">
        <v>338</v>
      </c>
      <c r="C92" s="92"/>
      <c r="D92" s="92">
        <f>+(18*1)*1.05+3</f>
        <v>21.900000000000002</v>
      </c>
      <c r="E92" s="69">
        <f t="shared" si="7"/>
        <v>18862.287500000006</v>
      </c>
      <c r="F92" s="92"/>
      <c r="G92" s="17">
        <f t="shared" si="11"/>
        <v>25.890060140808039</v>
      </c>
      <c r="H92" s="92"/>
      <c r="I92" s="64">
        <f t="shared" si="12"/>
        <v>566.99231708369609</v>
      </c>
      <c r="J92" s="64">
        <f t="shared" si="8"/>
        <v>488345.75776821189</v>
      </c>
      <c r="K92" s="82"/>
      <c r="L92" s="90">
        <f>SUM(I72:I92)</f>
        <v>29703.665999549063</v>
      </c>
      <c r="M92" s="90">
        <f>SUM(L71:L92)</f>
        <v>62117.309319186868</v>
      </c>
      <c r="N92" s="162">
        <v>42185</v>
      </c>
    </row>
    <row r="93" spans="1:14" x14ac:dyDescent="0.3">
      <c r="A93" s="58">
        <v>42186</v>
      </c>
      <c r="B93" s="51" t="s">
        <v>339</v>
      </c>
      <c r="C93" s="92"/>
      <c r="D93" s="92">
        <f>+(5*2.75+2*2)*1.05</f>
        <v>18.637499999999999</v>
      </c>
      <c r="E93" s="69">
        <f t="shared" si="7"/>
        <v>18843.650000000005</v>
      </c>
      <c r="F93" s="92"/>
      <c r="G93" s="17">
        <f t="shared" si="11"/>
        <v>25.890060140808039</v>
      </c>
      <c r="H93" s="92"/>
      <c r="I93" s="64">
        <f t="shared" si="12"/>
        <v>482.52599587430979</v>
      </c>
      <c r="J93" s="64">
        <f t="shared" si="8"/>
        <v>487863.23177233757</v>
      </c>
      <c r="K93" s="2"/>
      <c r="L93" s="60"/>
      <c r="M93" s="60"/>
      <c r="N93" s="60"/>
    </row>
    <row r="94" spans="1:14" x14ac:dyDescent="0.3">
      <c r="A94" s="58">
        <v>42186</v>
      </c>
      <c r="B94" s="51" t="s">
        <v>340</v>
      </c>
      <c r="C94" s="92"/>
      <c r="D94" s="92">
        <f>+(12*2.75)*1.05+2.23</f>
        <v>36.879999999999995</v>
      </c>
      <c r="E94" s="69">
        <f t="shared" si="7"/>
        <v>18806.770000000004</v>
      </c>
      <c r="F94" s="92"/>
      <c r="G94" s="17">
        <f t="shared" si="11"/>
        <v>25.890060140808043</v>
      </c>
      <c r="H94" s="92"/>
      <c r="I94" s="64">
        <f t="shared" si="12"/>
        <v>954.82541799300054</v>
      </c>
      <c r="J94" s="64">
        <f t="shared" si="8"/>
        <v>486908.40635434457</v>
      </c>
      <c r="K94" s="2"/>
      <c r="L94" s="60"/>
      <c r="M94" s="60"/>
      <c r="N94" s="60"/>
    </row>
    <row r="95" spans="1:14" x14ac:dyDescent="0.3">
      <c r="A95" s="58">
        <v>42187</v>
      </c>
      <c r="B95" s="51" t="s">
        <v>344</v>
      </c>
      <c r="C95" s="92"/>
      <c r="D95" s="92">
        <f>+(3*1.5)*1.05</f>
        <v>4.7250000000000005</v>
      </c>
      <c r="E95" s="69">
        <f t="shared" si="7"/>
        <v>18802.045000000006</v>
      </c>
      <c r="F95" s="92"/>
      <c r="G95" s="17">
        <f t="shared" si="11"/>
        <v>25.890060140808043</v>
      </c>
      <c r="H95" s="92"/>
      <c r="I95" s="64">
        <f t="shared" ref="I95:I110" si="13">+D95*G95</f>
        <v>122.33053416531801</v>
      </c>
      <c r="J95" s="64">
        <f t="shared" ref="J95:J110" si="14">+J94-I95</f>
        <v>486786.07582017925</v>
      </c>
      <c r="K95" s="2"/>
      <c r="L95" s="60"/>
      <c r="M95" s="60"/>
      <c r="N95" s="60"/>
    </row>
    <row r="96" spans="1:14" x14ac:dyDescent="0.3">
      <c r="A96" s="58">
        <v>42188</v>
      </c>
      <c r="B96" s="51" t="s">
        <v>346</v>
      </c>
      <c r="C96" s="92"/>
      <c r="D96" s="159">
        <f>+(12*5.5+4*8.5+4*6.5)*1.05</f>
        <v>132.30000000000001</v>
      </c>
      <c r="E96" s="69">
        <f t="shared" ref="E96:E159" si="15">+E95-D96</f>
        <v>18669.745000000006</v>
      </c>
      <c r="F96" s="92"/>
      <c r="G96" s="17">
        <f t="shared" si="11"/>
        <v>25.890060140808039</v>
      </c>
      <c r="H96" s="92"/>
      <c r="I96" s="64">
        <f t="shared" si="13"/>
        <v>3425.254956628904</v>
      </c>
      <c r="J96" s="64">
        <f t="shared" si="14"/>
        <v>483360.82086355035</v>
      </c>
      <c r="K96" s="2"/>
      <c r="L96" s="60"/>
      <c r="M96" s="60"/>
      <c r="N96" s="60"/>
    </row>
    <row r="97" spans="1:14" x14ac:dyDescent="0.3">
      <c r="A97" s="58">
        <v>42192</v>
      </c>
      <c r="B97" s="51" t="s">
        <v>348</v>
      </c>
      <c r="C97" s="92"/>
      <c r="D97" s="92">
        <f>+(14*4.5+7*4.25+7*5.5)*1.05+3</f>
        <v>140.8125</v>
      </c>
      <c r="E97" s="69">
        <f t="shared" si="15"/>
        <v>18528.932500000006</v>
      </c>
      <c r="F97" s="92"/>
      <c r="G97" s="17">
        <f t="shared" si="11"/>
        <v>25.890060140808039</v>
      </c>
      <c r="H97" s="92"/>
      <c r="I97" s="64">
        <f t="shared" si="13"/>
        <v>3645.6440935775322</v>
      </c>
      <c r="J97" s="64">
        <f t="shared" si="14"/>
        <v>479715.17676997284</v>
      </c>
      <c r="K97" s="2"/>
      <c r="L97" s="60"/>
      <c r="M97" s="60"/>
      <c r="N97" s="60"/>
    </row>
    <row r="98" spans="1:14" x14ac:dyDescent="0.3">
      <c r="A98" s="58">
        <v>42194</v>
      </c>
      <c r="B98" s="51" t="s">
        <v>351</v>
      </c>
      <c r="C98" s="92"/>
      <c r="D98" s="92">
        <f>+(8*7)*1.05</f>
        <v>58.800000000000004</v>
      </c>
      <c r="E98" s="69">
        <f t="shared" si="15"/>
        <v>18470.132500000007</v>
      </c>
      <c r="F98" s="92"/>
      <c r="G98" s="17">
        <f t="shared" si="11"/>
        <v>25.890060140808039</v>
      </c>
      <c r="H98" s="92"/>
      <c r="I98" s="64">
        <f t="shared" si="13"/>
        <v>1522.3355362795128</v>
      </c>
      <c r="J98" s="64">
        <f t="shared" si="14"/>
        <v>478192.8412336933</v>
      </c>
      <c r="K98" s="2"/>
      <c r="L98" s="60"/>
      <c r="M98" s="60"/>
      <c r="N98" s="60"/>
    </row>
    <row r="99" spans="1:14" x14ac:dyDescent="0.3">
      <c r="A99" s="58">
        <v>42195</v>
      </c>
      <c r="B99" s="51" t="s">
        <v>362</v>
      </c>
      <c r="C99" s="92"/>
      <c r="D99" s="92">
        <f>+(29*5+15*0.5+2*4.5+2*3.75+6*2.25+2*2+2*1)*1.05+9</f>
        <v>206.92500000000001</v>
      </c>
      <c r="E99" s="69">
        <f t="shared" si="15"/>
        <v>18263.207500000008</v>
      </c>
      <c r="F99" s="92"/>
      <c r="G99" s="17">
        <f t="shared" si="11"/>
        <v>25.890060140808039</v>
      </c>
      <c r="H99" s="92"/>
      <c r="I99" s="64">
        <f t="shared" si="13"/>
        <v>5357.3006946367041</v>
      </c>
      <c r="J99" s="64">
        <f t="shared" si="14"/>
        <v>472835.54053905659</v>
      </c>
      <c r="K99" s="2"/>
      <c r="L99" s="60"/>
      <c r="M99" s="60"/>
      <c r="N99" s="60"/>
    </row>
    <row r="100" spans="1:14" x14ac:dyDescent="0.3">
      <c r="A100" s="58">
        <v>42195</v>
      </c>
      <c r="B100" s="51" t="s">
        <v>364</v>
      </c>
      <c r="C100" s="92"/>
      <c r="D100" s="92">
        <v>15</v>
      </c>
      <c r="E100" s="69">
        <f t="shared" si="15"/>
        <v>18248.207500000008</v>
      </c>
      <c r="F100" s="92"/>
      <c r="G100" s="17">
        <f t="shared" si="11"/>
        <v>25.890060140808036</v>
      </c>
      <c r="H100" s="92"/>
      <c r="I100" s="64">
        <f t="shared" si="13"/>
        <v>388.35090211212054</v>
      </c>
      <c r="J100" s="64">
        <f t="shared" si="14"/>
        <v>472447.18963694444</v>
      </c>
      <c r="K100" s="2"/>
      <c r="L100" s="60"/>
      <c r="M100" s="60"/>
      <c r="N100" s="60"/>
    </row>
    <row r="101" spans="1:14" x14ac:dyDescent="0.3">
      <c r="A101" s="58">
        <v>42195</v>
      </c>
      <c r="B101" s="51" t="s">
        <v>365</v>
      </c>
      <c r="C101" s="92"/>
      <c r="D101" s="92">
        <f>+(4*6.8+4*7.4+4*3.75)*1.05</f>
        <v>75.39</v>
      </c>
      <c r="E101" s="69">
        <f t="shared" si="15"/>
        <v>18172.817500000008</v>
      </c>
      <c r="F101" s="92"/>
      <c r="G101" s="17">
        <f t="shared" si="11"/>
        <v>25.890060140808036</v>
      </c>
      <c r="H101" s="92"/>
      <c r="I101" s="64">
        <f t="shared" si="13"/>
        <v>1951.8516340155179</v>
      </c>
      <c r="J101" s="64">
        <f t="shared" si="14"/>
        <v>470495.33800292894</v>
      </c>
      <c r="K101" s="2"/>
      <c r="L101" s="60"/>
      <c r="M101" s="60"/>
      <c r="N101" s="60"/>
    </row>
    <row r="102" spans="1:14" x14ac:dyDescent="0.3">
      <c r="A102" s="58">
        <v>42195</v>
      </c>
      <c r="B102" s="51" t="s">
        <v>366</v>
      </c>
      <c r="C102" s="92"/>
      <c r="D102" s="92">
        <f>+(10*6+2)*1.05+13</f>
        <v>78.100000000000009</v>
      </c>
      <c r="E102" s="69">
        <f t="shared" si="15"/>
        <v>18094.71750000001</v>
      </c>
      <c r="F102" s="92"/>
      <c r="G102" s="17">
        <f t="shared" si="11"/>
        <v>25.890060140808036</v>
      </c>
      <c r="H102" s="92"/>
      <c r="I102" s="64">
        <f t="shared" si="13"/>
        <v>2022.0136969971079</v>
      </c>
      <c r="J102" s="64">
        <f t="shared" si="14"/>
        <v>468473.3243059318</v>
      </c>
      <c r="K102" s="2"/>
      <c r="L102" s="60"/>
      <c r="M102" s="60"/>
      <c r="N102" s="60"/>
    </row>
    <row r="103" spans="1:14" x14ac:dyDescent="0.3">
      <c r="A103" s="58">
        <v>42196</v>
      </c>
      <c r="B103" s="51" t="s">
        <v>367</v>
      </c>
      <c r="C103" s="92"/>
      <c r="D103" s="92">
        <f>+(24*6)*1.05</f>
        <v>151.20000000000002</v>
      </c>
      <c r="E103" s="69">
        <f t="shared" si="15"/>
        <v>17943.517500000009</v>
      </c>
      <c r="F103" s="92"/>
      <c r="G103" s="17">
        <f t="shared" si="11"/>
        <v>25.890060140808032</v>
      </c>
      <c r="H103" s="92"/>
      <c r="I103" s="64">
        <f t="shared" si="13"/>
        <v>3914.5770932901751</v>
      </c>
      <c r="J103" s="64">
        <f t="shared" si="14"/>
        <v>464558.74721264164</v>
      </c>
      <c r="K103" s="2"/>
      <c r="L103" s="60"/>
      <c r="M103" s="60"/>
      <c r="N103" s="60"/>
    </row>
    <row r="104" spans="1:14" x14ac:dyDescent="0.3">
      <c r="A104" s="58">
        <v>42198</v>
      </c>
      <c r="B104" s="51" t="s">
        <v>369</v>
      </c>
      <c r="C104" s="92"/>
      <c r="D104" s="92">
        <f>+(20*6+20*2.6+6*4.75)</f>
        <v>200.5</v>
      </c>
      <c r="E104" s="69">
        <f t="shared" si="15"/>
        <v>17743.017500000009</v>
      </c>
      <c r="F104" s="92"/>
      <c r="G104" s="17">
        <f t="shared" si="11"/>
        <v>25.890060140808032</v>
      </c>
      <c r="H104" s="92"/>
      <c r="I104" s="64">
        <f t="shared" si="13"/>
        <v>5190.9570582320102</v>
      </c>
      <c r="J104" s="64">
        <f t="shared" si="14"/>
        <v>459367.79015440965</v>
      </c>
      <c r="K104" s="2"/>
      <c r="L104" s="60"/>
      <c r="M104" s="60"/>
      <c r="N104" s="60"/>
    </row>
    <row r="105" spans="1:14" x14ac:dyDescent="0.3">
      <c r="A105" s="58">
        <v>42198</v>
      </c>
      <c r="B105" s="51" t="s">
        <v>371</v>
      </c>
      <c r="C105" s="92"/>
      <c r="D105" s="92">
        <f>+(12*7.25+12*4.5)*1.05</f>
        <v>148.05000000000001</v>
      </c>
      <c r="E105" s="69">
        <f t="shared" si="15"/>
        <v>17594.96750000001</v>
      </c>
      <c r="F105" s="92"/>
      <c r="G105" s="17">
        <f t="shared" si="11"/>
        <v>25.890060140808036</v>
      </c>
      <c r="H105" s="92"/>
      <c r="I105" s="64">
        <f t="shared" si="13"/>
        <v>3833.0234038466301</v>
      </c>
      <c r="J105" s="64">
        <f t="shared" si="14"/>
        <v>455534.76675056299</v>
      </c>
      <c r="K105" s="2"/>
      <c r="L105" s="60"/>
      <c r="M105" s="60"/>
      <c r="N105" s="60"/>
    </row>
    <row r="106" spans="1:14" x14ac:dyDescent="0.3">
      <c r="A106" s="58">
        <v>42199</v>
      </c>
      <c r="B106" s="51" t="s">
        <v>374</v>
      </c>
      <c r="C106" s="92"/>
      <c r="D106" s="92">
        <f>+(9*2.3+10*4.6+10*4.1+4)</f>
        <v>111.7</v>
      </c>
      <c r="E106" s="69">
        <f t="shared" si="15"/>
        <v>17483.267500000009</v>
      </c>
      <c r="F106" s="92"/>
      <c r="G106" s="17">
        <f t="shared" si="11"/>
        <v>25.890060140808032</v>
      </c>
      <c r="H106" s="92"/>
      <c r="I106" s="64">
        <f t="shared" si="13"/>
        <v>2891.9197177282572</v>
      </c>
      <c r="J106" s="64">
        <f t="shared" si="14"/>
        <v>452642.84703283472</v>
      </c>
      <c r="K106" s="2"/>
      <c r="L106" s="60"/>
      <c r="M106" s="60"/>
      <c r="N106" s="60"/>
    </row>
    <row r="107" spans="1:14" x14ac:dyDescent="0.3">
      <c r="A107" s="58">
        <v>42199</v>
      </c>
      <c r="B107" s="51" t="s">
        <v>375</v>
      </c>
      <c r="C107" s="92"/>
      <c r="D107" s="92">
        <f>+(22*4.9+12*1.8)</f>
        <v>129.4</v>
      </c>
      <c r="E107" s="69">
        <f t="shared" si="15"/>
        <v>17353.867500000008</v>
      </c>
      <c r="F107" s="92"/>
      <c r="G107" s="17">
        <f t="shared" si="11"/>
        <v>25.890060140808032</v>
      </c>
      <c r="H107" s="92"/>
      <c r="I107" s="64">
        <f t="shared" si="13"/>
        <v>3350.1737822205596</v>
      </c>
      <c r="J107" s="64">
        <f t="shared" si="14"/>
        <v>449292.67325061414</v>
      </c>
      <c r="K107" s="2"/>
      <c r="L107" s="60"/>
      <c r="M107" s="60"/>
      <c r="N107" s="60"/>
    </row>
    <row r="108" spans="1:14" x14ac:dyDescent="0.3">
      <c r="A108" s="91">
        <v>42199</v>
      </c>
      <c r="B108" s="51" t="s">
        <v>383</v>
      </c>
      <c r="C108" s="92"/>
      <c r="D108" s="92">
        <f>+(40*4)*1.05</f>
        <v>168</v>
      </c>
      <c r="E108" s="69">
        <f t="shared" si="15"/>
        <v>17185.867500000008</v>
      </c>
      <c r="F108" s="92"/>
      <c r="G108" s="17">
        <f t="shared" si="11"/>
        <v>25.890060140808032</v>
      </c>
      <c r="H108" s="92"/>
      <c r="I108" s="64">
        <f t="shared" si="13"/>
        <v>4349.5301036557494</v>
      </c>
      <c r="J108" s="64">
        <f t="shared" si="14"/>
        <v>444943.14314695838</v>
      </c>
      <c r="K108" s="82"/>
      <c r="L108" s="90">
        <f>SUM(I93:I108)</f>
        <v>43402.614621253408</v>
      </c>
      <c r="M108" s="89"/>
      <c r="N108" s="162">
        <v>42199</v>
      </c>
    </row>
    <row r="109" spans="1:14" x14ac:dyDescent="0.3">
      <c r="A109" s="91">
        <v>42200</v>
      </c>
      <c r="B109" s="51" t="s">
        <v>384</v>
      </c>
      <c r="C109" s="92"/>
      <c r="D109" s="92">
        <f>+(2*7+3*5.5+4.5+3.5)*1.05</f>
        <v>40.425000000000004</v>
      </c>
      <c r="E109" s="69">
        <f t="shared" si="15"/>
        <v>17145.442500000008</v>
      </c>
      <c r="F109" s="92"/>
      <c r="G109" s="17">
        <f t="shared" si="11"/>
        <v>25.890060140808032</v>
      </c>
      <c r="H109" s="92"/>
      <c r="I109" s="64">
        <f t="shared" si="13"/>
        <v>1046.6056811921649</v>
      </c>
      <c r="J109" s="64">
        <f t="shared" si="14"/>
        <v>443896.53746576619</v>
      </c>
      <c r="K109" s="2"/>
      <c r="L109" s="60"/>
      <c r="M109" s="60"/>
      <c r="N109" s="60"/>
    </row>
    <row r="110" spans="1:14" x14ac:dyDescent="0.3">
      <c r="A110" s="91">
        <v>42202</v>
      </c>
      <c r="B110" s="51" t="s">
        <v>386</v>
      </c>
      <c r="C110" s="92"/>
      <c r="D110" s="92">
        <f>+(26*6.25+2*5.5+2*4+2*2.75+4*1.25+2*3.5+2*3+2*2.5+2*2.25+2*1.75+2*1+2*0.5)*1.05+12</f>
        <v>244.05</v>
      </c>
      <c r="E110" s="69">
        <f t="shared" si="15"/>
        <v>16901.392500000009</v>
      </c>
      <c r="F110" s="92"/>
      <c r="G110" s="17">
        <f t="shared" si="11"/>
        <v>25.890060140808028</v>
      </c>
      <c r="H110" s="92"/>
      <c r="I110" s="64">
        <f t="shared" si="13"/>
        <v>6318.4691773641998</v>
      </c>
      <c r="J110" s="64">
        <f t="shared" si="14"/>
        <v>437578.06828840199</v>
      </c>
      <c r="K110" s="2"/>
      <c r="L110" s="60"/>
      <c r="M110" s="60"/>
      <c r="N110" s="60"/>
    </row>
    <row r="111" spans="1:14" x14ac:dyDescent="0.3">
      <c r="A111" s="91">
        <v>42202</v>
      </c>
      <c r="B111" s="51" t="s">
        <v>387</v>
      </c>
      <c r="C111" s="92"/>
      <c r="D111" s="92">
        <f>+(44*6+3*5+4*4.5+2*5.5+2*4+2*3.75+2*3.25)*1.05+26</f>
        <v>372.5</v>
      </c>
      <c r="E111" s="69">
        <f t="shared" si="15"/>
        <v>16528.892500000009</v>
      </c>
      <c r="F111" s="92"/>
      <c r="G111" s="17">
        <f t="shared" si="11"/>
        <v>25.890060140808028</v>
      </c>
      <c r="H111" s="92"/>
      <c r="I111" s="64">
        <f t="shared" ref="I111:I121" si="16">+D111*G111</f>
        <v>9644.0474024509913</v>
      </c>
      <c r="J111" s="64">
        <f t="shared" ref="J111:J121" si="17">+J110-I111</f>
        <v>427934.020885951</v>
      </c>
      <c r="K111" s="2"/>
      <c r="L111" s="60"/>
      <c r="M111" s="60"/>
      <c r="N111" s="60"/>
    </row>
    <row r="112" spans="1:14" x14ac:dyDescent="0.3">
      <c r="A112" s="91">
        <v>42202</v>
      </c>
      <c r="B112" s="51" t="s">
        <v>389</v>
      </c>
      <c r="C112" s="92"/>
      <c r="D112" s="92">
        <v>2</v>
      </c>
      <c r="E112" s="69">
        <f t="shared" si="15"/>
        <v>16526.892500000009</v>
      </c>
      <c r="F112" s="92"/>
      <c r="G112" s="17">
        <f t="shared" si="11"/>
        <v>25.890060140808028</v>
      </c>
      <c r="H112" s="92"/>
      <c r="I112" s="64">
        <f t="shared" si="16"/>
        <v>51.780120281616057</v>
      </c>
      <c r="J112" s="64">
        <f t="shared" si="17"/>
        <v>427882.24076566938</v>
      </c>
      <c r="K112" s="2"/>
      <c r="L112" s="60"/>
      <c r="M112" s="60"/>
      <c r="N112" s="60"/>
    </row>
    <row r="113" spans="1:14" x14ac:dyDescent="0.3">
      <c r="A113" s="91">
        <v>42202</v>
      </c>
      <c r="B113" s="51" t="s">
        <v>390</v>
      </c>
      <c r="C113" s="92"/>
      <c r="D113" s="92">
        <f>+(6*5.25+4*4.75+4*4+8*3.25+8*2.5+4*1.75+4*1+4*1.5+4*4.25+2*6)*1.05+16</f>
        <v>182.42500000000001</v>
      </c>
      <c r="E113" s="69">
        <f t="shared" si="15"/>
        <v>16344.46750000001</v>
      </c>
      <c r="F113" s="92"/>
      <c r="G113" s="17">
        <f t="shared" si="11"/>
        <v>25.890060140808028</v>
      </c>
      <c r="H113" s="92"/>
      <c r="I113" s="64">
        <f t="shared" si="16"/>
        <v>4722.9942211869047</v>
      </c>
      <c r="J113" s="64">
        <f t="shared" si="17"/>
        <v>423159.24654448248</v>
      </c>
      <c r="K113" s="2"/>
      <c r="L113" s="60"/>
      <c r="M113" s="60"/>
      <c r="N113" s="60"/>
    </row>
    <row r="114" spans="1:14" x14ac:dyDescent="0.3">
      <c r="A114" s="91">
        <v>42204</v>
      </c>
      <c r="B114" s="51" t="s">
        <v>394</v>
      </c>
      <c r="C114" s="92"/>
      <c r="D114" s="92">
        <f>+(2*1.5+4)*1.05</f>
        <v>7.3500000000000005</v>
      </c>
      <c r="E114" s="69">
        <f t="shared" si="15"/>
        <v>16337.117500000009</v>
      </c>
      <c r="F114" s="92"/>
      <c r="G114" s="17">
        <f t="shared" si="11"/>
        <v>25.890060140808028</v>
      </c>
      <c r="H114" s="92"/>
      <c r="I114" s="64">
        <f t="shared" si="16"/>
        <v>190.29194203493901</v>
      </c>
      <c r="J114" s="64">
        <f t="shared" si="17"/>
        <v>422968.95460244751</v>
      </c>
      <c r="K114" s="2"/>
      <c r="L114" s="60"/>
      <c r="M114" s="60"/>
      <c r="N114" s="60"/>
    </row>
    <row r="115" spans="1:14" x14ac:dyDescent="0.3">
      <c r="A115" s="91">
        <v>42205</v>
      </c>
      <c r="B115" s="51" t="s">
        <v>397</v>
      </c>
      <c r="C115" s="92"/>
      <c r="D115" s="92">
        <f>+(2*5+4*7.5+4+2*4.75+6*4.5+6+3.5)*1.05</f>
        <v>94.5</v>
      </c>
      <c r="E115" s="69">
        <f t="shared" si="15"/>
        <v>16242.617500000009</v>
      </c>
      <c r="F115" s="92"/>
      <c r="G115" s="17">
        <f t="shared" si="11"/>
        <v>25.890060140808025</v>
      </c>
      <c r="H115" s="92"/>
      <c r="I115" s="64">
        <f t="shared" si="16"/>
        <v>2446.6106833063582</v>
      </c>
      <c r="J115" s="64">
        <f t="shared" si="17"/>
        <v>420522.34391914116</v>
      </c>
      <c r="K115" s="2"/>
      <c r="L115" s="60"/>
      <c r="M115" s="60"/>
      <c r="N115" s="60"/>
    </row>
    <row r="116" spans="1:14" x14ac:dyDescent="0.3">
      <c r="A116" s="91">
        <v>42205</v>
      </c>
      <c r="B116" s="51" t="s">
        <v>398</v>
      </c>
      <c r="C116" s="92"/>
      <c r="D116" s="92">
        <v>8</v>
      </c>
      <c r="E116" s="69">
        <f t="shared" si="15"/>
        <v>16234.617500000009</v>
      </c>
      <c r="F116" s="92"/>
      <c r="G116" s="17">
        <f t="shared" si="11"/>
        <v>25.890060140808025</v>
      </c>
      <c r="H116" s="92"/>
      <c r="I116" s="64">
        <f t="shared" si="16"/>
        <v>207.1204811264642</v>
      </c>
      <c r="J116" s="64">
        <f t="shared" si="17"/>
        <v>420315.22343801468</v>
      </c>
      <c r="K116" s="2"/>
      <c r="L116" s="60"/>
      <c r="M116" s="60"/>
      <c r="N116" s="60"/>
    </row>
    <row r="117" spans="1:14" x14ac:dyDescent="0.3">
      <c r="A117" s="91">
        <v>42205</v>
      </c>
      <c r="B117" s="51" t="s">
        <v>399</v>
      </c>
      <c r="C117" s="92"/>
      <c r="D117" s="92">
        <f>+(12*5)*1.05</f>
        <v>63</v>
      </c>
      <c r="E117" s="69">
        <f t="shared" si="15"/>
        <v>16171.617500000009</v>
      </c>
      <c r="F117" s="92"/>
      <c r="G117" s="17">
        <f t="shared" si="11"/>
        <v>25.890060140808025</v>
      </c>
      <c r="H117" s="92"/>
      <c r="I117" s="64">
        <f t="shared" si="16"/>
        <v>1631.0737888709057</v>
      </c>
      <c r="J117" s="64">
        <f t="shared" si="17"/>
        <v>418684.1496491438</v>
      </c>
      <c r="K117" s="2"/>
      <c r="L117" s="60"/>
      <c r="M117" s="60"/>
      <c r="N117" s="60"/>
    </row>
    <row r="118" spans="1:14" x14ac:dyDescent="0.3">
      <c r="A118" s="91">
        <v>42206</v>
      </c>
      <c r="B118" s="51" t="s">
        <v>400</v>
      </c>
      <c r="C118" s="92"/>
      <c r="D118" s="92">
        <f>+(3*5+2*4)*1.05+2</f>
        <v>26.150000000000002</v>
      </c>
      <c r="E118" s="69">
        <f t="shared" si="15"/>
        <v>16145.46750000001</v>
      </c>
      <c r="F118" s="92"/>
      <c r="G118" s="17">
        <f t="shared" ref="G118:G121" si="18">+J117/E117</f>
        <v>25.890060140808028</v>
      </c>
      <c r="H118" s="92"/>
      <c r="I118" s="64">
        <f t="shared" si="16"/>
        <v>677.02507268213003</v>
      </c>
      <c r="J118" s="64">
        <f t="shared" si="17"/>
        <v>418007.12457646168</v>
      </c>
      <c r="K118" s="2"/>
      <c r="L118" s="60"/>
      <c r="M118" s="60"/>
      <c r="N118" s="60"/>
    </row>
    <row r="119" spans="1:14" x14ac:dyDescent="0.3">
      <c r="A119" s="91">
        <v>42208</v>
      </c>
      <c r="B119" s="51" t="s">
        <v>403</v>
      </c>
      <c r="C119" s="92"/>
      <c r="D119" s="92">
        <f>+(7*4.75)*1.05</f>
        <v>34.912500000000001</v>
      </c>
      <c r="E119" s="69">
        <f t="shared" si="15"/>
        <v>16110.555000000009</v>
      </c>
      <c r="F119" s="92"/>
      <c r="G119" s="17">
        <f t="shared" si="18"/>
        <v>25.890060140808028</v>
      </c>
      <c r="H119" s="92"/>
      <c r="I119" s="64">
        <f t="shared" si="16"/>
        <v>903.88672466596029</v>
      </c>
      <c r="J119" s="64">
        <f t="shared" si="17"/>
        <v>417103.23785179574</v>
      </c>
      <c r="K119" s="2"/>
      <c r="L119" s="60"/>
      <c r="M119" s="60"/>
      <c r="N119" s="60"/>
    </row>
    <row r="120" spans="1:14" x14ac:dyDescent="0.3">
      <c r="A120" s="91">
        <v>42208</v>
      </c>
      <c r="B120" s="51" t="s">
        <v>405</v>
      </c>
      <c r="C120" s="92"/>
      <c r="D120" s="92">
        <f>+(8*7)*1.05</f>
        <v>58.800000000000004</v>
      </c>
      <c r="E120" s="69">
        <f t="shared" si="15"/>
        <v>16051.75500000001</v>
      </c>
      <c r="F120" s="92"/>
      <c r="G120" s="17">
        <f t="shared" si="18"/>
        <v>25.890060140808028</v>
      </c>
      <c r="H120" s="92"/>
      <c r="I120" s="64">
        <f t="shared" si="16"/>
        <v>1522.3355362795121</v>
      </c>
      <c r="J120" s="64">
        <f t="shared" si="17"/>
        <v>415580.9023155162</v>
      </c>
      <c r="K120" s="2"/>
      <c r="L120" s="60"/>
      <c r="M120" s="60"/>
      <c r="N120" s="60"/>
    </row>
    <row r="121" spans="1:14" x14ac:dyDescent="0.3">
      <c r="A121" s="91">
        <v>42209</v>
      </c>
      <c r="B121" s="51" t="s">
        <v>408</v>
      </c>
      <c r="C121" s="92"/>
      <c r="D121" s="92">
        <f>+(5*0.5)*1.05</f>
        <v>2.625</v>
      </c>
      <c r="E121" s="69">
        <f t="shared" si="15"/>
        <v>16049.13000000001</v>
      </c>
      <c r="F121" s="92"/>
      <c r="G121" s="17">
        <f t="shared" si="18"/>
        <v>25.890060140808025</v>
      </c>
      <c r="H121" s="92"/>
      <c r="I121" s="64">
        <f t="shared" si="16"/>
        <v>67.96140786962107</v>
      </c>
      <c r="J121" s="64">
        <f t="shared" si="17"/>
        <v>415512.94090764655</v>
      </c>
      <c r="K121" s="2"/>
      <c r="L121" s="60"/>
      <c r="M121" s="60"/>
      <c r="N121" s="60"/>
    </row>
    <row r="122" spans="1:14" x14ac:dyDescent="0.3">
      <c r="A122" s="91">
        <v>42210</v>
      </c>
      <c r="B122" s="51" t="s">
        <v>409</v>
      </c>
      <c r="C122" s="92"/>
      <c r="D122" s="92">
        <v>15.5</v>
      </c>
      <c r="E122" s="69">
        <f t="shared" si="15"/>
        <v>16033.63000000001</v>
      </c>
      <c r="F122" s="92"/>
      <c r="G122" s="17">
        <f t="shared" ref="G122:G140" si="19">+J121/E121</f>
        <v>25.890060140808025</v>
      </c>
      <c r="H122" s="92"/>
      <c r="I122" s="64">
        <f t="shared" ref="I122:I140" si="20">+D122*G122</f>
        <v>401.29593218252438</v>
      </c>
      <c r="J122" s="64">
        <f t="shared" ref="J122:J140" si="21">+J121-I122</f>
        <v>415111.64497546403</v>
      </c>
      <c r="K122" s="2"/>
      <c r="L122" s="60"/>
      <c r="M122" s="60"/>
      <c r="N122" s="60"/>
    </row>
    <row r="123" spans="1:14" x14ac:dyDescent="0.3">
      <c r="A123" s="91">
        <v>42210</v>
      </c>
      <c r="B123" s="51" t="s">
        <v>410</v>
      </c>
      <c r="C123" s="92"/>
      <c r="D123" s="92">
        <f>+(12*4.75+17*2.5+2.75+3*3+3.25+2*4.5+3*4.25+3*4+2*3.75+3.5)*1.05+4</f>
        <v>171.21250000000001</v>
      </c>
      <c r="E123" s="69">
        <f t="shared" si="15"/>
        <v>15862.41750000001</v>
      </c>
      <c r="F123" s="92"/>
      <c r="G123" s="17">
        <f t="shared" si="19"/>
        <v>25.890060140808025</v>
      </c>
      <c r="H123" s="92"/>
      <c r="I123" s="64">
        <f t="shared" si="20"/>
        <v>4432.7019218580945</v>
      </c>
      <c r="J123" s="64">
        <f t="shared" si="21"/>
        <v>410678.94305360597</v>
      </c>
      <c r="K123" s="2"/>
      <c r="L123" s="60"/>
      <c r="M123" s="60"/>
      <c r="N123" s="60"/>
    </row>
    <row r="124" spans="1:14" x14ac:dyDescent="0.3">
      <c r="A124" s="91">
        <v>42210</v>
      </c>
      <c r="B124" s="51" t="s">
        <v>411</v>
      </c>
      <c r="C124" s="92"/>
      <c r="D124" s="92">
        <f>+(13*5.5)*1.05</f>
        <v>75.075000000000003</v>
      </c>
      <c r="E124" s="69">
        <f t="shared" si="15"/>
        <v>15787.34250000001</v>
      </c>
      <c r="F124" s="92"/>
      <c r="G124" s="17">
        <f t="shared" si="19"/>
        <v>25.890060140808025</v>
      </c>
      <c r="H124" s="92"/>
      <c r="I124" s="64">
        <f t="shared" si="20"/>
        <v>1943.6962650711625</v>
      </c>
      <c r="J124" s="64">
        <f t="shared" si="21"/>
        <v>408735.2467885348</v>
      </c>
      <c r="K124" s="2"/>
      <c r="L124" s="60"/>
      <c r="M124" s="60"/>
      <c r="N124" s="60"/>
    </row>
    <row r="125" spans="1:14" x14ac:dyDescent="0.3">
      <c r="A125" s="91">
        <v>42210</v>
      </c>
      <c r="B125" s="51" t="s">
        <v>414</v>
      </c>
      <c r="C125" s="92"/>
      <c r="D125" s="92">
        <f>+(12*4.5)*1.05+1.5</f>
        <v>58.2</v>
      </c>
      <c r="E125" s="69">
        <f t="shared" si="15"/>
        <v>15729.142500000009</v>
      </c>
      <c r="F125" s="92"/>
      <c r="G125" s="17">
        <f t="shared" si="19"/>
        <v>25.890060140808028</v>
      </c>
      <c r="H125" s="92"/>
      <c r="I125" s="64">
        <f t="shared" si="20"/>
        <v>1506.8015001950273</v>
      </c>
      <c r="J125" s="64">
        <f t="shared" si="21"/>
        <v>407228.44528833975</v>
      </c>
      <c r="K125" s="2"/>
      <c r="L125" s="60"/>
      <c r="M125" s="60"/>
      <c r="N125" s="60"/>
    </row>
    <row r="126" spans="1:14" x14ac:dyDescent="0.3">
      <c r="A126" s="91">
        <v>42212</v>
      </c>
      <c r="B126" s="51" t="s">
        <v>416</v>
      </c>
      <c r="C126" s="92"/>
      <c r="D126" s="92">
        <f>+(5+2*4.25+2*3.5+3*2.75+5*2.25+4*1.5+2*5.5+2*4.75+2*3.75+5*3+3*2+3*1.25+4.5+1+3*0.75+6*3.25)*1.05+15</f>
        <v>147.30000000000001</v>
      </c>
      <c r="E126" s="69">
        <f t="shared" si="15"/>
        <v>15581.84250000001</v>
      </c>
      <c r="F126" s="92"/>
      <c r="G126" s="17">
        <f t="shared" si="19"/>
        <v>25.890060140808025</v>
      </c>
      <c r="H126" s="92"/>
      <c r="I126" s="64">
        <f t="shared" si="20"/>
        <v>3813.6058587410225</v>
      </c>
      <c r="J126" s="64">
        <f t="shared" si="21"/>
        <v>403414.83942959871</v>
      </c>
      <c r="K126" s="2"/>
      <c r="L126" s="60"/>
      <c r="M126" s="60"/>
      <c r="N126" s="60"/>
    </row>
    <row r="127" spans="1:14" x14ac:dyDescent="0.3">
      <c r="A127" s="91">
        <v>42213</v>
      </c>
      <c r="B127" s="51" t="s">
        <v>421</v>
      </c>
      <c r="C127" s="92"/>
      <c r="D127" s="92">
        <f>+(4*3)*1.05</f>
        <v>12.600000000000001</v>
      </c>
      <c r="E127" s="69">
        <f t="shared" si="15"/>
        <v>15569.242500000009</v>
      </c>
      <c r="F127" s="92"/>
      <c r="G127" s="17">
        <f t="shared" si="19"/>
        <v>25.890060140808025</v>
      </c>
      <c r="H127" s="92"/>
      <c r="I127" s="64">
        <f t="shared" si="20"/>
        <v>326.21475777418112</v>
      </c>
      <c r="J127" s="64">
        <f t="shared" si="21"/>
        <v>403088.62467182451</v>
      </c>
      <c r="K127" s="2"/>
      <c r="L127" s="60"/>
      <c r="M127" s="60"/>
      <c r="N127" s="60"/>
    </row>
    <row r="128" spans="1:14" x14ac:dyDescent="0.3">
      <c r="A128" s="91">
        <v>42213</v>
      </c>
      <c r="B128" s="51" t="s">
        <v>422</v>
      </c>
      <c r="C128" s="92"/>
      <c r="D128" s="92">
        <f>+(4*4.25+4*4)*1.05</f>
        <v>34.65</v>
      </c>
      <c r="E128" s="69">
        <f t="shared" si="15"/>
        <v>15534.59250000001</v>
      </c>
      <c r="F128" s="92"/>
      <c r="G128" s="17">
        <f t="shared" si="19"/>
        <v>25.890060140808025</v>
      </c>
      <c r="H128" s="92"/>
      <c r="I128" s="64">
        <f t="shared" si="20"/>
        <v>897.09058387899802</v>
      </c>
      <c r="J128" s="64">
        <f t="shared" si="21"/>
        <v>402191.53408794553</v>
      </c>
      <c r="K128" s="2"/>
      <c r="L128" s="60"/>
      <c r="M128" s="60"/>
      <c r="N128" s="60"/>
    </row>
    <row r="129" spans="1:14" x14ac:dyDescent="0.3">
      <c r="A129" s="91">
        <v>42213</v>
      </c>
      <c r="B129" s="51" t="s">
        <v>423</v>
      </c>
      <c r="C129" s="92"/>
      <c r="D129" s="92">
        <f>+(4*6.5)*1.05</f>
        <v>27.3</v>
      </c>
      <c r="E129" s="69">
        <f t="shared" si="15"/>
        <v>15507.29250000001</v>
      </c>
      <c r="F129" s="92"/>
      <c r="G129" s="17">
        <f t="shared" si="19"/>
        <v>25.890060140808025</v>
      </c>
      <c r="H129" s="92"/>
      <c r="I129" s="64">
        <f t="shared" si="20"/>
        <v>706.79864184405915</v>
      </c>
      <c r="J129" s="64">
        <f t="shared" si="21"/>
        <v>401484.73544610146</v>
      </c>
      <c r="K129" s="2"/>
      <c r="L129" s="60"/>
      <c r="M129" s="60"/>
      <c r="N129" s="60"/>
    </row>
    <row r="130" spans="1:14" x14ac:dyDescent="0.3">
      <c r="A130" s="91">
        <v>42213</v>
      </c>
      <c r="B130" s="51" t="s">
        <v>430</v>
      </c>
      <c r="C130" s="92"/>
      <c r="D130" s="92">
        <v>0</v>
      </c>
      <c r="E130" s="69">
        <f t="shared" si="15"/>
        <v>15507.29250000001</v>
      </c>
      <c r="F130" s="92"/>
      <c r="G130" s="17">
        <f t="shared" si="19"/>
        <v>25.890060140808021</v>
      </c>
      <c r="H130" s="92"/>
      <c r="I130" s="64">
        <f t="shared" si="20"/>
        <v>0</v>
      </c>
      <c r="J130" s="64">
        <f t="shared" si="21"/>
        <v>401484.73544610146</v>
      </c>
      <c r="K130" s="2"/>
      <c r="L130" s="60"/>
      <c r="M130" s="60"/>
      <c r="N130" s="60"/>
    </row>
    <row r="131" spans="1:14" x14ac:dyDescent="0.3">
      <c r="A131" s="91">
        <v>42213</v>
      </c>
      <c r="B131" s="51" t="s">
        <v>431</v>
      </c>
      <c r="C131" s="92"/>
      <c r="D131" s="92">
        <f>+(7*5)*1.05</f>
        <v>36.75</v>
      </c>
      <c r="E131" s="69">
        <f t="shared" si="15"/>
        <v>15470.54250000001</v>
      </c>
      <c r="F131" s="92"/>
      <c r="G131" s="17">
        <f t="shared" si="19"/>
        <v>25.890060140808021</v>
      </c>
      <c r="H131" s="92"/>
      <c r="I131" s="64">
        <f t="shared" si="20"/>
        <v>951.45971017469481</v>
      </c>
      <c r="J131" s="64">
        <f t="shared" si="21"/>
        <v>400533.27573592676</v>
      </c>
      <c r="K131" s="2"/>
      <c r="L131" s="60"/>
      <c r="M131" s="60"/>
      <c r="N131" s="60"/>
    </row>
    <row r="132" spans="1:14" x14ac:dyDescent="0.3">
      <c r="A132" s="91">
        <v>42214</v>
      </c>
      <c r="B132" s="51" t="s">
        <v>434</v>
      </c>
      <c r="C132" s="92"/>
      <c r="D132" s="92">
        <f>+(6*4.75+6*3.25+2*3.5+2*2.25)*1.05+7</f>
        <v>69.474999999999994</v>
      </c>
      <c r="E132" s="69">
        <f t="shared" si="15"/>
        <v>15401.06750000001</v>
      </c>
      <c r="F132" s="92"/>
      <c r="G132" s="17">
        <f t="shared" si="19"/>
        <v>25.890060140808021</v>
      </c>
      <c r="H132" s="92"/>
      <c r="I132" s="64">
        <f t="shared" si="20"/>
        <v>1798.7119282826372</v>
      </c>
      <c r="J132" s="64">
        <f t="shared" si="21"/>
        <v>398734.56380764412</v>
      </c>
      <c r="K132" s="2"/>
      <c r="L132" s="60"/>
      <c r="M132" s="60"/>
      <c r="N132" s="60"/>
    </row>
    <row r="133" spans="1:14" x14ac:dyDescent="0.3">
      <c r="A133" s="91">
        <v>42215</v>
      </c>
      <c r="B133" s="51" t="s">
        <v>436</v>
      </c>
      <c r="C133" s="92"/>
      <c r="D133" s="92">
        <f>+(2*3.75)*1.05</f>
        <v>7.875</v>
      </c>
      <c r="E133" s="69">
        <f t="shared" si="15"/>
        <v>15393.19250000001</v>
      </c>
      <c r="F133" s="92"/>
      <c r="G133" s="17">
        <f t="shared" si="19"/>
        <v>25.890060140808021</v>
      </c>
      <c r="H133" s="92"/>
      <c r="I133" s="64">
        <f t="shared" si="20"/>
        <v>203.88422360886318</v>
      </c>
      <c r="J133" s="64">
        <f t="shared" si="21"/>
        <v>398530.67958403524</v>
      </c>
      <c r="K133" s="2"/>
      <c r="L133" s="60"/>
      <c r="M133" s="60"/>
      <c r="N133" s="60"/>
    </row>
    <row r="134" spans="1:14" x14ac:dyDescent="0.3">
      <c r="A134" s="91">
        <v>42216</v>
      </c>
      <c r="B134" s="51" t="s">
        <v>444</v>
      </c>
      <c r="C134" s="92"/>
      <c r="D134" s="92">
        <f>+(24*6.5)*1.05+5</f>
        <v>168.8</v>
      </c>
      <c r="E134" s="69">
        <f t="shared" si="15"/>
        <v>15224.392500000011</v>
      </c>
      <c r="F134" s="92"/>
      <c r="G134" s="17">
        <f t="shared" si="19"/>
        <v>25.890060140808021</v>
      </c>
      <c r="H134" s="92"/>
      <c r="I134" s="64">
        <f t="shared" si="20"/>
        <v>4370.2421517683943</v>
      </c>
      <c r="J134" s="64">
        <f t="shared" si="21"/>
        <v>394160.43743226683</v>
      </c>
      <c r="K134" s="2"/>
      <c r="L134" s="60"/>
      <c r="M134" s="60"/>
      <c r="N134" s="60"/>
    </row>
    <row r="135" spans="1:14" x14ac:dyDescent="0.3">
      <c r="A135" s="91">
        <v>42216</v>
      </c>
      <c r="B135" s="51" t="s">
        <v>448</v>
      </c>
      <c r="C135" s="92"/>
      <c r="D135" s="92">
        <v>2</v>
      </c>
      <c r="E135" s="69">
        <f t="shared" si="15"/>
        <v>15222.392500000011</v>
      </c>
      <c r="F135" s="92"/>
      <c r="G135" s="17">
        <f t="shared" si="19"/>
        <v>25.890060140808018</v>
      </c>
      <c r="H135" s="92"/>
      <c r="I135" s="64">
        <f t="shared" si="20"/>
        <v>51.780120281616036</v>
      </c>
      <c r="J135" s="64">
        <f t="shared" si="21"/>
        <v>394108.65731198521</v>
      </c>
      <c r="K135" s="82"/>
      <c r="L135" s="90">
        <f>SUM(I109:I135)</f>
        <v>50834.485834973035</v>
      </c>
      <c r="M135" s="90">
        <f>SUM(L108:L135)</f>
        <v>94237.100456226442</v>
      </c>
      <c r="N135" s="162">
        <v>42216</v>
      </c>
    </row>
    <row r="136" spans="1:14" x14ac:dyDescent="0.3">
      <c r="A136" s="91">
        <v>42220</v>
      </c>
      <c r="B136" s="51" t="s">
        <v>456</v>
      </c>
      <c r="C136" s="92"/>
      <c r="D136" s="92">
        <f>+(20*5.5)*1.05+4</f>
        <v>119.5</v>
      </c>
      <c r="E136" s="69">
        <f t="shared" si="15"/>
        <v>15102.892500000011</v>
      </c>
      <c r="F136" s="92"/>
      <c r="G136" s="17">
        <f t="shared" si="19"/>
        <v>25.890060140808018</v>
      </c>
      <c r="H136" s="92"/>
      <c r="I136" s="64">
        <f t="shared" si="20"/>
        <v>3093.8621868265582</v>
      </c>
      <c r="J136" s="64">
        <f t="shared" si="21"/>
        <v>391014.79512515868</v>
      </c>
      <c r="K136" s="2"/>
      <c r="L136" s="60"/>
      <c r="M136" s="60"/>
      <c r="N136" s="60"/>
    </row>
    <row r="137" spans="1:14" x14ac:dyDescent="0.3">
      <c r="A137" s="91">
        <v>42221</v>
      </c>
      <c r="B137" s="51" t="s">
        <v>459</v>
      </c>
      <c r="C137" s="92"/>
      <c r="D137" s="92">
        <f>+(46*4+17*4.75+88*6)*1.05</f>
        <v>832.38750000000005</v>
      </c>
      <c r="E137" s="69">
        <f t="shared" si="15"/>
        <v>14270.50500000001</v>
      </c>
      <c r="F137" s="92"/>
      <c r="G137" s="17">
        <f t="shared" si="19"/>
        <v>25.890060140808021</v>
      </c>
      <c r="H137" s="92"/>
      <c r="I137" s="64">
        <f t="shared" si="20"/>
        <v>21550.562435456839</v>
      </c>
      <c r="J137" s="64">
        <f t="shared" si="21"/>
        <v>369464.23268970184</v>
      </c>
      <c r="K137" s="2"/>
      <c r="L137" s="60"/>
      <c r="M137" s="60"/>
      <c r="N137" s="60"/>
    </row>
    <row r="138" spans="1:14" x14ac:dyDescent="0.3">
      <c r="A138" s="91">
        <v>42223</v>
      </c>
      <c r="B138" s="51" t="s">
        <v>461</v>
      </c>
      <c r="C138" s="92"/>
      <c r="D138" s="92">
        <f>+(4*2.25+2*1.75+2.5+6*1)*1.05+4</f>
        <v>26.05</v>
      </c>
      <c r="E138" s="69">
        <f t="shared" si="15"/>
        <v>14244.455000000011</v>
      </c>
      <c r="F138" s="92"/>
      <c r="G138" s="17">
        <f t="shared" si="19"/>
        <v>25.890060140808021</v>
      </c>
      <c r="H138" s="92"/>
      <c r="I138" s="64">
        <f t="shared" si="20"/>
        <v>674.43606666804897</v>
      </c>
      <c r="J138" s="64">
        <f t="shared" si="21"/>
        <v>368789.79662303376</v>
      </c>
      <c r="K138" s="2"/>
      <c r="L138" s="60"/>
      <c r="M138" s="60"/>
      <c r="N138" s="60"/>
    </row>
    <row r="139" spans="1:14" x14ac:dyDescent="0.3">
      <c r="A139" s="91">
        <v>42224</v>
      </c>
      <c r="B139" s="51" t="s">
        <v>464</v>
      </c>
      <c r="C139" s="92"/>
      <c r="D139" s="92">
        <f>+(8*5.25)*1.05</f>
        <v>44.1</v>
      </c>
      <c r="E139" s="69">
        <f t="shared" si="15"/>
        <v>14200.35500000001</v>
      </c>
      <c r="F139" s="92"/>
      <c r="G139" s="17">
        <f t="shared" si="19"/>
        <v>25.890060140808018</v>
      </c>
      <c r="H139" s="92"/>
      <c r="I139" s="64">
        <f t="shared" si="20"/>
        <v>1141.7516522096337</v>
      </c>
      <c r="J139" s="64">
        <f t="shared" si="21"/>
        <v>367648.04497082415</v>
      </c>
      <c r="K139" s="2"/>
      <c r="L139" s="60"/>
      <c r="M139" s="60"/>
      <c r="N139" s="60"/>
    </row>
    <row r="140" spans="1:14" x14ac:dyDescent="0.3">
      <c r="A140" s="91">
        <v>42227</v>
      </c>
      <c r="B140" s="51" t="s">
        <v>466</v>
      </c>
      <c r="C140" s="92"/>
      <c r="D140" s="92">
        <f>+(3*6.5+5*8.75+8.5+3*8+2*5.75+5.25+4.5+2*3)*1.05</f>
        <v>129.15</v>
      </c>
      <c r="E140" s="69">
        <f t="shared" si="15"/>
        <v>14071.205000000011</v>
      </c>
      <c r="F140" s="92"/>
      <c r="G140" s="17">
        <f t="shared" si="19"/>
        <v>25.890060140808021</v>
      </c>
      <c r="H140" s="92"/>
      <c r="I140" s="64">
        <f t="shared" si="20"/>
        <v>3343.7012671853563</v>
      </c>
      <c r="J140" s="64">
        <f t="shared" si="21"/>
        <v>364304.34370363882</v>
      </c>
      <c r="K140" s="2"/>
      <c r="L140" s="60"/>
      <c r="M140" s="60"/>
      <c r="N140" s="60"/>
    </row>
    <row r="141" spans="1:14" x14ac:dyDescent="0.3">
      <c r="A141" s="91">
        <v>42227</v>
      </c>
      <c r="B141" s="51" t="s">
        <v>467</v>
      </c>
      <c r="C141" s="92"/>
      <c r="D141" s="92">
        <f>+(9*2.75)*1.05</f>
        <v>25.987500000000001</v>
      </c>
      <c r="E141" s="69">
        <f t="shared" si="15"/>
        <v>14045.217500000012</v>
      </c>
      <c r="F141" s="92"/>
      <c r="G141" s="17">
        <f t="shared" ref="G141:G152" si="22">+J140/E140</f>
        <v>25.890060140808021</v>
      </c>
      <c r="H141" s="92"/>
      <c r="I141" s="64">
        <f t="shared" ref="I141:I152" si="23">+D141*G141</f>
        <v>672.81793790924849</v>
      </c>
      <c r="J141" s="64">
        <f t="shared" ref="J141:J152" si="24">+J140-I141</f>
        <v>363631.52576572954</v>
      </c>
      <c r="K141" s="2"/>
      <c r="L141" s="60"/>
      <c r="M141" s="60"/>
      <c r="N141" s="60"/>
    </row>
    <row r="142" spans="1:14" x14ac:dyDescent="0.3">
      <c r="A142" s="91">
        <v>42227</v>
      </c>
      <c r="B142" s="51" t="s">
        <v>468</v>
      </c>
      <c r="C142" s="92"/>
      <c r="D142" s="92">
        <f>+(10*1)*1.05</f>
        <v>10.5</v>
      </c>
      <c r="E142" s="69">
        <f t="shared" si="15"/>
        <v>14034.717500000012</v>
      </c>
      <c r="F142" s="92"/>
      <c r="G142" s="17">
        <f t="shared" si="22"/>
        <v>25.890060140808018</v>
      </c>
      <c r="H142" s="92"/>
      <c r="I142" s="64">
        <f t="shared" si="23"/>
        <v>271.84563147848417</v>
      </c>
      <c r="J142" s="64">
        <f t="shared" si="24"/>
        <v>363359.68013425107</v>
      </c>
      <c r="K142" s="2"/>
      <c r="L142" s="60"/>
      <c r="M142" s="60"/>
      <c r="N142" s="60"/>
    </row>
    <row r="143" spans="1:14" x14ac:dyDescent="0.3">
      <c r="A143" s="91">
        <v>42227</v>
      </c>
      <c r="B143" s="51" t="s">
        <v>470</v>
      </c>
      <c r="C143" s="92"/>
      <c r="D143" s="92">
        <f>3*1.05</f>
        <v>3.1500000000000004</v>
      </c>
      <c r="E143" s="69">
        <f t="shared" si="15"/>
        <v>14031.567500000012</v>
      </c>
      <c r="F143" s="92"/>
      <c r="G143" s="17">
        <f t="shared" si="22"/>
        <v>25.890060140808018</v>
      </c>
      <c r="H143" s="92"/>
      <c r="I143" s="64">
        <f t="shared" si="23"/>
        <v>81.553689443545267</v>
      </c>
      <c r="J143" s="64">
        <f t="shared" si="24"/>
        <v>363278.12644480751</v>
      </c>
      <c r="K143" s="2"/>
      <c r="L143" s="60"/>
      <c r="M143" s="60"/>
      <c r="N143" s="60"/>
    </row>
    <row r="144" spans="1:14" x14ac:dyDescent="0.3">
      <c r="A144" s="91">
        <v>42228</v>
      </c>
      <c r="B144" s="51" t="s">
        <v>471</v>
      </c>
      <c r="C144" s="92"/>
      <c r="D144" s="92">
        <v>2</v>
      </c>
      <c r="E144" s="69">
        <f t="shared" si="15"/>
        <v>14029.567500000012</v>
      </c>
      <c r="F144" s="92"/>
      <c r="G144" s="17">
        <f t="shared" si="22"/>
        <v>25.890060140808018</v>
      </c>
      <c r="H144" s="92"/>
      <c r="I144" s="64">
        <f t="shared" si="23"/>
        <v>51.780120281616036</v>
      </c>
      <c r="J144" s="64">
        <f t="shared" si="24"/>
        <v>363226.34632452589</v>
      </c>
      <c r="K144" s="2"/>
      <c r="L144" s="60"/>
      <c r="M144" s="60"/>
      <c r="N144" s="60"/>
    </row>
    <row r="145" spans="1:14" x14ac:dyDescent="0.3">
      <c r="A145" s="91">
        <v>42228</v>
      </c>
      <c r="B145" s="51" t="s">
        <v>473</v>
      </c>
      <c r="C145" s="92"/>
      <c r="D145" s="92">
        <f>+(10*5+14*5.5)*1.05</f>
        <v>133.35</v>
      </c>
      <c r="E145" s="69">
        <f t="shared" si="15"/>
        <v>13896.217500000012</v>
      </c>
      <c r="F145" s="92"/>
      <c r="G145" s="17">
        <f t="shared" si="22"/>
        <v>25.890060140808018</v>
      </c>
      <c r="H145" s="92"/>
      <c r="I145" s="64">
        <f t="shared" si="23"/>
        <v>3452.439519776749</v>
      </c>
      <c r="J145" s="64">
        <f t="shared" si="24"/>
        <v>359773.90680474916</v>
      </c>
      <c r="K145" s="2"/>
      <c r="L145" s="60"/>
      <c r="M145" s="60"/>
      <c r="N145" s="60"/>
    </row>
    <row r="146" spans="1:14" x14ac:dyDescent="0.3">
      <c r="A146" s="91">
        <v>42229</v>
      </c>
      <c r="B146" s="51" t="s">
        <v>474</v>
      </c>
      <c r="C146" s="92"/>
      <c r="D146" s="92">
        <f>5.25*1.05</f>
        <v>5.5125000000000002</v>
      </c>
      <c r="E146" s="69">
        <f t="shared" si="15"/>
        <v>13890.705000000011</v>
      </c>
      <c r="F146" s="92"/>
      <c r="G146" s="17">
        <f t="shared" si="22"/>
        <v>25.890060140808018</v>
      </c>
      <c r="H146" s="92"/>
      <c r="I146" s="64">
        <f t="shared" si="23"/>
        <v>142.71895652620421</v>
      </c>
      <c r="J146" s="64">
        <f t="shared" si="24"/>
        <v>359631.18784822297</v>
      </c>
      <c r="K146" s="2"/>
      <c r="L146" s="60"/>
      <c r="M146" s="60"/>
      <c r="N146" s="60"/>
    </row>
    <row r="147" spans="1:14" s="77" customFormat="1" x14ac:dyDescent="0.3">
      <c r="A147" s="155">
        <v>42229</v>
      </c>
      <c r="B147" s="48" t="s">
        <v>476</v>
      </c>
      <c r="C147" s="157"/>
      <c r="D147" s="157">
        <f>+(8*1.75)*1.05</f>
        <v>14.700000000000001</v>
      </c>
      <c r="E147" s="69">
        <f t="shared" si="15"/>
        <v>13876.00500000001</v>
      </c>
      <c r="F147" s="157"/>
      <c r="G147" s="62">
        <f t="shared" si="22"/>
        <v>25.890060140808021</v>
      </c>
      <c r="H147" s="157"/>
      <c r="I147" s="68">
        <f t="shared" si="23"/>
        <v>380.58388406987797</v>
      </c>
      <c r="J147" s="68">
        <f t="shared" si="24"/>
        <v>359250.6039641531</v>
      </c>
      <c r="K147" s="80"/>
      <c r="L147" s="167"/>
      <c r="M147" s="167"/>
      <c r="N147" s="167"/>
    </row>
    <row r="148" spans="1:14" x14ac:dyDescent="0.3">
      <c r="A148" s="91">
        <v>42230</v>
      </c>
      <c r="B148" s="51" t="s">
        <v>481</v>
      </c>
      <c r="C148" s="92"/>
      <c r="D148" s="92">
        <f>6</f>
        <v>6</v>
      </c>
      <c r="E148" s="69">
        <f t="shared" si="15"/>
        <v>13870.00500000001</v>
      </c>
      <c r="F148" s="92"/>
      <c r="G148" s="17">
        <f t="shared" si="22"/>
        <v>25.890060140808025</v>
      </c>
      <c r="H148" s="92"/>
      <c r="I148" s="64">
        <f t="shared" si="23"/>
        <v>155.34036084484814</v>
      </c>
      <c r="J148" s="64">
        <f t="shared" si="24"/>
        <v>359095.26360330824</v>
      </c>
      <c r="K148" s="2"/>
      <c r="L148" s="60"/>
      <c r="M148" s="60"/>
      <c r="N148" s="60"/>
    </row>
    <row r="149" spans="1:14" x14ac:dyDescent="0.3">
      <c r="A149" s="91">
        <v>42230</v>
      </c>
      <c r="B149" s="51" t="s">
        <v>482</v>
      </c>
      <c r="C149" s="92"/>
      <c r="D149" s="92">
        <f>(10*0.75+10*1)*1.05</f>
        <v>18.375</v>
      </c>
      <c r="E149" s="69">
        <f t="shared" si="15"/>
        <v>13851.63000000001</v>
      </c>
      <c r="F149" s="92"/>
      <c r="G149" s="17">
        <f t="shared" si="22"/>
        <v>25.890060140808021</v>
      </c>
      <c r="H149" s="92"/>
      <c r="I149" s="64">
        <f t="shared" si="23"/>
        <v>475.7298550873474</v>
      </c>
      <c r="J149" s="64">
        <f t="shared" si="24"/>
        <v>358619.53374822089</v>
      </c>
      <c r="K149" s="2"/>
      <c r="L149" s="60"/>
      <c r="M149" s="60"/>
      <c r="N149" s="60"/>
    </row>
    <row r="150" spans="1:14" x14ac:dyDescent="0.3">
      <c r="A150" s="91">
        <v>42231</v>
      </c>
      <c r="B150" s="51" t="s">
        <v>483</v>
      </c>
      <c r="C150" s="92"/>
      <c r="D150" s="92">
        <f>(4*0.75)*1.05+1</f>
        <v>4.1500000000000004</v>
      </c>
      <c r="E150" s="69">
        <f t="shared" si="15"/>
        <v>13847.48000000001</v>
      </c>
      <c r="F150" s="92"/>
      <c r="G150" s="17">
        <f t="shared" si="22"/>
        <v>25.890060140808021</v>
      </c>
      <c r="H150" s="92"/>
      <c r="I150" s="64">
        <f t="shared" si="23"/>
        <v>107.4437495843533</v>
      </c>
      <c r="J150" s="64">
        <f t="shared" si="24"/>
        <v>358512.08999863651</v>
      </c>
      <c r="K150" s="2"/>
      <c r="L150" s="60"/>
      <c r="M150" s="60"/>
      <c r="N150" s="60"/>
    </row>
    <row r="151" spans="1:14" x14ac:dyDescent="0.3">
      <c r="A151" s="91">
        <v>42231</v>
      </c>
      <c r="B151" s="51" t="s">
        <v>484</v>
      </c>
      <c r="C151" s="92"/>
      <c r="D151" s="92">
        <f>(9*7)*1.05+2</f>
        <v>68.150000000000006</v>
      </c>
      <c r="E151" s="69">
        <f t="shared" si="15"/>
        <v>13779.330000000011</v>
      </c>
      <c r="F151" s="92"/>
      <c r="G151" s="17">
        <f t="shared" si="22"/>
        <v>25.890060140808021</v>
      </c>
      <c r="H151" s="92"/>
      <c r="I151" s="64">
        <f t="shared" si="23"/>
        <v>1764.4075985960667</v>
      </c>
      <c r="J151" s="64">
        <f t="shared" si="24"/>
        <v>356747.68240004044</v>
      </c>
      <c r="K151" s="2"/>
      <c r="L151" s="60"/>
      <c r="M151" s="60"/>
      <c r="N151" s="60"/>
    </row>
    <row r="152" spans="1:14" x14ac:dyDescent="0.3">
      <c r="A152" s="91">
        <v>42233</v>
      </c>
      <c r="B152" s="51" t="s">
        <v>487</v>
      </c>
      <c r="C152" s="92"/>
      <c r="D152" s="92">
        <f>(7*4.25)*1.05</f>
        <v>31.237500000000001</v>
      </c>
      <c r="E152" s="69">
        <f t="shared" si="15"/>
        <v>13748.092500000012</v>
      </c>
      <c r="F152" s="92"/>
      <c r="G152" s="17">
        <f t="shared" si="22"/>
        <v>25.890060140808018</v>
      </c>
      <c r="H152" s="92"/>
      <c r="I152" s="64">
        <f t="shared" si="23"/>
        <v>808.74075364849045</v>
      </c>
      <c r="J152" s="64">
        <f t="shared" si="24"/>
        <v>355938.94164639193</v>
      </c>
      <c r="K152" s="82"/>
      <c r="L152" s="90">
        <f>SUM(I136:I152)</f>
        <v>38169.715665593263</v>
      </c>
      <c r="M152" s="89"/>
      <c r="N152" s="162">
        <v>42234</v>
      </c>
    </row>
    <row r="153" spans="1:14" s="34" customFormat="1" x14ac:dyDescent="0.3">
      <c r="A153" s="91">
        <v>42235</v>
      </c>
      <c r="B153" s="51" t="s">
        <v>496</v>
      </c>
      <c r="C153" s="92"/>
      <c r="D153" s="92">
        <f>(2*5)*1.05</f>
        <v>10.5</v>
      </c>
      <c r="E153" s="69">
        <f t="shared" si="15"/>
        <v>13737.592500000012</v>
      </c>
      <c r="F153" s="92"/>
      <c r="G153" s="17">
        <f t="shared" ref="G153:G177" si="25">+J152/E152</f>
        <v>25.890060140808018</v>
      </c>
      <c r="H153" s="92"/>
      <c r="I153" s="64">
        <f t="shared" ref="I153:I177" si="26">+D153*G153</f>
        <v>271.84563147848417</v>
      </c>
      <c r="J153" s="64">
        <f t="shared" ref="J153:J177" si="27">+J152-I153</f>
        <v>355667.09601491346</v>
      </c>
      <c r="K153" s="2"/>
      <c r="L153" s="60"/>
      <c r="M153" s="60"/>
      <c r="N153" s="60"/>
    </row>
    <row r="154" spans="1:14" s="34" customFormat="1" x14ac:dyDescent="0.3">
      <c r="A154" s="91">
        <v>42235</v>
      </c>
      <c r="B154" s="51" t="s">
        <v>497</v>
      </c>
      <c r="C154" s="92"/>
      <c r="D154" s="92">
        <f>(7*5.25+7*4.25+12*3.5+16*2.5+4*2+21*4)*1.05+22</f>
        <v>274.52499999999998</v>
      </c>
      <c r="E154" s="69">
        <f t="shared" si="15"/>
        <v>13463.067500000012</v>
      </c>
      <c r="F154" s="92"/>
      <c r="G154" s="17">
        <f t="shared" si="25"/>
        <v>25.890060140808018</v>
      </c>
      <c r="H154" s="92"/>
      <c r="I154" s="64">
        <f t="shared" si="26"/>
        <v>7107.4687601553205</v>
      </c>
      <c r="J154" s="64">
        <f t="shared" si="27"/>
        <v>348559.62725475815</v>
      </c>
      <c r="K154" s="2"/>
      <c r="L154" s="60"/>
      <c r="M154" s="60"/>
      <c r="N154" s="60"/>
    </row>
    <row r="155" spans="1:14" s="34" customFormat="1" x14ac:dyDescent="0.3">
      <c r="A155" s="91">
        <v>42235</v>
      </c>
      <c r="B155" s="51" t="s">
        <v>499</v>
      </c>
      <c r="C155" s="92"/>
      <c r="D155" s="92">
        <f>(1.25)*1.05</f>
        <v>1.3125</v>
      </c>
      <c r="E155" s="69">
        <f t="shared" si="15"/>
        <v>13461.755000000012</v>
      </c>
      <c r="F155" s="92"/>
      <c r="G155" s="17">
        <f t="shared" si="25"/>
        <v>25.890060140808018</v>
      </c>
      <c r="H155" s="92"/>
      <c r="I155" s="64">
        <f t="shared" si="26"/>
        <v>33.980703934810521</v>
      </c>
      <c r="J155" s="64">
        <f t="shared" si="27"/>
        <v>348525.64655082335</v>
      </c>
      <c r="K155" s="2"/>
      <c r="L155" s="60"/>
      <c r="M155" s="60"/>
      <c r="N155" s="60"/>
    </row>
    <row r="156" spans="1:14" s="34" customFormat="1" x14ac:dyDescent="0.3">
      <c r="A156" s="91">
        <v>42236</v>
      </c>
      <c r="B156" s="51" t="s">
        <v>500</v>
      </c>
      <c r="C156" s="92"/>
      <c r="D156" s="92">
        <f>(6*1.25+4*1.5+2*1)*1.05</f>
        <v>16.275000000000002</v>
      </c>
      <c r="E156" s="69">
        <f t="shared" si="15"/>
        <v>13445.480000000012</v>
      </c>
      <c r="F156" s="92"/>
      <c r="G156" s="17">
        <f t="shared" si="25"/>
        <v>25.890060140808018</v>
      </c>
      <c r="H156" s="92"/>
      <c r="I156" s="64">
        <f t="shared" si="26"/>
        <v>421.36072879165056</v>
      </c>
      <c r="J156" s="64">
        <f t="shared" si="27"/>
        <v>348104.28582203173</v>
      </c>
      <c r="K156" s="2"/>
      <c r="L156" s="60"/>
      <c r="M156" s="60"/>
      <c r="N156" s="60"/>
    </row>
    <row r="157" spans="1:14" s="34" customFormat="1" x14ac:dyDescent="0.3">
      <c r="A157" s="91">
        <v>42236</v>
      </c>
      <c r="B157" s="51" t="s">
        <v>504</v>
      </c>
      <c r="C157" s="92"/>
      <c r="D157" s="92">
        <f>4</f>
        <v>4</v>
      </c>
      <c r="E157" s="69">
        <f t="shared" si="15"/>
        <v>13441.480000000012</v>
      </c>
      <c r="F157" s="92"/>
      <c r="G157" s="17">
        <f t="shared" si="25"/>
        <v>25.890060140808018</v>
      </c>
      <c r="H157" s="92"/>
      <c r="I157" s="64">
        <f t="shared" si="26"/>
        <v>103.56024056323207</v>
      </c>
      <c r="J157" s="64">
        <f t="shared" si="27"/>
        <v>348000.72558146849</v>
      </c>
      <c r="K157" s="2"/>
      <c r="L157" s="60"/>
      <c r="M157" s="60"/>
      <c r="N157" s="60"/>
    </row>
    <row r="158" spans="1:14" s="34" customFormat="1" x14ac:dyDescent="0.3">
      <c r="A158" s="91">
        <v>42236</v>
      </c>
      <c r="B158" s="51" t="s">
        <v>506</v>
      </c>
      <c r="C158" s="92"/>
      <c r="D158" s="92">
        <f>(3*1)*1.05</f>
        <v>3.1500000000000004</v>
      </c>
      <c r="E158" s="69">
        <f t="shared" si="15"/>
        <v>13438.330000000013</v>
      </c>
      <c r="F158" s="92"/>
      <c r="G158" s="17">
        <f t="shared" si="25"/>
        <v>25.890060140808018</v>
      </c>
      <c r="H158" s="92"/>
      <c r="I158" s="64">
        <f t="shared" si="26"/>
        <v>81.553689443545267</v>
      </c>
      <c r="J158" s="64">
        <f t="shared" si="27"/>
        <v>347919.17189202493</v>
      </c>
      <c r="K158" s="2"/>
      <c r="L158" s="60"/>
      <c r="M158" s="60"/>
      <c r="N158" s="60"/>
    </row>
    <row r="159" spans="1:14" s="34" customFormat="1" x14ac:dyDescent="0.3">
      <c r="A159" s="91">
        <v>42236</v>
      </c>
      <c r="B159" s="51" t="s">
        <v>507</v>
      </c>
      <c r="C159" s="92"/>
      <c r="D159" s="92">
        <f>(4*6.25+5*7.5+4*5.25+2*2)*1.05+2</f>
        <v>93.875</v>
      </c>
      <c r="E159" s="69">
        <f t="shared" si="15"/>
        <v>13344.455000000013</v>
      </c>
      <c r="F159" s="92"/>
      <c r="G159" s="17">
        <f t="shared" si="25"/>
        <v>25.890060140808018</v>
      </c>
      <c r="H159" s="92"/>
      <c r="I159" s="64">
        <f t="shared" si="26"/>
        <v>2430.4293957183527</v>
      </c>
      <c r="J159" s="64">
        <f t="shared" si="27"/>
        <v>345488.7424963066</v>
      </c>
      <c r="K159" s="2"/>
      <c r="L159" s="60"/>
      <c r="M159" s="60"/>
      <c r="N159" s="60"/>
    </row>
    <row r="160" spans="1:14" s="34" customFormat="1" x14ac:dyDescent="0.3">
      <c r="A160" s="91">
        <v>42237</v>
      </c>
      <c r="B160" s="51" t="s">
        <v>509</v>
      </c>
      <c r="C160" s="92"/>
      <c r="D160" s="92">
        <f>(22*4.5+12*6.5+3*0.75)*1.05+5</f>
        <v>193.21250000000001</v>
      </c>
      <c r="E160" s="69">
        <f t="shared" ref="E160:E223" si="28">+E159-D160</f>
        <v>13151.242500000013</v>
      </c>
      <c r="F160" s="92"/>
      <c r="G160" s="17">
        <f t="shared" si="25"/>
        <v>25.890060140808018</v>
      </c>
      <c r="H160" s="92"/>
      <c r="I160" s="64">
        <f t="shared" si="26"/>
        <v>5002.2832449558691</v>
      </c>
      <c r="J160" s="64">
        <f t="shared" si="27"/>
        <v>340486.45925135072</v>
      </c>
      <c r="K160" s="2"/>
      <c r="L160" s="60"/>
      <c r="M160" s="60"/>
      <c r="N160" s="60"/>
    </row>
    <row r="161" spans="1:14" s="34" customFormat="1" x14ac:dyDescent="0.3">
      <c r="A161" s="91">
        <v>42240</v>
      </c>
      <c r="B161" s="51" t="s">
        <v>512</v>
      </c>
      <c r="C161" s="92"/>
      <c r="D161" s="92">
        <f>(3*2.25+2*0.75)*1.05+1</f>
        <v>9.6624999999999996</v>
      </c>
      <c r="E161" s="69">
        <f t="shared" si="28"/>
        <v>13141.580000000013</v>
      </c>
      <c r="F161" s="92"/>
      <c r="G161" s="17">
        <f t="shared" si="25"/>
        <v>25.890060140808018</v>
      </c>
      <c r="H161" s="92"/>
      <c r="I161" s="64">
        <f t="shared" si="26"/>
        <v>250.16270611055745</v>
      </c>
      <c r="J161" s="64">
        <f t="shared" si="27"/>
        <v>340236.29654524015</v>
      </c>
      <c r="K161" s="2"/>
      <c r="L161" s="60"/>
      <c r="M161" s="60"/>
      <c r="N161" s="60"/>
    </row>
    <row r="162" spans="1:14" s="34" customFormat="1" x14ac:dyDescent="0.3">
      <c r="A162" s="91">
        <v>42241</v>
      </c>
      <c r="B162" s="51" t="s">
        <v>513</v>
      </c>
      <c r="C162" s="92"/>
      <c r="D162" s="92">
        <f>(20*3.75)*1.05+4</f>
        <v>82.75</v>
      </c>
      <c r="E162" s="69">
        <f t="shared" si="28"/>
        <v>13058.830000000013</v>
      </c>
      <c r="F162" s="92"/>
      <c r="G162" s="17">
        <f t="shared" si="25"/>
        <v>25.890060140808018</v>
      </c>
      <c r="H162" s="92"/>
      <c r="I162" s="64">
        <f t="shared" si="26"/>
        <v>2142.4024766518633</v>
      </c>
      <c r="J162" s="64">
        <f t="shared" si="27"/>
        <v>338093.89406858827</v>
      </c>
      <c r="K162" s="2"/>
      <c r="L162" s="60"/>
      <c r="M162" s="60"/>
      <c r="N162" s="60"/>
    </row>
    <row r="163" spans="1:14" s="34" customFormat="1" x14ac:dyDescent="0.3">
      <c r="A163" s="91">
        <v>42241</v>
      </c>
      <c r="B163" s="51" t="s">
        <v>515</v>
      </c>
      <c r="C163" s="92"/>
      <c r="D163" s="92">
        <f>(11*3.75+21*4.75+5*3.5+11*6.75+4*2+3*2.75)*1.05</f>
        <v>261.45</v>
      </c>
      <c r="E163" s="69">
        <f t="shared" si="28"/>
        <v>12797.380000000012</v>
      </c>
      <c r="F163" s="92"/>
      <c r="G163" s="17">
        <f t="shared" si="25"/>
        <v>25.890060140808014</v>
      </c>
      <c r="H163" s="92"/>
      <c r="I163" s="64">
        <f t="shared" si="26"/>
        <v>6768.9562238142553</v>
      </c>
      <c r="J163" s="64">
        <f t="shared" si="27"/>
        <v>331324.93784477399</v>
      </c>
      <c r="K163" s="2"/>
      <c r="L163" s="60"/>
      <c r="M163" s="60"/>
      <c r="N163" s="60"/>
    </row>
    <row r="164" spans="1:14" s="34" customFormat="1" x14ac:dyDescent="0.3">
      <c r="A164" s="91">
        <v>42241</v>
      </c>
      <c r="B164" s="51" t="s">
        <v>516</v>
      </c>
      <c r="C164" s="92"/>
      <c r="D164" s="92">
        <f>(14*5.25+4*4.25+2*3.25+4*2.25+6*1.25+2*3.75+2*3+2*2.5+4*1.75+10*4.75+2*3.5+1.5+2*1)*1.05+12</f>
        <v>218.85000000000002</v>
      </c>
      <c r="E164" s="69">
        <f t="shared" si="28"/>
        <v>12578.530000000012</v>
      </c>
      <c r="F164" s="92"/>
      <c r="G164" s="17">
        <f t="shared" si="25"/>
        <v>25.890060140808014</v>
      </c>
      <c r="H164" s="92"/>
      <c r="I164" s="64">
        <f t="shared" si="26"/>
        <v>5666.0396618158347</v>
      </c>
      <c r="J164" s="64">
        <f t="shared" si="27"/>
        <v>325658.89818295813</v>
      </c>
      <c r="K164" s="2"/>
      <c r="L164" s="60"/>
      <c r="M164" s="60"/>
      <c r="N164" s="60"/>
    </row>
    <row r="165" spans="1:14" s="34" customFormat="1" x14ac:dyDescent="0.3">
      <c r="A165" s="91">
        <v>42242</v>
      </c>
      <c r="B165" s="51" t="s">
        <v>519</v>
      </c>
      <c r="C165" s="92"/>
      <c r="D165" s="92">
        <f>+(6.5+5.5+2*4.75+4+5*3+5*2.25+4*1.5+3*0.75+4*3.75+9*4.5+2*5.25+3.5+5*2.5+2+1+2*5)*1.05+10</f>
        <v>172.75</v>
      </c>
      <c r="E165" s="69">
        <f t="shared" si="28"/>
        <v>12405.780000000012</v>
      </c>
      <c r="F165" s="92"/>
      <c r="G165" s="17">
        <f t="shared" si="25"/>
        <v>25.890060140808014</v>
      </c>
      <c r="H165" s="92"/>
      <c r="I165" s="64">
        <f t="shared" si="26"/>
        <v>4472.5078893245845</v>
      </c>
      <c r="J165" s="64">
        <f t="shared" si="27"/>
        <v>321186.39029363357</v>
      </c>
      <c r="K165" s="2"/>
      <c r="L165" s="60"/>
      <c r="M165" s="60"/>
      <c r="N165" s="60"/>
    </row>
    <row r="166" spans="1:14" s="34" customFormat="1" x14ac:dyDescent="0.3">
      <c r="A166" s="91">
        <v>42242</v>
      </c>
      <c r="B166" s="51" t="s">
        <v>521</v>
      </c>
      <c r="C166" s="92"/>
      <c r="D166" s="92">
        <f>+(12*2.5)*1.05</f>
        <v>31.5</v>
      </c>
      <c r="E166" s="69">
        <f t="shared" si="28"/>
        <v>12374.280000000012</v>
      </c>
      <c r="F166" s="92"/>
      <c r="G166" s="17">
        <f t="shared" si="25"/>
        <v>25.890060140808014</v>
      </c>
      <c r="H166" s="92"/>
      <c r="I166" s="64">
        <f t="shared" si="26"/>
        <v>815.5368944354525</v>
      </c>
      <c r="J166" s="64">
        <f t="shared" si="27"/>
        <v>320370.85339919809</v>
      </c>
      <c r="K166" s="2"/>
      <c r="L166" s="60"/>
      <c r="M166" s="60"/>
      <c r="N166" s="60"/>
    </row>
    <row r="167" spans="1:14" s="34" customFormat="1" x14ac:dyDescent="0.3">
      <c r="A167" s="91">
        <v>42243</v>
      </c>
      <c r="B167" s="51" t="s">
        <v>523</v>
      </c>
      <c r="C167" s="92"/>
      <c r="D167" s="92">
        <f>+(16*1)*1.05+3</f>
        <v>19.8</v>
      </c>
      <c r="E167" s="69">
        <f t="shared" si="28"/>
        <v>12354.480000000012</v>
      </c>
      <c r="F167" s="92"/>
      <c r="G167" s="17">
        <f t="shared" si="25"/>
        <v>25.890060140808014</v>
      </c>
      <c r="H167" s="92"/>
      <c r="I167" s="64">
        <f t="shared" si="26"/>
        <v>512.62319078799874</v>
      </c>
      <c r="J167" s="64">
        <f t="shared" si="27"/>
        <v>319858.23020841012</v>
      </c>
      <c r="K167" s="2"/>
      <c r="L167" s="60"/>
      <c r="M167" s="60"/>
      <c r="N167" s="60"/>
    </row>
    <row r="168" spans="1:14" s="34" customFormat="1" x14ac:dyDescent="0.3">
      <c r="A168" s="91">
        <v>42244</v>
      </c>
      <c r="B168" s="51" t="s">
        <v>527</v>
      </c>
      <c r="C168" s="92"/>
      <c r="D168" s="92">
        <f>+(3*0.75)*1.05</f>
        <v>2.3625000000000003</v>
      </c>
      <c r="E168" s="69">
        <f t="shared" si="28"/>
        <v>12352.117500000013</v>
      </c>
      <c r="F168" s="92"/>
      <c r="G168" s="17">
        <f t="shared" si="25"/>
        <v>25.890060140808014</v>
      </c>
      <c r="H168" s="92"/>
      <c r="I168" s="64">
        <f t="shared" si="26"/>
        <v>61.165267082658943</v>
      </c>
      <c r="J168" s="64">
        <f t="shared" si="27"/>
        <v>319797.06494132744</v>
      </c>
      <c r="K168" s="2"/>
      <c r="L168" s="60"/>
      <c r="M168" s="60"/>
      <c r="N168" s="60"/>
    </row>
    <row r="169" spans="1:14" s="34" customFormat="1" x14ac:dyDescent="0.3">
      <c r="A169" s="91">
        <v>42245</v>
      </c>
      <c r="B169" s="51" t="s">
        <v>529</v>
      </c>
      <c r="C169" s="92"/>
      <c r="D169" s="92">
        <f>+(8*4)*1.05</f>
        <v>33.6</v>
      </c>
      <c r="E169" s="69">
        <f t="shared" si="28"/>
        <v>12318.517500000013</v>
      </c>
      <c r="F169" s="92"/>
      <c r="G169" s="17">
        <f t="shared" si="25"/>
        <v>25.890060140808011</v>
      </c>
      <c r="H169" s="92"/>
      <c r="I169" s="64">
        <f t="shared" si="26"/>
        <v>869.90602073114917</v>
      </c>
      <c r="J169" s="64">
        <f t="shared" si="27"/>
        <v>318927.1589205963</v>
      </c>
      <c r="K169" s="2"/>
      <c r="L169" s="60"/>
      <c r="M169" s="60"/>
      <c r="N169" s="60"/>
    </row>
    <row r="170" spans="1:14" s="34" customFormat="1" x14ac:dyDescent="0.3">
      <c r="A170" s="91">
        <v>42245</v>
      </c>
      <c r="B170" s="51" t="s">
        <v>530</v>
      </c>
      <c r="C170" s="92"/>
      <c r="D170" s="92">
        <f>+(24*5.25)*1.04+4</f>
        <v>135.04</v>
      </c>
      <c r="E170" s="69">
        <f t="shared" si="28"/>
        <v>12183.477500000012</v>
      </c>
      <c r="F170" s="92"/>
      <c r="G170" s="17">
        <f t="shared" si="25"/>
        <v>25.890060140808014</v>
      </c>
      <c r="H170" s="92"/>
      <c r="I170" s="64">
        <f t="shared" si="26"/>
        <v>3496.1937214147142</v>
      </c>
      <c r="J170" s="64">
        <f t="shared" si="27"/>
        <v>315430.96519918158</v>
      </c>
      <c r="K170" s="2"/>
      <c r="L170" s="60"/>
      <c r="M170" s="60"/>
      <c r="N170" s="60"/>
    </row>
    <row r="171" spans="1:14" s="34" customFormat="1" x14ac:dyDescent="0.3">
      <c r="A171" s="91">
        <v>42245</v>
      </c>
      <c r="B171" s="51" t="s">
        <v>532</v>
      </c>
      <c r="C171" s="92"/>
      <c r="D171" s="92">
        <f>1.25*1.05</f>
        <v>1.3125</v>
      </c>
      <c r="E171" s="69">
        <f t="shared" si="28"/>
        <v>12182.165000000012</v>
      </c>
      <c r="F171" s="92"/>
      <c r="G171" s="17">
        <f t="shared" si="25"/>
        <v>25.890060140808014</v>
      </c>
      <c r="H171" s="92"/>
      <c r="I171" s="64">
        <f t="shared" si="26"/>
        <v>33.980703934810521</v>
      </c>
      <c r="J171" s="64">
        <f t="shared" si="27"/>
        <v>315396.98449524678</v>
      </c>
      <c r="K171" s="2"/>
      <c r="L171" s="60"/>
      <c r="M171" s="60"/>
      <c r="N171" s="60"/>
    </row>
    <row r="172" spans="1:14" s="34" customFormat="1" x14ac:dyDescent="0.3">
      <c r="A172" s="91">
        <v>42247</v>
      </c>
      <c r="B172" s="51" t="s">
        <v>533</v>
      </c>
      <c r="C172" s="92"/>
      <c r="D172" s="92">
        <f>+(40*5)*1.05</f>
        <v>210</v>
      </c>
      <c r="E172" s="69">
        <f t="shared" si="28"/>
        <v>11972.165000000012</v>
      </c>
      <c r="F172" s="92"/>
      <c r="G172" s="17">
        <f t="shared" si="25"/>
        <v>25.890060140808014</v>
      </c>
      <c r="H172" s="92"/>
      <c r="I172" s="64">
        <f t="shared" si="26"/>
        <v>5436.9126295696833</v>
      </c>
      <c r="J172" s="64">
        <f t="shared" si="27"/>
        <v>309960.07186567708</v>
      </c>
      <c r="K172" s="82"/>
      <c r="L172" s="90">
        <f>SUM(I153:I172)</f>
        <v>45978.86978071482</v>
      </c>
      <c r="M172" s="90">
        <f>SUM(L152:L172)</f>
        <v>84148.585446308076</v>
      </c>
      <c r="N172" s="162">
        <v>42247</v>
      </c>
    </row>
    <row r="173" spans="1:14" s="34" customFormat="1" x14ac:dyDescent="0.3">
      <c r="A173" s="91">
        <v>42248</v>
      </c>
      <c r="B173" s="51" t="s">
        <v>537</v>
      </c>
      <c r="C173" s="92"/>
      <c r="D173" s="92">
        <f>+(20*4.5+12*1.75)*1.05+8</f>
        <v>124.55000000000001</v>
      </c>
      <c r="E173" s="69">
        <f t="shared" si="28"/>
        <v>11847.615000000013</v>
      </c>
      <c r="F173" s="92"/>
      <c r="G173" s="17">
        <f t="shared" si="25"/>
        <v>25.890060140808014</v>
      </c>
      <c r="H173" s="92"/>
      <c r="I173" s="64">
        <f t="shared" si="26"/>
        <v>3224.6069905376385</v>
      </c>
      <c r="J173" s="64">
        <f t="shared" si="27"/>
        <v>306735.46487513941</v>
      </c>
      <c r="K173" s="2"/>
      <c r="L173" s="60"/>
      <c r="M173" s="60"/>
      <c r="N173" s="60"/>
    </row>
    <row r="174" spans="1:14" s="34" customFormat="1" x14ac:dyDescent="0.3">
      <c r="A174" s="91">
        <v>42249</v>
      </c>
      <c r="B174" s="51" t="s">
        <v>538</v>
      </c>
      <c r="C174" s="92"/>
      <c r="D174" s="92">
        <f>0.5*1.05</f>
        <v>0.52500000000000002</v>
      </c>
      <c r="E174" s="69">
        <f t="shared" si="28"/>
        <v>11847.090000000013</v>
      </c>
      <c r="F174" s="92"/>
      <c r="G174" s="17">
        <f t="shared" si="25"/>
        <v>25.890060140808011</v>
      </c>
      <c r="H174" s="92"/>
      <c r="I174" s="64">
        <f t="shared" si="26"/>
        <v>13.592281573924206</v>
      </c>
      <c r="J174" s="64">
        <f t="shared" si="27"/>
        <v>306721.87259356549</v>
      </c>
      <c r="K174" s="2"/>
      <c r="L174" s="60"/>
      <c r="M174" s="60"/>
      <c r="N174" s="60"/>
    </row>
    <row r="175" spans="1:14" s="34" customFormat="1" x14ac:dyDescent="0.3">
      <c r="A175" s="91">
        <v>42249</v>
      </c>
      <c r="B175" s="51" t="s">
        <v>539</v>
      </c>
      <c r="C175" s="92"/>
      <c r="D175" s="92">
        <f>+(18*1.5)*1.05+3.5</f>
        <v>31.85</v>
      </c>
      <c r="E175" s="69">
        <f t="shared" si="28"/>
        <v>11815.240000000013</v>
      </c>
      <c r="F175" s="92"/>
      <c r="G175" s="17">
        <f t="shared" si="25"/>
        <v>25.890060140808011</v>
      </c>
      <c r="H175" s="92"/>
      <c r="I175" s="64">
        <f t="shared" si="26"/>
        <v>824.59841548473514</v>
      </c>
      <c r="J175" s="64">
        <f t="shared" si="27"/>
        <v>305897.27417808078</v>
      </c>
      <c r="K175" s="2"/>
      <c r="L175" s="60"/>
      <c r="M175" s="60"/>
      <c r="N175" s="60"/>
    </row>
    <row r="176" spans="1:14" s="34" customFormat="1" x14ac:dyDescent="0.3">
      <c r="A176" s="91">
        <v>42249</v>
      </c>
      <c r="B176" s="51" t="s">
        <v>542</v>
      </c>
      <c r="C176" s="92"/>
      <c r="D176" s="92">
        <v>1</v>
      </c>
      <c r="E176" s="69">
        <f t="shared" si="28"/>
        <v>11814.240000000013</v>
      </c>
      <c r="F176" s="92"/>
      <c r="G176" s="17">
        <f t="shared" si="25"/>
        <v>25.890060140808011</v>
      </c>
      <c r="H176" s="92"/>
      <c r="I176" s="64">
        <f t="shared" si="26"/>
        <v>25.890060140808011</v>
      </c>
      <c r="J176" s="64">
        <f t="shared" si="27"/>
        <v>305871.38411793998</v>
      </c>
      <c r="K176" s="2"/>
      <c r="L176" s="60"/>
      <c r="M176" s="60"/>
      <c r="N176" s="60"/>
    </row>
    <row r="177" spans="1:14" s="34" customFormat="1" x14ac:dyDescent="0.3">
      <c r="A177" s="91">
        <v>42250</v>
      </c>
      <c r="B177" s="51" t="s">
        <v>543</v>
      </c>
      <c r="C177" s="92"/>
      <c r="D177" s="92">
        <v>1</v>
      </c>
      <c r="E177" s="69">
        <f t="shared" si="28"/>
        <v>11813.240000000013</v>
      </c>
      <c r="F177" s="92"/>
      <c r="G177" s="17">
        <f t="shared" si="25"/>
        <v>25.890060140808011</v>
      </c>
      <c r="H177" s="92"/>
      <c r="I177" s="64">
        <f t="shared" si="26"/>
        <v>25.890060140808011</v>
      </c>
      <c r="J177" s="64">
        <f t="shared" si="27"/>
        <v>305845.49405779917</v>
      </c>
      <c r="K177" s="2"/>
      <c r="L177" s="60"/>
      <c r="M177" s="60"/>
      <c r="N177" s="60"/>
    </row>
    <row r="178" spans="1:14" x14ac:dyDescent="0.3">
      <c r="A178" s="91">
        <v>42250</v>
      </c>
      <c r="B178" s="51" t="s">
        <v>544</v>
      </c>
      <c r="C178" s="92"/>
      <c r="D178" s="92">
        <f>+(14*5+6*5.5+14*0.75)*1.05+14</f>
        <v>133.17500000000001</v>
      </c>
      <c r="E178" s="69">
        <f t="shared" si="28"/>
        <v>11680.065000000013</v>
      </c>
      <c r="F178" s="92"/>
      <c r="G178" s="17">
        <f t="shared" ref="G178:G201" si="29">+J177/E177</f>
        <v>25.890060140808011</v>
      </c>
      <c r="H178" s="92"/>
      <c r="I178" s="64">
        <f t="shared" ref="I178:I201" si="30">+D178*G178</f>
        <v>3447.9087592521073</v>
      </c>
      <c r="J178" s="64">
        <f t="shared" ref="J178:J201" si="31">+J177-I178</f>
        <v>302397.58529854706</v>
      </c>
      <c r="K178" s="2"/>
      <c r="L178" s="60"/>
      <c r="M178" s="60"/>
      <c r="N178" s="60"/>
    </row>
    <row r="179" spans="1:14" x14ac:dyDescent="0.3">
      <c r="A179" s="91">
        <v>42250</v>
      </c>
      <c r="B179" s="51" t="s">
        <v>545</v>
      </c>
      <c r="C179" s="92"/>
      <c r="D179" s="92">
        <f>+(17*4)*1.05</f>
        <v>71.400000000000006</v>
      </c>
      <c r="E179" s="69">
        <f t="shared" si="28"/>
        <v>11608.665000000014</v>
      </c>
      <c r="F179" s="92"/>
      <c r="G179" s="17">
        <f t="shared" si="29"/>
        <v>25.890060140808011</v>
      </c>
      <c r="H179" s="92"/>
      <c r="I179" s="64">
        <f t="shared" si="30"/>
        <v>1848.5502940536921</v>
      </c>
      <c r="J179" s="64">
        <f t="shared" si="31"/>
        <v>300549.03500449337</v>
      </c>
      <c r="K179" s="2"/>
      <c r="L179" s="60"/>
      <c r="M179" s="60"/>
      <c r="N179" s="60"/>
    </row>
    <row r="180" spans="1:14" x14ac:dyDescent="0.3">
      <c r="A180" s="91">
        <v>42250</v>
      </c>
      <c r="B180" s="51" t="s">
        <v>552</v>
      </c>
      <c r="C180" s="92"/>
      <c r="D180" s="92">
        <v>0.5</v>
      </c>
      <c r="E180" s="69">
        <f t="shared" si="28"/>
        <v>11608.165000000014</v>
      </c>
      <c r="F180" s="92"/>
      <c r="G180" s="17">
        <f t="shared" si="29"/>
        <v>25.890060140808011</v>
      </c>
      <c r="H180" s="92"/>
      <c r="I180" s="64">
        <f t="shared" si="30"/>
        <v>12.945030070404005</v>
      </c>
      <c r="J180" s="64">
        <f t="shared" si="31"/>
        <v>300536.089974423</v>
      </c>
      <c r="K180" s="2"/>
      <c r="L180" s="60"/>
      <c r="M180" s="60"/>
      <c r="N180" s="60"/>
    </row>
    <row r="181" spans="1:14" x14ac:dyDescent="0.3">
      <c r="A181" s="91">
        <v>42250</v>
      </c>
      <c r="B181" s="51" t="s">
        <v>554</v>
      </c>
      <c r="C181" s="92"/>
      <c r="D181" s="92">
        <f>0.97</f>
        <v>0.97</v>
      </c>
      <c r="E181" s="69">
        <f t="shared" si="28"/>
        <v>11607.195000000014</v>
      </c>
      <c r="F181" s="92"/>
      <c r="G181" s="17">
        <f t="shared" si="29"/>
        <v>25.890060140808014</v>
      </c>
      <c r="H181" s="92"/>
      <c r="I181" s="64">
        <f t="shared" si="30"/>
        <v>25.113358336583772</v>
      </c>
      <c r="J181" s="64">
        <f t="shared" si="31"/>
        <v>300510.97661608644</v>
      </c>
      <c r="K181" s="2"/>
      <c r="L181" s="60"/>
      <c r="M181" s="60"/>
      <c r="N181" s="60"/>
    </row>
    <row r="182" spans="1:14" x14ac:dyDescent="0.3">
      <c r="A182" s="91">
        <v>42251</v>
      </c>
      <c r="B182" s="51" t="s">
        <v>555</v>
      </c>
      <c r="C182" s="92"/>
      <c r="D182" s="92">
        <v>16</v>
      </c>
      <c r="E182" s="69">
        <f t="shared" si="28"/>
        <v>11591.195000000014</v>
      </c>
      <c r="F182" s="92"/>
      <c r="G182" s="17">
        <f t="shared" si="29"/>
        <v>25.890060140808014</v>
      </c>
      <c r="H182" s="92"/>
      <c r="I182" s="64">
        <f t="shared" si="30"/>
        <v>414.24096225292823</v>
      </c>
      <c r="J182" s="64">
        <f t="shared" si="31"/>
        <v>300096.73565383349</v>
      </c>
      <c r="K182" s="2"/>
      <c r="L182" s="60"/>
      <c r="M182" s="60"/>
      <c r="N182" s="60"/>
    </row>
    <row r="183" spans="1:14" x14ac:dyDescent="0.3">
      <c r="A183" s="91">
        <v>42251</v>
      </c>
      <c r="B183" s="51" t="s">
        <v>556</v>
      </c>
      <c r="C183" s="92"/>
      <c r="D183" s="92">
        <f>(6*5)*1.05</f>
        <v>31.5</v>
      </c>
      <c r="E183" s="69">
        <f t="shared" si="28"/>
        <v>11559.695000000014</v>
      </c>
      <c r="F183" s="92"/>
      <c r="G183" s="17">
        <f t="shared" si="29"/>
        <v>25.890060140808011</v>
      </c>
      <c r="H183" s="92"/>
      <c r="I183" s="64">
        <f t="shared" si="30"/>
        <v>815.53689443545238</v>
      </c>
      <c r="J183" s="64">
        <f t="shared" si="31"/>
        <v>299281.19875939802</v>
      </c>
      <c r="K183" s="2"/>
      <c r="L183" s="60"/>
      <c r="M183" s="60"/>
      <c r="N183" s="60"/>
    </row>
    <row r="184" spans="1:14" x14ac:dyDescent="0.3">
      <c r="A184" s="91">
        <v>42251</v>
      </c>
      <c r="B184" s="51" t="s">
        <v>558</v>
      </c>
      <c r="C184" s="92"/>
      <c r="D184" s="92">
        <f>(4*3+2*1.5)*1.05</f>
        <v>15.75</v>
      </c>
      <c r="E184" s="69">
        <f t="shared" si="28"/>
        <v>11543.945000000014</v>
      </c>
      <c r="F184" s="92"/>
      <c r="G184" s="17">
        <f t="shared" si="29"/>
        <v>25.890060140808011</v>
      </c>
      <c r="H184" s="92"/>
      <c r="I184" s="64">
        <f t="shared" si="30"/>
        <v>407.76844721772619</v>
      </c>
      <c r="J184" s="64">
        <f t="shared" si="31"/>
        <v>298873.43031218031</v>
      </c>
      <c r="K184" s="2"/>
      <c r="L184" s="60"/>
      <c r="M184" s="60"/>
      <c r="N184" s="60"/>
    </row>
    <row r="185" spans="1:14" x14ac:dyDescent="0.3">
      <c r="A185" s="91">
        <v>42251</v>
      </c>
      <c r="B185" s="51" t="s">
        <v>559</v>
      </c>
      <c r="C185" s="92"/>
      <c r="D185" s="92">
        <f>(5*1)*1.05+3</f>
        <v>8.25</v>
      </c>
      <c r="E185" s="69">
        <f t="shared" si="28"/>
        <v>11535.695000000014</v>
      </c>
      <c r="F185" s="92"/>
      <c r="G185" s="17">
        <f t="shared" si="29"/>
        <v>25.890060140808011</v>
      </c>
      <c r="H185" s="92"/>
      <c r="I185" s="64">
        <f t="shared" si="30"/>
        <v>213.59299616166609</v>
      </c>
      <c r="J185" s="64">
        <f t="shared" si="31"/>
        <v>298659.83731601865</v>
      </c>
      <c r="K185" s="2"/>
      <c r="L185" s="60"/>
      <c r="M185" s="60"/>
      <c r="N185" s="60"/>
    </row>
    <row r="186" spans="1:14" x14ac:dyDescent="0.3">
      <c r="A186" s="91">
        <v>42252</v>
      </c>
      <c r="B186" s="51" t="s">
        <v>561</v>
      </c>
      <c r="C186" s="92"/>
      <c r="D186" s="92">
        <f>(3*1)*1.05</f>
        <v>3.1500000000000004</v>
      </c>
      <c r="E186" s="69">
        <f t="shared" si="28"/>
        <v>11532.545000000015</v>
      </c>
      <c r="F186" s="92"/>
      <c r="G186" s="17">
        <f t="shared" si="29"/>
        <v>25.890060140808011</v>
      </c>
      <c r="H186" s="92"/>
      <c r="I186" s="64">
        <f t="shared" si="30"/>
        <v>81.553689443545238</v>
      </c>
      <c r="J186" s="64">
        <f t="shared" si="31"/>
        <v>298578.28362657508</v>
      </c>
      <c r="K186" s="2"/>
      <c r="L186" s="60"/>
      <c r="M186" s="60"/>
      <c r="N186" s="60"/>
    </row>
    <row r="187" spans="1:14" x14ac:dyDescent="0.3">
      <c r="A187" s="91">
        <v>42252</v>
      </c>
      <c r="B187" s="51" t="s">
        <v>562</v>
      </c>
      <c r="C187" s="92"/>
      <c r="D187" s="92">
        <f>(22*5+44*3+10*2)*1.05+22</f>
        <v>297.10000000000002</v>
      </c>
      <c r="E187" s="69">
        <f t="shared" si="28"/>
        <v>11235.445000000014</v>
      </c>
      <c r="F187" s="92"/>
      <c r="G187" s="17">
        <f t="shared" si="29"/>
        <v>25.890060140808011</v>
      </c>
      <c r="H187" s="92"/>
      <c r="I187" s="64">
        <f t="shared" si="30"/>
        <v>7691.9368678340606</v>
      </c>
      <c r="J187" s="64">
        <f t="shared" si="31"/>
        <v>290886.34675874101</v>
      </c>
      <c r="K187" s="2"/>
      <c r="L187" s="60"/>
      <c r="M187" s="60"/>
      <c r="N187" s="60"/>
    </row>
    <row r="188" spans="1:14" x14ac:dyDescent="0.3">
      <c r="A188" s="91">
        <v>42252</v>
      </c>
      <c r="B188" s="51" t="s">
        <v>564</v>
      </c>
      <c r="C188" s="92"/>
      <c r="D188" s="92">
        <f>(17*5.25)*1.05</f>
        <v>93.712500000000006</v>
      </c>
      <c r="E188" s="69">
        <f t="shared" si="28"/>
        <v>11141.732500000015</v>
      </c>
      <c r="F188" s="92"/>
      <c r="G188" s="17">
        <f t="shared" si="29"/>
        <v>25.890060140808011</v>
      </c>
      <c r="H188" s="92"/>
      <c r="I188" s="64">
        <f t="shared" si="30"/>
        <v>2426.2222609454707</v>
      </c>
      <c r="J188" s="64">
        <f t="shared" si="31"/>
        <v>288460.12449779554</v>
      </c>
      <c r="K188" s="2"/>
      <c r="L188" s="60"/>
      <c r="M188" s="60"/>
      <c r="N188" s="60"/>
    </row>
    <row r="189" spans="1:14" x14ac:dyDescent="0.3">
      <c r="A189" s="91">
        <v>42252</v>
      </c>
      <c r="B189" s="51" t="s">
        <v>566</v>
      </c>
      <c r="C189" s="92"/>
      <c r="D189" s="92">
        <f>(16*4.5)*1.05</f>
        <v>75.600000000000009</v>
      </c>
      <c r="E189" s="69">
        <f t="shared" si="28"/>
        <v>11066.132500000014</v>
      </c>
      <c r="F189" s="92"/>
      <c r="G189" s="17">
        <f t="shared" si="29"/>
        <v>25.890060140808007</v>
      </c>
      <c r="H189" s="92"/>
      <c r="I189" s="64">
        <f t="shared" si="30"/>
        <v>1957.2885466450855</v>
      </c>
      <c r="J189" s="64">
        <f t="shared" si="31"/>
        <v>286502.83595115045</v>
      </c>
      <c r="K189" s="2"/>
      <c r="L189" s="60"/>
      <c r="M189" s="60"/>
      <c r="N189" s="60"/>
    </row>
    <row r="190" spans="1:14" x14ac:dyDescent="0.3">
      <c r="A190" s="91">
        <v>42252</v>
      </c>
      <c r="B190" s="51" t="s">
        <v>567</v>
      </c>
      <c r="C190" s="92"/>
      <c r="D190" s="92">
        <f>(20*6.25+11*4.5+11*5.5+5*4.75+3.75+2.75+1.75+0.75+5+4.25+3.5+3+2.25+1.5+1)*1.05+12</f>
        <v>314.66250000000002</v>
      </c>
      <c r="E190" s="69">
        <f t="shared" si="28"/>
        <v>10751.470000000014</v>
      </c>
      <c r="F190" s="92"/>
      <c r="G190" s="17">
        <f t="shared" si="29"/>
        <v>25.890060140808011</v>
      </c>
      <c r="H190" s="92"/>
      <c r="I190" s="64">
        <f t="shared" si="30"/>
        <v>8146.6310490570013</v>
      </c>
      <c r="J190" s="64">
        <f t="shared" si="31"/>
        <v>278356.20490209345</v>
      </c>
      <c r="K190" s="2"/>
      <c r="L190" s="60"/>
      <c r="M190" s="60"/>
      <c r="N190" s="60"/>
    </row>
    <row r="191" spans="1:14" x14ac:dyDescent="0.3">
      <c r="A191" s="91">
        <v>42254</v>
      </c>
      <c r="B191" s="51" t="s">
        <v>571</v>
      </c>
      <c r="C191" s="92"/>
      <c r="D191" s="92">
        <f>(16*3.5+6*3.75)*1.05+7</f>
        <v>89.424999999999997</v>
      </c>
      <c r="E191" s="69">
        <f t="shared" si="28"/>
        <v>10662.045000000015</v>
      </c>
      <c r="F191" s="92"/>
      <c r="G191" s="17">
        <f t="shared" si="29"/>
        <v>25.890060140808011</v>
      </c>
      <c r="H191" s="92"/>
      <c r="I191" s="64">
        <f t="shared" si="30"/>
        <v>2315.2186280917563</v>
      </c>
      <c r="J191" s="64">
        <f t="shared" si="31"/>
        <v>276040.98627400171</v>
      </c>
      <c r="K191" s="2"/>
      <c r="L191" s="60"/>
      <c r="M191" s="60"/>
      <c r="N191" s="60"/>
    </row>
    <row r="192" spans="1:14" x14ac:dyDescent="0.3">
      <c r="A192" s="91">
        <v>42254</v>
      </c>
      <c r="B192" s="51" t="s">
        <v>573</v>
      </c>
      <c r="C192" s="92"/>
      <c r="D192" s="92">
        <f>(2*2.5)*1.05</f>
        <v>5.25</v>
      </c>
      <c r="E192" s="69">
        <f t="shared" si="28"/>
        <v>10656.795000000015</v>
      </c>
      <c r="F192" s="92"/>
      <c r="G192" s="17">
        <f t="shared" si="29"/>
        <v>25.890060140808011</v>
      </c>
      <c r="H192" s="92"/>
      <c r="I192" s="64">
        <f t="shared" si="30"/>
        <v>135.92281573924205</v>
      </c>
      <c r="J192" s="64">
        <f t="shared" si="31"/>
        <v>275905.06345826248</v>
      </c>
      <c r="K192" s="2"/>
      <c r="L192" s="60"/>
      <c r="M192" s="60"/>
      <c r="N192" s="60"/>
    </row>
    <row r="193" spans="1:14" x14ac:dyDescent="0.3">
      <c r="A193" s="91">
        <v>42255</v>
      </c>
      <c r="B193" s="51" t="s">
        <v>578</v>
      </c>
      <c r="C193" s="92"/>
      <c r="D193" s="92">
        <f>(3.5+1.5)*1.05</f>
        <v>5.25</v>
      </c>
      <c r="E193" s="69">
        <f t="shared" si="28"/>
        <v>10651.545000000015</v>
      </c>
      <c r="F193" s="92"/>
      <c r="G193" s="17">
        <f t="shared" si="29"/>
        <v>25.890060140808011</v>
      </c>
      <c r="H193" s="92"/>
      <c r="I193" s="64">
        <f t="shared" si="30"/>
        <v>135.92281573924205</v>
      </c>
      <c r="J193" s="64">
        <f t="shared" si="31"/>
        <v>275769.14064252324</v>
      </c>
      <c r="K193" s="2"/>
      <c r="L193" s="60"/>
      <c r="M193" s="60"/>
      <c r="N193" s="60"/>
    </row>
    <row r="194" spans="1:14" x14ac:dyDescent="0.3">
      <c r="A194" s="91">
        <v>42255</v>
      </c>
      <c r="B194" s="51" t="s">
        <v>579</v>
      </c>
      <c r="C194" s="92"/>
      <c r="D194" s="92">
        <f>(7*6.5+3*2+2*5.5+4.5+8*3+9*6.25+4+5+2*6)*1.05</f>
        <v>176.66249999999999</v>
      </c>
      <c r="E194" s="69">
        <f t="shared" si="28"/>
        <v>10474.882500000014</v>
      </c>
      <c r="F194" s="92"/>
      <c r="G194" s="17">
        <f t="shared" si="29"/>
        <v>25.890060140808011</v>
      </c>
      <c r="H194" s="92"/>
      <c r="I194" s="64">
        <f t="shared" si="30"/>
        <v>4573.8027496254954</v>
      </c>
      <c r="J194" s="64">
        <f t="shared" si="31"/>
        <v>271195.33789289772</v>
      </c>
      <c r="K194" s="2"/>
      <c r="L194" s="60"/>
      <c r="M194" s="60"/>
      <c r="N194" s="60"/>
    </row>
    <row r="195" spans="1:14" x14ac:dyDescent="0.3">
      <c r="A195" s="91">
        <v>42255</v>
      </c>
      <c r="B195" s="51" t="s">
        <v>582</v>
      </c>
      <c r="C195" s="92"/>
      <c r="D195" s="92">
        <v>10</v>
      </c>
      <c r="E195" s="69">
        <f t="shared" si="28"/>
        <v>10464.882500000014</v>
      </c>
      <c r="F195" s="92"/>
      <c r="G195" s="17">
        <f t="shared" si="29"/>
        <v>25.890060140808011</v>
      </c>
      <c r="H195" s="92"/>
      <c r="I195" s="64">
        <f t="shared" si="30"/>
        <v>258.90060140808009</v>
      </c>
      <c r="J195" s="64">
        <f t="shared" si="31"/>
        <v>270936.43729148962</v>
      </c>
      <c r="K195" s="2"/>
      <c r="L195" s="60"/>
      <c r="M195" s="60"/>
      <c r="N195" s="60"/>
    </row>
    <row r="196" spans="1:14" x14ac:dyDescent="0.3">
      <c r="A196" s="91">
        <v>42255</v>
      </c>
      <c r="B196" s="51" t="s">
        <v>583</v>
      </c>
      <c r="C196" s="92"/>
      <c r="D196" s="92">
        <f>(2*6.25+2*5.75+2*4+2*3.5+2*2.5+2*2+2*1+2*0.5)*1.05+5</f>
        <v>58.550000000000004</v>
      </c>
      <c r="E196" s="69">
        <f t="shared" si="28"/>
        <v>10406.332500000015</v>
      </c>
      <c r="F196" s="92"/>
      <c r="G196" s="17">
        <f t="shared" si="29"/>
        <v>25.890060140808007</v>
      </c>
      <c r="H196" s="92"/>
      <c r="I196" s="64">
        <f t="shared" si="30"/>
        <v>1515.863021244309</v>
      </c>
      <c r="J196" s="64">
        <f t="shared" si="31"/>
        <v>269420.57427024533</v>
      </c>
      <c r="K196" s="2"/>
      <c r="L196" s="60"/>
      <c r="M196" s="60"/>
      <c r="N196" s="60"/>
    </row>
    <row r="197" spans="1:14" x14ac:dyDescent="0.3">
      <c r="A197" s="91">
        <v>42255</v>
      </c>
      <c r="B197" s="51" t="s">
        <v>585</v>
      </c>
      <c r="C197" s="92"/>
      <c r="D197" s="92">
        <v>1</v>
      </c>
      <c r="E197" s="69">
        <f t="shared" si="28"/>
        <v>10405.332500000015</v>
      </c>
      <c r="F197" s="92"/>
      <c r="G197" s="17">
        <f t="shared" si="29"/>
        <v>25.890060140808007</v>
      </c>
      <c r="H197" s="92"/>
      <c r="I197" s="64">
        <f t="shared" si="30"/>
        <v>25.890060140808007</v>
      </c>
      <c r="J197" s="64">
        <f t="shared" si="31"/>
        <v>269394.68421010452</v>
      </c>
      <c r="K197" s="2"/>
      <c r="L197" s="60"/>
      <c r="M197" s="60"/>
      <c r="N197" s="60"/>
    </row>
    <row r="198" spans="1:14" x14ac:dyDescent="0.3">
      <c r="A198" s="91">
        <v>42255</v>
      </c>
      <c r="B198" s="51" t="s">
        <v>586</v>
      </c>
      <c r="C198" s="92"/>
      <c r="D198" s="92">
        <v>4</v>
      </c>
      <c r="E198" s="69">
        <f t="shared" si="28"/>
        <v>10401.332500000015</v>
      </c>
      <c r="F198" s="92"/>
      <c r="G198" s="17">
        <f t="shared" si="29"/>
        <v>25.890060140808007</v>
      </c>
      <c r="H198" s="92"/>
      <c r="I198" s="64">
        <f t="shared" si="30"/>
        <v>103.56024056323203</v>
      </c>
      <c r="J198" s="64">
        <f t="shared" si="31"/>
        <v>269291.12396954128</v>
      </c>
      <c r="K198" s="54"/>
      <c r="L198" s="60"/>
      <c r="M198" s="60"/>
      <c r="N198" s="60"/>
    </row>
    <row r="199" spans="1:14" x14ac:dyDescent="0.3">
      <c r="A199" s="91">
        <v>42256</v>
      </c>
      <c r="B199" s="51" t="s">
        <v>589</v>
      </c>
      <c r="C199" s="92"/>
      <c r="D199" s="92">
        <f>(4*4)*1.05</f>
        <v>16.8</v>
      </c>
      <c r="E199" s="69">
        <f t="shared" si="28"/>
        <v>10384.532500000016</v>
      </c>
      <c r="F199" s="92"/>
      <c r="G199" s="17">
        <f t="shared" si="29"/>
        <v>25.890060140808007</v>
      </c>
      <c r="H199" s="92"/>
      <c r="I199" s="64">
        <f t="shared" si="30"/>
        <v>434.95301036557453</v>
      </c>
      <c r="J199" s="64">
        <f t="shared" si="31"/>
        <v>268856.17095917568</v>
      </c>
      <c r="K199" s="54"/>
      <c r="L199" s="60"/>
      <c r="M199" s="60"/>
      <c r="N199" s="60"/>
    </row>
    <row r="200" spans="1:14" x14ac:dyDescent="0.3">
      <c r="A200" s="91">
        <v>42257</v>
      </c>
      <c r="B200" s="51" t="s">
        <v>591</v>
      </c>
      <c r="C200" s="92"/>
      <c r="D200" s="92">
        <f>(9*2.75+7*2.5+4*1+4*2+4*1.5)*1.05+6</f>
        <v>69.262500000000003</v>
      </c>
      <c r="E200" s="69">
        <f t="shared" si="28"/>
        <v>10315.270000000015</v>
      </c>
      <c r="F200" s="92"/>
      <c r="G200" s="17">
        <f t="shared" si="29"/>
        <v>25.890060140808004</v>
      </c>
      <c r="H200" s="92"/>
      <c r="I200" s="64">
        <f t="shared" si="30"/>
        <v>1793.2102905027143</v>
      </c>
      <c r="J200" s="64">
        <f t="shared" si="31"/>
        <v>267062.96066867298</v>
      </c>
      <c r="K200" s="54"/>
      <c r="L200" s="60"/>
      <c r="M200" s="60"/>
      <c r="N200" s="60"/>
    </row>
    <row r="201" spans="1:14" x14ac:dyDescent="0.3">
      <c r="A201" s="91">
        <v>42257</v>
      </c>
      <c r="B201" s="51" t="s">
        <v>593</v>
      </c>
      <c r="C201" s="92"/>
      <c r="D201" s="92">
        <f>13</f>
        <v>13</v>
      </c>
      <c r="E201" s="69">
        <f t="shared" si="28"/>
        <v>10302.270000000015</v>
      </c>
      <c r="F201" s="92"/>
      <c r="G201" s="17">
        <f t="shared" si="29"/>
        <v>25.890060140808007</v>
      </c>
      <c r="H201" s="92"/>
      <c r="I201" s="64">
        <f t="shared" si="30"/>
        <v>336.57078183050407</v>
      </c>
      <c r="J201" s="64">
        <f t="shared" si="31"/>
        <v>266726.38988684246</v>
      </c>
      <c r="K201" s="54"/>
      <c r="L201" s="60"/>
      <c r="M201" s="60"/>
      <c r="N201" s="60"/>
    </row>
    <row r="202" spans="1:14" s="34" customFormat="1" x14ac:dyDescent="0.3">
      <c r="A202" s="91">
        <v>42257</v>
      </c>
      <c r="B202" s="51" t="s">
        <v>595</v>
      </c>
      <c r="C202" s="92"/>
      <c r="D202" s="92">
        <f>(4*2.5)*1.05</f>
        <v>10.5</v>
      </c>
      <c r="E202" s="69">
        <f t="shared" si="28"/>
        <v>10291.770000000015</v>
      </c>
      <c r="F202" s="92"/>
      <c r="G202" s="17">
        <f t="shared" ref="G202:G225" si="32">+J201/E201</f>
        <v>25.890060140808004</v>
      </c>
      <c r="H202" s="92"/>
      <c r="I202" s="64">
        <f t="shared" ref="I202:I225" si="33">+D202*G202</f>
        <v>271.84563147848405</v>
      </c>
      <c r="J202" s="64">
        <f t="shared" ref="J202:J225" si="34">+J201-I202</f>
        <v>266454.54425536399</v>
      </c>
      <c r="K202" s="54"/>
      <c r="L202" s="60"/>
      <c r="M202" s="60"/>
      <c r="N202" s="60"/>
    </row>
    <row r="203" spans="1:14" s="34" customFormat="1" x14ac:dyDescent="0.3">
      <c r="A203" s="91">
        <v>42258</v>
      </c>
      <c r="B203" s="51" t="s">
        <v>597</v>
      </c>
      <c r="C203" s="92"/>
      <c r="D203" s="92">
        <f>4*3.1</f>
        <v>12.4</v>
      </c>
      <c r="E203" s="69">
        <f t="shared" si="28"/>
        <v>10279.370000000015</v>
      </c>
      <c r="F203" s="92"/>
      <c r="G203" s="17">
        <f t="shared" si="32"/>
        <v>25.890060140808004</v>
      </c>
      <c r="H203" s="92"/>
      <c r="I203" s="64">
        <f t="shared" si="33"/>
        <v>321.03674574601928</v>
      </c>
      <c r="J203" s="64">
        <f t="shared" si="34"/>
        <v>266133.50750961795</v>
      </c>
      <c r="K203" s="54"/>
      <c r="L203" s="60"/>
      <c r="M203" s="60"/>
      <c r="N203" s="60"/>
    </row>
    <row r="204" spans="1:14" s="34" customFormat="1" x14ac:dyDescent="0.3">
      <c r="A204" s="91">
        <v>42258</v>
      </c>
      <c r="B204" s="51" t="s">
        <v>599</v>
      </c>
      <c r="C204" s="92"/>
      <c r="D204" s="92">
        <v>0</v>
      </c>
      <c r="E204" s="69">
        <f t="shared" si="28"/>
        <v>10279.370000000015</v>
      </c>
      <c r="F204" s="92"/>
      <c r="G204" s="17">
        <f t="shared" si="32"/>
        <v>25.890060140808004</v>
      </c>
      <c r="H204" s="92"/>
      <c r="I204" s="64">
        <f t="shared" si="33"/>
        <v>0</v>
      </c>
      <c r="J204" s="64">
        <f t="shared" si="34"/>
        <v>266133.50750961795</v>
      </c>
      <c r="K204" s="54"/>
      <c r="L204" s="60"/>
      <c r="M204" s="60"/>
      <c r="N204" s="60"/>
    </row>
    <row r="205" spans="1:14" s="34" customFormat="1" x14ac:dyDescent="0.3">
      <c r="A205" s="91">
        <v>42258</v>
      </c>
      <c r="B205" s="51" t="s">
        <v>600</v>
      </c>
      <c r="C205" s="92"/>
      <c r="D205" s="92">
        <f>(7*1.25)*1.05+3</f>
        <v>12.1875</v>
      </c>
      <c r="E205" s="69">
        <f t="shared" si="28"/>
        <v>10267.182500000015</v>
      </c>
      <c r="F205" s="92"/>
      <c r="G205" s="17">
        <f t="shared" si="32"/>
        <v>25.890060140808004</v>
      </c>
      <c r="H205" s="92"/>
      <c r="I205" s="64">
        <f t="shared" si="33"/>
        <v>315.53510796609754</v>
      </c>
      <c r="J205" s="64">
        <f t="shared" si="34"/>
        <v>265817.97240165184</v>
      </c>
      <c r="K205" s="54"/>
      <c r="L205" s="60"/>
      <c r="M205" s="60"/>
      <c r="N205" s="60"/>
    </row>
    <row r="206" spans="1:14" s="34" customFormat="1" x14ac:dyDescent="0.3">
      <c r="A206" s="91">
        <v>42259</v>
      </c>
      <c r="B206" s="51" t="s">
        <v>604</v>
      </c>
      <c r="C206" s="92"/>
      <c r="D206" s="92">
        <f>(8*2.5)*1.05</f>
        <v>21</v>
      </c>
      <c r="E206" s="69">
        <f t="shared" si="28"/>
        <v>10246.182500000015</v>
      </c>
      <c r="F206" s="92"/>
      <c r="G206" s="17">
        <f t="shared" si="32"/>
        <v>25.890060140808</v>
      </c>
      <c r="H206" s="92"/>
      <c r="I206" s="64">
        <f t="shared" si="33"/>
        <v>543.69126295696799</v>
      </c>
      <c r="J206" s="64">
        <f t="shared" si="34"/>
        <v>265274.2811386949</v>
      </c>
      <c r="K206" s="54"/>
      <c r="L206" s="60"/>
      <c r="M206" s="60"/>
      <c r="N206" s="60"/>
    </row>
    <row r="207" spans="1:14" s="34" customFormat="1" x14ac:dyDescent="0.3">
      <c r="A207" s="91">
        <v>42259</v>
      </c>
      <c r="B207" s="51" t="s">
        <v>606</v>
      </c>
      <c r="C207" s="92"/>
      <c r="D207" s="92">
        <f>(5.25+3*4.5+2*3.75+2*2.75+2*2+3*1.25+0.75+1.5+3+7*5+2*3.5+1+1.75+2.5+4.25)*1.05+8</f>
        <v>109.0625</v>
      </c>
      <c r="E207" s="69">
        <f t="shared" si="28"/>
        <v>10137.120000000015</v>
      </c>
      <c r="F207" s="92"/>
      <c r="G207" s="17">
        <f t="shared" si="32"/>
        <v>25.890060140808004</v>
      </c>
      <c r="H207" s="92"/>
      <c r="I207" s="64">
        <f t="shared" si="33"/>
        <v>2823.634684106873</v>
      </c>
      <c r="J207" s="64">
        <f t="shared" si="34"/>
        <v>262450.64645458804</v>
      </c>
      <c r="K207" s="54"/>
      <c r="L207" s="60"/>
      <c r="M207" s="60"/>
      <c r="N207" s="60"/>
    </row>
    <row r="208" spans="1:14" s="34" customFormat="1" x14ac:dyDescent="0.3">
      <c r="A208" s="91">
        <v>42262</v>
      </c>
      <c r="B208" s="51" t="s">
        <v>610</v>
      </c>
      <c r="C208" s="92"/>
      <c r="D208" s="92">
        <f>(18*3.75)*1.05</f>
        <v>70.875</v>
      </c>
      <c r="E208" s="69">
        <f t="shared" si="28"/>
        <v>10066.245000000015</v>
      </c>
      <c r="F208" s="92"/>
      <c r="G208" s="17">
        <f t="shared" si="32"/>
        <v>25.890060140808004</v>
      </c>
      <c r="H208" s="92"/>
      <c r="I208" s="64">
        <f t="shared" si="33"/>
        <v>1834.9580124797671</v>
      </c>
      <c r="J208" s="64">
        <f t="shared" si="34"/>
        <v>260615.68844210828</v>
      </c>
      <c r="K208" s="61"/>
      <c r="L208" s="90">
        <f>SUM(I173:I208)</f>
        <v>49344.383423568805</v>
      </c>
      <c r="M208" s="89"/>
      <c r="N208" s="162">
        <v>42262</v>
      </c>
    </row>
    <row r="209" spans="1:14" s="34" customFormat="1" x14ac:dyDescent="0.3">
      <c r="A209" s="91">
        <v>42264</v>
      </c>
      <c r="B209" s="51" t="s">
        <v>614</v>
      </c>
      <c r="C209" s="92"/>
      <c r="D209" s="92">
        <v>1</v>
      </c>
      <c r="E209" s="69">
        <f t="shared" si="28"/>
        <v>10065.245000000015</v>
      </c>
      <c r="F209" s="92"/>
      <c r="G209" s="17">
        <f t="shared" si="32"/>
        <v>25.890060140808007</v>
      </c>
      <c r="H209" s="92"/>
      <c r="I209" s="64">
        <f t="shared" si="33"/>
        <v>25.890060140808007</v>
      </c>
      <c r="J209" s="64">
        <f t="shared" si="34"/>
        <v>260589.79838196747</v>
      </c>
      <c r="K209" s="54"/>
      <c r="L209" s="60"/>
      <c r="M209" s="60"/>
      <c r="N209" s="60"/>
    </row>
    <row r="210" spans="1:14" s="34" customFormat="1" x14ac:dyDescent="0.3">
      <c r="A210" s="91">
        <v>42264</v>
      </c>
      <c r="B210" s="51" t="s">
        <v>617</v>
      </c>
      <c r="C210" s="92"/>
      <c r="D210" s="92">
        <f>(6*2)*1.05</f>
        <v>12.600000000000001</v>
      </c>
      <c r="E210" s="69">
        <f t="shared" si="28"/>
        <v>10052.645000000015</v>
      </c>
      <c r="F210" s="92"/>
      <c r="G210" s="17">
        <f t="shared" si="32"/>
        <v>25.890060140808007</v>
      </c>
      <c r="H210" s="92"/>
      <c r="I210" s="64">
        <f t="shared" si="33"/>
        <v>326.21475777418095</v>
      </c>
      <c r="J210" s="64">
        <f t="shared" si="34"/>
        <v>260263.5836241933</v>
      </c>
      <c r="K210" s="54"/>
      <c r="L210" s="60"/>
      <c r="M210" s="60"/>
      <c r="N210" s="60"/>
    </row>
    <row r="211" spans="1:14" s="34" customFormat="1" x14ac:dyDescent="0.3">
      <c r="A211" s="91">
        <v>42265</v>
      </c>
      <c r="B211" s="51" t="s">
        <v>622</v>
      </c>
      <c r="C211" s="92"/>
      <c r="D211" s="92">
        <f>(2*1.75)*1.05+1</f>
        <v>4.6750000000000007</v>
      </c>
      <c r="E211" s="69">
        <f t="shared" si="28"/>
        <v>10047.970000000016</v>
      </c>
      <c r="F211" s="92"/>
      <c r="G211" s="17">
        <f t="shared" si="32"/>
        <v>25.890060140808007</v>
      </c>
      <c r="H211" s="92"/>
      <c r="I211" s="64">
        <f t="shared" si="33"/>
        <v>121.03603115827745</v>
      </c>
      <c r="J211" s="64">
        <f t="shared" si="34"/>
        <v>260142.54759303501</v>
      </c>
      <c r="K211" s="54"/>
      <c r="L211" s="60"/>
      <c r="M211" s="60"/>
      <c r="N211" s="60"/>
    </row>
    <row r="212" spans="1:14" s="34" customFormat="1" x14ac:dyDescent="0.3">
      <c r="A212" s="91">
        <v>42266</v>
      </c>
      <c r="B212" s="51" t="s">
        <v>625</v>
      </c>
      <c r="C212" s="92"/>
      <c r="D212" s="92">
        <f>(4*4)*1.05</f>
        <v>16.8</v>
      </c>
      <c r="E212" s="69">
        <f t="shared" si="28"/>
        <v>10031.170000000016</v>
      </c>
      <c r="F212" s="92"/>
      <c r="G212" s="17">
        <f t="shared" si="32"/>
        <v>25.890060140808004</v>
      </c>
      <c r="H212" s="92"/>
      <c r="I212" s="64">
        <f t="shared" si="33"/>
        <v>434.95301036557447</v>
      </c>
      <c r="J212" s="64">
        <f t="shared" si="34"/>
        <v>259707.59458266944</v>
      </c>
      <c r="K212" s="54"/>
      <c r="L212" s="60"/>
      <c r="M212" s="60"/>
      <c r="N212" s="60"/>
    </row>
    <row r="213" spans="1:14" s="34" customFormat="1" x14ac:dyDescent="0.3">
      <c r="A213" s="91">
        <v>42266</v>
      </c>
      <c r="B213" s="51" t="s">
        <v>627</v>
      </c>
      <c r="C213" s="92"/>
      <c r="D213" s="92">
        <f>(5*0.75)*1.05</f>
        <v>3.9375</v>
      </c>
      <c r="E213" s="69">
        <f t="shared" si="28"/>
        <v>10027.232500000016</v>
      </c>
      <c r="F213" s="92"/>
      <c r="G213" s="17">
        <f t="shared" si="32"/>
        <v>25.890060140808004</v>
      </c>
      <c r="H213" s="92"/>
      <c r="I213" s="64">
        <f t="shared" si="33"/>
        <v>101.94211180443152</v>
      </c>
      <c r="J213" s="64">
        <f t="shared" si="34"/>
        <v>259605.652470865</v>
      </c>
      <c r="K213" s="54"/>
      <c r="L213" s="60"/>
      <c r="M213" s="60"/>
      <c r="N213" s="60"/>
    </row>
    <row r="214" spans="1:14" s="34" customFormat="1" x14ac:dyDescent="0.3">
      <c r="A214" s="91">
        <v>42266</v>
      </c>
      <c r="B214" s="51" t="s">
        <v>629</v>
      </c>
      <c r="C214" s="92"/>
      <c r="D214" s="92">
        <f>(14*5.75+5+4.25+2*3.5+3*2.5+4*1.75+2*1+2*3.25+2*3.75+4.5+4.75+2*4+7*1.25+4*2+11*2.25+4*0.75+4*1.5+5.25+2*0.5)*1.05+20</f>
        <v>231.3125</v>
      </c>
      <c r="E214" s="69">
        <f t="shared" si="28"/>
        <v>9795.9200000000164</v>
      </c>
      <c r="F214" s="92"/>
      <c r="G214" s="17">
        <f t="shared" si="32"/>
        <v>25.890060140808</v>
      </c>
      <c r="H214" s="92"/>
      <c r="I214" s="64">
        <f t="shared" si="33"/>
        <v>5988.6945363206505</v>
      </c>
      <c r="J214" s="64">
        <f t="shared" si="34"/>
        <v>253616.95793454433</v>
      </c>
      <c r="K214" s="54"/>
      <c r="L214" s="60"/>
      <c r="M214" s="60"/>
      <c r="N214" s="60"/>
    </row>
    <row r="215" spans="1:14" s="34" customFormat="1" x14ac:dyDescent="0.3">
      <c r="A215" s="91">
        <v>42269</v>
      </c>
      <c r="B215" s="51" t="s">
        <v>632</v>
      </c>
      <c r="C215" s="92"/>
      <c r="D215" s="92">
        <f>(8*2.25+3*1.25+2*0.75+2*1+2+6*5.25+5+3*4.25+3+2*1.75+0.5+2*1.5+2*2.75+2*3.25+3.5+7*5.5+4.5)*1.05+11</f>
        <v>163.25</v>
      </c>
      <c r="E215" s="69">
        <f t="shared" si="28"/>
        <v>9632.6700000000164</v>
      </c>
      <c r="F215" s="92"/>
      <c r="G215" s="17">
        <f t="shared" si="32"/>
        <v>25.890060140808</v>
      </c>
      <c r="H215" s="92"/>
      <c r="I215" s="64">
        <f t="shared" si="33"/>
        <v>4226.552317986906</v>
      </c>
      <c r="J215" s="64">
        <f t="shared" si="34"/>
        <v>249390.40561655743</v>
      </c>
      <c r="K215" s="54"/>
      <c r="L215" s="60"/>
      <c r="M215" s="60"/>
      <c r="N215" s="60"/>
    </row>
    <row r="216" spans="1:14" s="34" customFormat="1" x14ac:dyDescent="0.3">
      <c r="A216" s="91">
        <v>42269</v>
      </c>
      <c r="B216" s="51" t="s">
        <v>634</v>
      </c>
      <c r="C216" s="92"/>
      <c r="D216" s="92">
        <f>(5*0.75)*1.05</f>
        <v>3.9375</v>
      </c>
      <c r="E216" s="69">
        <f t="shared" si="28"/>
        <v>9628.7325000000164</v>
      </c>
      <c r="F216" s="92"/>
      <c r="G216" s="17">
        <f t="shared" si="32"/>
        <v>25.890060140808</v>
      </c>
      <c r="H216" s="92"/>
      <c r="I216" s="64">
        <f t="shared" si="33"/>
        <v>101.94211180443151</v>
      </c>
      <c r="J216" s="64">
        <f t="shared" si="34"/>
        <v>249288.46350475299</v>
      </c>
      <c r="K216" s="54"/>
      <c r="L216" s="60"/>
      <c r="M216" s="60"/>
      <c r="N216" s="60"/>
    </row>
    <row r="217" spans="1:14" s="34" customFormat="1" x14ac:dyDescent="0.3">
      <c r="A217" s="91">
        <v>42270</v>
      </c>
      <c r="B217" s="51" t="s">
        <v>635</v>
      </c>
      <c r="C217" s="92"/>
      <c r="D217" s="92">
        <f>(25*5.25)*1.05</f>
        <v>137.8125</v>
      </c>
      <c r="E217" s="69">
        <f t="shared" si="28"/>
        <v>9490.9200000000164</v>
      </c>
      <c r="F217" s="92"/>
      <c r="G217" s="17">
        <f t="shared" si="32"/>
        <v>25.890060140808</v>
      </c>
      <c r="H217" s="92"/>
      <c r="I217" s="64">
        <f t="shared" si="33"/>
        <v>3567.9739131551023</v>
      </c>
      <c r="J217" s="64">
        <f t="shared" si="34"/>
        <v>245720.4895915979</v>
      </c>
      <c r="K217" s="54"/>
      <c r="L217" s="60"/>
      <c r="M217" s="60"/>
      <c r="N217" s="60"/>
    </row>
    <row r="218" spans="1:14" s="34" customFormat="1" x14ac:dyDescent="0.3">
      <c r="A218" s="91">
        <v>42270</v>
      </c>
      <c r="B218" s="51" t="s">
        <v>636</v>
      </c>
      <c r="C218" s="92"/>
      <c r="D218" s="92">
        <f>10</f>
        <v>10</v>
      </c>
      <c r="E218" s="69">
        <f t="shared" si="28"/>
        <v>9480.9200000000164</v>
      </c>
      <c r="F218" s="92"/>
      <c r="G218" s="17">
        <f t="shared" si="32"/>
        <v>25.890060140808</v>
      </c>
      <c r="H218" s="92"/>
      <c r="I218" s="64">
        <f t="shared" si="33"/>
        <v>258.90060140807998</v>
      </c>
      <c r="J218" s="64">
        <f t="shared" si="34"/>
        <v>245461.58899018983</v>
      </c>
      <c r="K218" s="54"/>
      <c r="L218" s="60"/>
      <c r="M218" s="60"/>
      <c r="N218" s="60"/>
    </row>
    <row r="219" spans="1:14" s="34" customFormat="1" x14ac:dyDescent="0.3">
      <c r="A219" s="91">
        <v>42270</v>
      </c>
      <c r="B219" s="51" t="s">
        <v>637</v>
      </c>
      <c r="C219" s="92"/>
      <c r="D219" s="92">
        <f>(15*5.25+4)*1.05+2</f>
        <v>88.887500000000003</v>
      </c>
      <c r="E219" s="69">
        <f t="shared" si="28"/>
        <v>9392.0325000000157</v>
      </c>
      <c r="F219" s="92"/>
      <c r="G219" s="17">
        <f t="shared" si="32"/>
        <v>25.890060140808004</v>
      </c>
      <c r="H219" s="92"/>
      <c r="I219" s="64">
        <f t="shared" si="33"/>
        <v>2301.3027207660716</v>
      </c>
      <c r="J219" s="64">
        <f t="shared" si="34"/>
        <v>243160.28626942376</v>
      </c>
      <c r="K219" s="54"/>
      <c r="L219" s="60"/>
      <c r="M219" s="60"/>
      <c r="N219" s="60"/>
    </row>
    <row r="220" spans="1:14" s="34" customFormat="1" x14ac:dyDescent="0.3">
      <c r="A220" s="91">
        <v>42270</v>
      </c>
      <c r="B220" s="51" t="s">
        <v>639</v>
      </c>
      <c r="C220" s="92"/>
      <c r="D220" s="92">
        <f>(2*2+1.75)*1.05</f>
        <v>6.0375000000000005</v>
      </c>
      <c r="E220" s="69">
        <f t="shared" si="28"/>
        <v>9385.9950000000154</v>
      </c>
      <c r="F220" s="92"/>
      <c r="G220" s="17">
        <f t="shared" si="32"/>
        <v>25.890060140808004</v>
      </c>
      <c r="H220" s="92"/>
      <c r="I220" s="64">
        <f t="shared" si="33"/>
        <v>156.31123810012832</v>
      </c>
      <c r="J220" s="64">
        <f t="shared" si="34"/>
        <v>243003.97503132361</v>
      </c>
      <c r="K220" s="54"/>
      <c r="L220" s="60"/>
      <c r="M220" s="60"/>
      <c r="N220" s="60"/>
    </row>
    <row r="221" spans="1:14" s="34" customFormat="1" x14ac:dyDescent="0.3">
      <c r="A221" s="91">
        <v>42276</v>
      </c>
      <c r="B221" s="51" t="s">
        <v>644</v>
      </c>
      <c r="C221" s="92"/>
      <c r="D221" s="92">
        <f>2*3.1</f>
        <v>6.2</v>
      </c>
      <c r="E221" s="69">
        <f t="shared" si="28"/>
        <v>9379.7950000000146</v>
      </c>
      <c r="F221" s="92"/>
      <c r="G221" s="17">
        <f t="shared" si="32"/>
        <v>25.890060140808004</v>
      </c>
      <c r="H221" s="92"/>
      <c r="I221" s="64">
        <f t="shared" si="33"/>
        <v>160.51837287300964</v>
      </c>
      <c r="J221" s="64">
        <f t="shared" si="34"/>
        <v>242843.4566584506</v>
      </c>
      <c r="K221" s="54"/>
      <c r="L221" s="60"/>
      <c r="M221" s="60"/>
      <c r="N221" s="60"/>
    </row>
    <row r="222" spans="1:14" s="34" customFormat="1" x14ac:dyDescent="0.3">
      <c r="A222" s="91">
        <v>42276</v>
      </c>
      <c r="B222" s="51" t="s">
        <v>646</v>
      </c>
      <c r="C222" s="92"/>
      <c r="D222" s="92">
        <f>(16*6.25+15*5.25)*1.05+7</f>
        <v>194.6875</v>
      </c>
      <c r="E222" s="69">
        <f t="shared" si="28"/>
        <v>9185.1075000000146</v>
      </c>
      <c r="F222" s="92"/>
      <c r="G222" s="17">
        <f t="shared" si="32"/>
        <v>25.890060140808004</v>
      </c>
      <c r="H222" s="92"/>
      <c r="I222" s="64">
        <f t="shared" si="33"/>
        <v>5040.4710836635586</v>
      </c>
      <c r="J222" s="64">
        <f t="shared" si="34"/>
        <v>237802.98557478705</v>
      </c>
      <c r="K222" s="54"/>
      <c r="L222" s="60"/>
      <c r="M222" s="60"/>
      <c r="N222" s="60"/>
    </row>
    <row r="223" spans="1:14" s="34" customFormat="1" x14ac:dyDescent="0.3">
      <c r="A223" s="91">
        <v>42276</v>
      </c>
      <c r="B223" s="51" t="s">
        <v>648</v>
      </c>
      <c r="C223" s="92"/>
      <c r="D223" s="92">
        <f>(14*3+14*3.5)*1.05+6</f>
        <v>101.55</v>
      </c>
      <c r="E223" s="69">
        <f t="shared" si="28"/>
        <v>9083.5575000000154</v>
      </c>
      <c r="F223" s="92"/>
      <c r="G223" s="17">
        <f t="shared" si="32"/>
        <v>25.890060140808007</v>
      </c>
      <c r="H223" s="92"/>
      <c r="I223" s="64">
        <f t="shared" si="33"/>
        <v>2629.1356072990529</v>
      </c>
      <c r="J223" s="64">
        <f t="shared" si="34"/>
        <v>235173.849967488</v>
      </c>
      <c r="K223" s="54"/>
      <c r="L223" s="60"/>
      <c r="M223" s="60"/>
      <c r="N223" s="60"/>
    </row>
    <row r="224" spans="1:14" s="34" customFormat="1" x14ac:dyDescent="0.3">
      <c r="A224" s="91">
        <v>42276</v>
      </c>
      <c r="B224" s="51" t="s">
        <v>651</v>
      </c>
      <c r="C224" s="92"/>
      <c r="D224" s="92">
        <f>(7*6.5+7*5.5)*1.05</f>
        <v>88.2</v>
      </c>
      <c r="E224" s="69">
        <f t="shared" ref="E224:E287" si="35">+E223-D224</f>
        <v>8995.3575000000146</v>
      </c>
      <c r="F224" s="92"/>
      <c r="G224" s="17">
        <f t="shared" si="32"/>
        <v>25.890060140808004</v>
      </c>
      <c r="H224" s="92"/>
      <c r="I224" s="64">
        <f t="shared" si="33"/>
        <v>2283.503304419266</v>
      </c>
      <c r="J224" s="64">
        <f t="shared" si="34"/>
        <v>232890.34666306875</v>
      </c>
      <c r="K224" s="54"/>
      <c r="L224" s="60"/>
      <c r="M224" s="60"/>
      <c r="N224" s="60"/>
    </row>
    <row r="225" spans="1:14" s="34" customFormat="1" x14ac:dyDescent="0.3">
      <c r="A225" s="91">
        <v>42276</v>
      </c>
      <c r="B225" s="51" t="s">
        <v>654</v>
      </c>
      <c r="C225" s="92"/>
      <c r="D225" s="92">
        <f>(11*7.25+2*6.75+4*5.5+8*4+4*2.5+2*3+2*3.5+4*3.25+2*1.75+10*1+2*0.75+6*1.5+10*2.25+2*4.75+2*6.25+2*7+2*2.75+12*2+4*0.5)*1.05+20</f>
        <v>332.11250000000001</v>
      </c>
      <c r="E225" s="69">
        <f t="shared" si="35"/>
        <v>8663.2450000000154</v>
      </c>
      <c r="F225" s="92"/>
      <c r="G225" s="17">
        <f t="shared" si="32"/>
        <v>25.890060140808007</v>
      </c>
      <c r="H225" s="92"/>
      <c r="I225" s="64">
        <f t="shared" si="33"/>
        <v>8598.4125985141</v>
      </c>
      <c r="J225" s="64">
        <f t="shared" si="34"/>
        <v>224291.93406455463</v>
      </c>
      <c r="K225" s="54"/>
      <c r="L225" s="60"/>
      <c r="M225" s="60"/>
      <c r="N225" s="60"/>
    </row>
    <row r="226" spans="1:14" s="34" customFormat="1" x14ac:dyDescent="0.3">
      <c r="A226" s="91">
        <v>42276</v>
      </c>
      <c r="B226" s="51" t="s">
        <v>655</v>
      </c>
      <c r="C226" s="92"/>
      <c r="D226" s="92">
        <f>(17*2+24*1.75)*1.05</f>
        <v>79.8</v>
      </c>
      <c r="E226" s="69">
        <f t="shared" si="35"/>
        <v>8583.4450000000161</v>
      </c>
      <c r="F226" s="92"/>
      <c r="G226" s="17">
        <f t="shared" ref="G226:G250" si="36">+J225/E225</f>
        <v>25.890060140808004</v>
      </c>
      <c r="H226" s="92"/>
      <c r="I226" s="64">
        <f t="shared" ref="I226:I250" si="37">+D226*G226</f>
        <v>2066.0267992364788</v>
      </c>
      <c r="J226" s="64">
        <f t="shared" ref="J226:J250" si="38">+J225-I226</f>
        <v>222225.90726531815</v>
      </c>
      <c r="K226" s="54"/>
      <c r="L226" s="60"/>
      <c r="M226" s="60"/>
      <c r="N226" s="60"/>
    </row>
    <row r="227" spans="1:14" s="34" customFormat="1" x14ac:dyDescent="0.3">
      <c r="A227" s="91">
        <v>42276</v>
      </c>
      <c r="B227" s="51" t="s">
        <v>657</v>
      </c>
      <c r="C227" s="92"/>
      <c r="D227" s="92">
        <f>(5+2*4+3.25+2*2.5+2*1.5+0.75+1+3*1.75+3.5+4.25+2*4.75+2*4.5+3.75+2.75)*1.05+9</f>
        <v>76.2</v>
      </c>
      <c r="E227" s="69">
        <f t="shared" si="35"/>
        <v>8507.2450000000154</v>
      </c>
      <c r="F227" s="92"/>
      <c r="G227" s="17">
        <f t="shared" si="36"/>
        <v>25.890060140808</v>
      </c>
      <c r="H227" s="92"/>
      <c r="I227" s="64">
        <f t="shared" si="37"/>
        <v>1972.8225827295696</v>
      </c>
      <c r="J227" s="64">
        <f t="shared" si="38"/>
        <v>220253.08468258858</v>
      </c>
      <c r="K227" s="54"/>
      <c r="L227" s="60"/>
      <c r="M227" s="60"/>
      <c r="N227" s="60"/>
    </row>
    <row r="228" spans="1:14" s="34" customFormat="1" x14ac:dyDescent="0.3">
      <c r="A228" s="91">
        <v>42276</v>
      </c>
      <c r="B228" s="51" t="s">
        <v>663</v>
      </c>
      <c r="C228" s="92"/>
      <c r="D228" s="92">
        <f>(11*3)*1.05</f>
        <v>34.65</v>
      </c>
      <c r="E228" s="69">
        <f t="shared" si="35"/>
        <v>8472.5950000000157</v>
      </c>
      <c r="F228" s="92"/>
      <c r="G228" s="17">
        <f t="shared" si="36"/>
        <v>25.890060140808004</v>
      </c>
      <c r="H228" s="92"/>
      <c r="I228" s="64">
        <f t="shared" si="37"/>
        <v>897.09058387899734</v>
      </c>
      <c r="J228" s="64">
        <f t="shared" si="38"/>
        <v>219355.99409870958</v>
      </c>
      <c r="K228" s="54"/>
      <c r="L228" s="60"/>
      <c r="M228" s="60"/>
      <c r="N228" s="60"/>
    </row>
    <row r="229" spans="1:14" s="34" customFormat="1" x14ac:dyDescent="0.3">
      <c r="A229" s="91">
        <v>42276</v>
      </c>
      <c r="B229" s="51" t="s">
        <v>664</v>
      </c>
      <c r="C229" s="92"/>
      <c r="D229" s="92">
        <f>(12*5)*1.05+2.5</f>
        <v>65.5</v>
      </c>
      <c r="E229" s="69">
        <f t="shared" si="35"/>
        <v>8407.0950000000157</v>
      </c>
      <c r="F229" s="92"/>
      <c r="G229" s="17">
        <f t="shared" si="36"/>
        <v>25.890060140808</v>
      </c>
      <c r="H229" s="92"/>
      <c r="I229" s="64">
        <f t="shared" si="37"/>
        <v>1695.798939222924</v>
      </c>
      <c r="J229" s="64">
        <f t="shared" si="38"/>
        <v>217660.19515948664</v>
      </c>
      <c r="K229" s="54"/>
      <c r="L229" s="60"/>
      <c r="M229" s="60"/>
      <c r="N229" s="60"/>
    </row>
    <row r="230" spans="1:14" s="34" customFormat="1" x14ac:dyDescent="0.3">
      <c r="A230" s="91">
        <v>42276</v>
      </c>
      <c r="B230" s="51" t="s">
        <v>666</v>
      </c>
      <c r="C230" s="92"/>
      <c r="D230" s="92">
        <f>(2*6.5)*1.05</f>
        <v>13.65</v>
      </c>
      <c r="E230" s="69">
        <f t="shared" si="35"/>
        <v>8393.4450000000161</v>
      </c>
      <c r="F230" s="92"/>
      <c r="G230" s="17">
        <f t="shared" si="36"/>
        <v>25.890060140808</v>
      </c>
      <c r="H230" s="92"/>
      <c r="I230" s="64">
        <f t="shared" si="37"/>
        <v>353.39932092202923</v>
      </c>
      <c r="J230" s="64">
        <f t="shared" si="38"/>
        <v>217306.79583856461</v>
      </c>
      <c r="K230" s="61"/>
      <c r="L230" s="90">
        <f>SUM(I209:I230)</f>
        <v>43308.892603543631</v>
      </c>
      <c r="M230" s="90">
        <f>SUM(L208:L230)</f>
        <v>92653.276027112443</v>
      </c>
      <c r="N230" s="162">
        <v>42277</v>
      </c>
    </row>
    <row r="231" spans="1:14" s="34" customFormat="1" x14ac:dyDescent="0.3">
      <c r="A231" s="91">
        <v>42279</v>
      </c>
      <c r="B231" s="51" t="s">
        <v>673</v>
      </c>
      <c r="C231" s="92"/>
      <c r="D231" s="92">
        <f>(3*2)*1.05</f>
        <v>6.3000000000000007</v>
      </c>
      <c r="E231" s="69">
        <f t="shared" si="35"/>
        <v>8387.1450000000168</v>
      </c>
      <c r="F231" s="92"/>
      <c r="G231" s="17">
        <f t="shared" si="36"/>
        <v>25.890060140808</v>
      </c>
      <c r="H231" s="92"/>
      <c r="I231" s="64">
        <f t="shared" si="37"/>
        <v>163.10737888709042</v>
      </c>
      <c r="J231" s="64">
        <f t="shared" si="38"/>
        <v>217143.68845967751</v>
      </c>
      <c r="K231" s="54"/>
      <c r="L231" s="60"/>
      <c r="M231" s="60"/>
      <c r="N231" s="60"/>
    </row>
    <row r="232" spans="1:14" s="34" customFormat="1" x14ac:dyDescent="0.3">
      <c r="A232" s="91">
        <v>42280</v>
      </c>
      <c r="B232" s="51" t="s">
        <v>676</v>
      </c>
      <c r="C232" s="92"/>
      <c r="D232" s="92">
        <f>(7*3.25)*1.05</f>
        <v>23.887499999999999</v>
      </c>
      <c r="E232" s="69">
        <f t="shared" si="35"/>
        <v>8363.2575000000161</v>
      </c>
      <c r="F232" s="92"/>
      <c r="G232" s="17">
        <f t="shared" si="36"/>
        <v>25.890060140807996</v>
      </c>
      <c r="H232" s="92"/>
      <c r="I232" s="64">
        <f t="shared" si="37"/>
        <v>618.44881161355102</v>
      </c>
      <c r="J232" s="64">
        <f t="shared" si="38"/>
        <v>216525.23964806396</v>
      </c>
      <c r="K232" s="54"/>
      <c r="L232" s="60"/>
      <c r="M232" s="60"/>
      <c r="N232" s="60"/>
    </row>
    <row r="233" spans="1:14" s="34" customFormat="1" x14ac:dyDescent="0.3">
      <c r="A233" s="91">
        <v>42280</v>
      </c>
      <c r="B233" s="51" t="s">
        <v>677</v>
      </c>
      <c r="C233" s="92"/>
      <c r="D233" s="92">
        <f>(2*2.75)*1.05</f>
        <v>5.7750000000000004</v>
      </c>
      <c r="E233" s="69">
        <f t="shared" si="35"/>
        <v>8357.4825000000164</v>
      </c>
      <c r="F233" s="92"/>
      <c r="G233" s="17">
        <f t="shared" si="36"/>
        <v>25.890060140807996</v>
      </c>
      <c r="H233" s="92"/>
      <c r="I233" s="64">
        <f t="shared" si="37"/>
        <v>149.51509731316619</v>
      </c>
      <c r="J233" s="64">
        <f t="shared" si="38"/>
        <v>216375.72455075081</v>
      </c>
      <c r="K233" s="54"/>
      <c r="L233" s="60"/>
      <c r="M233" s="60"/>
      <c r="N233" s="60"/>
    </row>
    <row r="234" spans="1:14" s="34" customFormat="1" x14ac:dyDescent="0.3">
      <c r="A234" s="91">
        <v>42280</v>
      </c>
      <c r="B234" s="51" t="s">
        <v>679</v>
      </c>
      <c r="C234" s="92"/>
      <c r="D234" s="92">
        <f>(6*3.5)*1.05</f>
        <v>22.05</v>
      </c>
      <c r="E234" s="69">
        <f t="shared" si="35"/>
        <v>8335.4325000000172</v>
      </c>
      <c r="F234" s="92"/>
      <c r="G234" s="17">
        <f t="shared" si="36"/>
        <v>25.890060140807996</v>
      </c>
      <c r="H234" s="92"/>
      <c r="I234" s="64">
        <f t="shared" si="37"/>
        <v>570.87582610481638</v>
      </c>
      <c r="J234" s="64">
        <f t="shared" si="38"/>
        <v>215804.848724646</v>
      </c>
      <c r="K234" s="54"/>
      <c r="L234" s="60"/>
      <c r="M234" s="60"/>
      <c r="N234" s="60"/>
    </row>
    <row r="235" spans="1:14" s="34" customFormat="1" x14ac:dyDescent="0.3">
      <c r="A235" s="91">
        <v>42282</v>
      </c>
      <c r="B235" s="51" t="s">
        <v>681</v>
      </c>
      <c r="C235" s="92"/>
      <c r="D235" s="92">
        <f>(2*2.25)*1.05</f>
        <v>4.7250000000000005</v>
      </c>
      <c r="E235" s="69">
        <f t="shared" si="35"/>
        <v>8330.7075000000168</v>
      </c>
      <c r="F235" s="92"/>
      <c r="G235" s="17">
        <f t="shared" si="36"/>
        <v>25.890060140807996</v>
      </c>
      <c r="H235" s="92"/>
      <c r="I235" s="64">
        <f t="shared" si="37"/>
        <v>122.3305341653178</v>
      </c>
      <c r="J235" s="64">
        <f t="shared" si="38"/>
        <v>215682.51819048068</v>
      </c>
      <c r="K235" s="54"/>
      <c r="L235" s="60"/>
      <c r="M235" s="60"/>
      <c r="N235" s="60"/>
    </row>
    <row r="236" spans="1:14" s="34" customFormat="1" x14ac:dyDescent="0.3">
      <c r="A236" s="91">
        <v>42282</v>
      </c>
      <c r="B236" s="51" t="s">
        <v>682</v>
      </c>
      <c r="C236" s="92"/>
      <c r="D236" s="92">
        <f>(2+1)*1.05</f>
        <v>3.1500000000000004</v>
      </c>
      <c r="E236" s="69">
        <f t="shared" si="35"/>
        <v>8327.5575000000172</v>
      </c>
      <c r="F236" s="92"/>
      <c r="G236" s="17">
        <f t="shared" si="36"/>
        <v>25.890060140807996</v>
      </c>
      <c r="H236" s="92"/>
      <c r="I236" s="64">
        <f t="shared" si="37"/>
        <v>81.553689443545196</v>
      </c>
      <c r="J236" s="64">
        <f t="shared" si="38"/>
        <v>215600.96450103715</v>
      </c>
      <c r="K236" s="54"/>
      <c r="L236" s="60"/>
      <c r="M236" s="60"/>
      <c r="N236" s="60"/>
    </row>
    <row r="237" spans="1:14" s="34" customFormat="1" x14ac:dyDescent="0.3">
      <c r="A237" s="91">
        <v>42283</v>
      </c>
      <c r="B237" s="51" t="s">
        <v>683</v>
      </c>
      <c r="C237" s="92"/>
      <c r="D237" s="92">
        <f>6</f>
        <v>6</v>
      </c>
      <c r="E237" s="69">
        <f t="shared" si="35"/>
        <v>8321.5575000000172</v>
      </c>
      <c r="F237" s="92"/>
      <c r="G237" s="17">
        <f t="shared" si="36"/>
        <v>25.890060140807996</v>
      </c>
      <c r="H237" s="92"/>
      <c r="I237" s="64">
        <f t="shared" si="37"/>
        <v>155.34036084484796</v>
      </c>
      <c r="J237" s="64">
        <f t="shared" si="38"/>
        <v>215445.62414019229</v>
      </c>
      <c r="K237" s="54"/>
      <c r="L237" s="60"/>
      <c r="M237" s="60"/>
      <c r="N237" s="60"/>
    </row>
    <row r="238" spans="1:14" s="34" customFormat="1" x14ac:dyDescent="0.3">
      <c r="A238" s="91">
        <v>42284</v>
      </c>
      <c r="B238" s="51" t="s">
        <v>689</v>
      </c>
      <c r="C238" s="92"/>
      <c r="D238" s="92">
        <v>2.5</v>
      </c>
      <c r="E238" s="69">
        <f t="shared" si="35"/>
        <v>8319.0575000000172</v>
      </c>
      <c r="F238" s="92"/>
      <c r="G238" s="17">
        <f t="shared" si="36"/>
        <v>25.890060140807996</v>
      </c>
      <c r="H238" s="92"/>
      <c r="I238" s="64">
        <f t="shared" si="37"/>
        <v>64.725150352019995</v>
      </c>
      <c r="J238" s="64">
        <f t="shared" si="38"/>
        <v>215380.89898984027</v>
      </c>
      <c r="K238" s="54"/>
      <c r="L238" s="60"/>
      <c r="M238" s="60"/>
      <c r="N238" s="60"/>
    </row>
    <row r="239" spans="1:14" s="34" customFormat="1" x14ac:dyDescent="0.3">
      <c r="A239" s="91">
        <v>42285</v>
      </c>
      <c r="B239" s="51" t="s">
        <v>691</v>
      </c>
      <c r="C239" s="92"/>
      <c r="D239" s="92">
        <v>2</v>
      </c>
      <c r="E239" s="69">
        <f t="shared" si="35"/>
        <v>8317.0575000000172</v>
      </c>
      <c r="F239" s="92"/>
      <c r="G239" s="17">
        <f t="shared" si="36"/>
        <v>25.890060140807996</v>
      </c>
      <c r="H239" s="92"/>
      <c r="I239" s="64">
        <f t="shared" si="37"/>
        <v>51.780120281615993</v>
      </c>
      <c r="J239" s="64">
        <f t="shared" si="38"/>
        <v>215329.11886955865</v>
      </c>
      <c r="K239" s="54"/>
      <c r="L239" s="60"/>
      <c r="M239" s="60"/>
      <c r="N239" s="60"/>
    </row>
    <row r="240" spans="1:14" s="34" customFormat="1" x14ac:dyDescent="0.3">
      <c r="A240" s="91">
        <v>42285</v>
      </c>
      <c r="B240" s="51" t="s">
        <v>694</v>
      </c>
      <c r="C240" s="92"/>
      <c r="D240" s="92">
        <f>(31*5+3*4.5+4+3*3+3*2.25+6*1.5+17*0.75+3.75+5*3.25+4.25+40*3.5+2*2.75+2*2+9*1.25+0.5+2.5+5*1.75+13*1)*1.05+16</f>
        <v>456.73750000000001</v>
      </c>
      <c r="E240" s="69">
        <f t="shared" si="35"/>
        <v>7860.320000000017</v>
      </c>
      <c r="F240" s="92"/>
      <c r="G240" s="17">
        <f t="shared" si="36"/>
        <v>25.890060140807996</v>
      </c>
      <c r="H240" s="92"/>
      <c r="I240" s="64">
        <f t="shared" si="37"/>
        <v>11824.961343562292</v>
      </c>
      <c r="J240" s="64">
        <f t="shared" si="38"/>
        <v>203504.15752599636</v>
      </c>
      <c r="K240" s="54"/>
      <c r="L240" s="60"/>
      <c r="M240" s="60"/>
      <c r="N240" s="60"/>
    </row>
    <row r="241" spans="1:14" s="34" customFormat="1" x14ac:dyDescent="0.3">
      <c r="A241" s="91">
        <v>42286</v>
      </c>
      <c r="B241" s="51" t="s">
        <v>696</v>
      </c>
      <c r="C241" s="92"/>
      <c r="D241" s="92">
        <v>13</v>
      </c>
      <c r="E241" s="69">
        <f t="shared" si="35"/>
        <v>7847.320000000017</v>
      </c>
      <c r="F241" s="92"/>
      <c r="G241" s="17">
        <f t="shared" si="36"/>
        <v>25.890060140807996</v>
      </c>
      <c r="H241" s="92"/>
      <c r="I241" s="64">
        <f t="shared" si="37"/>
        <v>336.57078183050396</v>
      </c>
      <c r="J241" s="64">
        <f t="shared" si="38"/>
        <v>203167.58674416586</v>
      </c>
      <c r="K241" s="54"/>
      <c r="L241" s="60"/>
      <c r="M241" s="60"/>
      <c r="N241" s="60"/>
    </row>
    <row r="242" spans="1:14" s="34" customFormat="1" x14ac:dyDescent="0.3">
      <c r="A242" s="91">
        <v>42287</v>
      </c>
      <c r="B242" s="51" t="s">
        <v>703</v>
      </c>
      <c r="C242" s="92"/>
      <c r="D242" s="92">
        <f>(36*5)*1.05+8</f>
        <v>197</v>
      </c>
      <c r="E242" s="69">
        <f t="shared" si="35"/>
        <v>7650.320000000017</v>
      </c>
      <c r="F242" s="92"/>
      <c r="G242" s="17">
        <f t="shared" si="36"/>
        <v>25.890060140808</v>
      </c>
      <c r="H242" s="92"/>
      <c r="I242" s="64">
        <f t="shared" si="37"/>
        <v>5100.341847739176</v>
      </c>
      <c r="J242" s="64">
        <f t="shared" si="38"/>
        <v>198067.24489642668</v>
      </c>
      <c r="K242" s="54"/>
      <c r="L242" s="60"/>
      <c r="M242" s="60"/>
      <c r="N242" s="60"/>
    </row>
    <row r="243" spans="1:14" s="34" customFormat="1" x14ac:dyDescent="0.3">
      <c r="A243" s="91">
        <v>42287</v>
      </c>
      <c r="B243" s="51" t="s">
        <v>708</v>
      </c>
      <c r="C243" s="92"/>
      <c r="D243" s="92">
        <f>(2*3)*1.05</f>
        <v>6.3000000000000007</v>
      </c>
      <c r="E243" s="69">
        <f t="shared" si="35"/>
        <v>7644.0200000000168</v>
      </c>
      <c r="F243" s="92"/>
      <c r="G243" s="17">
        <f t="shared" si="36"/>
        <v>25.890060140807996</v>
      </c>
      <c r="H243" s="92"/>
      <c r="I243" s="64">
        <f t="shared" si="37"/>
        <v>163.10737888709039</v>
      </c>
      <c r="J243" s="64">
        <f t="shared" si="38"/>
        <v>197904.13751753958</v>
      </c>
      <c r="K243" s="54"/>
      <c r="L243" s="60"/>
      <c r="M243" s="60"/>
      <c r="N243" s="60"/>
    </row>
    <row r="244" spans="1:14" s="34" customFormat="1" x14ac:dyDescent="0.3">
      <c r="A244" s="91">
        <v>42289</v>
      </c>
      <c r="B244" s="51" t="s">
        <v>709</v>
      </c>
      <c r="C244" s="92"/>
      <c r="D244" s="92">
        <f>(18*6)*1.05</f>
        <v>113.4</v>
      </c>
      <c r="E244" s="69">
        <f t="shared" si="35"/>
        <v>7530.6200000000172</v>
      </c>
      <c r="F244" s="92"/>
      <c r="G244" s="17">
        <f t="shared" si="36"/>
        <v>25.890060140807996</v>
      </c>
      <c r="H244" s="92"/>
      <c r="I244" s="64">
        <f t="shared" si="37"/>
        <v>2935.932819967627</v>
      </c>
      <c r="J244" s="64">
        <f t="shared" si="38"/>
        <v>194968.20469757196</v>
      </c>
      <c r="K244" s="54"/>
      <c r="L244" s="60"/>
      <c r="M244" s="60"/>
      <c r="N244" s="60"/>
    </row>
    <row r="245" spans="1:14" s="34" customFormat="1" x14ac:dyDescent="0.3">
      <c r="A245" s="91">
        <v>42289</v>
      </c>
      <c r="B245" s="51" t="s">
        <v>711</v>
      </c>
      <c r="C245" s="92"/>
      <c r="D245" s="92">
        <f>(3*3+9*3.5)*1.05+5</f>
        <v>47.524999999999999</v>
      </c>
      <c r="E245" s="69">
        <f t="shared" si="35"/>
        <v>7483.0950000000175</v>
      </c>
      <c r="F245" s="92"/>
      <c r="G245" s="17">
        <f t="shared" si="36"/>
        <v>25.890060140807996</v>
      </c>
      <c r="H245" s="92"/>
      <c r="I245" s="64">
        <f t="shared" si="37"/>
        <v>1230.4251081919001</v>
      </c>
      <c r="J245" s="64">
        <f t="shared" si="38"/>
        <v>193737.77958938005</v>
      </c>
      <c r="K245" s="54"/>
      <c r="L245" s="60"/>
      <c r="M245" s="60"/>
      <c r="N245" s="60"/>
    </row>
    <row r="246" spans="1:14" s="34" customFormat="1" x14ac:dyDescent="0.3">
      <c r="A246" s="91">
        <v>42290</v>
      </c>
      <c r="B246" s="51" t="s">
        <v>713</v>
      </c>
      <c r="C246" s="92"/>
      <c r="D246" s="92">
        <f>(4*3.25)*1.05</f>
        <v>13.65</v>
      </c>
      <c r="E246" s="69">
        <f t="shared" si="35"/>
        <v>7469.4450000000179</v>
      </c>
      <c r="F246" s="92"/>
      <c r="G246" s="17">
        <f t="shared" si="36"/>
        <v>25.890060140807993</v>
      </c>
      <c r="H246" s="92"/>
      <c r="I246" s="64">
        <f t="shared" si="37"/>
        <v>353.39932092202912</v>
      </c>
      <c r="J246" s="64">
        <f t="shared" si="38"/>
        <v>193384.38026845802</v>
      </c>
      <c r="K246" s="54"/>
      <c r="L246" s="60"/>
      <c r="M246" s="60"/>
      <c r="N246" s="60"/>
    </row>
    <row r="247" spans="1:14" s="34" customFormat="1" x14ac:dyDescent="0.3">
      <c r="A247" s="91">
        <v>42290</v>
      </c>
      <c r="B247" s="51" t="s">
        <v>714</v>
      </c>
      <c r="C247" s="92"/>
      <c r="D247" s="92">
        <f>(12*1.25)*1.05+2.5</f>
        <v>18.25</v>
      </c>
      <c r="E247" s="69">
        <f t="shared" si="35"/>
        <v>7451.1950000000179</v>
      </c>
      <c r="F247" s="92"/>
      <c r="G247" s="17">
        <f t="shared" si="36"/>
        <v>25.890060140807993</v>
      </c>
      <c r="H247" s="92"/>
      <c r="I247" s="64">
        <f t="shared" si="37"/>
        <v>472.49359756974587</v>
      </c>
      <c r="J247" s="64">
        <f t="shared" si="38"/>
        <v>192911.88667088826</v>
      </c>
      <c r="K247" s="54"/>
      <c r="L247" s="60"/>
      <c r="M247" s="60"/>
      <c r="N247" s="60"/>
    </row>
    <row r="248" spans="1:14" s="34" customFormat="1" x14ac:dyDescent="0.3">
      <c r="A248" s="91">
        <v>42290</v>
      </c>
      <c r="B248" s="51" t="s">
        <v>716</v>
      </c>
      <c r="C248" s="92"/>
      <c r="D248" s="92">
        <f>(3*3+2*2.5)*1.05</f>
        <v>14.700000000000001</v>
      </c>
      <c r="E248" s="69">
        <f t="shared" si="35"/>
        <v>7436.4950000000181</v>
      </c>
      <c r="F248" s="92"/>
      <c r="G248" s="17">
        <f t="shared" si="36"/>
        <v>25.890060140807989</v>
      </c>
      <c r="H248" s="92"/>
      <c r="I248" s="64">
        <f t="shared" si="37"/>
        <v>380.58388406987746</v>
      </c>
      <c r="J248" s="64">
        <f t="shared" si="38"/>
        <v>192531.30278681839</v>
      </c>
      <c r="K248" s="54"/>
      <c r="L248" s="60"/>
      <c r="M248" s="60"/>
      <c r="N248" s="60"/>
    </row>
    <row r="249" spans="1:14" s="34" customFormat="1" x14ac:dyDescent="0.3">
      <c r="A249" s="91">
        <v>42290</v>
      </c>
      <c r="B249" s="51" t="s">
        <v>717</v>
      </c>
      <c r="C249" s="92"/>
      <c r="D249" s="92">
        <f>(7*4+6*5.75+4*4.75)*1.05</f>
        <v>85.575000000000003</v>
      </c>
      <c r="E249" s="69">
        <f t="shared" si="35"/>
        <v>7350.9200000000183</v>
      </c>
      <c r="F249" s="92"/>
      <c r="G249" s="17">
        <f t="shared" si="36"/>
        <v>25.890060140807989</v>
      </c>
      <c r="H249" s="92"/>
      <c r="I249" s="64">
        <f t="shared" si="37"/>
        <v>2215.5418965496438</v>
      </c>
      <c r="J249" s="64">
        <f t="shared" si="38"/>
        <v>190315.76089026875</v>
      </c>
      <c r="K249" s="54"/>
      <c r="L249" s="60"/>
      <c r="M249" s="60"/>
      <c r="N249" s="60"/>
    </row>
    <row r="250" spans="1:14" s="34" customFormat="1" x14ac:dyDescent="0.3">
      <c r="A250" s="91">
        <v>42291</v>
      </c>
      <c r="B250" s="51" t="s">
        <v>719</v>
      </c>
      <c r="C250" s="92"/>
      <c r="D250" s="92">
        <f>(12*4)*1.05</f>
        <v>50.400000000000006</v>
      </c>
      <c r="E250" s="69">
        <f t="shared" si="35"/>
        <v>7300.5200000000186</v>
      </c>
      <c r="F250" s="92"/>
      <c r="G250" s="17">
        <f t="shared" si="36"/>
        <v>25.890060140807989</v>
      </c>
      <c r="H250" s="92"/>
      <c r="I250" s="64">
        <f t="shared" si="37"/>
        <v>1304.8590310967229</v>
      </c>
      <c r="J250" s="64">
        <f t="shared" si="38"/>
        <v>189010.90185917204</v>
      </c>
      <c r="K250" s="54"/>
      <c r="L250" s="60"/>
      <c r="M250" s="60"/>
      <c r="N250" s="60"/>
    </row>
    <row r="251" spans="1:14" s="34" customFormat="1" x14ac:dyDescent="0.3">
      <c r="A251" s="91">
        <v>42292</v>
      </c>
      <c r="B251" s="51" t="s">
        <v>721</v>
      </c>
      <c r="C251" s="92"/>
      <c r="D251" s="92">
        <f>(10*2.75)*1.05+2</f>
        <v>30.875</v>
      </c>
      <c r="E251" s="69">
        <f t="shared" si="35"/>
        <v>7269.6450000000186</v>
      </c>
      <c r="F251" s="92"/>
      <c r="G251" s="17">
        <f t="shared" ref="G251:G280" si="39">+J250/E250</f>
        <v>25.890060140807993</v>
      </c>
      <c r="H251" s="92"/>
      <c r="I251" s="64">
        <f t="shared" ref="I251:I282" si="40">+D251*G251</f>
        <v>799.35560684744678</v>
      </c>
      <c r="J251" s="64">
        <f t="shared" ref="J251:J300" si="41">+J250-I251</f>
        <v>188211.5462523246</v>
      </c>
      <c r="K251" s="54"/>
      <c r="L251" s="60"/>
      <c r="M251" s="60"/>
      <c r="N251" s="60"/>
    </row>
    <row r="252" spans="1:14" s="34" customFormat="1" x14ac:dyDescent="0.3">
      <c r="A252" s="91">
        <v>42294</v>
      </c>
      <c r="B252" s="51" t="s">
        <v>724</v>
      </c>
      <c r="C252" s="92"/>
      <c r="D252" s="92">
        <v>0.5</v>
      </c>
      <c r="E252" s="69">
        <f t="shared" si="35"/>
        <v>7269.1450000000186</v>
      </c>
      <c r="F252" s="92"/>
      <c r="G252" s="17">
        <f t="shared" si="39"/>
        <v>25.890060140807993</v>
      </c>
      <c r="H252" s="92"/>
      <c r="I252" s="64">
        <f t="shared" si="40"/>
        <v>12.945030070403996</v>
      </c>
      <c r="J252" s="64">
        <f t="shared" si="41"/>
        <v>188198.60122225419</v>
      </c>
      <c r="K252" s="54"/>
      <c r="L252" s="60"/>
      <c r="M252" s="60"/>
      <c r="N252" s="60"/>
    </row>
    <row r="253" spans="1:14" s="34" customFormat="1" x14ac:dyDescent="0.3">
      <c r="A253" s="91">
        <v>42294</v>
      </c>
      <c r="B253" s="51" t="s">
        <v>725</v>
      </c>
      <c r="C253" s="92"/>
      <c r="D253" s="92">
        <f>(13*4.5+2*3.5+7*2.25+16*3+4*2.5+4*1.5+7*0.75+9*1.75+4*4.75+3*4+3.25+3.75+2.75+7*1.25+3*5+5*2+4*1)*1.05+18</f>
        <v>274.98750000000001</v>
      </c>
      <c r="E253" s="69">
        <f t="shared" si="35"/>
        <v>6994.1575000000184</v>
      </c>
      <c r="F253" s="92"/>
      <c r="G253" s="17">
        <f t="shared" si="39"/>
        <v>25.890060140807993</v>
      </c>
      <c r="H253" s="92"/>
      <c r="I253" s="64">
        <f t="shared" si="40"/>
        <v>7119.4429129704386</v>
      </c>
      <c r="J253" s="64">
        <f t="shared" si="41"/>
        <v>181079.15830928375</v>
      </c>
      <c r="K253" s="54"/>
      <c r="L253" s="60"/>
      <c r="M253" s="60"/>
      <c r="N253" s="60"/>
    </row>
    <row r="254" spans="1:14" s="34" customFormat="1" x14ac:dyDescent="0.3">
      <c r="A254" s="91">
        <v>42294</v>
      </c>
      <c r="B254" s="51" t="s">
        <v>727</v>
      </c>
      <c r="C254" s="92"/>
      <c r="D254" s="92">
        <f>(10*1)*1.05+2</f>
        <v>12.5</v>
      </c>
      <c r="E254" s="69">
        <f t="shared" si="35"/>
        <v>6981.6575000000184</v>
      </c>
      <c r="F254" s="92"/>
      <c r="G254" s="17">
        <f t="shared" si="39"/>
        <v>25.890060140807993</v>
      </c>
      <c r="H254" s="92"/>
      <c r="I254" s="64">
        <f t="shared" si="40"/>
        <v>323.62575176009989</v>
      </c>
      <c r="J254" s="64">
        <f t="shared" si="41"/>
        <v>180755.53255752366</v>
      </c>
      <c r="K254" s="54"/>
      <c r="L254" s="60"/>
      <c r="M254" s="60"/>
      <c r="N254" s="60"/>
    </row>
    <row r="255" spans="1:14" s="34" customFormat="1" x14ac:dyDescent="0.3">
      <c r="A255" s="91">
        <v>42294</v>
      </c>
      <c r="B255" s="51" t="s">
        <v>730</v>
      </c>
      <c r="C255" s="92"/>
      <c r="D255" s="92">
        <f>(9*6.25)*1.05</f>
        <v>59.0625</v>
      </c>
      <c r="E255" s="69">
        <f t="shared" si="35"/>
        <v>6922.5950000000184</v>
      </c>
      <c r="F255" s="92"/>
      <c r="G255" s="17">
        <f t="shared" si="39"/>
        <v>25.890060140807993</v>
      </c>
      <c r="H255" s="92"/>
      <c r="I255" s="64">
        <f t="shared" si="40"/>
        <v>1529.1316770664721</v>
      </c>
      <c r="J255" s="64">
        <f t="shared" si="41"/>
        <v>179226.40088045719</v>
      </c>
      <c r="K255" s="61"/>
      <c r="L255" s="90">
        <f>SUM(I231:I255)</f>
        <v>38080.394958107434</v>
      </c>
      <c r="M255" s="89"/>
      <c r="N255" s="162">
        <v>42294</v>
      </c>
    </row>
    <row r="256" spans="1:14" s="34" customFormat="1" x14ac:dyDescent="0.3">
      <c r="A256" s="91">
        <v>42296</v>
      </c>
      <c r="B256" s="51" t="s">
        <v>734</v>
      </c>
      <c r="C256" s="92"/>
      <c r="D256" s="92">
        <f>(48*7.75+7+6.25+5.5+4.75+5+6+7.5+5*1.25+3*2.25+5*3+3*3.25+2*2+3.75+4.25+4+2.5+1.5+0.75)*1.05+18</f>
        <v>514.125</v>
      </c>
      <c r="E256" s="69">
        <f t="shared" si="35"/>
        <v>6408.4700000000184</v>
      </c>
      <c r="F256" s="92"/>
      <c r="G256" s="17">
        <f t="shared" si="39"/>
        <v>25.890060140807993</v>
      </c>
      <c r="H256" s="92"/>
      <c r="I256" s="64">
        <f t="shared" si="40"/>
        <v>13310.727169892909</v>
      </c>
      <c r="J256" s="64">
        <f t="shared" si="41"/>
        <v>165915.6737105643</v>
      </c>
      <c r="K256" s="54"/>
      <c r="L256" s="60"/>
      <c r="M256" s="60"/>
      <c r="N256" s="60"/>
    </row>
    <row r="257" spans="1:14" s="34" customFormat="1" x14ac:dyDescent="0.3">
      <c r="A257" s="91">
        <v>42297</v>
      </c>
      <c r="B257" s="51" t="s">
        <v>741</v>
      </c>
      <c r="C257" s="92"/>
      <c r="D257" s="92">
        <f>+(3*3.25)*1.05</f>
        <v>10.237500000000001</v>
      </c>
      <c r="E257" s="69">
        <f t="shared" si="35"/>
        <v>6398.2325000000183</v>
      </c>
      <c r="F257" s="92"/>
      <c r="G257" s="17">
        <f t="shared" si="39"/>
        <v>25.890060140807996</v>
      </c>
      <c r="H257" s="92"/>
      <c r="I257" s="64">
        <f t="shared" si="40"/>
        <v>265.0494906915219</v>
      </c>
      <c r="J257" s="64">
        <f t="shared" si="41"/>
        <v>165650.62421987279</v>
      </c>
      <c r="K257" s="54"/>
      <c r="L257" s="60"/>
      <c r="M257" s="60"/>
      <c r="N257" s="60"/>
    </row>
    <row r="258" spans="1:14" s="34" customFormat="1" x14ac:dyDescent="0.3">
      <c r="A258" s="91">
        <v>42297</v>
      </c>
      <c r="B258" s="51" t="s">
        <v>742</v>
      </c>
      <c r="C258" s="92"/>
      <c r="D258" s="92">
        <f>+(3*3.5+5.25+2*5+6*3.25+8*2.5+8*1.75+12*1+4*1.25+4*0.75+4*0.5+7*5.5+8*4+4*5.75)*1.05+16</f>
        <v>220.48750000000001</v>
      </c>
      <c r="E258" s="69">
        <f t="shared" si="35"/>
        <v>6177.7450000000181</v>
      </c>
      <c r="F258" s="92"/>
      <c r="G258" s="17">
        <f t="shared" si="39"/>
        <v>25.890060140808</v>
      </c>
      <c r="H258" s="92"/>
      <c r="I258" s="64">
        <f t="shared" si="40"/>
        <v>5708.4346352964039</v>
      </c>
      <c r="J258" s="64">
        <f t="shared" si="41"/>
        <v>159942.18958457638</v>
      </c>
      <c r="K258" s="54"/>
      <c r="L258" s="60"/>
      <c r="M258" s="60"/>
      <c r="N258" s="60"/>
    </row>
    <row r="259" spans="1:14" s="34" customFormat="1" x14ac:dyDescent="0.3">
      <c r="A259" s="91">
        <v>42297</v>
      </c>
      <c r="B259" s="51" t="s">
        <v>743</v>
      </c>
      <c r="C259" s="92"/>
      <c r="D259" s="92">
        <f>+(6.25+6*6+5+5.25+2*2+2*1.25+2*0.05)*1.05+1</f>
        <v>63.055000000000007</v>
      </c>
      <c r="E259" s="69">
        <f t="shared" si="35"/>
        <v>6114.6900000000178</v>
      </c>
      <c r="F259" s="92"/>
      <c r="G259" s="17">
        <f t="shared" si="39"/>
        <v>25.890060140808</v>
      </c>
      <c r="H259" s="92"/>
      <c r="I259" s="64">
        <f t="shared" si="40"/>
        <v>1632.4977421786487</v>
      </c>
      <c r="J259" s="64">
        <f t="shared" si="41"/>
        <v>158309.69184239773</v>
      </c>
      <c r="K259" s="54"/>
      <c r="L259" s="60"/>
      <c r="M259" s="60"/>
      <c r="N259" s="60"/>
    </row>
    <row r="260" spans="1:14" s="34" customFormat="1" x14ac:dyDescent="0.3">
      <c r="A260" s="91">
        <v>42298</v>
      </c>
      <c r="B260" s="51" t="s">
        <v>744</v>
      </c>
      <c r="C260" s="92"/>
      <c r="D260" s="92">
        <f>+(5*8.5+7.5+2+3*1.5+1+5+4+3+3*1.75+4*2.5+2*0.5)*1.05+5</f>
        <v>95.037500000000009</v>
      </c>
      <c r="E260" s="69">
        <f t="shared" si="35"/>
        <v>6019.6525000000174</v>
      </c>
      <c r="F260" s="92"/>
      <c r="G260" s="17">
        <f t="shared" si="39"/>
        <v>25.890060140808</v>
      </c>
      <c r="H260" s="92"/>
      <c r="I260" s="64">
        <f t="shared" si="40"/>
        <v>2460.5265906320406</v>
      </c>
      <c r="J260" s="64">
        <f t="shared" si="41"/>
        <v>155849.16525176569</v>
      </c>
      <c r="K260" s="54"/>
      <c r="L260" s="60"/>
      <c r="M260" s="60"/>
      <c r="N260" s="60"/>
    </row>
    <row r="261" spans="1:14" s="34" customFormat="1" x14ac:dyDescent="0.3">
      <c r="A261" s="91">
        <v>42299</v>
      </c>
      <c r="B261" s="51" t="s">
        <v>746</v>
      </c>
      <c r="C261" s="92"/>
      <c r="D261" s="92">
        <f>+(4*3.5)*1.05</f>
        <v>14.700000000000001</v>
      </c>
      <c r="E261" s="69">
        <f t="shared" si="35"/>
        <v>6004.9525000000176</v>
      </c>
      <c r="F261" s="92"/>
      <c r="G261" s="17">
        <f t="shared" si="39"/>
        <v>25.890060140808004</v>
      </c>
      <c r="H261" s="92"/>
      <c r="I261" s="64">
        <f t="shared" si="40"/>
        <v>380.58388406987768</v>
      </c>
      <c r="J261" s="64">
        <f t="shared" si="41"/>
        <v>155468.58136769582</v>
      </c>
      <c r="K261" s="54"/>
      <c r="L261" s="60"/>
      <c r="M261" s="60"/>
      <c r="N261" s="60"/>
    </row>
    <row r="262" spans="1:14" s="34" customFormat="1" x14ac:dyDescent="0.3">
      <c r="A262" s="91">
        <v>42300</v>
      </c>
      <c r="B262" s="51" t="s">
        <v>747</v>
      </c>
      <c r="C262" s="92"/>
      <c r="D262" s="92">
        <f>+(12*5.25)*1.05+2.5</f>
        <v>68.650000000000006</v>
      </c>
      <c r="E262" s="69">
        <f t="shared" si="35"/>
        <v>5936.302500000018</v>
      </c>
      <c r="F262" s="92"/>
      <c r="G262" s="17">
        <f t="shared" si="39"/>
        <v>25.890060140808004</v>
      </c>
      <c r="H262" s="92"/>
      <c r="I262" s="64">
        <f t="shared" si="40"/>
        <v>1777.3526286664696</v>
      </c>
      <c r="J262" s="64">
        <f t="shared" si="41"/>
        <v>153691.22873902935</v>
      </c>
      <c r="K262" s="54"/>
      <c r="L262" s="60"/>
      <c r="M262" s="60"/>
      <c r="N262" s="60"/>
    </row>
    <row r="263" spans="1:14" s="34" customFormat="1" x14ac:dyDescent="0.3">
      <c r="A263" s="91">
        <v>42300</v>
      </c>
      <c r="B263" s="51" t="s">
        <v>749</v>
      </c>
      <c r="C263" s="92"/>
      <c r="D263" s="92">
        <f>(1.5)*1.05</f>
        <v>1.5750000000000002</v>
      </c>
      <c r="E263" s="69">
        <f t="shared" si="35"/>
        <v>5934.7275000000182</v>
      </c>
      <c r="F263" s="92"/>
      <c r="G263" s="17">
        <f t="shared" si="39"/>
        <v>25.890060140808</v>
      </c>
      <c r="H263" s="92"/>
      <c r="I263" s="64">
        <f t="shared" si="40"/>
        <v>40.776844721772605</v>
      </c>
      <c r="J263" s="64">
        <f t="shared" si="41"/>
        <v>153650.45189430757</v>
      </c>
      <c r="K263" s="54"/>
      <c r="L263" s="60"/>
      <c r="M263" s="60"/>
      <c r="N263" s="60"/>
    </row>
    <row r="264" spans="1:14" s="34" customFormat="1" x14ac:dyDescent="0.3">
      <c r="A264" s="91">
        <v>42300</v>
      </c>
      <c r="B264" s="51" t="s">
        <v>752</v>
      </c>
      <c r="C264" s="92"/>
      <c r="D264" s="92">
        <v>2</v>
      </c>
      <c r="E264" s="69">
        <f t="shared" si="35"/>
        <v>5932.7275000000182</v>
      </c>
      <c r="F264" s="92"/>
      <c r="G264" s="17">
        <f t="shared" si="39"/>
        <v>25.890060140807996</v>
      </c>
      <c r="H264" s="92"/>
      <c r="I264" s="64">
        <f t="shared" si="40"/>
        <v>51.780120281615993</v>
      </c>
      <c r="J264" s="64">
        <f t="shared" si="41"/>
        <v>153598.67177402595</v>
      </c>
      <c r="K264" s="54"/>
      <c r="L264" s="60"/>
      <c r="M264" s="60"/>
      <c r="N264" s="60"/>
    </row>
    <row r="265" spans="1:14" s="34" customFormat="1" x14ac:dyDescent="0.3">
      <c r="A265" s="91">
        <v>42301</v>
      </c>
      <c r="B265" s="51" t="s">
        <v>754</v>
      </c>
      <c r="C265" s="92"/>
      <c r="D265" s="92">
        <f>(11*5.5+10*3+4*4)*1.05</f>
        <v>111.825</v>
      </c>
      <c r="E265" s="69">
        <f t="shared" si="35"/>
        <v>5820.9025000000183</v>
      </c>
      <c r="F265" s="92"/>
      <c r="G265" s="17">
        <f t="shared" si="39"/>
        <v>25.890060140807996</v>
      </c>
      <c r="H265" s="92"/>
      <c r="I265" s="64">
        <f t="shared" si="40"/>
        <v>2895.1559752458543</v>
      </c>
      <c r="J265" s="64">
        <f t="shared" si="41"/>
        <v>150703.51579878011</v>
      </c>
      <c r="K265" s="54"/>
      <c r="L265" s="60"/>
      <c r="M265" s="60"/>
      <c r="N265" s="60"/>
    </row>
    <row r="266" spans="1:14" s="34" customFormat="1" x14ac:dyDescent="0.3">
      <c r="A266" s="91">
        <v>42301</v>
      </c>
      <c r="B266" s="51" t="s">
        <v>758</v>
      </c>
      <c r="C266" s="92"/>
      <c r="D266" s="92">
        <f>(13*5.25+4.5+2*3.75+2*3+7*2.25+3*1.5+9*5.5+2*3.5+4.25+4.75+4*4+3*3.25+5*0.75+2.5+4*1.25+5*1.75)*1.05+8</f>
        <v>236.63750000000002</v>
      </c>
      <c r="E266" s="69">
        <f t="shared" si="35"/>
        <v>5584.2650000000185</v>
      </c>
      <c r="F266" s="92"/>
      <c r="G266" s="17">
        <f t="shared" si="39"/>
        <v>25.890060140808</v>
      </c>
      <c r="H266" s="92"/>
      <c r="I266" s="64">
        <f t="shared" si="40"/>
        <v>6126.5591065704539</v>
      </c>
      <c r="J266" s="64">
        <f t="shared" si="41"/>
        <v>144576.95669220964</v>
      </c>
      <c r="K266" s="54"/>
      <c r="L266" s="60"/>
      <c r="M266" s="60"/>
      <c r="N266" s="60"/>
    </row>
    <row r="267" spans="1:14" s="34" customFormat="1" x14ac:dyDescent="0.3">
      <c r="A267" s="91">
        <v>42303</v>
      </c>
      <c r="B267" s="51" t="s">
        <v>761</v>
      </c>
      <c r="C267" s="92"/>
      <c r="D267" s="92">
        <f>(17*2.25)*1.05+6</f>
        <v>46.162500000000001</v>
      </c>
      <c r="E267" s="69">
        <f t="shared" si="35"/>
        <v>5538.1025000000182</v>
      </c>
      <c r="F267" s="92"/>
      <c r="G267" s="17">
        <f t="shared" si="39"/>
        <v>25.890060140807996</v>
      </c>
      <c r="H267" s="92"/>
      <c r="I267" s="64">
        <f t="shared" si="40"/>
        <v>1195.1499012500492</v>
      </c>
      <c r="J267" s="64">
        <f t="shared" si="41"/>
        <v>143381.80679095958</v>
      </c>
      <c r="K267" s="54"/>
      <c r="L267" s="60"/>
      <c r="M267" s="60"/>
      <c r="N267" s="60"/>
    </row>
    <row r="268" spans="1:14" s="34" customFormat="1" x14ac:dyDescent="0.3">
      <c r="A268" s="91">
        <v>42303</v>
      </c>
      <c r="B268" s="51" t="s">
        <v>763</v>
      </c>
      <c r="C268" s="92"/>
      <c r="D268" s="92">
        <f>(2+1.75)*1.05</f>
        <v>3.9375</v>
      </c>
      <c r="E268" s="69">
        <f t="shared" si="35"/>
        <v>5534.1650000000182</v>
      </c>
      <c r="F268" s="92"/>
      <c r="G268" s="17">
        <f t="shared" si="39"/>
        <v>25.890060140807996</v>
      </c>
      <c r="H268" s="92"/>
      <c r="I268" s="64">
        <f t="shared" si="40"/>
        <v>101.94211180443149</v>
      </c>
      <c r="J268" s="64">
        <f t="shared" si="41"/>
        <v>143279.86467915514</v>
      </c>
      <c r="K268" s="54"/>
      <c r="L268" s="60"/>
      <c r="M268" s="60"/>
      <c r="N268" s="60"/>
    </row>
    <row r="269" spans="1:14" s="34" customFormat="1" x14ac:dyDescent="0.3">
      <c r="A269" s="91">
        <v>42304</v>
      </c>
      <c r="B269" s="51" t="s">
        <v>766</v>
      </c>
      <c r="C269" s="92"/>
      <c r="D269" s="92">
        <f>(9*4.75)*1.05</f>
        <v>44.887500000000003</v>
      </c>
      <c r="E269" s="69">
        <f t="shared" si="35"/>
        <v>5489.2775000000183</v>
      </c>
      <c r="F269" s="92"/>
      <c r="G269" s="17">
        <f t="shared" si="39"/>
        <v>25.890060140807993</v>
      </c>
      <c r="H269" s="92"/>
      <c r="I269" s="64">
        <f t="shared" si="40"/>
        <v>1162.1400745705189</v>
      </c>
      <c r="J269" s="64">
        <f t="shared" si="41"/>
        <v>142117.72460458463</v>
      </c>
      <c r="K269" s="54"/>
      <c r="L269" s="60"/>
      <c r="M269" s="60"/>
      <c r="N269" s="60"/>
    </row>
    <row r="270" spans="1:14" s="34" customFormat="1" x14ac:dyDescent="0.3">
      <c r="A270" s="91">
        <v>42304</v>
      </c>
      <c r="B270" s="51" t="s">
        <v>768</v>
      </c>
      <c r="C270" s="92"/>
      <c r="D270" s="92">
        <f>(1)*1.05</f>
        <v>1.05</v>
      </c>
      <c r="E270" s="69">
        <f t="shared" si="35"/>
        <v>5488.2275000000182</v>
      </c>
      <c r="F270" s="92"/>
      <c r="G270" s="17">
        <f t="shared" si="39"/>
        <v>25.890060140807993</v>
      </c>
      <c r="H270" s="92"/>
      <c r="I270" s="64">
        <f t="shared" si="40"/>
        <v>27.184563147848394</v>
      </c>
      <c r="J270" s="64">
        <f t="shared" si="41"/>
        <v>142090.54004143679</v>
      </c>
      <c r="K270" s="54"/>
      <c r="L270" s="60"/>
      <c r="M270" s="60"/>
      <c r="N270" s="60"/>
    </row>
    <row r="271" spans="1:14" s="34" customFormat="1" x14ac:dyDescent="0.3">
      <c r="A271" s="91">
        <v>42305</v>
      </c>
      <c r="B271" s="51" t="s">
        <v>769</v>
      </c>
      <c r="C271" s="92"/>
      <c r="D271" s="92">
        <f>(18*4)*1.05+3</f>
        <v>78.600000000000009</v>
      </c>
      <c r="E271" s="69">
        <f t="shared" si="35"/>
        <v>5409.6275000000178</v>
      </c>
      <c r="F271" s="92"/>
      <c r="G271" s="17">
        <f t="shared" si="39"/>
        <v>25.890060140807996</v>
      </c>
      <c r="H271" s="92"/>
      <c r="I271" s="64">
        <f t="shared" si="40"/>
        <v>2034.9587270675088</v>
      </c>
      <c r="J271" s="64">
        <f t="shared" si="41"/>
        <v>140055.58131436928</v>
      </c>
      <c r="K271" s="54"/>
      <c r="L271" s="5"/>
      <c r="M271" s="60"/>
      <c r="N271" s="60"/>
    </row>
    <row r="272" spans="1:14" s="34" customFormat="1" x14ac:dyDescent="0.3">
      <c r="A272" s="91">
        <v>42305</v>
      </c>
      <c r="B272" s="51" t="s">
        <v>771</v>
      </c>
      <c r="C272" s="92"/>
      <c r="D272" s="92">
        <f>(2.25)*1.05</f>
        <v>2.3625000000000003</v>
      </c>
      <c r="E272" s="69">
        <f t="shared" si="35"/>
        <v>5407.2650000000176</v>
      </c>
      <c r="F272" s="92"/>
      <c r="G272" s="17">
        <f t="shared" si="39"/>
        <v>25.890060140807996</v>
      </c>
      <c r="H272" s="92"/>
      <c r="I272" s="64">
        <f t="shared" si="40"/>
        <v>61.1652670826589</v>
      </c>
      <c r="J272" s="64">
        <f t="shared" si="41"/>
        <v>139994.41604728662</v>
      </c>
      <c r="K272" s="54"/>
      <c r="L272" s="5"/>
      <c r="M272" s="60"/>
      <c r="N272" s="60"/>
    </row>
    <row r="273" spans="1:14" s="34" customFormat="1" x14ac:dyDescent="0.3">
      <c r="A273" s="91">
        <v>42305</v>
      </c>
      <c r="B273" s="51" t="s">
        <v>773</v>
      </c>
      <c r="C273" s="92"/>
      <c r="D273" s="92">
        <f>(25*4+4*2.75+7*1.5+10*1.75+7*2+6*1.25+10*0.75+6*3+3*2.5+3*2.25+2*1+10*4.25+2*3.25+3.5)*1.05+22</f>
        <v>289.48750000000001</v>
      </c>
      <c r="E273" s="69">
        <f t="shared" si="35"/>
        <v>5117.7775000000174</v>
      </c>
      <c r="F273" s="92"/>
      <c r="G273" s="17">
        <f t="shared" si="39"/>
        <v>25.890060140808</v>
      </c>
      <c r="H273" s="92"/>
      <c r="I273" s="64">
        <f t="shared" si="40"/>
        <v>7494.8487850121564</v>
      </c>
      <c r="J273" s="64">
        <f t="shared" si="41"/>
        <v>132499.56726227448</v>
      </c>
      <c r="K273" s="54"/>
      <c r="L273" s="5"/>
      <c r="M273" s="60"/>
      <c r="N273" s="60"/>
    </row>
    <row r="274" spans="1:14" s="34" customFormat="1" x14ac:dyDescent="0.3">
      <c r="A274" s="91">
        <v>42307</v>
      </c>
      <c r="B274" s="51" t="s">
        <v>779</v>
      </c>
      <c r="C274" s="92"/>
      <c r="D274" s="92">
        <f>(3*1.05)*1.05</f>
        <v>3.3075000000000006</v>
      </c>
      <c r="E274" s="69">
        <f t="shared" si="35"/>
        <v>5114.4700000000175</v>
      </c>
      <c r="F274" s="92"/>
      <c r="G274" s="17">
        <f t="shared" si="39"/>
        <v>25.890060140808004</v>
      </c>
      <c r="H274" s="92"/>
      <c r="I274" s="64">
        <f t="shared" si="40"/>
        <v>85.631373915722492</v>
      </c>
      <c r="J274" s="64">
        <f t="shared" si="41"/>
        <v>132413.93588835874</v>
      </c>
      <c r="K274" s="54"/>
      <c r="L274" s="5"/>
      <c r="M274" s="60"/>
      <c r="N274" s="60"/>
    </row>
    <row r="275" spans="1:14" s="95" customFormat="1" x14ac:dyDescent="0.3">
      <c r="A275" s="91">
        <v>42307</v>
      </c>
      <c r="B275" s="51" t="s">
        <v>781</v>
      </c>
      <c r="C275" s="92"/>
      <c r="D275" s="92">
        <f>(59*9+32*8+12*2.75)*1.05</f>
        <v>861</v>
      </c>
      <c r="E275" s="69">
        <f t="shared" si="35"/>
        <v>4253.4700000000175</v>
      </c>
      <c r="F275" s="92"/>
      <c r="G275" s="17">
        <f t="shared" si="39"/>
        <v>25.890060140808</v>
      </c>
      <c r="H275" s="92"/>
      <c r="I275" s="64">
        <f t="shared" si="40"/>
        <v>22291.341781235689</v>
      </c>
      <c r="J275" s="64">
        <f t="shared" si="41"/>
        <v>110122.59410712305</v>
      </c>
      <c r="K275" s="93"/>
      <c r="L275" s="94"/>
      <c r="M275" s="193"/>
      <c r="N275" s="193"/>
    </row>
    <row r="276" spans="1:14" s="34" customFormat="1" x14ac:dyDescent="0.3">
      <c r="A276" s="91">
        <v>42308</v>
      </c>
      <c r="B276" s="51" t="s">
        <v>784</v>
      </c>
      <c r="C276" s="92"/>
      <c r="D276" s="92">
        <v>0</v>
      </c>
      <c r="E276" s="69">
        <f t="shared" si="35"/>
        <v>4253.4700000000175</v>
      </c>
      <c r="F276" s="92"/>
      <c r="G276" s="17">
        <f t="shared" si="39"/>
        <v>25.890060140807996</v>
      </c>
      <c r="H276" s="92"/>
      <c r="I276" s="64">
        <f t="shared" si="40"/>
        <v>0</v>
      </c>
      <c r="J276" s="64">
        <f t="shared" si="41"/>
        <v>110122.59410712305</v>
      </c>
      <c r="K276" s="54"/>
      <c r="L276" s="5"/>
      <c r="M276" s="60"/>
      <c r="N276" s="60"/>
    </row>
    <row r="277" spans="1:14" s="34" customFormat="1" x14ac:dyDescent="0.3">
      <c r="A277" s="91">
        <v>42308</v>
      </c>
      <c r="B277" s="51" t="s">
        <v>785</v>
      </c>
      <c r="C277" s="92"/>
      <c r="D277" s="92">
        <f>(3*2+2*1.75+2*1.5)*1.05</f>
        <v>13.125</v>
      </c>
      <c r="E277" s="69">
        <f t="shared" si="35"/>
        <v>4240.3450000000175</v>
      </c>
      <c r="F277" s="92"/>
      <c r="G277" s="17">
        <f t="shared" si="39"/>
        <v>25.890060140807996</v>
      </c>
      <c r="H277" s="92"/>
      <c r="I277" s="64">
        <f t="shared" si="40"/>
        <v>339.80703934810498</v>
      </c>
      <c r="J277" s="64">
        <f t="shared" si="41"/>
        <v>109782.78706777495</v>
      </c>
      <c r="K277" s="54"/>
      <c r="L277" s="5"/>
      <c r="M277" s="60"/>
      <c r="N277" s="60"/>
    </row>
    <row r="278" spans="1:14" s="34" customFormat="1" x14ac:dyDescent="0.3">
      <c r="A278" s="91">
        <v>42308</v>
      </c>
      <c r="B278" s="51" t="s">
        <v>788</v>
      </c>
      <c r="C278" s="92"/>
      <c r="D278" s="92">
        <f>(9*6)*1.05</f>
        <v>56.7</v>
      </c>
      <c r="E278" s="69">
        <f t="shared" si="35"/>
        <v>4183.6450000000177</v>
      </c>
      <c r="F278" s="92"/>
      <c r="G278" s="17">
        <f t="shared" si="39"/>
        <v>25.890060140807996</v>
      </c>
      <c r="H278" s="92"/>
      <c r="I278" s="64">
        <f t="shared" si="40"/>
        <v>1467.9664099838135</v>
      </c>
      <c r="J278" s="64">
        <f t="shared" si="41"/>
        <v>108314.82065779113</v>
      </c>
      <c r="K278" s="61"/>
      <c r="L278" s="96">
        <f>SUM(I256:I278)</f>
        <v>70911.580222666074</v>
      </c>
      <c r="M278" s="90">
        <f>SUM(L255:L278)</f>
        <v>108991.9751807735</v>
      </c>
      <c r="N278" s="162">
        <v>42308</v>
      </c>
    </row>
    <row r="279" spans="1:14" s="34" customFormat="1" x14ac:dyDescent="0.3">
      <c r="A279" s="91">
        <v>42311</v>
      </c>
      <c r="B279" s="51" t="s">
        <v>789</v>
      </c>
      <c r="C279" s="92"/>
      <c r="D279" s="92">
        <f>(3)*1.05</f>
        <v>3.1500000000000004</v>
      </c>
      <c r="E279" s="69">
        <f t="shared" si="35"/>
        <v>4180.4950000000181</v>
      </c>
      <c r="F279" s="92"/>
      <c r="G279" s="17">
        <f t="shared" si="39"/>
        <v>25.890060140807996</v>
      </c>
      <c r="H279" s="92"/>
      <c r="I279" s="64">
        <f t="shared" si="40"/>
        <v>81.553689443545196</v>
      </c>
      <c r="J279" s="64">
        <f t="shared" si="41"/>
        <v>108233.26696834758</v>
      </c>
      <c r="K279" s="54"/>
      <c r="L279" s="5"/>
      <c r="M279" s="60"/>
      <c r="N279" s="60"/>
    </row>
    <row r="280" spans="1:14" s="34" customFormat="1" x14ac:dyDescent="0.3">
      <c r="A280" s="91">
        <v>42311</v>
      </c>
      <c r="B280" s="51" t="s">
        <v>790</v>
      </c>
      <c r="C280" s="92"/>
      <c r="D280" s="92">
        <f>(0.5)*1.05</f>
        <v>0.52500000000000002</v>
      </c>
      <c r="E280" s="69">
        <f t="shared" si="35"/>
        <v>4179.9700000000184</v>
      </c>
      <c r="F280" s="92"/>
      <c r="G280" s="17">
        <f t="shared" si="39"/>
        <v>25.890060140807993</v>
      </c>
      <c r="H280" s="92"/>
      <c r="I280" s="64">
        <f t="shared" si="40"/>
        <v>13.592281573924197</v>
      </c>
      <c r="J280" s="64">
        <f t="shared" si="41"/>
        <v>108219.67468677367</v>
      </c>
      <c r="K280" s="54"/>
      <c r="L280" s="5"/>
      <c r="M280" s="60"/>
      <c r="N280" s="60"/>
    </row>
    <row r="281" spans="1:14" s="34" customFormat="1" x14ac:dyDescent="0.3">
      <c r="A281" s="91">
        <v>42312</v>
      </c>
      <c r="B281" s="51" t="s">
        <v>795</v>
      </c>
      <c r="C281" s="92"/>
      <c r="D281" s="92">
        <f>(66*4.7+4)*1.05+18</f>
        <v>347.91</v>
      </c>
      <c r="E281" s="69">
        <f t="shared" si="35"/>
        <v>3832.0600000000186</v>
      </c>
      <c r="F281" s="92"/>
      <c r="G281" s="17">
        <f>+J279/E279</f>
        <v>25.890060140807993</v>
      </c>
      <c r="H281" s="92"/>
      <c r="I281" s="64">
        <f t="shared" ref="I281" si="42">+D281*G281</f>
        <v>9007.4108235885087</v>
      </c>
      <c r="J281" s="64">
        <f t="shared" si="41"/>
        <v>99212.263863185159</v>
      </c>
      <c r="K281" s="54"/>
      <c r="L281" s="5"/>
      <c r="M281" s="60"/>
      <c r="N281" s="60"/>
    </row>
    <row r="282" spans="1:14" s="34" customFormat="1" x14ac:dyDescent="0.3">
      <c r="A282" s="91">
        <v>42312</v>
      </c>
      <c r="B282" s="51" t="s">
        <v>800</v>
      </c>
      <c r="C282" s="92"/>
      <c r="D282" s="92">
        <f>(2*3)*1.05</f>
        <v>6.3000000000000007</v>
      </c>
      <c r="E282" s="69">
        <f t="shared" si="35"/>
        <v>3825.7600000000184</v>
      </c>
      <c r="F282" s="92"/>
      <c r="G282" s="17">
        <f>+J280/E280</f>
        <v>25.890060140807993</v>
      </c>
      <c r="H282" s="92"/>
      <c r="I282" s="64">
        <f t="shared" si="40"/>
        <v>163.10737888709036</v>
      </c>
      <c r="J282" s="64">
        <f t="shared" si="41"/>
        <v>99049.156484298073</v>
      </c>
      <c r="K282" s="54"/>
      <c r="L282" s="5"/>
      <c r="M282" s="60"/>
      <c r="N282" s="60"/>
    </row>
    <row r="283" spans="1:14" s="34" customFormat="1" x14ac:dyDescent="0.3">
      <c r="A283" s="91">
        <v>42313</v>
      </c>
      <c r="B283" s="51" t="s">
        <v>804</v>
      </c>
      <c r="C283" s="92"/>
      <c r="D283" s="92">
        <f>(16*2.5)*1.05+3.5</f>
        <v>45.5</v>
      </c>
      <c r="E283" s="69">
        <f t="shared" si="35"/>
        <v>3780.2600000000184</v>
      </c>
      <c r="F283" s="92"/>
      <c r="G283" s="17">
        <f t="shared" ref="G283:G300" si="43">+J281/E281</f>
        <v>25.890060140807993</v>
      </c>
      <c r="H283" s="92"/>
      <c r="I283" s="64">
        <f t="shared" ref="I283" si="44">+D283*G283</f>
        <v>1177.9977364067636</v>
      </c>
      <c r="J283" s="64">
        <f t="shared" si="41"/>
        <v>97871.158747891313</v>
      </c>
      <c r="K283" s="54"/>
      <c r="L283" s="5"/>
      <c r="M283" s="60"/>
      <c r="N283" s="60"/>
    </row>
    <row r="284" spans="1:14" s="34" customFormat="1" x14ac:dyDescent="0.3">
      <c r="A284" s="91">
        <v>42313</v>
      </c>
      <c r="B284" s="51" t="s">
        <v>806</v>
      </c>
      <c r="C284" s="92"/>
      <c r="D284" s="92">
        <v>0</v>
      </c>
      <c r="E284" s="69">
        <f t="shared" si="35"/>
        <v>3780.2600000000184</v>
      </c>
      <c r="F284" s="92"/>
      <c r="G284" s="17">
        <f t="shared" si="43"/>
        <v>25.890060140807996</v>
      </c>
      <c r="H284" s="92"/>
      <c r="I284" s="64">
        <f t="shared" ref="I284:I300" si="45">+D284*G284</f>
        <v>0</v>
      </c>
      <c r="J284" s="64">
        <f t="shared" si="41"/>
        <v>97871.158747891313</v>
      </c>
      <c r="K284" s="54"/>
      <c r="L284" s="5"/>
      <c r="M284" s="60"/>
      <c r="N284" s="60"/>
    </row>
    <row r="285" spans="1:14" s="34" customFormat="1" x14ac:dyDescent="0.3">
      <c r="A285" s="91">
        <v>42313</v>
      </c>
      <c r="B285" s="51" t="s">
        <v>807</v>
      </c>
      <c r="C285" s="92"/>
      <c r="D285" s="92">
        <f>(7*6.25+4*6+5.25+5.5+3*4.75+2*4.5+5*4+3.75+2*3.25+4*3+2*2.75+4*2.25+1.5+4*1.25+2*0.75+4*0.5+3*2+4*5+1)*1.05+12</f>
        <v>217.27500000000001</v>
      </c>
      <c r="E285" s="69">
        <f t="shared" si="35"/>
        <v>3562.9850000000183</v>
      </c>
      <c r="F285" s="92"/>
      <c r="G285" s="17">
        <f t="shared" si="43"/>
        <v>25.890060140807996</v>
      </c>
      <c r="H285" s="92"/>
      <c r="I285" s="64">
        <f t="shared" si="45"/>
        <v>5625.2628170940579</v>
      </c>
      <c r="J285" s="64">
        <f t="shared" si="41"/>
        <v>92245.895930797255</v>
      </c>
      <c r="K285" s="54"/>
      <c r="L285" s="5"/>
      <c r="M285" s="60"/>
      <c r="N285" s="60"/>
    </row>
    <row r="286" spans="1:14" s="34" customFormat="1" x14ac:dyDescent="0.3">
      <c r="A286" s="91">
        <v>42314</v>
      </c>
      <c r="B286" s="51" t="s">
        <v>811</v>
      </c>
      <c r="C286" s="92"/>
      <c r="D286" s="92">
        <f>(14*3.75)*1.05+3</f>
        <v>58.125</v>
      </c>
      <c r="E286" s="69">
        <f t="shared" si="35"/>
        <v>3504.8600000000183</v>
      </c>
      <c r="F286" s="92"/>
      <c r="G286" s="17">
        <f t="shared" si="43"/>
        <v>25.890060140807996</v>
      </c>
      <c r="H286" s="92"/>
      <c r="I286" s="64">
        <f t="shared" si="45"/>
        <v>1504.8597456844648</v>
      </c>
      <c r="J286" s="64">
        <f t="shared" si="41"/>
        <v>90741.036185112796</v>
      </c>
      <c r="K286" s="54"/>
      <c r="L286" s="60"/>
      <c r="M286" s="60"/>
      <c r="N286" s="60"/>
    </row>
    <row r="287" spans="1:14" s="34" customFormat="1" x14ac:dyDescent="0.3">
      <c r="A287" s="91">
        <v>42315</v>
      </c>
      <c r="B287" s="51" t="s">
        <v>813</v>
      </c>
      <c r="C287" s="92"/>
      <c r="D287" s="92">
        <f>10*1.05</f>
        <v>10.5</v>
      </c>
      <c r="E287" s="69">
        <f t="shared" si="35"/>
        <v>3494.3600000000183</v>
      </c>
      <c r="F287" s="92"/>
      <c r="G287" s="17">
        <f t="shared" si="43"/>
        <v>25.890060140807996</v>
      </c>
      <c r="H287" s="92"/>
      <c r="I287" s="64">
        <f t="shared" si="45"/>
        <v>271.84563147848394</v>
      </c>
      <c r="J287" s="64">
        <f t="shared" si="41"/>
        <v>90469.190553634311</v>
      </c>
      <c r="K287" s="54"/>
      <c r="L287" s="60"/>
      <c r="M287" s="60"/>
      <c r="N287" s="60"/>
    </row>
    <row r="288" spans="1:14" s="34" customFormat="1" x14ac:dyDescent="0.3">
      <c r="A288" s="91">
        <v>42318</v>
      </c>
      <c r="B288" s="51" t="s">
        <v>817</v>
      </c>
      <c r="C288" s="92"/>
      <c r="D288" s="92">
        <f>(5*0.5)*1.05</f>
        <v>2.625</v>
      </c>
      <c r="E288" s="69">
        <f t="shared" ref="E288:E300" si="46">+E287-D288</f>
        <v>3491.7350000000183</v>
      </c>
      <c r="F288" s="92"/>
      <c r="G288" s="17">
        <f t="shared" si="43"/>
        <v>25.890060140808</v>
      </c>
      <c r="H288" s="92"/>
      <c r="I288" s="64">
        <f t="shared" si="45"/>
        <v>67.961407869620999</v>
      </c>
      <c r="J288" s="64">
        <f t="shared" si="41"/>
        <v>90401.229145764693</v>
      </c>
      <c r="K288" s="54"/>
      <c r="L288" s="60"/>
      <c r="M288" s="60"/>
      <c r="N288" s="60"/>
    </row>
    <row r="289" spans="1:14" s="34" customFormat="1" x14ac:dyDescent="0.3">
      <c r="A289" s="91">
        <v>42319</v>
      </c>
      <c r="B289" s="51" t="s">
        <v>818</v>
      </c>
      <c r="C289" s="92"/>
      <c r="D289" s="92">
        <f>(6*1)*1.05</f>
        <v>6.3000000000000007</v>
      </c>
      <c r="E289" s="69">
        <f t="shared" si="46"/>
        <v>3485.4350000000181</v>
      </c>
      <c r="F289" s="92"/>
      <c r="G289" s="17">
        <f t="shared" si="43"/>
        <v>25.890060140808</v>
      </c>
      <c r="H289" s="92"/>
      <c r="I289" s="64">
        <f t="shared" si="45"/>
        <v>163.10737888709042</v>
      </c>
      <c r="J289" s="64">
        <f t="shared" si="41"/>
        <v>90238.121766877608</v>
      </c>
      <c r="K289" s="54"/>
      <c r="L289" s="60"/>
      <c r="M289" s="60"/>
      <c r="N289" s="60"/>
    </row>
    <row r="290" spans="1:14" s="34" customFormat="1" x14ac:dyDescent="0.3">
      <c r="A290" s="91">
        <v>42319</v>
      </c>
      <c r="B290" s="51" t="s">
        <v>819</v>
      </c>
      <c r="C290" s="92"/>
      <c r="D290" s="92">
        <f>5*1.05</f>
        <v>5.25</v>
      </c>
      <c r="E290" s="69">
        <f t="shared" si="46"/>
        <v>3480.1850000000181</v>
      </c>
      <c r="F290" s="92"/>
      <c r="G290" s="17">
        <f t="shared" si="43"/>
        <v>25.890060140808</v>
      </c>
      <c r="H290" s="92"/>
      <c r="I290" s="64">
        <f t="shared" si="45"/>
        <v>135.922815739242</v>
      </c>
      <c r="J290" s="64">
        <f t="shared" si="41"/>
        <v>90102.198951138373</v>
      </c>
      <c r="K290" s="54"/>
      <c r="L290" s="60"/>
      <c r="M290" s="60"/>
      <c r="N290" s="60"/>
    </row>
    <row r="291" spans="1:14" s="34" customFormat="1" x14ac:dyDescent="0.3">
      <c r="A291" s="91">
        <v>42321</v>
      </c>
      <c r="B291" s="51" t="s">
        <v>827</v>
      </c>
      <c r="C291" s="92"/>
      <c r="D291" s="92">
        <f>+(3+2)*1.05</f>
        <v>5.25</v>
      </c>
      <c r="E291" s="69">
        <f t="shared" si="46"/>
        <v>3474.9350000000181</v>
      </c>
      <c r="F291" s="92"/>
      <c r="G291" s="17">
        <f t="shared" si="43"/>
        <v>25.890060140808004</v>
      </c>
      <c r="H291" s="92"/>
      <c r="I291" s="64">
        <f t="shared" si="45"/>
        <v>135.92281573924203</v>
      </c>
      <c r="J291" s="64">
        <f t="shared" si="41"/>
        <v>89966.276135399137</v>
      </c>
      <c r="K291" s="54"/>
      <c r="L291" s="60"/>
      <c r="M291" s="60"/>
      <c r="N291" s="60"/>
    </row>
    <row r="292" spans="1:14" s="34" customFormat="1" x14ac:dyDescent="0.3">
      <c r="A292" s="91">
        <v>42321</v>
      </c>
      <c r="B292" s="51" t="s">
        <v>828</v>
      </c>
      <c r="C292" s="92"/>
      <c r="D292" s="92">
        <f>+(5+1.75)*1.05</f>
        <v>7.0875000000000004</v>
      </c>
      <c r="E292" s="69">
        <f t="shared" si="46"/>
        <v>3467.847500000018</v>
      </c>
      <c r="F292" s="92"/>
      <c r="G292" s="17">
        <f t="shared" si="43"/>
        <v>25.890060140808004</v>
      </c>
      <c r="H292" s="92"/>
      <c r="I292" s="64">
        <f t="shared" si="45"/>
        <v>183.49580124797674</v>
      </c>
      <c r="J292" s="64">
        <f t="shared" si="41"/>
        <v>89782.780334151161</v>
      </c>
      <c r="K292" s="61"/>
      <c r="L292" s="90">
        <f>SUM(I279:I292)</f>
        <v>18532.040323640013</v>
      </c>
      <c r="M292" s="89"/>
      <c r="N292" s="162">
        <v>42323</v>
      </c>
    </row>
    <row r="293" spans="1:14" s="34" customFormat="1" x14ac:dyDescent="0.3">
      <c r="A293" s="91">
        <v>42327</v>
      </c>
      <c r="B293" s="51" t="s">
        <v>846</v>
      </c>
      <c r="C293" s="92"/>
      <c r="D293" s="92">
        <f>2*1.05</f>
        <v>2.1</v>
      </c>
      <c r="E293" s="69">
        <f t="shared" si="46"/>
        <v>3465.7475000000181</v>
      </c>
      <c r="F293" s="92"/>
      <c r="G293" s="17">
        <f t="shared" si="43"/>
        <v>25.890060140808007</v>
      </c>
      <c r="H293" s="92"/>
      <c r="I293" s="64">
        <f t="shared" si="45"/>
        <v>54.369126295696816</v>
      </c>
      <c r="J293" s="64">
        <f t="shared" si="41"/>
        <v>89728.411207855461</v>
      </c>
      <c r="K293" s="54"/>
      <c r="L293" s="60"/>
      <c r="M293" s="60"/>
      <c r="N293" s="60"/>
    </row>
    <row r="294" spans="1:14" s="34" customFormat="1" x14ac:dyDescent="0.3">
      <c r="A294" s="91">
        <v>42328</v>
      </c>
      <c r="B294" s="51" t="s">
        <v>852</v>
      </c>
      <c r="C294" s="92"/>
      <c r="D294" s="92">
        <f>4*1.05</f>
        <v>4.2</v>
      </c>
      <c r="E294" s="69">
        <f t="shared" si="46"/>
        <v>3461.5475000000183</v>
      </c>
      <c r="F294" s="92"/>
      <c r="G294" s="17">
        <f t="shared" si="43"/>
        <v>25.890060140808007</v>
      </c>
      <c r="H294" s="92"/>
      <c r="I294" s="64">
        <f t="shared" si="45"/>
        <v>108.73825259139363</v>
      </c>
      <c r="J294" s="64">
        <f t="shared" si="41"/>
        <v>89619.672955264061</v>
      </c>
      <c r="K294" s="54"/>
      <c r="L294" s="60"/>
      <c r="M294" s="60"/>
      <c r="N294" s="60"/>
    </row>
    <row r="295" spans="1:14" s="34" customFormat="1" x14ac:dyDescent="0.3">
      <c r="A295" s="91">
        <v>42329</v>
      </c>
      <c r="B295" s="51" t="s">
        <v>859</v>
      </c>
      <c r="C295" s="92"/>
      <c r="D295" s="92">
        <f>+(18*3.25+11*3.75+3+2.25+1.5+2*0.75+3.5+2.5+1.75)*1.05</f>
        <v>121.53750000000001</v>
      </c>
      <c r="E295" s="69">
        <f t="shared" si="46"/>
        <v>3340.0100000000184</v>
      </c>
      <c r="F295" s="92"/>
      <c r="G295" s="17">
        <f t="shared" si="43"/>
        <v>25.890060140808004</v>
      </c>
      <c r="H295" s="92"/>
      <c r="I295" s="64">
        <f t="shared" si="45"/>
        <v>3146.613184363453</v>
      </c>
      <c r="J295" s="64">
        <f t="shared" si="41"/>
        <v>86473.059770900611</v>
      </c>
      <c r="K295" s="54"/>
      <c r="L295" s="60"/>
      <c r="M295" s="60"/>
      <c r="N295" s="60"/>
    </row>
    <row r="296" spans="1:14" s="34" customFormat="1" x14ac:dyDescent="0.3">
      <c r="A296" s="91">
        <v>42331</v>
      </c>
      <c r="B296" s="51" t="s">
        <v>863</v>
      </c>
      <c r="C296" s="92"/>
      <c r="D296" s="92">
        <v>3</v>
      </c>
      <c r="E296" s="69">
        <f t="shared" si="46"/>
        <v>3337.0100000000184</v>
      </c>
      <c r="F296" s="92"/>
      <c r="G296" s="17">
        <f t="shared" si="43"/>
        <v>25.890060140808004</v>
      </c>
      <c r="H296" s="92"/>
      <c r="I296" s="64">
        <f t="shared" si="45"/>
        <v>77.670180422424011</v>
      </c>
      <c r="J296" s="64">
        <f t="shared" si="41"/>
        <v>86395.389590478182</v>
      </c>
      <c r="K296" s="54"/>
      <c r="L296" s="60"/>
      <c r="M296" s="60"/>
      <c r="N296" s="60"/>
    </row>
    <row r="297" spans="1:14" s="34" customFormat="1" x14ac:dyDescent="0.3">
      <c r="A297" s="91">
        <v>42332</v>
      </c>
      <c r="B297" s="51" t="s">
        <v>865</v>
      </c>
      <c r="C297" s="92"/>
      <c r="D297" s="92">
        <v>2</v>
      </c>
      <c r="E297" s="69">
        <f t="shared" si="46"/>
        <v>3335.0100000000184</v>
      </c>
      <c r="F297" s="92"/>
      <c r="G297" s="17">
        <f t="shared" si="43"/>
        <v>25.890060140808004</v>
      </c>
      <c r="H297" s="92"/>
      <c r="I297" s="64">
        <f t="shared" si="45"/>
        <v>51.780120281616007</v>
      </c>
      <c r="J297" s="64">
        <f t="shared" si="41"/>
        <v>86343.609470196563</v>
      </c>
      <c r="K297" s="54"/>
      <c r="L297" s="60"/>
      <c r="M297" s="60"/>
      <c r="N297" s="60"/>
    </row>
    <row r="298" spans="1:14" s="34" customFormat="1" x14ac:dyDescent="0.3">
      <c r="A298" s="91">
        <v>42334</v>
      </c>
      <c r="B298" s="51" t="s">
        <v>870</v>
      </c>
      <c r="C298" s="92"/>
      <c r="D298" s="92">
        <v>10</v>
      </c>
      <c r="E298" s="69">
        <f t="shared" si="46"/>
        <v>3325.0100000000184</v>
      </c>
      <c r="F298" s="92"/>
      <c r="G298" s="17">
        <f t="shared" si="43"/>
        <v>25.890060140808</v>
      </c>
      <c r="H298" s="92"/>
      <c r="I298" s="64">
        <f t="shared" si="45"/>
        <v>258.90060140807998</v>
      </c>
      <c r="J298" s="64">
        <f t="shared" si="41"/>
        <v>86084.708868788483</v>
      </c>
      <c r="K298" s="54"/>
      <c r="L298" s="60"/>
      <c r="M298" s="60"/>
      <c r="N298" s="60"/>
    </row>
    <row r="299" spans="1:14" s="34" customFormat="1" x14ac:dyDescent="0.3">
      <c r="A299" s="91">
        <v>42338</v>
      </c>
      <c r="B299" s="51" t="s">
        <v>878</v>
      </c>
      <c r="C299" s="92"/>
      <c r="D299" s="92">
        <v>4</v>
      </c>
      <c r="E299" s="69">
        <f t="shared" si="46"/>
        <v>3321.0100000000184</v>
      </c>
      <c r="F299" s="92"/>
      <c r="G299" s="17">
        <f t="shared" si="43"/>
        <v>25.890060140808</v>
      </c>
      <c r="H299" s="92"/>
      <c r="I299" s="64">
        <f t="shared" si="45"/>
        <v>103.560240563232</v>
      </c>
      <c r="J299" s="64">
        <f t="shared" si="41"/>
        <v>85981.148628225244</v>
      </c>
      <c r="K299" s="54"/>
      <c r="L299" s="60"/>
      <c r="M299" s="60"/>
      <c r="N299" s="60"/>
    </row>
    <row r="300" spans="1:14" s="34" customFormat="1" x14ac:dyDescent="0.3">
      <c r="A300" s="91">
        <v>42338</v>
      </c>
      <c r="B300" s="51" t="s">
        <v>879</v>
      </c>
      <c r="C300" s="92"/>
      <c r="D300" s="92">
        <v>8</v>
      </c>
      <c r="E300" s="69">
        <f t="shared" si="46"/>
        <v>3313.0100000000184</v>
      </c>
      <c r="F300" s="92"/>
      <c r="G300" s="17">
        <f t="shared" si="43"/>
        <v>25.890060140808</v>
      </c>
      <c r="H300" s="92"/>
      <c r="I300" s="64">
        <f t="shared" si="45"/>
        <v>207.120481126464</v>
      </c>
      <c r="J300" s="64">
        <f t="shared" si="41"/>
        <v>85774.028147098783</v>
      </c>
      <c r="K300" s="61"/>
      <c r="L300" s="90">
        <f>SUM(I293:I300)</f>
        <v>4008.7521870523592</v>
      </c>
      <c r="M300" s="169">
        <f>SUM(L292:L300)</f>
        <v>22540.792510692372</v>
      </c>
      <c r="N300" s="162">
        <v>42338</v>
      </c>
    </row>
    <row r="301" spans="1:14" s="34" customFormat="1" ht="15" thickBot="1" x14ac:dyDescent="0.35">
      <c r="A301" s="93"/>
      <c r="B301" s="51" t="s">
        <v>982</v>
      </c>
      <c r="C301" s="92">
        <f>SUM(C9:C300)</f>
        <v>26050</v>
      </c>
      <c r="D301" s="92">
        <f>SUM(D9:D300)</f>
        <v>22736.99</v>
      </c>
      <c r="E301" s="69"/>
      <c r="F301" s="92"/>
      <c r="G301" s="17"/>
      <c r="H301" s="92">
        <f t="shared" ref="H301:I301" si="47">SUM(H9:H300)</f>
        <v>681526.73</v>
      </c>
      <c r="I301" s="92">
        <f t="shared" si="47"/>
        <v>595752.70185290091</v>
      </c>
      <c r="J301" s="64"/>
      <c r="K301" s="54"/>
      <c r="L301" s="60"/>
      <c r="M301" s="189">
        <f>SUM(M14:M300)</f>
        <v>595752.70185290102</v>
      </c>
      <c r="N301" s="60"/>
    </row>
    <row r="302" spans="1:14" s="34" customFormat="1" ht="15" thickTop="1" x14ac:dyDescent="0.3">
      <c r="A302" s="5"/>
      <c r="B302" s="6"/>
      <c r="C302" s="122"/>
      <c r="D302" s="122"/>
      <c r="E302" s="123"/>
      <c r="F302" s="122"/>
      <c r="G302" s="112"/>
      <c r="H302" s="122"/>
      <c r="I302" s="124"/>
      <c r="J302" s="125"/>
      <c r="K302" s="5"/>
      <c r="L302" s="5"/>
      <c r="M302" s="60"/>
      <c r="N302" s="60"/>
    </row>
    <row r="303" spans="1:14" s="34" customFormat="1" x14ac:dyDescent="0.3">
      <c r="A303" s="5"/>
      <c r="B303" s="6"/>
      <c r="C303" s="122"/>
      <c r="D303" s="122"/>
      <c r="E303" s="123"/>
      <c r="F303" s="122"/>
      <c r="G303" s="112"/>
      <c r="H303" s="122"/>
      <c r="I303" s="124"/>
      <c r="J303" s="125"/>
      <c r="K303" s="5"/>
      <c r="L303" s="5"/>
      <c r="M303" s="60"/>
      <c r="N303" s="60"/>
    </row>
    <row r="304" spans="1:14" s="34" customFormat="1" x14ac:dyDescent="0.3">
      <c r="A304" s="127" t="s">
        <v>980</v>
      </c>
      <c r="B304" s="6"/>
      <c r="C304" s="5"/>
      <c r="D304" s="5"/>
      <c r="E304" s="5"/>
      <c r="F304" s="5"/>
      <c r="G304" s="60"/>
      <c r="H304" s="60"/>
      <c r="I304" s="60"/>
      <c r="J304" s="60"/>
      <c r="K304" s="5"/>
      <c r="L304" s="5"/>
      <c r="M304" s="60"/>
      <c r="N304" s="60"/>
    </row>
    <row r="305" spans="1:14" s="34" customFormat="1" x14ac:dyDescent="0.3">
      <c r="A305" s="127" t="s">
        <v>981</v>
      </c>
      <c r="B305" s="6"/>
      <c r="C305" s="5"/>
      <c r="D305" s="5"/>
      <c r="E305" s="5"/>
      <c r="F305" s="5"/>
      <c r="G305" s="60"/>
      <c r="H305" s="60"/>
      <c r="I305" s="60"/>
      <c r="J305" s="163">
        <f>+E300*F30</f>
        <v>85668.48991360607</v>
      </c>
      <c r="K305" s="5"/>
      <c r="L305" s="5"/>
      <c r="M305" s="60"/>
      <c r="N305" s="60"/>
    </row>
    <row r="306" spans="1:14" s="34" customFormat="1" x14ac:dyDescent="0.3">
      <c r="A306" s="127" t="s">
        <v>978</v>
      </c>
      <c r="B306" s="6"/>
      <c r="C306" s="5"/>
      <c r="D306" s="5"/>
      <c r="E306" s="5"/>
      <c r="F306" s="5"/>
      <c r="G306" s="60"/>
      <c r="H306" s="60"/>
      <c r="I306" s="60"/>
      <c r="J306" s="164">
        <f>+J300</f>
        <v>85774.028147098783</v>
      </c>
      <c r="K306" s="5"/>
      <c r="L306" s="5"/>
      <c r="M306" s="60"/>
      <c r="N306" s="60"/>
    </row>
    <row r="307" spans="1:14" s="34" customFormat="1" x14ac:dyDescent="0.3">
      <c r="A307" s="127"/>
      <c r="B307" s="6" t="s">
        <v>979</v>
      </c>
      <c r="C307" s="5"/>
      <c r="D307" s="5"/>
      <c r="E307" s="5"/>
      <c r="F307" s="5"/>
      <c r="G307" s="60"/>
      <c r="H307" s="60"/>
      <c r="I307" s="60"/>
      <c r="J307" s="163">
        <f>+J305-J306</f>
        <v>-105.53823349271261</v>
      </c>
      <c r="K307" s="5"/>
      <c r="L307" s="5"/>
      <c r="M307" s="60"/>
      <c r="N307" s="60"/>
    </row>
    <row r="308" spans="1:14" s="34" customFormat="1" x14ac:dyDescent="0.3">
      <c r="A308" s="5"/>
      <c r="B308" s="117"/>
      <c r="C308" s="107"/>
      <c r="D308" s="108"/>
      <c r="E308" s="118"/>
      <c r="F308" s="119"/>
      <c r="G308" s="119"/>
      <c r="H308" s="119"/>
      <c r="I308" s="119"/>
      <c r="J308" s="120"/>
      <c r="K308" s="5"/>
      <c r="L308" s="39"/>
    </row>
    <row r="309" spans="1:14" s="34" customFormat="1" x14ac:dyDescent="0.3">
      <c r="A309" s="5"/>
      <c r="B309" s="6"/>
      <c r="C309" s="122"/>
      <c r="D309" s="122"/>
      <c r="E309" s="123"/>
      <c r="F309" s="122"/>
      <c r="G309" s="112"/>
      <c r="H309" s="122"/>
      <c r="I309" s="124"/>
      <c r="J309" s="125"/>
      <c r="K309" s="5"/>
      <c r="L309" s="39"/>
    </row>
    <row r="310" spans="1:14" s="34" customFormat="1" x14ac:dyDescent="0.3">
      <c r="A310" s="5"/>
      <c r="B310" s="6"/>
      <c r="C310" s="122"/>
      <c r="D310" s="122"/>
      <c r="E310" s="123"/>
      <c r="F310" s="122"/>
      <c r="G310" s="112"/>
      <c r="H310" s="122"/>
      <c r="I310" s="124"/>
      <c r="J310" s="125"/>
      <c r="K310" s="5"/>
      <c r="L310" s="39"/>
    </row>
    <row r="311" spans="1:14" s="34" customFormat="1" x14ac:dyDescent="0.3">
      <c r="A311" s="5"/>
      <c r="B311" s="6"/>
      <c r="C311" s="122"/>
      <c r="D311" s="122"/>
      <c r="E311" s="123"/>
      <c r="F311" s="122"/>
      <c r="G311" s="112"/>
      <c r="H311" s="122"/>
      <c r="I311" s="124"/>
      <c r="J311" s="125"/>
      <c r="K311" s="5"/>
      <c r="L311" s="39"/>
    </row>
    <row r="312" spans="1:14" s="34" customFormat="1" x14ac:dyDescent="0.3">
      <c r="A312" s="5"/>
      <c r="B312" s="6"/>
      <c r="C312" s="122"/>
      <c r="D312" s="122"/>
      <c r="E312" s="123"/>
      <c r="F312" s="122"/>
      <c r="G312" s="112"/>
      <c r="H312" s="122"/>
      <c r="I312" s="124"/>
      <c r="J312" s="125"/>
      <c r="K312" s="5"/>
      <c r="L312" s="39"/>
    </row>
    <row r="313" spans="1:14" s="34" customFormat="1" x14ac:dyDescent="0.3">
      <c r="A313" s="5"/>
      <c r="B313" s="6"/>
      <c r="C313" s="122"/>
      <c r="D313" s="122"/>
      <c r="E313" s="123"/>
      <c r="F313" s="122"/>
      <c r="G313" s="112"/>
      <c r="H313" s="122"/>
      <c r="I313" s="124"/>
      <c r="J313" s="125"/>
      <c r="K313" s="5"/>
      <c r="L313" s="39"/>
    </row>
    <row r="314" spans="1:14" s="34" customFormat="1" x14ac:dyDescent="0.3">
      <c r="A314" s="5"/>
      <c r="B314" s="6"/>
      <c r="C314" s="122"/>
      <c r="D314" s="122"/>
      <c r="E314" s="123"/>
      <c r="F314" s="122"/>
      <c r="G314" s="112"/>
      <c r="H314" s="122"/>
      <c r="I314" s="124"/>
      <c r="J314" s="125"/>
      <c r="K314" s="5"/>
      <c r="L314" s="39"/>
    </row>
    <row r="315" spans="1:14" s="34" customFormat="1" x14ac:dyDescent="0.3">
      <c r="A315" s="5"/>
      <c r="B315" s="6"/>
      <c r="C315" s="122"/>
      <c r="D315" s="122"/>
      <c r="E315" s="123"/>
      <c r="F315" s="122"/>
      <c r="G315" s="112"/>
      <c r="H315" s="122"/>
      <c r="I315" s="124"/>
      <c r="J315" s="125"/>
      <c r="K315" s="5"/>
      <c r="L315" s="39"/>
    </row>
    <row r="316" spans="1:14" s="34" customFormat="1" x14ac:dyDescent="0.3">
      <c r="A316" s="5"/>
      <c r="B316" s="6"/>
      <c r="C316" s="122"/>
      <c r="D316" s="122"/>
      <c r="E316" s="123"/>
      <c r="F316" s="122"/>
      <c r="G316" s="112"/>
      <c r="H316" s="122"/>
      <c r="I316" s="124"/>
      <c r="J316" s="125"/>
      <c r="K316" s="5"/>
      <c r="L316" s="39"/>
    </row>
    <row r="317" spans="1:14" s="34" customFormat="1" x14ac:dyDescent="0.3">
      <c r="A317" s="5"/>
      <c r="B317" s="6"/>
      <c r="C317" s="122"/>
      <c r="D317" s="122"/>
      <c r="E317" s="123"/>
      <c r="F317" s="122"/>
      <c r="G317" s="112"/>
      <c r="H317" s="122"/>
      <c r="I317" s="124"/>
      <c r="J317" s="125"/>
      <c r="K317" s="5"/>
      <c r="L317" s="39"/>
    </row>
    <row r="318" spans="1:14" s="34" customFormat="1" x14ac:dyDescent="0.3">
      <c r="A318" s="5"/>
      <c r="B318" s="6"/>
      <c r="C318" s="122"/>
      <c r="D318" s="122"/>
      <c r="E318" s="123"/>
      <c r="F318" s="122"/>
      <c r="G318" s="112"/>
      <c r="H318" s="122"/>
      <c r="I318" s="124"/>
      <c r="J318" s="125"/>
      <c r="K318" s="5"/>
      <c r="L318" s="39"/>
    </row>
    <row r="319" spans="1:14" s="34" customFormat="1" x14ac:dyDescent="0.3">
      <c r="A319" s="5"/>
      <c r="B319" s="6"/>
      <c r="C319" s="122"/>
      <c r="D319" s="122"/>
      <c r="E319" s="123"/>
      <c r="F319" s="122"/>
      <c r="G319" s="112"/>
      <c r="H319" s="122"/>
      <c r="I319" s="124"/>
      <c r="J319" s="125"/>
      <c r="K319" s="5"/>
      <c r="L319" s="39"/>
    </row>
    <row r="320" spans="1:14" s="34" customFormat="1" x14ac:dyDescent="0.3">
      <c r="A320" s="5"/>
      <c r="B320" s="6"/>
      <c r="C320" s="122"/>
      <c r="D320" s="122"/>
      <c r="E320" s="123"/>
      <c r="F320" s="122"/>
      <c r="G320" s="112"/>
      <c r="H320" s="122"/>
      <c r="I320" s="124"/>
      <c r="J320" s="125"/>
      <c r="K320" s="5"/>
      <c r="L320" s="39"/>
    </row>
    <row r="321" spans="1:12" s="34" customFormat="1" x14ac:dyDescent="0.3">
      <c r="A321" s="5"/>
      <c r="B321" s="6"/>
      <c r="C321" s="122"/>
      <c r="D321" s="122"/>
      <c r="E321" s="123"/>
      <c r="F321" s="122"/>
      <c r="G321" s="112"/>
      <c r="H321" s="122"/>
      <c r="I321" s="124"/>
      <c r="J321" s="125"/>
      <c r="K321" s="5"/>
      <c r="L321" s="39"/>
    </row>
    <row r="322" spans="1:12" s="34" customFormat="1" x14ac:dyDescent="0.3">
      <c r="A322" s="5"/>
      <c r="B322" s="6"/>
      <c r="C322" s="122"/>
      <c r="D322" s="122"/>
      <c r="E322" s="123"/>
      <c r="F322" s="122"/>
      <c r="G322" s="112"/>
      <c r="H322" s="122"/>
      <c r="I322" s="124"/>
      <c r="J322" s="125"/>
      <c r="K322" s="5"/>
      <c r="L322" s="39"/>
    </row>
    <row r="323" spans="1:12" s="34" customFormat="1" x14ac:dyDescent="0.3">
      <c r="A323" s="5"/>
      <c r="B323" s="6"/>
      <c r="C323" s="122"/>
      <c r="D323" s="122"/>
      <c r="E323" s="123"/>
      <c r="F323" s="122"/>
      <c r="G323" s="112"/>
      <c r="H323" s="122"/>
      <c r="I323" s="124"/>
      <c r="J323" s="125"/>
      <c r="K323" s="5"/>
      <c r="L323" s="39"/>
    </row>
    <row r="324" spans="1:12" s="34" customFormat="1" x14ac:dyDescent="0.3">
      <c r="A324" s="5"/>
      <c r="B324" s="6"/>
      <c r="C324" s="122"/>
      <c r="D324" s="122"/>
      <c r="E324" s="123"/>
      <c r="F324" s="122"/>
      <c r="G324" s="112"/>
      <c r="H324" s="122"/>
      <c r="I324" s="124"/>
      <c r="J324" s="125"/>
      <c r="K324" s="5"/>
      <c r="L324" s="39"/>
    </row>
    <row r="325" spans="1:12" s="34" customFormat="1" x14ac:dyDescent="0.3">
      <c r="A325" s="5"/>
      <c r="B325" s="6"/>
      <c r="C325" s="122"/>
      <c r="D325" s="122"/>
      <c r="E325" s="123"/>
      <c r="F325" s="122"/>
      <c r="G325" s="112"/>
      <c r="H325" s="122"/>
      <c r="I325" s="124"/>
      <c r="J325" s="125"/>
      <c r="K325" s="5"/>
      <c r="L325" s="39"/>
    </row>
    <row r="326" spans="1:12" s="34" customFormat="1" x14ac:dyDescent="0.3">
      <c r="A326" s="5"/>
      <c r="B326" s="6"/>
      <c r="C326" s="122"/>
      <c r="D326" s="122"/>
      <c r="E326" s="123"/>
      <c r="F326" s="122"/>
      <c r="G326" s="112"/>
      <c r="H326" s="122"/>
      <c r="I326" s="124"/>
      <c r="J326" s="125"/>
      <c r="K326" s="5"/>
      <c r="L326" s="39"/>
    </row>
    <row r="327" spans="1:12" s="34" customFormat="1" x14ac:dyDescent="0.3">
      <c r="A327" s="5"/>
      <c r="B327" s="6"/>
      <c r="C327" s="122"/>
      <c r="D327" s="122"/>
      <c r="E327" s="123"/>
      <c r="F327" s="122"/>
      <c r="G327" s="112"/>
      <c r="H327" s="122"/>
      <c r="I327" s="124"/>
      <c r="J327" s="125"/>
      <c r="K327" s="5"/>
      <c r="L327" s="39"/>
    </row>
    <row r="328" spans="1:12" s="34" customFormat="1" x14ac:dyDescent="0.3">
      <c r="A328" s="5"/>
      <c r="B328" s="6"/>
      <c r="C328" s="122"/>
      <c r="D328" s="122"/>
      <c r="E328" s="123"/>
      <c r="F328" s="122"/>
      <c r="G328" s="112"/>
      <c r="H328" s="122"/>
      <c r="I328" s="124"/>
      <c r="J328" s="125"/>
      <c r="K328" s="5"/>
      <c r="L328" s="39"/>
    </row>
    <row r="329" spans="1:12" s="34" customFormat="1" x14ac:dyDescent="0.3">
      <c r="A329" s="5"/>
      <c r="B329" s="6"/>
      <c r="C329" s="122"/>
      <c r="D329" s="122"/>
      <c r="E329" s="123"/>
      <c r="F329" s="122"/>
      <c r="G329" s="112"/>
      <c r="H329" s="122"/>
      <c r="I329" s="124"/>
      <c r="J329" s="125"/>
      <c r="K329" s="5"/>
      <c r="L329" s="39"/>
    </row>
    <row r="330" spans="1:12" s="34" customFormat="1" x14ac:dyDescent="0.3">
      <c r="A330" s="5"/>
      <c r="B330" s="6"/>
      <c r="C330" s="122"/>
      <c r="D330" s="122"/>
      <c r="E330" s="123"/>
      <c r="F330" s="122"/>
      <c r="G330" s="112"/>
      <c r="H330" s="122"/>
      <c r="I330" s="124"/>
      <c r="J330" s="125"/>
      <c r="K330" s="5"/>
      <c r="L330" s="39"/>
    </row>
    <row r="331" spans="1:12" x14ac:dyDescent="0.3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</row>
    <row r="332" spans="1:12" x14ac:dyDescent="0.3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</row>
    <row r="333" spans="1:12" x14ac:dyDescent="0.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</row>
    <row r="334" spans="1:12" x14ac:dyDescent="0.3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</row>
    <row r="335" spans="1:12" x14ac:dyDescent="0.3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</row>
    <row r="336" spans="1:12" x14ac:dyDescent="0.3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</row>
    <row r="337" spans="1:12" x14ac:dyDescent="0.3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</row>
    <row r="338" spans="1:12" x14ac:dyDescent="0.3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</row>
    <row r="339" spans="1:12" x14ac:dyDescent="0.3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</row>
    <row r="340" spans="1:12" x14ac:dyDescent="0.3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</row>
    <row r="341" spans="1:12" x14ac:dyDescent="0.3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</row>
    <row r="342" spans="1:12" x14ac:dyDescent="0.3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</row>
    <row r="343" spans="1:12" x14ac:dyDescent="0.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</row>
    <row r="344" spans="1:12" x14ac:dyDescent="0.3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</row>
  </sheetData>
  <mergeCells count="4">
    <mergeCell ref="D4:H4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scale="70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108"/>
  <sheetViews>
    <sheetView topLeftCell="C1" workbookViewId="0">
      <selection activeCell="C1" sqref="C1:N1048576"/>
    </sheetView>
  </sheetViews>
  <sheetFormatPr baseColWidth="10" defaultRowHeight="14.4" x14ac:dyDescent="0.3"/>
  <cols>
    <col min="2" max="2" width="28.77734375" customWidth="1"/>
    <col min="3" max="14" width="10.6640625" customWidth="1"/>
  </cols>
  <sheetData>
    <row r="1" spans="1:14" x14ac:dyDescent="0.3">
      <c r="A1" s="100" t="s">
        <v>0</v>
      </c>
      <c r="B1" s="101"/>
      <c r="C1" s="129"/>
      <c r="D1" s="129"/>
      <c r="E1" s="129"/>
      <c r="F1" s="129"/>
      <c r="G1" s="129"/>
      <c r="H1" s="130" t="s">
        <v>1</v>
      </c>
      <c r="I1" s="129"/>
      <c r="J1" s="129"/>
      <c r="K1" s="131"/>
      <c r="L1" s="60"/>
      <c r="M1" s="60"/>
      <c r="N1" s="60"/>
    </row>
    <row r="2" spans="1:14" x14ac:dyDescent="0.3">
      <c r="A2" s="102" t="s">
        <v>2</v>
      </c>
      <c r="B2" s="38"/>
      <c r="C2" s="5"/>
      <c r="D2" s="192"/>
      <c r="E2" s="192"/>
      <c r="F2" s="192"/>
      <c r="G2" s="5"/>
      <c r="H2" s="6" t="s">
        <v>968</v>
      </c>
      <c r="I2" s="5"/>
      <c r="J2" s="5"/>
      <c r="K2" s="132"/>
      <c r="L2" s="60"/>
      <c r="M2" s="60"/>
      <c r="N2" s="60"/>
    </row>
    <row r="3" spans="1:14" x14ac:dyDescent="0.3">
      <c r="A3" s="103" t="s">
        <v>3</v>
      </c>
      <c r="B3" s="42"/>
      <c r="C3" s="5"/>
      <c r="D3" s="192"/>
      <c r="E3" s="192"/>
      <c r="F3" s="192"/>
      <c r="G3" s="5"/>
      <c r="H3" s="6" t="s">
        <v>4</v>
      </c>
      <c r="I3" s="5"/>
      <c r="J3" s="5"/>
      <c r="K3" s="132"/>
      <c r="L3" s="60"/>
      <c r="M3" s="60"/>
      <c r="N3" s="60"/>
    </row>
    <row r="4" spans="1:14" x14ac:dyDescent="0.3">
      <c r="A4" s="114"/>
      <c r="B4" s="5"/>
      <c r="C4" s="5"/>
      <c r="D4" s="219" t="s">
        <v>5</v>
      </c>
      <c r="E4" s="219"/>
      <c r="F4" s="219"/>
      <c r="G4" s="219"/>
      <c r="H4" s="219"/>
      <c r="I4" s="5"/>
      <c r="J4" s="5"/>
      <c r="K4" s="132"/>
      <c r="L4" s="60"/>
      <c r="M4" s="60"/>
      <c r="N4" s="60"/>
    </row>
    <row r="5" spans="1:14" x14ac:dyDescent="0.3">
      <c r="A5" s="114"/>
      <c r="B5" s="7"/>
      <c r="C5" s="5"/>
      <c r="D5" s="6" t="s">
        <v>685</v>
      </c>
      <c r="E5" s="7"/>
      <c r="F5" s="7"/>
      <c r="G5" s="5"/>
      <c r="H5" s="5"/>
      <c r="I5" s="5"/>
      <c r="J5" s="5"/>
      <c r="K5" s="132"/>
      <c r="L5" s="60"/>
      <c r="M5" s="60"/>
      <c r="N5" s="60"/>
    </row>
    <row r="6" spans="1:14" x14ac:dyDescent="0.3">
      <c r="A6" s="114"/>
      <c r="B6" s="7"/>
      <c r="C6" s="5"/>
      <c r="D6" s="5" t="s">
        <v>6</v>
      </c>
      <c r="E6" s="7"/>
      <c r="F6" s="7"/>
      <c r="G6" s="5"/>
      <c r="H6" s="5"/>
      <c r="I6" s="5"/>
      <c r="J6" s="5"/>
      <c r="K6" s="132"/>
      <c r="L6" s="60"/>
      <c r="M6" s="60"/>
      <c r="N6" s="60"/>
    </row>
    <row r="7" spans="1:14" x14ac:dyDescent="0.3">
      <c r="A7" s="9" t="s">
        <v>7</v>
      </c>
      <c r="B7" s="8" t="s">
        <v>8</v>
      </c>
      <c r="C7" s="220" t="s">
        <v>9</v>
      </c>
      <c r="D7" s="220"/>
      <c r="E7" s="221"/>
      <c r="F7" s="222" t="s">
        <v>10</v>
      </c>
      <c r="G7" s="222"/>
      <c r="H7" s="223" t="s">
        <v>11</v>
      </c>
      <c r="I7" s="224"/>
      <c r="J7" s="224"/>
      <c r="K7" s="9" t="s">
        <v>12</v>
      </c>
      <c r="L7" s="60"/>
      <c r="M7" s="60"/>
      <c r="N7" s="60"/>
    </row>
    <row r="8" spans="1:14" x14ac:dyDescent="0.3">
      <c r="A8" s="11"/>
      <c r="B8" s="10"/>
      <c r="C8" s="10" t="s">
        <v>13</v>
      </c>
      <c r="D8" s="11" t="s">
        <v>14</v>
      </c>
      <c r="E8" s="12" t="s">
        <v>15</v>
      </c>
      <c r="F8" s="13" t="s">
        <v>16</v>
      </c>
      <c r="G8" s="13" t="s">
        <v>17</v>
      </c>
      <c r="H8" s="11" t="s">
        <v>18</v>
      </c>
      <c r="I8" s="14" t="s">
        <v>19</v>
      </c>
      <c r="J8" s="15" t="s">
        <v>20</v>
      </c>
      <c r="K8" s="16"/>
      <c r="L8" s="60"/>
      <c r="M8" s="60"/>
      <c r="N8" s="60"/>
    </row>
    <row r="9" spans="1:14" x14ac:dyDescent="0.3">
      <c r="A9" s="115">
        <v>41850</v>
      </c>
      <c r="B9" s="63" t="s">
        <v>29</v>
      </c>
      <c r="C9" s="62">
        <v>5981.38</v>
      </c>
      <c r="D9" s="17"/>
      <c r="E9" s="74">
        <f>+C9</f>
        <v>5981.38</v>
      </c>
      <c r="F9" s="17">
        <f>+H9/C9</f>
        <v>25.772445489168053</v>
      </c>
      <c r="G9" s="17"/>
      <c r="H9" s="2">
        <v>154154.79</v>
      </c>
      <c r="I9" s="67"/>
      <c r="J9" s="67">
        <f>+H9</f>
        <v>154154.79</v>
      </c>
      <c r="K9" s="63"/>
      <c r="L9" s="70"/>
      <c r="M9" s="60"/>
      <c r="N9" s="60"/>
    </row>
    <row r="10" spans="1:14" x14ac:dyDescent="0.3">
      <c r="A10" s="121">
        <v>42023</v>
      </c>
      <c r="B10" s="49" t="s">
        <v>79</v>
      </c>
      <c r="C10" s="75"/>
      <c r="D10" s="50">
        <v>8.6999999999999993</v>
      </c>
      <c r="E10" s="76">
        <f>+E9-D10</f>
        <v>5972.68</v>
      </c>
      <c r="F10" s="50"/>
      <c r="G10" s="50">
        <f>+J9/E9</f>
        <v>25.772445489168053</v>
      </c>
      <c r="H10" s="50"/>
      <c r="I10" s="50">
        <f>+D10*G10</f>
        <v>224.22027575576203</v>
      </c>
      <c r="J10" s="75">
        <f>+J9-I10</f>
        <v>153930.56972424424</v>
      </c>
      <c r="K10" s="4"/>
      <c r="L10" s="191"/>
      <c r="M10" s="60"/>
      <c r="N10" s="60"/>
    </row>
    <row r="11" spans="1:14" s="77" customFormat="1" x14ac:dyDescent="0.3">
      <c r="A11" s="133">
        <v>42033</v>
      </c>
      <c r="B11" s="48" t="s">
        <v>85</v>
      </c>
      <c r="C11" s="62"/>
      <c r="D11" s="62">
        <f>35*5.05+35*3.95</f>
        <v>315</v>
      </c>
      <c r="E11" s="86">
        <f t="shared" ref="E11:E16" si="0">+E10-D11</f>
        <v>5657.68</v>
      </c>
      <c r="F11" s="62"/>
      <c r="G11" s="62">
        <f t="shared" ref="G11:G16" si="1">+J10/E10</f>
        <v>25.772445489168049</v>
      </c>
      <c r="H11" s="62"/>
      <c r="I11" s="62">
        <f t="shared" ref="I11:I16" si="2">+D11*G11</f>
        <v>8118.3203290879355</v>
      </c>
      <c r="J11" s="62">
        <f t="shared" ref="J11:J16" si="3">+J10-I11</f>
        <v>145812.24939515631</v>
      </c>
      <c r="K11" s="97"/>
      <c r="L11" s="98">
        <f>SUM(I10:I11)</f>
        <v>8342.540604843698</v>
      </c>
      <c r="M11" s="98">
        <f>SUM(L11)</f>
        <v>8342.540604843698</v>
      </c>
      <c r="N11" s="168">
        <v>42035</v>
      </c>
    </row>
    <row r="12" spans="1:14" x14ac:dyDescent="0.3">
      <c r="A12" s="58">
        <v>42045</v>
      </c>
      <c r="B12" s="49" t="s">
        <v>98</v>
      </c>
      <c r="C12" s="17"/>
      <c r="D12" s="62">
        <f>28</f>
        <v>28</v>
      </c>
      <c r="E12" s="76">
        <f t="shared" si="0"/>
        <v>5629.68</v>
      </c>
      <c r="F12" s="50"/>
      <c r="G12" s="50">
        <f t="shared" si="1"/>
        <v>25.772445489168053</v>
      </c>
      <c r="H12" s="50"/>
      <c r="I12" s="50">
        <f t="shared" si="2"/>
        <v>721.62847369670544</v>
      </c>
      <c r="J12" s="50">
        <f t="shared" si="3"/>
        <v>145090.6209214596</v>
      </c>
      <c r="K12" s="47"/>
      <c r="L12" s="60"/>
      <c r="M12" s="60"/>
      <c r="N12" s="60"/>
    </row>
    <row r="13" spans="1:14" x14ac:dyDescent="0.3">
      <c r="A13" s="115">
        <v>42047</v>
      </c>
      <c r="B13" s="49" t="s">
        <v>106</v>
      </c>
      <c r="C13" s="17"/>
      <c r="D13" s="62">
        <f>6*4.5</f>
        <v>27</v>
      </c>
      <c r="E13" s="76">
        <f t="shared" si="0"/>
        <v>5602.68</v>
      </c>
      <c r="F13" s="50"/>
      <c r="G13" s="50">
        <f t="shared" si="1"/>
        <v>25.772445489168049</v>
      </c>
      <c r="H13" s="50"/>
      <c r="I13" s="50">
        <f t="shared" si="2"/>
        <v>695.85602820753729</v>
      </c>
      <c r="J13" s="50">
        <f t="shared" si="3"/>
        <v>144394.76489325205</v>
      </c>
      <c r="K13" s="81"/>
      <c r="L13" s="90">
        <f>SUM(I12:I13)</f>
        <v>1417.4845019042427</v>
      </c>
      <c r="M13" s="89"/>
      <c r="N13" s="162">
        <v>42049</v>
      </c>
    </row>
    <row r="14" spans="1:14" x14ac:dyDescent="0.3">
      <c r="A14" s="115">
        <v>42060</v>
      </c>
      <c r="B14" s="49" t="s">
        <v>129</v>
      </c>
      <c r="C14" s="17"/>
      <c r="D14" s="62">
        <f>10*5.25+10*4.9+2*3.58+3.8</f>
        <v>112.46</v>
      </c>
      <c r="E14" s="76">
        <f t="shared" si="0"/>
        <v>5490.22</v>
      </c>
      <c r="F14" s="50"/>
      <c r="G14" s="50">
        <f t="shared" si="1"/>
        <v>25.772445489168049</v>
      </c>
      <c r="H14" s="50"/>
      <c r="I14" s="50">
        <f t="shared" si="2"/>
        <v>2898.3692197118385</v>
      </c>
      <c r="J14" s="50">
        <f t="shared" si="3"/>
        <v>141496.39567354022</v>
      </c>
      <c r="K14" s="51"/>
      <c r="L14" s="60"/>
      <c r="M14" s="60"/>
      <c r="N14" s="60"/>
    </row>
    <row r="15" spans="1:14" x14ac:dyDescent="0.3">
      <c r="A15" s="115">
        <v>42061</v>
      </c>
      <c r="B15" s="49" t="s">
        <v>131</v>
      </c>
      <c r="C15" s="17"/>
      <c r="D15" s="62">
        <f>24*5.3</f>
        <v>127.19999999999999</v>
      </c>
      <c r="E15" s="76">
        <f t="shared" si="0"/>
        <v>5363.02</v>
      </c>
      <c r="F15" s="50"/>
      <c r="G15" s="50">
        <f t="shared" si="1"/>
        <v>25.772445489168049</v>
      </c>
      <c r="H15" s="50"/>
      <c r="I15" s="50">
        <f t="shared" si="2"/>
        <v>3278.2550662221756</v>
      </c>
      <c r="J15" s="50">
        <f t="shared" si="3"/>
        <v>138218.14060731806</v>
      </c>
      <c r="K15" s="51"/>
      <c r="L15" s="60"/>
      <c r="M15" s="60"/>
      <c r="N15" s="60"/>
    </row>
    <row r="16" spans="1:14" x14ac:dyDescent="0.3">
      <c r="A16" s="115">
        <v>42063</v>
      </c>
      <c r="B16" s="49" t="s">
        <v>136</v>
      </c>
      <c r="C16" s="17"/>
      <c r="D16" s="62">
        <f>35*5.05+35*3.95</f>
        <v>315</v>
      </c>
      <c r="E16" s="76">
        <f t="shared" si="0"/>
        <v>5048.0200000000004</v>
      </c>
      <c r="F16" s="50"/>
      <c r="G16" s="50">
        <f t="shared" si="1"/>
        <v>25.772445489168053</v>
      </c>
      <c r="H16" s="50"/>
      <c r="I16" s="50">
        <f t="shared" si="2"/>
        <v>8118.3203290879364</v>
      </c>
      <c r="J16" s="50">
        <f t="shared" si="3"/>
        <v>130099.82027823012</v>
      </c>
      <c r="K16" s="81"/>
      <c r="L16" s="90">
        <f>SUM(I14:I16)</f>
        <v>14294.944615021952</v>
      </c>
      <c r="M16" s="90">
        <f>SUM(L13:L16)</f>
        <v>15712.429116926194</v>
      </c>
      <c r="N16" s="162">
        <v>42063</v>
      </c>
    </row>
    <row r="17" spans="1:14" s="34" customFormat="1" x14ac:dyDescent="0.3">
      <c r="A17" s="115">
        <v>42069</v>
      </c>
      <c r="B17" s="49" t="s">
        <v>144</v>
      </c>
      <c r="C17" s="17"/>
      <c r="D17" s="62">
        <f>4*1.3</f>
        <v>5.2</v>
      </c>
      <c r="E17" s="76">
        <f t="shared" ref="E17:E43" si="4">+E16-D17</f>
        <v>5042.8200000000006</v>
      </c>
      <c r="F17" s="50"/>
      <c r="G17" s="50">
        <f t="shared" ref="G17:G43" si="5">+J16/E16</f>
        <v>25.772445489168053</v>
      </c>
      <c r="H17" s="50"/>
      <c r="I17" s="50">
        <f t="shared" ref="I17:I43" si="6">+D17*G17</f>
        <v>134.01671654367388</v>
      </c>
      <c r="J17" s="50">
        <f t="shared" ref="J17:J43" si="7">+J16-I17</f>
        <v>129965.80356168645</v>
      </c>
      <c r="K17" s="81"/>
      <c r="L17" s="90">
        <f>SUM(I17)</f>
        <v>134.01671654367388</v>
      </c>
      <c r="M17" s="89"/>
      <c r="N17" s="162">
        <v>42076</v>
      </c>
    </row>
    <row r="18" spans="1:14" s="34" customFormat="1" x14ac:dyDescent="0.3">
      <c r="A18" s="115">
        <v>42077</v>
      </c>
      <c r="B18" s="49" t="s">
        <v>152</v>
      </c>
      <c r="C18" s="17"/>
      <c r="D18" s="62">
        <v>2.4</v>
      </c>
      <c r="E18" s="76">
        <f t="shared" si="4"/>
        <v>5040.420000000001</v>
      </c>
      <c r="F18" s="50"/>
      <c r="G18" s="50">
        <f t="shared" si="5"/>
        <v>25.772445489168053</v>
      </c>
      <c r="H18" s="50"/>
      <c r="I18" s="50">
        <f t="shared" si="6"/>
        <v>61.853869174003322</v>
      </c>
      <c r="J18" s="50">
        <f t="shared" si="7"/>
        <v>129903.94969251244</v>
      </c>
      <c r="K18" s="51"/>
      <c r="L18" s="60"/>
      <c r="M18" s="60"/>
      <c r="N18" s="60"/>
    </row>
    <row r="19" spans="1:14" s="34" customFormat="1" x14ac:dyDescent="0.3">
      <c r="A19" s="115">
        <v>42077</v>
      </c>
      <c r="B19" s="49" t="s">
        <v>153</v>
      </c>
      <c r="C19" s="17"/>
      <c r="D19" s="62">
        <f>50*3.5+50*2.47</f>
        <v>298.5</v>
      </c>
      <c r="E19" s="76">
        <f t="shared" si="4"/>
        <v>4741.920000000001</v>
      </c>
      <c r="F19" s="50"/>
      <c r="G19" s="50">
        <f t="shared" si="5"/>
        <v>25.772445489168049</v>
      </c>
      <c r="H19" s="50"/>
      <c r="I19" s="50">
        <f t="shared" si="6"/>
        <v>7693.0749785166627</v>
      </c>
      <c r="J19" s="50">
        <f t="shared" si="7"/>
        <v>122210.87471399578</v>
      </c>
      <c r="K19" s="51"/>
      <c r="L19" s="60"/>
      <c r="M19" s="60"/>
      <c r="N19" s="60"/>
    </row>
    <row r="20" spans="1:14" s="34" customFormat="1" x14ac:dyDescent="0.3">
      <c r="A20" s="115">
        <v>42079</v>
      </c>
      <c r="B20" s="49" t="s">
        <v>155</v>
      </c>
      <c r="C20" s="17"/>
      <c r="D20" s="62">
        <f>38*5.05+25*3.95+5*1.1</f>
        <v>296.14999999999998</v>
      </c>
      <c r="E20" s="76">
        <f t="shared" si="4"/>
        <v>4445.7700000000013</v>
      </c>
      <c r="F20" s="50"/>
      <c r="G20" s="50">
        <f t="shared" si="5"/>
        <v>25.772445489168049</v>
      </c>
      <c r="H20" s="50"/>
      <c r="I20" s="50">
        <f t="shared" si="6"/>
        <v>7632.5097316171168</v>
      </c>
      <c r="J20" s="50">
        <f t="shared" si="7"/>
        <v>114578.36498237867</v>
      </c>
      <c r="K20" s="51"/>
      <c r="L20" s="60"/>
      <c r="M20" s="60"/>
      <c r="N20" s="60"/>
    </row>
    <row r="21" spans="1:14" s="34" customFormat="1" x14ac:dyDescent="0.3">
      <c r="A21" s="115">
        <v>42082</v>
      </c>
      <c r="B21" s="49" t="s">
        <v>158</v>
      </c>
      <c r="C21" s="17"/>
      <c r="D21" s="62">
        <f>2.85+2.5+2.2+1.9+1.7+1.5+1.35+1.25+2*2.05</f>
        <v>19.349999999999998</v>
      </c>
      <c r="E21" s="76">
        <f t="shared" si="4"/>
        <v>4426.420000000001</v>
      </c>
      <c r="F21" s="50"/>
      <c r="G21" s="50">
        <f t="shared" si="5"/>
        <v>25.772445489168049</v>
      </c>
      <c r="H21" s="50"/>
      <c r="I21" s="50">
        <f t="shared" si="6"/>
        <v>498.69682021540171</v>
      </c>
      <c r="J21" s="50">
        <f t="shared" si="7"/>
        <v>114079.66816216327</v>
      </c>
      <c r="K21" s="51"/>
      <c r="L21" s="60"/>
      <c r="M21" s="60"/>
      <c r="N21" s="60"/>
    </row>
    <row r="22" spans="1:14" s="34" customFormat="1" x14ac:dyDescent="0.3">
      <c r="A22" s="115">
        <v>42084</v>
      </c>
      <c r="B22" s="49" t="s">
        <v>161</v>
      </c>
      <c r="C22" s="17"/>
      <c r="D22" s="62">
        <f>26*10.2</f>
        <v>265.2</v>
      </c>
      <c r="E22" s="76">
        <f t="shared" si="4"/>
        <v>4161.2200000000012</v>
      </c>
      <c r="F22" s="50"/>
      <c r="G22" s="50">
        <f t="shared" si="5"/>
        <v>25.772445489168053</v>
      </c>
      <c r="H22" s="50"/>
      <c r="I22" s="50">
        <f t="shared" si="6"/>
        <v>6834.8525437273674</v>
      </c>
      <c r="J22" s="50">
        <f t="shared" si="7"/>
        <v>107244.81561843591</v>
      </c>
      <c r="K22" s="51"/>
      <c r="L22" s="60"/>
      <c r="M22" s="60"/>
      <c r="N22" s="60"/>
    </row>
    <row r="23" spans="1:14" s="34" customFormat="1" x14ac:dyDescent="0.3">
      <c r="A23" s="115">
        <v>42087</v>
      </c>
      <c r="B23" s="49" t="s">
        <v>165</v>
      </c>
      <c r="C23" s="17"/>
      <c r="D23" s="62">
        <f>3+7</f>
        <v>10</v>
      </c>
      <c r="E23" s="76">
        <f t="shared" si="4"/>
        <v>4151.2200000000012</v>
      </c>
      <c r="F23" s="50"/>
      <c r="G23" s="50">
        <f t="shared" si="5"/>
        <v>25.772445489168053</v>
      </c>
      <c r="H23" s="50"/>
      <c r="I23" s="50">
        <f t="shared" si="6"/>
        <v>257.72445489168052</v>
      </c>
      <c r="J23" s="50">
        <f t="shared" si="7"/>
        <v>106987.09116354423</v>
      </c>
      <c r="K23" s="51"/>
      <c r="L23" s="60"/>
      <c r="M23" s="60"/>
      <c r="N23" s="60"/>
    </row>
    <row r="24" spans="1:14" s="34" customFormat="1" x14ac:dyDescent="0.3">
      <c r="A24" s="115">
        <v>42087</v>
      </c>
      <c r="B24" s="49" t="s">
        <v>166</v>
      </c>
      <c r="C24" s="17"/>
      <c r="D24" s="62">
        <f>17*5.2</f>
        <v>88.4</v>
      </c>
      <c r="E24" s="76">
        <f t="shared" si="4"/>
        <v>4062.8200000000011</v>
      </c>
      <c r="F24" s="50"/>
      <c r="G24" s="50">
        <f t="shared" si="5"/>
        <v>25.772445489168053</v>
      </c>
      <c r="H24" s="50"/>
      <c r="I24" s="50">
        <f t="shared" si="6"/>
        <v>2278.2841812424558</v>
      </c>
      <c r="J24" s="50">
        <f t="shared" si="7"/>
        <v>104708.80698230177</v>
      </c>
      <c r="K24" s="51"/>
      <c r="L24" s="60"/>
      <c r="M24" s="60"/>
      <c r="N24" s="60"/>
    </row>
    <row r="25" spans="1:14" s="34" customFormat="1" x14ac:dyDescent="0.3">
      <c r="A25" s="115">
        <v>42090</v>
      </c>
      <c r="B25" s="49" t="s">
        <v>171</v>
      </c>
      <c r="C25" s="17"/>
      <c r="D25" s="62">
        <f>7*5.2+7*4.4</f>
        <v>67.2</v>
      </c>
      <c r="E25" s="76">
        <f t="shared" si="4"/>
        <v>3995.6200000000013</v>
      </c>
      <c r="F25" s="50"/>
      <c r="G25" s="50">
        <f t="shared" si="5"/>
        <v>25.772445489168053</v>
      </c>
      <c r="H25" s="50"/>
      <c r="I25" s="50">
        <f t="shared" si="6"/>
        <v>1731.9083368720933</v>
      </c>
      <c r="J25" s="50">
        <f t="shared" si="7"/>
        <v>102976.89864542968</v>
      </c>
      <c r="K25" s="81"/>
      <c r="L25" s="90">
        <f>SUM(I18:I25)</f>
        <v>26988.904916256779</v>
      </c>
      <c r="M25" s="90">
        <f>SUM(L17:L25)</f>
        <v>27122.921632800451</v>
      </c>
      <c r="N25" s="162">
        <v>42094</v>
      </c>
    </row>
    <row r="26" spans="1:14" s="34" customFormat="1" x14ac:dyDescent="0.3">
      <c r="A26" s="115">
        <v>42095</v>
      </c>
      <c r="B26" s="49" t="s">
        <v>182</v>
      </c>
      <c r="C26" s="17"/>
      <c r="D26" s="62">
        <f>42*4.9</f>
        <v>205.8</v>
      </c>
      <c r="E26" s="76">
        <f t="shared" si="4"/>
        <v>3789.8200000000011</v>
      </c>
      <c r="F26" s="50"/>
      <c r="G26" s="50">
        <f t="shared" si="5"/>
        <v>25.772445489168053</v>
      </c>
      <c r="H26" s="50"/>
      <c r="I26" s="50">
        <f t="shared" si="6"/>
        <v>5303.9692816707857</v>
      </c>
      <c r="J26" s="50">
        <f t="shared" si="7"/>
        <v>97672.9293637589</v>
      </c>
      <c r="K26" s="51"/>
      <c r="L26" s="60"/>
      <c r="M26" s="60"/>
      <c r="N26" s="60"/>
    </row>
    <row r="27" spans="1:14" s="34" customFormat="1" x14ac:dyDescent="0.3">
      <c r="A27" s="115">
        <v>42101</v>
      </c>
      <c r="B27" s="49" t="s">
        <v>197</v>
      </c>
      <c r="C27" s="17"/>
      <c r="D27" s="62">
        <f>18*2.35</f>
        <v>42.300000000000004</v>
      </c>
      <c r="E27" s="76">
        <f t="shared" si="4"/>
        <v>3747.5200000000009</v>
      </c>
      <c r="F27" s="50"/>
      <c r="G27" s="50">
        <f t="shared" si="5"/>
        <v>25.772445489168053</v>
      </c>
      <c r="H27" s="50"/>
      <c r="I27" s="50">
        <f t="shared" si="6"/>
        <v>1090.1744441918088</v>
      </c>
      <c r="J27" s="50">
        <f t="shared" si="7"/>
        <v>96582.754919567087</v>
      </c>
      <c r="K27" s="51"/>
      <c r="L27" s="60"/>
      <c r="M27" s="60"/>
      <c r="N27" s="60"/>
    </row>
    <row r="28" spans="1:14" s="34" customFormat="1" x14ac:dyDescent="0.3">
      <c r="A28" s="115">
        <v>42103</v>
      </c>
      <c r="B28" s="49" t="s">
        <v>199</v>
      </c>
      <c r="C28" s="17"/>
      <c r="D28" s="62">
        <f>6*4.75+5*3.4</f>
        <v>45.5</v>
      </c>
      <c r="E28" s="76">
        <f t="shared" si="4"/>
        <v>3702.0200000000009</v>
      </c>
      <c r="F28" s="50"/>
      <c r="G28" s="50">
        <f t="shared" si="5"/>
        <v>25.772445489168053</v>
      </c>
      <c r="H28" s="50"/>
      <c r="I28" s="50">
        <f t="shared" si="6"/>
        <v>1172.6462697571465</v>
      </c>
      <c r="J28" s="50">
        <f t="shared" si="7"/>
        <v>95410.108649809947</v>
      </c>
      <c r="K28" s="81"/>
      <c r="L28" s="90">
        <f>SUM(I26:I28)</f>
        <v>7566.7899956197416</v>
      </c>
      <c r="M28" s="89"/>
      <c r="N28" s="162">
        <v>42103</v>
      </c>
    </row>
    <row r="29" spans="1:14" s="34" customFormat="1" x14ac:dyDescent="0.3">
      <c r="A29" s="115">
        <v>42112</v>
      </c>
      <c r="B29" s="49" t="s">
        <v>209</v>
      </c>
      <c r="C29" s="17"/>
      <c r="D29" s="62">
        <f>20*2.6</f>
        <v>52</v>
      </c>
      <c r="E29" s="76">
        <f t="shared" si="4"/>
        <v>3650.0200000000009</v>
      </c>
      <c r="F29" s="50"/>
      <c r="G29" s="50">
        <f t="shared" si="5"/>
        <v>25.772445489168057</v>
      </c>
      <c r="H29" s="50"/>
      <c r="I29" s="50">
        <f t="shared" si="6"/>
        <v>1340.167165436739</v>
      </c>
      <c r="J29" s="50">
        <f t="shared" si="7"/>
        <v>94069.941484373208</v>
      </c>
      <c r="K29" s="51"/>
      <c r="L29" s="60"/>
      <c r="M29" s="60"/>
      <c r="N29" s="60"/>
    </row>
    <row r="30" spans="1:14" s="34" customFormat="1" x14ac:dyDescent="0.3">
      <c r="A30" s="115">
        <v>42118</v>
      </c>
      <c r="B30" s="49" t="s">
        <v>225</v>
      </c>
      <c r="C30" s="17"/>
      <c r="D30" s="62">
        <f>2*2.6</f>
        <v>5.2</v>
      </c>
      <c r="E30" s="76">
        <f t="shared" si="4"/>
        <v>3644.8200000000011</v>
      </c>
      <c r="F30" s="50"/>
      <c r="G30" s="50">
        <f t="shared" si="5"/>
        <v>25.772445489168057</v>
      </c>
      <c r="H30" s="50"/>
      <c r="I30" s="50">
        <f t="shared" si="6"/>
        <v>134.01671654367391</v>
      </c>
      <c r="J30" s="50">
        <f t="shared" si="7"/>
        <v>93935.924767829536</v>
      </c>
      <c r="K30" s="51"/>
      <c r="L30" s="60"/>
      <c r="M30" s="60"/>
      <c r="N30" s="60"/>
    </row>
    <row r="31" spans="1:14" s="34" customFormat="1" x14ac:dyDescent="0.3">
      <c r="A31" s="115">
        <v>42122</v>
      </c>
      <c r="B31" s="49" t="s">
        <v>230</v>
      </c>
      <c r="C31" s="17"/>
      <c r="D31" s="62">
        <f>6*6+5.06+3.79+2.53+1.27+13*6.2+5.5+4.08+2.66+1.18+3.5+2*6.9+16*4.2+7.5</f>
        <v>234.67000000000002</v>
      </c>
      <c r="E31" s="76">
        <f t="shared" si="4"/>
        <v>3410.150000000001</v>
      </c>
      <c r="F31" s="50"/>
      <c r="G31" s="50">
        <f t="shared" si="5"/>
        <v>25.772445489168053</v>
      </c>
      <c r="H31" s="50"/>
      <c r="I31" s="50">
        <f t="shared" si="6"/>
        <v>6048.0197829430672</v>
      </c>
      <c r="J31" s="50">
        <f t="shared" si="7"/>
        <v>87887.904984886467</v>
      </c>
      <c r="K31" s="81"/>
      <c r="L31" s="90">
        <f>SUM(I29:I31)</f>
        <v>7522.2036649234797</v>
      </c>
      <c r="M31" s="90">
        <f>SUM(L28:L31)</f>
        <v>15088.993660543221</v>
      </c>
      <c r="N31" s="162">
        <v>42124</v>
      </c>
    </row>
    <row r="32" spans="1:14" s="34" customFormat="1" x14ac:dyDescent="0.3">
      <c r="A32" s="115">
        <v>42139</v>
      </c>
      <c r="B32" s="49" t="s">
        <v>253</v>
      </c>
      <c r="C32" s="17"/>
      <c r="D32" s="62">
        <f>90*5.68</f>
        <v>511.2</v>
      </c>
      <c r="E32" s="76">
        <f t="shared" si="4"/>
        <v>2898.9500000000012</v>
      </c>
      <c r="F32" s="50"/>
      <c r="G32" s="50">
        <f t="shared" si="5"/>
        <v>25.772445489168053</v>
      </c>
      <c r="H32" s="50"/>
      <c r="I32" s="50">
        <f t="shared" si="6"/>
        <v>13174.874134062708</v>
      </c>
      <c r="J32" s="50">
        <f t="shared" si="7"/>
        <v>74713.030850823765</v>
      </c>
      <c r="K32" s="51"/>
      <c r="L32" s="60"/>
      <c r="M32" s="60"/>
      <c r="N32" s="60"/>
    </row>
    <row r="33" spans="1:14" s="34" customFormat="1" x14ac:dyDescent="0.3">
      <c r="A33" s="115">
        <v>42142</v>
      </c>
      <c r="B33" s="49" t="s">
        <v>256</v>
      </c>
      <c r="C33" s="17"/>
      <c r="D33" s="62">
        <f>5*4.7+2*3.8+1</f>
        <v>32.1</v>
      </c>
      <c r="E33" s="76">
        <f t="shared" si="4"/>
        <v>2866.8500000000013</v>
      </c>
      <c r="F33" s="50"/>
      <c r="G33" s="50">
        <f t="shared" si="5"/>
        <v>25.772445489168057</v>
      </c>
      <c r="H33" s="50"/>
      <c r="I33" s="50">
        <f t="shared" si="6"/>
        <v>827.29550020229465</v>
      </c>
      <c r="J33" s="50">
        <f t="shared" si="7"/>
        <v>73885.735350621471</v>
      </c>
      <c r="K33" s="51"/>
      <c r="L33" s="60"/>
      <c r="M33" s="60"/>
      <c r="N33" s="60"/>
    </row>
    <row r="34" spans="1:14" s="34" customFormat="1" x14ac:dyDescent="0.3">
      <c r="A34" s="115">
        <v>42142</v>
      </c>
      <c r="B34" s="49" t="s">
        <v>259</v>
      </c>
      <c r="C34" s="17"/>
      <c r="D34" s="62">
        <f>5*4.7+2*3.8+1</f>
        <v>32.1</v>
      </c>
      <c r="E34" s="76">
        <f t="shared" si="4"/>
        <v>2834.7500000000014</v>
      </c>
      <c r="F34" s="50"/>
      <c r="G34" s="50">
        <f t="shared" si="5"/>
        <v>25.772445489168057</v>
      </c>
      <c r="H34" s="50"/>
      <c r="I34" s="50">
        <f t="shared" si="6"/>
        <v>827.29550020229465</v>
      </c>
      <c r="J34" s="50">
        <f t="shared" si="7"/>
        <v>73058.439850419178</v>
      </c>
      <c r="K34" s="81"/>
      <c r="L34" s="90">
        <f>SUM(I32:I34)</f>
        <v>14829.465134467298</v>
      </c>
      <c r="M34" s="89"/>
      <c r="N34" s="162">
        <v>42142</v>
      </c>
    </row>
    <row r="35" spans="1:14" s="34" customFormat="1" x14ac:dyDescent="0.3">
      <c r="A35" s="115">
        <v>42146</v>
      </c>
      <c r="B35" s="49" t="s">
        <v>263</v>
      </c>
      <c r="C35" s="17"/>
      <c r="D35" s="62">
        <f>8*4</f>
        <v>32</v>
      </c>
      <c r="E35" s="76">
        <f t="shared" si="4"/>
        <v>2802.7500000000014</v>
      </c>
      <c r="F35" s="50"/>
      <c r="G35" s="50">
        <f t="shared" si="5"/>
        <v>25.772445489168053</v>
      </c>
      <c r="H35" s="50"/>
      <c r="I35" s="50">
        <f t="shared" si="6"/>
        <v>824.7182556533777</v>
      </c>
      <c r="J35" s="50">
        <f t="shared" si="7"/>
        <v>72233.721594765797</v>
      </c>
      <c r="K35" s="81"/>
      <c r="L35" s="90">
        <f>SUM(I35)</f>
        <v>824.7182556533777</v>
      </c>
      <c r="M35" s="90">
        <f>SUM(L34:L35)</f>
        <v>15654.183390120676</v>
      </c>
      <c r="N35" s="162">
        <v>42155</v>
      </c>
    </row>
    <row r="36" spans="1:14" s="34" customFormat="1" x14ac:dyDescent="0.3">
      <c r="A36" s="115">
        <v>42157</v>
      </c>
      <c r="B36" s="49" t="s">
        <v>273</v>
      </c>
      <c r="C36" s="17"/>
      <c r="D36" s="62">
        <f>4*9+2.85</f>
        <v>38.85</v>
      </c>
      <c r="E36" s="76">
        <f t="shared" si="4"/>
        <v>2763.9000000000015</v>
      </c>
      <c r="F36" s="50"/>
      <c r="G36" s="50">
        <f t="shared" si="5"/>
        <v>25.772445489168053</v>
      </c>
      <c r="H36" s="50"/>
      <c r="I36" s="50">
        <f t="shared" si="6"/>
        <v>1001.2595072541789</v>
      </c>
      <c r="J36" s="50">
        <f t="shared" si="7"/>
        <v>71232.462087511623</v>
      </c>
      <c r="K36" s="51"/>
      <c r="L36" s="60"/>
      <c r="M36" s="60"/>
      <c r="N36" s="60"/>
    </row>
    <row r="37" spans="1:14" s="34" customFormat="1" x14ac:dyDescent="0.3">
      <c r="A37" s="115">
        <v>42167</v>
      </c>
      <c r="B37" s="49" t="s">
        <v>296</v>
      </c>
      <c r="C37" s="17"/>
      <c r="D37" s="62">
        <f>6*3.5+6*3.2</f>
        <v>40.200000000000003</v>
      </c>
      <c r="E37" s="76">
        <f t="shared" si="4"/>
        <v>2723.7000000000016</v>
      </c>
      <c r="F37" s="50"/>
      <c r="G37" s="50">
        <f t="shared" si="5"/>
        <v>25.772445489168053</v>
      </c>
      <c r="H37" s="50"/>
      <c r="I37" s="50">
        <f t="shared" si="6"/>
        <v>1036.0523086645558</v>
      </c>
      <c r="J37" s="50">
        <f t="shared" si="7"/>
        <v>70196.409778847068</v>
      </c>
      <c r="K37" s="81"/>
      <c r="L37" s="90">
        <f>SUM(I36:I37)</f>
        <v>2037.3118159187347</v>
      </c>
      <c r="M37" s="89"/>
      <c r="N37" s="162">
        <v>42173</v>
      </c>
    </row>
    <row r="38" spans="1:14" s="34" customFormat="1" x14ac:dyDescent="0.3">
      <c r="A38" s="115">
        <v>41817</v>
      </c>
      <c r="B38" s="49" t="s">
        <v>333</v>
      </c>
      <c r="C38" s="17"/>
      <c r="D38" s="62">
        <f>22*4.1</f>
        <v>90.199999999999989</v>
      </c>
      <c r="E38" s="76">
        <f t="shared" si="4"/>
        <v>2633.5000000000018</v>
      </c>
      <c r="F38" s="50"/>
      <c r="G38" s="50">
        <f t="shared" si="5"/>
        <v>25.772445489168053</v>
      </c>
      <c r="H38" s="50"/>
      <c r="I38" s="50">
        <f t="shared" si="6"/>
        <v>2324.6745831229582</v>
      </c>
      <c r="J38" s="50">
        <f t="shared" si="7"/>
        <v>67871.735195724104</v>
      </c>
      <c r="K38" s="81"/>
      <c r="L38" s="90">
        <f>SUM(I38)</f>
        <v>2324.6745831229582</v>
      </c>
      <c r="M38" s="90">
        <f>SUM(L37:L38)</f>
        <v>4361.9863990416925</v>
      </c>
      <c r="N38" s="162">
        <v>42185</v>
      </c>
    </row>
    <row r="39" spans="1:14" s="34" customFormat="1" x14ac:dyDescent="0.3">
      <c r="A39" s="115">
        <v>42187</v>
      </c>
      <c r="B39" s="49" t="s">
        <v>341</v>
      </c>
      <c r="C39" s="17"/>
      <c r="D39" s="62">
        <f>2*4.15</f>
        <v>8.3000000000000007</v>
      </c>
      <c r="E39" s="76">
        <f t="shared" si="4"/>
        <v>2625.2000000000016</v>
      </c>
      <c r="F39" s="50"/>
      <c r="G39" s="50">
        <f t="shared" si="5"/>
        <v>25.772445489168049</v>
      </c>
      <c r="H39" s="50"/>
      <c r="I39" s="50">
        <f t="shared" si="6"/>
        <v>213.91129756009482</v>
      </c>
      <c r="J39" s="50">
        <f t="shared" si="7"/>
        <v>67657.823898164002</v>
      </c>
      <c r="K39" s="51"/>
      <c r="L39" s="60"/>
      <c r="M39" s="60"/>
      <c r="N39" s="60"/>
    </row>
    <row r="40" spans="1:14" s="34" customFormat="1" x14ac:dyDescent="0.3">
      <c r="A40" s="115">
        <v>42188</v>
      </c>
      <c r="B40" s="49" t="s">
        <v>345</v>
      </c>
      <c r="C40" s="17"/>
      <c r="D40" s="62">
        <v>3.8</v>
      </c>
      <c r="E40" s="76">
        <f t="shared" si="4"/>
        <v>2621.4000000000015</v>
      </c>
      <c r="F40" s="50"/>
      <c r="G40" s="50">
        <f t="shared" si="5"/>
        <v>25.772445489168049</v>
      </c>
      <c r="H40" s="50"/>
      <c r="I40" s="50">
        <f t="shared" si="6"/>
        <v>97.935292858838579</v>
      </c>
      <c r="J40" s="50">
        <f t="shared" si="7"/>
        <v>67559.888605305168</v>
      </c>
      <c r="K40" s="51"/>
      <c r="L40" s="60"/>
      <c r="M40" s="60"/>
      <c r="N40" s="60"/>
    </row>
    <row r="41" spans="1:14" s="34" customFormat="1" x14ac:dyDescent="0.3">
      <c r="A41" s="115">
        <v>42199</v>
      </c>
      <c r="B41" s="49" t="s">
        <v>377</v>
      </c>
      <c r="C41" s="17"/>
      <c r="D41" s="62">
        <f>15*4+15*3+10*2.5</f>
        <v>130</v>
      </c>
      <c r="E41" s="76">
        <f t="shared" si="4"/>
        <v>2491.4000000000015</v>
      </c>
      <c r="F41" s="50"/>
      <c r="G41" s="50">
        <f t="shared" si="5"/>
        <v>25.772445489168053</v>
      </c>
      <c r="H41" s="50"/>
      <c r="I41" s="50">
        <f t="shared" si="6"/>
        <v>3350.4179135918471</v>
      </c>
      <c r="J41" s="50">
        <f t="shared" si="7"/>
        <v>64209.470691713323</v>
      </c>
      <c r="K41" s="51"/>
      <c r="L41" s="60"/>
      <c r="M41" s="60"/>
      <c r="N41" s="60"/>
    </row>
    <row r="42" spans="1:14" s="34" customFormat="1" x14ac:dyDescent="0.3">
      <c r="A42" s="115">
        <v>42199</v>
      </c>
      <c r="B42" s="49" t="s">
        <v>382</v>
      </c>
      <c r="C42" s="17"/>
      <c r="D42" s="62">
        <f>9*4</f>
        <v>36</v>
      </c>
      <c r="E42" s="76">
        <f t="shared" si="4"/>
        <v>2455.4000000000015</v>
      </c>
      <c r="F42" s="50"/>
      <c r="G42" s="50">
        <f t="shared" si="5"/>
        <v>25.772445489168053</v>
      </c>
      <c r="H42" s="50"/>
      <c r="I42" s="50">
        <f t="shared" si="6"/>
        <v>927.80803761004995</v>
      </c>
      <c r="J42" s="50">
        <f t="shared" si="7"/>
        <v>63281.662654103275</v>
      </c>
      <c r="K42" s="81"/>
      <c r="L42" s="90">
        <f>SUM(I39:I42)</f>
        <v>4590.0725416208306</v>
      </c>
      <c r="M42" s="89"/>
      <c r="N42" s="162">
        <v>42199</v>
      </c>
    </row>
    <row r="43" spans="1:14" s="34" customFormat="1" x14ac:dyDescent="0.3">
      <c r="A43" s="115">
        <v>42205</v>
      </c>
      <c r="B43" s="49" t="s">
        <v>395</v>
      </c>
      <c r="C43" s="17"/>
      <c r="D43" s="62">
        <f>10*5.5</f>
        <v>55</v>
      </c>
      <c r="E43" s="76">
        <f t="shared" si="4"/>
        <v>2400.4000000000015</v>
      </c>
      <c r="F43" s="50"/>
      <c r="G43" s="50">
        <f t="shared" si="5"/>
        <v>25.772445489168053</v>
      </c>
      <c r="H43" s="50"/>
      <c r="I43" s="50">
        <f t="shared" si="6"/>
        <v>1417.484501904243</v>
      </c>
      <c r="J43" s="50">
        <f t="shared" si="7"/>
        <v>61864.178152199034</v>
      </c>
      <c r="K43" s="51"/>
      <c r="L43" s="60"/>
      <c r="M43" s="60"/>
      <c r="N43" s="60"/>
    </row>
    <row r="44" spans="1:14" x14ac:dyDescent="0.3">
      <c r="A44" s="115">
        <v>42213</v>
      </c>
      <c r="B44" s="49" t="s">
        <v>427</v>
      </c>
      <c r="C44" s="17"/>
      <c r="D44" s="62">
        <f>33*5</f>
        <v>165</v>
      </c>
      <c r="E44" s="76">
        <f t="shared" ref="E44" si="8">+E43-D44</f>
        <v>2235.4000000000015</v>
      </c>
      <c r="F44" s="50"/>
      <c r="G44" s="50">
        <f t="shared" ref="G44" si="9">+J43/E43</f>
        <v>25.772445489168053</v>
      </c>
      <c r="H44" s="50"/>
      <c r="I44" s="50">
        <f t="shared" ref="I44" si="10">+D44*G44</f>
        <v>4252.4535057127287</v>
      </c>
      <c r="J44" s="50">
        <f t="shared" ref="J44" si="11">+J43-I44</f>
        <v>57611.724646486306</v>
      </c>
      <c r="K44" s="54"/>
      <c r="L44" s="60"/>
      <c r="M44" s="60"/>
      <c r="N44" s="60"/>
    </row>
    <row r="45" spans="1:14" x14ac:dyDescent="0.3">
      <c r="A45" s="91">
        <v>42215</v>
      </c>
      <c r="B45" s="49" t="s">
        <v>435</v>
      </c>
      <c r="C45" s="17"/>
      <c r="D45" s="62">
        <f>6*4.2+3+2</f>
        <v>30.200000000000003</v>
      </c>
      <c r="E45" s="76">
        <f t="shared" ref="E45:E61" si="12">+E44-D45</f>
        <v>2205.2000000000016</v>
      </c>
      <c r="F45" s="50"/>
      <c r="G45" s="50">
        <f t="shared" ref="G45:G61" si="13">+J44/E44</f>
        <v>25.772445489168053</v>
      </c>
      <c r="H45" s="50"/>
      <c r="I45" s="50">
        <f t="shared" ref="I45:I61" si="14">+D45*G45</f>
        <v>778.3278537728753</v>
      </c>
      <c r="J45" s="50">
        <f t="shared" ref="J45:J61" si="15">+J44-I45</f>
        <v>56833.396792713429</v>
      </c>
      <c r="K45" s="61"/>
      <c r="L45" s="90">
        <f>SUM(I43:I45)</f>
        <v>6448.2658613898475</v>
      </c>
      <c r="M45" s="90">
        <f>SUM(L42:L45)</f>
        <v>11038.338403010679</v>
      </c>
      <c r="N45" s="162">
        <v>42216</v>
      </c>
    </row>
    <row r="46" spans="1:14" x14ac:dyDescent="0.3">
      <c r="A46" s="91">
        <v>42219</v>
      </c>
      <c r="B46" s="49" t="s">
        <v>450</v>
      </c>
      <c r="C46" s="17"/>
      <c r="D46" s="62">
        <f>5*3+2.5+2*2</f>
        <v>21.5</v>
      </c>
      <c r="E46" s="76">
        <f t="shared" si="12"/>
        <v>2183.7000000000016</v>
      </c>
      <c r="F46" s="50"/>
      <c r="G46" s="50">
        <f t="shared" si="13"/>
        <v>25.772445489168053</v>
      </c>
      <c r="H46" s="50"/>
      <c r="I46" s="50">
        <f t="shared" si="14"/>
        <v>554.10757801711316</v>
      </c>
      <c r="J46" s="50">
        <f t="shared" si="15"/>
        <v>56279.289214696313</v>
      </c>
      <c r="K46" s="54"/>
      <c r="L46" s="60"/>
      <c r="M46" s="60"/>
      <c r="N46" s="60"/>
    </row>
    <row r="47" spans="1:14" x14ac:dyDescent="0.3">
      <c r="A47" s="91">
        <v>42234</v>
      </c>
      <c r="B47" s="49" t="s">
        <v>489</v>
      </c>
      <c r="C47" s="17"/>
      <c r="D47" s="62">
        <f>3*4+2</f>
        <v>14</v>
      </c>
      <c r="E47" s="76">
        <f t="shared" si="12"/>
        <v>2169.7000000000016</v>
      </c>
      <c r="F47" s="50"/>
      <c r="G47" s="50">
        <f t="shared" si="13"/>
        <v>25.772445489168049</v>
      </c>
      <c r="H47" s="50"/>
      <c r="I47" s="50">
        <f t="shared" si="14"/>
        <v>360.81423684835272</v>
      </c>
      <c r="J47" s="50">
        <f t="shared" si="15"/>
        <v>55918.47497784796</v>
      </c>
      <c r="K47" s="54"/>
      <c r="L47" s="60"/>
      <c r="M47" s="60"/>
      <c r="N47" s="60"/>
    </row>
    <row r="48" spans="1:14" x14ac:dyDescent="0.3">
      <c r="A48" s="91">
        <v>42234</v>
      </c>
      <c r="B48" s="49" t="s">
        <v>495</v>
      </c>
      <c r="C48" s="17"/>
      <c r="D48" s="62">
        <f>2</f>
        <v>2</v>
      </c>
      <c r="E48" s="76">
        <f t="shared" si="12"/>
        <v>2167.7000000000016</v>
      </c>
      <c r="F48" s="50"/>
      <c r="G48" s="50">
        <f t="shared" si="13"/>
        <v>25.772445489168049</v>
      </c>
      <c r="H48" s="50"/>
      <c r="I48" s="50">
        <f t="shared" si="14"/>
        <v>51.544890978336099</v>
      </c>
      <c r="J48" s="50">
        <f t="shared" si="15"/>
        <v>55866.930086869623</v>
      </c>
      <c r="K48" s="61"/>
      <c r="L48" s="90">
        <f>SUM(I46:I48)</f>
        <v>966.46670584380195</v>
      </c>
      <c r="M48" s="89"/>
      <c r="N48" s="162">
        <v>42234</v>
      </c>
    </row>
    <row r="49" spans="1:14" x14ac:dyDescent="0.3">
      <c r="A49" s="91">
        <v>42237</v>
      </c>
      <c r="B49" s="49" t="s">
        <v>511</v>
      </c>
      <c r="C49" s="17"/>
      <c r="D49" s="62">
        <f>22*7.5</f>
        <v>165</v>
      </c>
      <c r="E49" s="76">
        <f t="shared" si="12"/>
        <v>2002.7000000000016</v>
      </c>
      <c r="F49" s="50"/>
      <c r="G49" s="50">
        <f t="shared" si="13"/>
        <v>25.772445489168049</v>
      </c>
      <c r="H49" s="50"/>
      <c r="I49" s="50">
        <f t="shared" si="14"/>
        <v>4252.4535057127277</v>
      </c>
      <c r="J49" s="50">
        <f t="shared" si="15"/>
        <v>51614.476581156894</v>
      </c>
      <c r="K49" s="61"/>
      <c r="L49" s="90">
        <f>SUM(I49)</f>
        <v>4252.4535057127277</v>
      </c>
      <c r="M49" s="90">
        <f>SUM(L48:L49)</f>
        <v>5218.9202115565295</v>
      </c>
      <c r="N49" s="162">
        <v>42247</v>
      </c>
    </row>
    <row r="50" spans="1:14" x14ac:dyDescent="0.3">
      <c r="A50" s="91">
        <v>42250</v>
      </c>
      <c r="B50" s="49" t="s">
        <v>547</v>
      </c>
      <c r="C50" s="17"/>
      <c r="D50" s="62">
        <f>10*3.4+2*0.75</f>
        <v>35.5</v>
      </c>
      <c r="E50" s="76">
        <f t="shared" si="12"/>
        <v>1967.2000000000016</v>
      </c>
      <c r="F50" s="50"/>
      <c r="G50" s="50">
        <f t="shared" si="13"/>
        <v>25.772445489168049</v>
      </c>
      <c r="H50" s="50"/>
      <c r="I50" s="50">
        <f t="shared" si="14"/>
        <v>914.92181486546576</v>
      </c>
      <c r="J50" s="50">
        <f t="shared" si="15"/>
        <v>50699.554766291425</v>
      </c>
      <c r="K50" s="54"/>
      <c r="L50" s="60"/>
      <c r="M50" s="60"/>
      <c r="N50" s="60"/>
    </row>
    <row r="51" spans="1:14" x14ac:dyDescent="0.3">
      <c r="A51" s="91">
        <v>42254</v>
      </c>
      <c r="B51" s="49" t="s">
        <v>574</v>
      </c>
      <c r="C51" s="17"/>
      <c r="D51" s="62">
        <v>2.5</v>
      </c>
      <c r="E51" s="76">
        <f t="shared" si="12"/>
        <v>1964.7000000000016</v>
      </c>
      <c r="F51" s="50"/>
      <c r="G51" s="50">
        <f t="shared" si="13"/>
        <v>25.772445489168046</v>
      </c>
      <c r="H51" s="50"/>
      <c r="I51" s="50">
        <f t="shared" si="14"/>
        <v>64.431113722920117</v>
      </c>
      <c r="J51" s="50">
        <f t="shared" si="15"/>
        <v>50635.123652568502</v>
      </c>
      <c r="K51" s="54"/>
      <c r="L51" s="60"/>
      <c r="M51" s="60"/>
      <c r="N51" s="60"/>
    </row>
    <row r="52" spans="1:14" x14ac:dyDescent="0.3">
      <c r="A52" s="91">
        <v>42259</v>
      </c>
      <c r="B52" s="49" t="s">
        <v>605</v>
      </c>
      <c r="C52" s="17"/>
      <c r="D52" s="62">
        <f>44*4.15+13</f>
        <v>195.60000000000002</v>
      </c>
      <c r="E52" s="76">
        <f t="shared" si="12"/>
        <v>1769.1000000000017</v>
      </c>
      <c r="F52" s="50"/>
      <c r="G52" s="50">
        <f t="shared" si="13"/>
        <v>25.772445489168046</v>
      </c>
      <c r="H52" s="50"/>
      <c r="I52" s="50">
        <f t="shared" si="14"/>
        <v>5041.0903376812703</v>
      </c>
      <c r="J52" s="50">
        <f t="shared" si="15"/>
        <v>45594.033314887231</v>
      </c>
      <c r="K52" s="61"/>
      <c r="L52" s="90">
        <f>SUM(I50:I52)</f>
        <v>6020.4432662696563</v>
      </c>
      <c r="M52" s="89"/>
      <c r="N52" s="162">
        <v>42262</v>
      </c>
    </row>
    <row r="53" spans="1:14" x14ac:dyDescent="0.3">
      <c r="A53" s="91">
        <v>42264</v>
      </c>
      <c r="B53" s="49" t="s">
        <v>615</v>
      </c>
      <c r="C53" s="17"/>
      <c r="D53" s="62">
        <f>4*3.7</f>
        <v>14.8</v>
      </c>
      <c r="E53" s="76">
        <f t="shared" si="12"/>
        <v>1754.3000000000018</v>
      </c>
      <c r="F53" s="50"/>
      <c r="G53" s="50">
        <f t="shared" si="13"/>
        <v>25.772445489168042</v>
      </c>
      <c r="H53" s="50"/>
      <c r="I53" s="50">
        <f t="shared" si="14"/>
        <v>381.43219323968702</v>
      </c>
      <c r="J53" s="50">
        <f t="shared" si="15"/>
        <v>45212.601121647545</v>
      </c>
      <c r="K53" s="54"/>
      <c r="L53" s="60"/>
      <c r="M53" s="60"/>
      <c r="N53" s="60"/>
    </row>
    <row r="54" spans="1:14" x14ac:dyDescent="0.3">
      <c r="A54" s="91">
        <v>42264</v>
      </c>
      <c r="B54" s="49" t="s">
        <v>616</v>
      </c>
      <c r="C54" s="17"/>
      <c r="D54" s="62">
        <f>8*2.35</f>
        <v>18.8</v>
      </c>
      <c r="E54" s="76">
        <f t="shared" si="12"/>
        <v>1735.5000000000018</v>
      </c>
      <c r="F54" s="50"/>
      <c r="G54" s="50">
        <f t="shared" si="13"/>
        <v>25.772445489168042</v>
      </c>
      <c r="H54" s="50"/>
      <c r="I54" s="50">
        <f t="shared" si="14"/>
        <v>484.52197519635922</v>
      </c>
      <c r="J54" s="50">
        <f t="shared" si="15"/>
        <v>44728.079146451186</v>
      </c>
      <c r="K54" s="54"/>
      <c r="L54" s="60"/>
      <c r="M54" s="60"/>
      <c r="N54" s="60"/>
    </row>
    <row r="55" spans="1:14" x14ac:dyDescent="0.3">
      <c r="A55" s="91">
        <v>42277</v>
      </c>
      <c r="B55" s="49" t="s">
        <v>670</v>
      </c>
      <c r="C55" s="17"/>
      <c r="D55" s="62">
        <f>40*7.3+8*2.4+7</f>
        <v>318.2</v>
      </c>
      <c r="E55" s="76">
        <f t="shared" si="12"/>
        <v>1417.3000000000018</v>
      </c>
      <c r="F55" s="50"/>
      <c r="G55" s="50">
        <f t="shared" si="13"/>
        <v>25.772445489168042</v>
      </c>
      <c r="H55" s="50"/>
      <c r="I55" s="50">
        <f t="shared" si="14"/>
        <v>8200.7921546532707</v>
      </c>
      <c r="J55" s="50">
        <f t="shared" si="15"/>
        <v>36527.286991797911</v>
      </c>
      <c r="K55" s="61"/>
      <c r="L55" s="90">
        <f>SUM(I53:I55)</f>
        <v>9066.7463230893172</v>
      </c>
      <c r="M55" s="90">
        <f>SUM(L52:L55)</f>
        <v>15087.189589358974</v>
      </c>
      <c r="N55" s="162">
        <v>42277</v>
      </c>
    </row>
    <row r="56" spans="1:14" x14ac:dyDescent="0.3">
      <c r="A56" s="91">
        <v>42335</v>
      </c>
      <c r="B56" s="49" t="s">
        <v>872</v>
      </c>
      <c r="C56" s="17"/>
      <c r="D56" s="62">
        <f>2*5.2</f>
        <v>10.4</v>
      </c>
      <c r="E56" s="76">
        <f t="shared" si="12"/>
        <v>1406.9000000000017</v>
      </c>
      <c r="F56" s="50"/>
      <c r="G56" s="50">
        <f t="shared" si="13"/>
        <v>25.772445489168042</v>
      </c>
      <c r="H56" s="50"/>
      <c r="I56" s="50">
        <f t="shared" si="14"/>
        <v>268.03343308734765</v>
      </c>
      <c r="J56" s="50">
        <f t="shared" si="15"/>
        <v>36259.253558710567</v>
      </c>
      <c r="K56" s="54"/>
      <c r="L56" s="60"/>
      <c r="M56" s="60"/>
      <c r="N56" s="60"/>
    </row>
    <row r="57" spans="1:14" x14ac:dyDescent="0.3">
      <c r="A57" s="91">
        <v>42336</v>
      </c>
      <c r="B57" s="49" t="s">
        <v>875</v>
      </c>
      <c r="C57" s="17"/>
      <c r="D57" s="62">
        <v>0</v>
      </c>
      <c r="E57" s="76">
        <f t="shared" si="12"/>
        <v>1406.9000000000017</v>
      </c>
      <c r="F57" s="50"/>
      <c r="G57" s="50">
        <f t="shared" si="13"/>
        <v>25.772445489168046</v>
      </c>
      <c r="H57" s="50"/>
      <c r="I57" s="50">
        <f t="shared" si="14"/>
        <v>0</v>
      </c>
      <c r="J57" s="50">
        <f t="shared" si="15"/>
        <v>36259.253558710567</v>
      </c>
      <c r="K57" s="54"/>
      <c r="L57" s="60"/>
      <c r="M57" s="60"/>
      <c r="N57" s="60"/>
    </row>
    <row r="58" spans="1:14" x14ac:dyDescent="0.3">
      <c r="A58" s="91">
        <v>42336</v>
      </c>
      <c r="B58" s="49" t="s">
        <v>876</v>
      </c>
      <c r="C58" s="17"/>
      <c r="D58" s="62">
        <f>4*6.82+4*2.29+2*2.25</f>
        <v>40.94</v>
      </c>
      <c r="E58" s="76">
        <f t="shared" si="12"/>
        <v>1365.9600000000016</v>
      </c>
      <c r="F58" s="50"/>
      <c r="G58" s="50">
        <f t="shared" si="13"/>
        <v>25.772445489168046</v>
      </c>
      <c r="H58" s="50"/>
      <c r="I58" s="50">
        <f t="shared" si="14"/>
        <v>1055.1239183265398</v>
      </c>
      <c r="J58" s="50">
        <f t="shared" si="15"/>
        <v>35204.129640384024</v>
      </c>
      <c r="K58" s="61"/>
      <c r="L58" s="90">
        <f>SUM(I56:I58)</f>
        <v>1323.1573514138875</v>
      </c>
      <c r="M58" s="90">
        <f>SUM(L58)</f>
        <v>1323.1573514138875</v>
      </c>
      <c r="N58" s="162">
        <v>42338</v>
      </c>
    </row>
    <row r="59" spans="1:14" x14ac:dyDescent="0.3">
      <c r="A59" s="91">
        <v>42353</v>
      </c>
      <c r="B59" s="49" t="s">
        <v>909</v>
      </c>
      <c r="C59" s="17"/>
      <c r="D59" s="62">
        <f>12*5+13*6</f>
        <v>138</v>
      </c>
      <c r="E59" s="76">
        <f t="shared" si="12"/>
        <v>1227.9600000000016</v>
      </c>
      <c r="F59" s="50"/>
      <c r="G59" s="50">
        <f t="shared" si="13"/>
        <v>25.772445489168046</v>
      </c>
      <c r="H59" s="50"/>
      <c r="I59" s="50">
        <f t="shared" si="14"/>
        <v>3556.5974775051905</v>
      </c>
      <c r="J59" s="50">
        <f t="shared" si="15"/>
        <v>31647.532162878833</v>
      </c>
      <c r="K59" s="61"/>
      <c r="L59" s="90">
        <f>SUM(I59)</f>
        <v>3556.5974775051905</v>
      </c>
      <c r="M59" s="89"/>
      <c r="N59" s="162">
        <v>42353</v>
      </c>
    </row>
    <row r="60" spans="1:14" x14ac:dyDescent="0.3">
      <c r="A60" s="91">
        <v>42362</v>
      </c>
      <c r="B60" s="49" t="s">
        <v>937</v>
      </c>
      <c r="C60" s="17"/>
      <c r="D60" s="62">
        <f>8*3.65</f>
        <v>29.2</v>
      </c>
      <c r="E60" s="76">
        <f t="shared" si="12"/>
        <v>1198.7600000000016</v>
      </c>
      <c r="F60" s="50"/>
      <c r="G60" s="50">
        <f t="shared" si="13"/>
        <v>25.772445489168042</v>
      </c>
      <c r="H60" s="50"/>
      <c r="I60" s="50">
        <f t="shared" si="14"/>
        <v>752.55540828370681</v>
      </c>
      <c r="J60" s="50">
        <f t="shared" si="15"/>
        <v>30894.976754595125</v>
      </c>
      <c r="K60" s="54"/>
      <c r="L60" s="60"/>
      <c r="M60" s="60"/>
      <c r="N60" s="60"/>
    </row>
    <row r="61" spans="1:14" x14ac:dyDescent="0.3">
      <c r="A61" s="91">
        <v>42368</v>
      </c>
      <c r="B61" s="49" t="s">
        <v>956</v>
      </c>
      <c r="C61" s="17"/>
      <c r="D61" s="62">
        <f>5*4.7</f>
        <v>23.5</v>
      </c>
      <c r="E61" s="76">
        <f t="shared" si="12"/>
        <v>1175.2600000000016</v>
      </c>
      <c r="F61" s="50"/>
      <c r="G61" s="50">
        <f t="shared" si="13"/>
        <v>25.772445489168046</v>
      </c>
      <c r="H61" s="50"/>
      <c r="I61" s="50">
        <f t="shared" si="14"/>
        <v>605.65246899544911</v>
      </c>
      <c r="J61" s="50">
        <f t="shared" si="15"/>
        <v>30289.324285599676</v>
      </c>
      <c r="K61" s="61"/>
      <c r="L61" s="90">
        <f>SUM(I60:I61)</f>
        <v>1358.207877279156</v>
      </c>
      <c r="M61" s="169">
        <f>SUM(L59:L61)</f>
        <v>4914.8053547843465</v>
      </c>
      <c r="N61" s="162">
        <v>42369</v>
      </c>
    </row>
    <row r="62" spans="1:14" ht="15" thickBot="1" x14ac:dyDescent="0.35">
      <c r="A62" s="93"/>
      <c r="B62" s="49" t="s">
        <v>982</v>
      </c>
      <c r="C62" s="17">
        <f>SUM(C9:C61)</f>
        <v>5981.38</v>
      </c>
      <c r="D62" s="17">
        <f>SUM(D9:D61)</f>
        <v>4806.119999999999</v>
      </c>
      <c r="E62" s="76"/>
      <c r="F62" s="50"/>
      <c r="G62" s="50"/>
      <c r="H62" s="17">
        <f t="shared" ref="H62:I62" si="16">SUM(H9:H61)</f>
        <v>154154.79</v>
      </c>
      <c r="I62" s="17">
        <f t="shared" si="16"/>
        <v>123865.46571440031</v>
      </c>
      <c r="J62" s="50"/>
      <c r="K62" s="54"/>
      <c r="L62" s="60"/>
      <c r="M62" s="166">
        <f>SUM(M11:M61)</f>
        <v>123865.46571440033</v>
      </c>
      <c r="N62" s="60"/>
    </row>
    <row r="63" spans="1:14" ht="15" thickTop="1" x14ac:dyDescent="0.3">
      <c r="A63" s="5"/>
      <c r="B63" s="117"/>
      <c r="C63" s="107"/>
      <c r="D63" s="108"/>
      <c r="E63" s="118"/>
      <c r="F63" s="119"/>
      <c r="G63" s="119"/>
      <c r="H63" s="119"/>
      <c r="I63" s="119"/>
      <c r="J63" s="120"/>
      <c r="K63" s="5"/>
      <c r="L63" s="60"/>
      <c r="M63" s="60"/>
      <c r="N63" s="60"/>
    </row>
    <row r="64" spans="1:14" x14ac:dyDescent="0.3">
      <c r="A64" s="127" t="s">
        <v>980</v>
      </c>
      <c r="B64" s="6"/>
      <c r="C64" s="5"/>
      <c r="D64" s="5"/>
      <c r="E64" s="5"/>
      <c r="F64" s="5"/>
      <c r="G64" s="60"/>
      <c r="H64" s="60"/>
      <c r="I64" s="60"/>
      <c r="J64" s="60"/>
      <c r="K64" s="5"/>
      <c r="L64" s="60"/>
      <c r="M64" s="60"/>
      <c r="N64" s="60"/>
    </row>
    <row r="65" spans="1:14" x14ac:dyDescent="0.3">
      <c r="A65" s="127" t="s">
        <v>981</v>
      </c>
      <c r="B65" s="6"/>
      <c r="C65" s="5"/>
      <c r="D65" s="5"/>
      <c r="E65" s="5"/>
      <c r="F65" s="5"/>
      <c r="G65" s="60"/>
      <c r="H65" s="60"/>
      <c r="I65" s="60"/>
      <c r="J65" s="163">
        <f>+E61*F9</f>
        <v>30289.324285599687</v>
      </c>
      <c r="K65" s="5"/>
      <c r="L65" s="60"/>
      <c r="M65" s="60"/>
      <c r="N65" s="60"/>
    </row>
    <row r="66" spans="1:14" x14ac:dyDescent="0.3">
      <c r="A66" s="127" t="s">
        <v>978</v>
      </c>
      <c r="B66" s="6"/>
      <c r="C66" s="5"/>
      <c r="D66" s="5"/>
      <c r="E66" s="5"/>
      <c r="F66" s="5"/>
      <c r="G66" s="60"/>
      <c r="H66" s="60"/>
      <c r="I66" s="60"/>
      <c r="J66" s="164">
        <f>+J61</f>
        <v>30289.324285599676</v>
      </c>
      <c r="K66" s="5"/>
      <c r="L66" s="60"/>
      <c r="M66" s="60"/>
      <c r="N66" s="60"/>
    </row>
    <row r="67" spans="1:14" x14ac:dyDescent="0.3">
      <c r="A67" s="127"/>
      <c r="B67" s="6" t="s">
        <v>979</v>
      </c>
      <c r="C67" s="5"/>
      <c r="D67" s="5"/>
      <c r="E67" s="5"/>
      <c r="F67" s="5"/>
      <c r="G67" s="60"/>
      <c r="H67" s="60"/>
      <c r="I67" s="60"/>
      <c r="J67" s="163">
        <f>+J65-J66</f>
        <v>0</v>
      </c>
      <c r="K67" s="5"/>
      <c r="L67" s="60"/>
      <c r="M67" s="60"/>
      <c r="N67" s="60"/>
    </row>
    <row r="68" spans="1:14" x14ac:dyDescent="0.3">
      <c r="A68" s="5"/>
      <c r="B68" s="117"/>
      <c r="C68" s="107"/>
      <c r="D68" s="108"/>
      <c r="E68" s="118"/>
      <c r="F68" s="119"/>
      <c r="G68" s="119"/>
      <c r="H68" s="119"/>
      <c r="I68" s="119"/>
      <c r="J68" s="120"/>
      <c r="K68" s="5"/>
    </row>
    <row r="69" spans="1:14" x14ac:dyDescent="0.3">
      <c r="A69" s="5"/>
      <c r="B69" s="117"/>
      <c r="C69" s="107"/>
      <c r="D69" s="108"/>
      <c r="E69" s="118"/>
      <c r="F69" s="119"/>
      <c r="G69" s="119"/>
      <c r="H69" s="119"/>
      <c r="I69" s="119"/>
      <c r="J69" s="120"/>
      <c r="K69" s="5"/>
    </row>
    <row r="70" spans="1:14" x14ac:dyDescent="0.3">
      <c r="A70" s="5"/>
      <c r="B70" s="117"/>
      <c r="C70" s="107"/>
      <c r="D70" s="108"/>
      <c r="E70" s="118"/>
      <c r="F70" s="119"/>
      <c r="G70" s="119"/>
      <c r="H70" s="119"/>
      <c r="I70" s="119"/>
      <c r="J70" s="120"/>
      <c r="K70" s="5"/>
    </row>
    <row r="71" spans="1:14" x14ac:dyDescent="0.3">
      <c r="A71" s="5"/>
      <c r="B71" s="117"/>
      <c r="C71" s="107"/>
      <c r="D71" s="108"/>
      <c r="E71" s="118"/>
      <c r="F71" s="119"/>
      <c r="G71" s="119"/>
      <c r="H71" s="119"/>
      <c r="I71" s="119"/>
      <c r="J71" s="120"/>
      <c r="K71" s="5"/>
    </row>
    <row r="72" spans="1:14" x14ac:dyDescent="0.3">
      <c r="A72" s="5"/>
      <c r="B72" s="117"/>
      <c r="C72" s="107"/>
      <c r="D72" s="108"/>
      <c r="E72" s="118"/>
      <c r="F72" s="119"/>
      <c r="G72" s="119"/>
      <c r="H72" s="119"/>
      <c r="I72" s="119"/>
      <c r="J72" s="120"/>
      <c r="K72" s="5"/>
    </row>
    <row r="73" spans="1:14" x14ac:dyDescent="0.3">
      <c r="A73" s="5"/>
      <c r="B73" s="117"/>
      <c r="C73" s="107"/>
      <c r="D73" s="108"/>
      <c r="E73" s="118"/>
      <c r="F73" s="119"/>
      <c r="G73" s="119"/>
      <c r="H73" s="119"/>
      <c r="I73" s="119"/>
      <c r="J73" s="120"/>
      <c r="K73" s="5"/>
    </row>
    <row r="74" spans="1:14" x14ac:dyDescent="0.3">
      <c r="A74" s="5"/>
      <c r="B74" s="117"/>
      <c r="C74" s="107"/>
      <c r="D74" s="108"/>
      <c r="E74" s="118"/>
      <c r="F74" s="119"/>
      <c r="G74" s="119"/>
      <c r="H74" s="119"/>
      <c r="I74" s="119"/>
      <c r="J74" s="120"/>
      <c r="K74" s="5"/>
    </row>
    <row r="75" spans="1:14" x14ac:dyDescent="0.3">
      <c r="A75" s="60"/>
      <c r="B75" s="60"/>
      <c r="C75" s="70"/>
      <c r="D75" s="70"/>
      <c r="E75" s="70"/>
      <c r="F75" s="70"/>
      <c r="G75" s="70"/>
      <c r="H75" s="70"/>
      <c r="I75" s="70"/>
      <c r="J75" s="70"/>
      <c r="K75" s="60"/>
    </row>
    <row r="76" spans="1:14" x14ac:dyDescent="0.3">
      <c r="A76" s="60"/>
      <c r="B76" s="60"/>
      <c r="C76" s="70"/>
      <c r="D76" s="70"/>
      <c r="E76" s="70"/>
      <c r="F76" s="70"/>
      <c r="G76" s="70"/>
      <c r="H76" s="70"/>
      <c r="I76" s="70"/>
      <c r="J76" s="70"/>
      <c r="K76" s="60"/>
    </row>
    <row r="77" spans="1:14" x14ac:dyDescent="0.3">
      <c r="A77" s="60"/>
      <c r="B77" s="60"/>
      <c r="C77" s="70"/>
      <c r="D77" s="70"/>
      <c r="E77" s="70"/>
      <c r="F77" s="70"/>
      <c r="G77" s="70"/>
      <c r="H77" s="70"/>
      <c r="I77" s="70"/>
      <c r="J77" s="70"/>
      <c r="K77" s="60"/>
    </row>
    <row r="78" spans="1:14" x14ac:dyDescent="0.3">
      <c r="A78" s="60"/>
      <c r="B78" s="60"/>
      <c r="C78" s="70"/>
      <c r="D78" s="70"/>
      <c r="E78" s="70"/>
      <c r="F78" s="70"/>
      <c r="G78" s="70"/>
      <c r="H78" s="70"/>
      <c r="I78" s="70"/>
      <c r="J78" s="70"/>
      <c r="K78" s="60"/>
    </row>
    <row r="79" spans="1:14" x14ac:dyDescent="0.3">
      <c r="A79" s="60"/>
      <c r="B79" s="60"/>
      <c r="C79" s="70"/>
      <c r="D79" s="70"/>
      <c r="E79" s="70"/>
      <c r="F79" s="70"/>
      <c r="G79" s="70"/>
      <c r="H79" s="70"/>
      <c r="I79" s="70"/>
      <c r="J79" s="70"/>
      <c r="K79" s="60"/>
    </row>
    <row r="80" spans="1:14" x14ac:dyDescent="0.3">
      <c r="A80" s="60"/>
      <c r="B80" s="60"/>
      <c r="C80" s="70"/>
      <c r="D80" s="70"/>
      <c r="E80" s="70"/>
      <c r="F80" s="70"/>
      <c r="G80" s="70"/>
      <c r="H80" s="70"/>
      <c r="I80" s="70"/>
      <c r="J80" s="70"/>
      <c r="K80" s="60"/>
    </row>
    <row r="81" spans="1:11" x14ac:dyDescent="0.3">
      <c r="A81" s="60"/>
      <c r="B81" s="60"/>
      <c r="C81" s="70"/>
      <c r="D81" s="70"/>
      <c r="E81" s="70"/>
      <c r="F81" s="70"/>
      <c r="G81" s="70"/>
      <c r="H81" s="70"/>
      <c r="I81" s="70"/>
      <c r="J81" s="70"/>
      <c r="K81" s="60"/>
    </row>
    <row r="82" spans="1:11" x14ac:dyDescent="0.3">
      <c r="A82" s="60"/>
      <c r="B82" s="60"/>
      <c r="C82" s="70"/>
      <c r="D82" s="70"/>
      <c r="E82" s="70"/>
      <c r="F82" s="70"/>
      <c r="G82" s="70"/>
      <c r="H82" s="70"/>
      <c r="I82" s="70"/>
      <c r="J82" s="70"/>
      <c r="K82" s="60"/>
    </row>
    <row r="83" spans="1:11" x14ac:dyDescent="0.3">
      <c r="A83" s="60"/>
      <c r="B83" s="60"/>
      <c r="C83" s="70"/>
      <c r="D83" s="70"/>
      <c r="E83" s="70"/>
      <c r="F83" s="70"/>
      <c r="G83" s="70"/>
      <c r="H83" s="70"/>
      <c r="I83" s="70"/>
      <c r="J83" s="70"/>
      <c r="K83" s="60"/>
    </row>
    <row r="84" spans="1:11" x14ac:dyDescent="0.3">
      <c r="A84" s="60"/>
      <c r="B84" s="60"/>
      <c r="C84" s="70"/>
      <c r="D84" s="70"/>
      <c r="E84" s="70"/>
      <c r="F84" s="70"/>
      <c r="G84" s="70"/>
      <c r="H84" s="70"/>
      <c r="I84" s="70"/>
      <c r="J84" s="70"/>
      <c r="K84" s="60"/>
    </row>
    <row r="85" spans="1:11" x14ac:dyDescent="0.3">
      <c r="A85" s="60"/>
      <c r="B85" s="60"/>
      <c r="C85" s="70"/>
      <c r="D85" s="70"/>
      <c r="E85" s="70"/>
      <c r="F85" s="70"/>
      <c r="G85" s="70"/>
      <c r="H85" s="70"/>
      <c r="I85" s="70"/>
      <c r="J85" s="70"/>
      <c r="K85" s="60"/>
    </row>
    <row r="86" spans="1:11" x14ac:dyDescent="0.3">
      <c r="A86" s="60"/>
      <c r="B86" s="60"/>
      <c r="C86" s="70"/>
      <c r="D86" s="70"/>
      <c r="E86" s="70"/>
      <c r="F86" s="70"/>
      <c r="G86" s="70"/>
      <c r="H86" s="70"/>
      <c r="I86" s="70"/>
      <c r="J86" s="70"/>
      <c r="K86" s="60"/>
    </row>
    <row r="87" spans="1:11" x14ac:dyDescent="0.3">
      <c r="A87" s="60"/>
      <c r="B87" s="60"/>
      <c r="C87" s="70"/>
      <c r="D87" s="70"/>
      <c r="E87" s="70"/>
      <c r="F87" s="70"/>
      <c r="G87" s="70"/>
      <c r="H87" s="70"/>
      <c r="I87" s="70"/>
      <c r="J87" s="70"/>
      <c r="K87" s="60"/>
    </row>
    <row r="88" spans="1:11" x14ac:dyDescent="0.3">
      <c r="A88" s="60"/>
      <c r="B88" s="60"/>
      <c r="C88" s="70"/>
      <c r="D88" s="70"/>
      <c r="E88" s="70"/>
      <c r="F88" s="70"/>
      <c r="G88" s="70"/>
      <c r="H88" s="70"/>
      <c r="I88" s="70"/>
      <c r="J88" s="70"/>
      <c r="K88" s="60"/>
    </row>
    <row r="89" spans="1:11" x14ac:dyDescent="0.3">
      <c r="A89" s="60"/>
      <c r="B89" s="60"/>
      <c r="C89" s="70"/>
      <c r="D89" s="70"/>
      <c r="E89" s="70"/>
      <c r="F89" s="70"/>
      <c r="G89" s="70"/>
      <c r="H89" s="70"/>
      <c r="I89" s="70"/>
      <c r="J89" s="70"/>
      <c r="K89" s="60"/>
    </row>
    <row r="90" spans="1:11" x14ac:dyDescent="0.3">
      <c r="A90" s="60"/>
      <c r="B90" s="60"/>
      <c r="C90" s="70"/>
      <c r="D90" s="70"/>
      <c r="E90" s="70"/>
      <c r="F90" s="70"/>
      <c r="G90" s="70"/>
      <c r="H90" s="70"/>
      <c r="I90" s="70"/>
      <c r="J90" s="70"/>
      <c r="K90" s="60"/>
    </row>
    <row r="91" spans="1:11" x14ac:dyDescent="0.3">
      <c r="A91" s="60"/>
      <c r="B91" s="60"/>
      <c r="C91" s="70"/>
      <c r="D91" s="70"/>
      <c r="E91" s="70"/>
      <c r="F91" s="70"/>
      <c r="G91" s="70"/>
      <c r="H91" s="70"/>
      <c r="I91" s="70"/>
      <c r="J91" s="70"/>
      <c r="K91" s="60"/>
    </row>
    <row r="92" spans="1:11" x14ac:dyDescent="0.3">
      <c r="A92" s="60"/>
      <c r="B92" s="60"/>
      <c r="C92" s="70"/>
      <c r="D92" s="70"/>
      <c r="E92" s="70"/>
      <c r="F92" s="70"/>
      <c r="G92" s="70"/>
      <c r="H92" s="70"/>
      <c r="I92" s="70"/>
      <c r="J92" s="70"/>
      <c r="K92" s="60"/>
    </row>
    <row r="93" spans="1:11" x14ac:dyDescent="0.3">
      <c r="A93" s="60"/>
      <c r="B93" s="60"/>
      <c r="C93" s="70"/>
      <c r="D93" s="70"/>
      <c r="E93" s="70"/>
      <c r="F93" s="70"/>
      <c r="G93" s="70"/>
      <c r="H93" s="70"/>
      <c r="I93" s="70"/>
      <c r="J93" s="70"/>
      <c r="K93" s="60"/>
    </row>
    <row r="94" spans="1:11" x14ac:dyDescent="0.3">
      <c r="A94" s="60"/>
      <c r="B94" s="60"/>
      <c r="C94" s="70"/>
      <c r="D94" s="70"/>
      <c r="E94" s="70"/>
      <c r="F94" s="70"/>
      <c r="G94" s="70"/>
      <c r="H94" s="70"/>
      <c r="I94" s="70"/>
      <c r="J94" s="70"/>
      <c r="K94" s="60"/>
    </row>
    <row r="95" spans="1:11" x14ac:dyDescent="0.3">
      <c r="A95" s="60"/>
      <c r="B95" s="60"/>
      <c r="C95" s="70"/>
      <c r="D95" s="70"/>
      <c r="E95" s="70"/>
      <c r="F95" s="70"/>
      <c r="G95" s="70"/>
      <c r="H95" s="70"/>
      <c r="I95" s="70"/>
      <c r="J95" s="70"/>
      <c r="K95" s="60"/>
    </row>
    <row r="96" spans="1:11" x14ac:dyDescent="0.3">
      <c r="A96" s="60"/>
      <c r="B96" s="60"/>
      <c r="C96" s="70"/>
      <c r="D96" s="70"/>
      <c r="E96" s="70"/>
      <c r="F96" s="70"/>
      <c r="G96" s="70"/>
      <c r="H96" s="70"/>
      <c r="I96" s="70"/>
      <c r="J96" s="70"/>
      <c r="K96" s="60"/>
    </row>
    <row r="97" spans="3:10" x14ac:dyDescent="0.3">
      <c r="C97" s="55"/>
      <c r="D97" s="55"/>
      <c r="E97" s="55"/>
      <c r="F97" s="55"/>
      <c r="G97" s="55"/>
      <c r="H97" s="55"/>
      <c r="I97" s="55"/>
      <c r="J97" s="55"/>
    </row>
    <row r="98" spans="3:10" x14ac:dyDescent="0.3">
      <c r="C98" s="55"/>
      <c r="D98" s="55"/>
      <c r="E98" s="55"/>
      <c r="F98" s="55"/>
      <c r="G98" s="55"/>
      <c r="H98" s="55"/>
      <c r="I98" s="55"/>
      <c r="J98" s="55"/>
    </row>
    <row r="99" spans="3:10" x14ac:dyDescent="0.3">
      <c r="C99" s="55"/>
      <c r="D99" s="55"/>
      <c r="E99" s="55"/>
      <c r="F99" s="55"/>
      <c r="G99" s="55"/>
      <c r="H99" s="55"/>
      <c r="I99" s="55"/>
      <c r="J99" s="55"/>
    </row>
    <row r="100" spans="3:10" x14ac:dyDescent="0.3">
      <c r="C100" s="55"/>
      <c r="D100" s="55"/>
      <c r="E100" s="55"/>
      <c r="F100" s="55"/>
      <c r="G100" s="55"/>
      <c r="H100" s="55"/>
      <c r="I100" s="55"/>
      <c r="J100" s="55"/>
    </row>
    <row r="101" spans="3:10" x14ac:dyDescent="0.3">
      <c r="C101" s="55"/>
      <c r="D101" s="55"/>
      <c r="E101" s="55"/>
      <c r="F101" s="55"/>
      <c r="G101" s="55"/>
      <c r="H101" s="55"/>
      <c r="I101" s="55"/>
      <c r="J101" s="55"/>
    </row>
    <row r="102" spans="3:10" x14ac:dyDescent="0.3">
      <c r="C102" s="55"/>
      <c r="D102" s="55"/>
      <c r="E102" s="55"/>
      <c r="F102" s="55"/>
      <c r="G102" s="55"/>
      <c r="H102" s="55"/>
      <c r="I102" s="55"/>
      <c r="J102" s="55"/>
    </row>
    <row r="103" spans="3:10" x14ac:dyDescent="0.3">
      <c r="C103" s="55"/>
      <c r="D103" s="55"/>
      <c r="E103" s="55"/>
      <c r="F103" s="55"/>
      <c r="G103" s="55"/>
      <c r="H103" s="55"/>
      <c r="I103" s="55"/>
      <c r="J103" s="55"/>
    </row>
    <row r="104" spans="3:10" x14ac:dyDescent="0.3">
      <c r="C104" s="55"/>
      <c r="D104" s="55"/>
      <c r="E104" s="55"/>
      <c r="F104" s="55"/>
      <c r="G104" s="55"/>
      <c r="H104" s="55"/>
      <c r="I104" s="55"/>
      <c r="J104" s="55"/>
    </row>
    <row r="105" spans="3:10" x14ac:dyDescent="0.3">
      <c r="C105" s="55"/>
      <c r="D105" s="55"/>
      <c r="E105" s="55"/>
      <c r="F105" s="55"/>
      <c r="G105" s="55"/>
      <c r="H105" s="55"/>
      <c r="I105" s="55"/>
      <c r="J105" s="55"/>
    </row>
    <row r="106" spans="3:10" x14ac:dyDescent="0.3">
      <c r="C106" s="55"/>
      <c r="D106" s="55"/>
      <c r="E106" s="55"/>
      <c r="F106" s="55"/>
      <c r="G106" s="55"/>
      <c r="H106" s="55"/>
      <c r="I106" s="55"/>
      <c r="J106" s="55"/>
    </row>
    <row r="107" spans="3:10" x14ac:dyDescent="0.3">
      <c r="C107" s="55"/>
      <c r="D107" s="55"/>
      <c r="E107" s="55"/>
      <c r="F107" s="55"/>
      <c r="G107" s="55"/>
      <c r="H107" s="55"/>
      <c r="I107" s="55"/>
      <c r="J107" s="55"/>
    </row>
    <row r="108" spans="3:10" x14ac:dyDescent="0.3">
      <c r="C108" s="55"/>
      <c r="D108" s="55"/>
      <c r="E108" s="55"/>
      <c r="F108" s="55"/>
      <c r="G108" s="55"/>
      <c r="H108" s="55"/>
      <c r="I108" s="55"/>
      <c r="J108" s="55"/>
    </row>
  </sheetData>
  <mergeCells count="4">
    <mergeCell ref="D4:H4"/>
    <mergeCell ref="C7:E7"/>
    <mergeCell ref="F7:G7"/>
    <mergeCell ref="H7:J7"/>
  </mergeCells>
  <pageMargins left="0.39370078740157483" right="0.70866141732283472" top="0.74803149606299213" bottom="0.74803149606299213" header="0.31496062992125984" footer="0.31496062992125984"/>
  <pageSetup scale="65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E1" workbookViewId="0">
      <selection activeCell="R1" sqref="R1"/>
    </sheetView>
  </sheetViews>
  <sheetFormatPr baseColWidth="10" defaultRowHeight="14.4" x14ac:dyDescent="0.3"/>
  <cols>
    <col min="2" max="2" width="25.44140625" customWidth="1"/>
    <col min="3" max="14" width="10.6640625" customWidth="1"/>
  </cols>
  <sheetData>
    <row r="1" spans="1:14" s="34" customFormat="1" x14ac:dyDescent="0.3">
      <c r="A1" s="100" t="s">
        <v>0</v>
      </c>
      <c r="B1" s="101"/>
      <c r="C1" s="129"/>
      <c r="D1" s="129"/>
      <c r="E1" s="129"/>
      <c r="F1" s="129"/>
      <c r="G1" s="129"/>
      <c r="H1" s="130" t="s">
        <v>1</v>
      </c>
      <c r="I1" s="129"/>
      <c r="J1" s="129"/>
      <c r="K1" s="131"/>
      <c r="L1" s="60"/>
      <c r="M1" s="60"/>
      <c r="N1" s="60"/>
    </row>
    <row r="2" spans="1:14" s="34" customFormat="1" x14ac:dyDescent="0.3">
      <c r="A2" s="102" t="s">
        <v>2</v>
      </c>
      <c r="B2" s="38"/>
      <c r="C2" s="5"/>
      <c r="D2" s="5"/>
      <c r="E2" s="5"/>
      <c r="F2" s="5"/>
      <c r="G2" s="5"/>
      <c r="H2" s="6" t="s">
        <v>975</v>
      </c>
      <c r="I2" s="5"/>
      <c r="J2" s="5"/>
      <c r="K2" s="132"/>
      <c r="L2" s="60"/>
      <c r="M2" s="60"/>
      <c r="N2" s="60"/>
    </row>
    <row r="3" spans="1:14" s="34" customFormat="1" x14ac:dyDescent="0.3">
      <c r="A3" s="103" t="s">
        <v>3</v>
      </c>
      <c r="B3" s="42"/>
      <c r="C3" s="5"/>
      <c r="D3" s="5"/>
      <c r="E3" s="5"/>
      <c r="F3" s="5"/>
      <c r="G3" s="5"/>
      <c r="H3" s="6" t="s">
        <v>4</v>
      </c>
      <c r="I3" s="5"/>
      <c r="J3" s="5"/>
      <c r="K3" s="132"/>
      <c r="L3" s="60"/>
      <c r="M3" s="60"/>
      <c r="N3" s="60"/>
    </row>
    <row r="4" spans="1:14" s="34" customFormat="1" x14ac:dyDescent="0.3">
      <c r="A4" s="114"/>
      <c r="B4" s="5"/>
      <c r="C4" s="5"/>
      <c r="D4" s="219" t="s">
        <v>5</v>
      </c>
      <c r="E4" s="219"/>
      <c r="F4" s="219"/>
      <c r="G4" s="219"/>
      <c r="H4" s="219"/>
      <c r="I4" s="5"/>
      <c r="J4" s="5"/>
      <c r="K4" s="132"/>
      <c r="L4" s="60"/>
      <c r="M4" s="60"/>
      <c r="N4" s="60"/>
    </row>
    <row r="5" spans="1:14" s="34" customFormat="1" x14ac:dyDescent="0.3">
      <c r="A5" s="114"/>
      <c r="B5" s="7"/>
      <c r="C5" s="5"/>
      <c r="D5" s="6" t="s">
        <v>685</v>
      </c>
      <c r="E5" s="7"/>
      <c r="F5" s="7"/>
      <c r="G5" s="5"/>
      <c r="H5" s="5"/>
      <c r="I5" s="5"/>
      <c r="J5" s="5"/>
      <c r="K5" s="132"/>
      <c r="L5" s="60"/>
      <c r="M5" s="60"/>
      <c r="N5" s="60"/>
    </row>
    <row r="6" spans="1:14" s="34" customFormat="1" x14ac:dyDescent="0.3">
      <c r="A6" s="114"/>
      <c r="B6" s="7"/>
      <c r="C6" s="5"/>
      <c r="D6" s="5" t="s">
        <v>6</v>
      </c>
      <c r="E6" s="7"/>
      <c r="F6" s="7"/>
      <c r="G6" s="5"/>
      <c r="H6" s="5"/>
      <c r="I6" s="5"/>
      <c r="J6" s="5"/>
      <c r="K6" s="132"/>
      <c r="L6" s="60"/>
      <c r="M6" s="60"/>
      <c r="N6" s="60"/>
    </row>
    <row r="7" spans="1:14" s="34" customFormat="1" x14ac:dyDescent="0.3">
      <c r="A7" s="9" t="s">
        <v>7</v>
      </c>
      <c r="B7" s="8" t="s">
        <v>8</v>
      </c>
      <c r="C7" s="220" t="s">
        <v>9</v>
      </c>
      <c r="D7" s="220"/>
      <c r="E7" s="221"/>
      <c r="F7" s="222" t="s">
        <v>10</v>
      </c>
      <c r="G7" s="222"/>
      <c r="H7" s="223" t="s">
        <v>11</v>
      </c>
      <c r="I7" s="224"/>
      <c r="J7" s="224"/>
      <c r="K7" s="9" t="s">
        <v>12</v>
      </c>
      <c r="L7" s="60"/>
      <c r="M7" s="60"/>
      <c r="N7" s="60"/>
    </row>
    <row r="8" spans="1:14" s="34" customFormat="1" x14ac:dyDescent="0.3">
      <c r="A8" s="11"/>
      <c r="B8" s="10"/>
      <c r="C8" s="10" t="s">
        <v>13</v>
      </c>
      <c r="D8" s="11" t="s">
        <v>14</v>
      </c>
      <c r="E8" s="12" t="s">
        <v>15</v>
      </c>
      <c r="F8" s="13" t="s">
        <v>16</v>
      </c>
      <c r="G8" s="13" t="s">
        <v>17</v>
      </c>
      <c r="H8" s="11" t="s">
        <v>18</v>
      </c>
      <c r="I8" s="14" t="s">
        <v>19</v>
      </c>
      <c r="J8" s="15" t="s">
        <v>20</v>
      </c>
      <c r="K8" s="16"/>
      <c r="L8" s="60"/>
      <c r="M8" s="60"/>
      <c r="N8" s="60"/>
    </row>
    <row r="9" spans="1:14" s="34" customFormat="1" ht="14.25" customHeight="1" x14ac:dyDescent="0.3">
      <c r="A9" s="115">
        <v>42006</v>
      </c>
      <c r="B9" s="63" t="s">
        <v>247</v>
      </c>
      <c r="C9" s="62">
        <v>6046.2</v>
      </c>
      <c r="D9" s="17"/>
      <c r="E9" s="74">
        <f>+C9</f>
        <v>6046.2</v>
      </c>
      <c r="F9" s="17">
        <f>+H9/C9</f>
        <v>19.821282789189905</v>
      </c>
      <c r="G9" s="17"/>
      <c r="H9" s="2">
        <v>119843.44</v>
      </c>
      <c r="I9" s="67"/>
      <c r="J9" s="67">
        <f>+H9</f>
        <v>119843.44</v>
      </c>
      <c r="K9" s="63"/>
      <c r="L9" s="60"/>
      <c r="M9" s="60"/>
      <c r="N9" s="60"/>
    </row>
    <row r="10" spans="1:14" s="34" customFormat="1" x14ac:dyDescent="0.3">
      <c r="A10" s="115">
        <v>42009</v>
      </c>
      <c r="B10" s="51" t="s">
        <v>43</v>
      </c>
      <c r="C10" s="67"/>
      <c r="D10" s="67">
        <f>14*3</f>
        <v>42</v>
      </c>
      <c r="E10" s="85">
        <f>+E9-D10</f>
        <v>6004.2</v>
      </c>
      <c r="F10" s="50"/>
      <c r="G10" s="17">
        <f>+J9/E9</f>
        <v>19.821282789189905</v>
      </c>
      <c r="H10" s="50"/>
      <c r="I10" s="17">
        <f>+D10*G10</f>
        <v>832.49387714597594</v>
      </c>
      <c r="J10" s="67">
        <f>+J9-I10</f>
        <v>119010.94612285403</v>
      </c>
      <c r="K10" s="47"/>
      <c r="L10" s="60"/>
      <c r="M10" s="60"/>
      <c r="N10" s="60"/>
    </row>
    <row r="11" spans="1:14" s="34" customFormat="1" x14ac:dyDescent="0.3">
      <c r="A11" s="115">
        <v>42014</v>
      </c>
      <c r="B11" s="51" t="s">
        <v>67</v>
      </c>
      <c r="C11" s="17"/>
      <c r="D11" s="17">
        <f>15*3</f>
        <v>45</v>
      </c>
      <c r="E11" s="85">
        <f t="shared" ref="E11:E20" si="0">+E10-D11</f>
        <v>5959.2</v>
      </c>
      <c r="F11" s="50"/>
      <c r="G11" s="17">
        <f t="shared" ref="G11:G20" si="1">+J10/E10</f>
        <v>19.821282789189905</v>
      </c>
      <c r="H11" s="50"/>
      <c r="I11" s="17">
        <f t="shared" ref="I11:I20" si="2">+D11*G11</f>
        <v>891.95772551354571</v>
      </c>
      <c r="J11" s="17">
        <f t="shared" ref="J11:J20" si="3">+J10-I11</f>
        <v>118118.98839734048</v>
      </c>
      <c r="K11" s="81"/>
      <c r="L11" s="90">
        <f>SUM(I10:I11)</f>
        <v>1724.4516026595215</v>
      </c>
      <c r="M11" s="89"/>
      <c r="N11" s="162">
        <v>42016</v>
      </c>
    </row>
    <row r="12" spans="1:14" s="34" customFormat="1" x14ac:dyDescent="0.3">
      <c r="A12" s="115">
        <v>42019</v>
      </c>
      <c r="B12" s="51" t="s">
        <v>76</v>
      </c>
      <c r="C12" s="17"/>
      <c r="D12" s="62">
        <f>6*3</f>
        <v>18</v>
      </c>
      <c r="E12" s="85">
        <f t="shared" si="0"/>
        <v>5941.2</v>
      </c>
      <c r="F12" s="50"/>
      <c r="G12" s="17">
        <f t="shared" si="1"/>
        <v>19.821282789189905</v>
      </c>
      <c r="H12" s="50"/>
      <c r="I12" s="17">
        <f t="shared" si="2"/>
        <v>356.78309020541826</v>
      </c>
      <c r="J12" s="17">
        <f t="shared" si="3"/>
        <v>117762.20530713507</v>
      </c>
      <c r="K12" s="47"/>
      <c r="L12" s="60"/>
      <c r="M12" s="60"/>
      <c r="N12" s="60"/>
    </row>
    <row r="13" spans="1:14" s="34" customFormat="1" x14ac:dyDescent="0.3">
      <c r="A13" s="115">
        <v>42033</v>
      </c>
      <c r="B13" s="51" t="s">
        <v>84</v>
      </c>
      <c r="C13" s="17"/>
      <c r="D13" s="17">
        <f>14*3</f>
        <v>42</v>
      </c>
      <c r="E13" s="85">
        <f t="shared" si="0"/>
        <v>5899.2</v>
      </c>
      <c r="F13" s="50"/>
      <c r="G13" s="17">
        <f t="shared" si="1"/>
        <v>19.821282789189905</v>
      </c>
      <c r="H13" s="50"/>
      <c r="I13" s="17">
        <f t="shared" si="2"/>
        <v>832.49387714597594</v>
      </c>
      <c r="J13" s="17">
        <f t="shared" si="3"/>
        <v>116929.7114299891</v>
      </c>
      <c r="K13" s="81"/>
      <c r="L13" s="90">
        <f>SUM(I12:I13)</f>
        <v>1189.2769673513942</v>
      </c>
      <c r="M13" s="90">
        <f>SUM(L11:L13)</f>
        <v>2913.728570010916</v>
      </c>
      <c r="N13" s="162">
        <v>42035</v>
      </c>
    </row>
    <row r="14" spans="1:14" s="34" customFormat="1" x14ac:dyDescent="0.3">
      <c r="A14" s="115">
        <v>42072</v>
      </c>
      <c r="B14" s="51" t="s">
        <v>147</v>
      </c>
      <c r="C14" s="17"/>
      <c r="D14" s="62">
        <f>3*3</f>
        <v>9</v>
      </c>
      <c r="E14" s="85">
        <f t="shared" si="0"/>
        <v>5890.2</v>
      </c>
      <c r="F14" s="17"/>
      <c r="G14" s="17">
        <f t="shared" si="1"/>
        <v>19.821282789189908</v>
      </c>
      <c r="H14" s="17"/>
      <c r="I14" s="17">
        <f t="shared" si="2"/>
        <v>178.39154510270919</v>
      </c>
      <c r="J14" s="17">
        <f t="shared" si="3"/>
        <v>116751.31988488638</v>
      </c>
      <c r="K14" s="51"/>
      <c r="L14" s="60"/>
      <c r="M14" s="60"/>
      <c r="N14" s="60"/>
    </row>
    <row r="15" spans="1:14" s="34" customFormat="1" x14ac:dyDescent="0.3">
      <c r="A15" s="115">
        <v>42073</v>
      </c>
      <c r="B15" s="51" t="s">
        <v>149</v>
      </c>
      <c r="C15" s="17"/>
      <c r="D15" s="62">
        <f>20*3</f>
        <v>60</v>
      </c>
      <c r="E15" s="85">
        <f t="shared" si="0"/>
        <v>5830.2</v>
      </c>
      <c r="F15" s="17"/>
      <c r="G15" s="17">
        <f t="shared" si="1"/>
        <v>19.821282789189908</v>
      </c>
      <c r="H15" s="17"/>
      <c r="I15" s="17">
        <f t="shared" si="2"/>
        <v>1189.2769673513944</v>
      </c>
      <c r="J15" s="17">
        <f t="shared" si="3"/>
        <v>115562.04291753499</v>
      </c>
      <c r="K15" s="81"/>
      <c r="L15" s="90">
        <f>SUM(I14:I15)</f>
        <v>1367.6685124541036</v>
      </c>
      <c r="M15" s="89"/>
      <c r="N15" s="162">
        <v>42076</v>
      </c>
    </row>
    <row r="16" spans="1:14" s="34" customFormat="1" x14ac:dyDescent="0.3">
      <c r="A16" s="115">
        <v>42080</v>
      </c>
      <c r="B16" s="51" t="s">
        <v>156</v>
      </c>
      <c r="C16" s="17"/>
      <c r="D16" s="62">
        <f>3*3</f>
        <v>9</v>
      </c>
      <c r="E16" s="85">
        <f t="shared" si="0"/>
        <v>5821.2</v>
      </c>
      <c r="F16" s="17"/>
      <c r="G16" s="17">
        <f t="shared" si="1"/>
        <v>19.821282789189905</v>
      </c>
      <c r="H16" s="17"/>
      <c r="I16" s="17">
        <f t="shared" si="2"/>
        <v>178.39154510270913</v>
      </c>
      <c r="J16" s="17">
        <f t="shared" si="3"/>
        <v>115383.65137243227</v>
      </c>
      <c r="K16" s="51"/>
      <c r="L16" s="60"/>
      <c r="M16" s="60"/>
      <c r="N16" s="60"/>
    </row>
    <row r="17" spans="1:14" s="34" customFormat="1" x14ac:dyDescent="0.3">
      <c r="A17" s="115">
        <v>42081</v>
      </c>
      <c r="B17" s="51" t="s">
        <v>157</v>
      </c>
      <c r="C17" s="17"/>
      <c r="D17" s="62">
        <f>3</f>
        <v>3</v>
      </c>
      <c r="E17" s="85">
        <f t="shared" si="0"/>
        <v>5818.2</v>
      </c>
      <c r="F17" s="17"/>
      <c r="G17" s="17">
        <f t="shared" si="1"/>
        <v>19.821282789189905</v>
      </c>
      <c r="H17" s="17"/>
      <c r="I17" s="17">
        <f t="shared" si="2"/>
        <v>59.46384836756971</v>
      </c>
      <c r="J17" s="17">
        <f t="shared" si="3"/>
        <v>115324.18752406471</v>
      </c>
      <c r="K17" s="81"/>
      <c r="L17" s="90">
        <f>SUM(I16:I17)</f>
        <v>237.85539347027884</v>
      </c>
      <c r="M17" s="90">
        <f>SUM(L15:L17)</f>
        <v>1605.5239059243825</v>
      </c>
      <c r="N17" s="162">
        <v>42094</v>
      </c>
    </row>
    <row r="18" spans="1:14" s="34" customFormat="1" x14ac:dyDescent="0.3">
      <c r="A18" s="115">
        <v>42100</v>
      </c>
      <c r="B18" s="51" t="s">
        <v>191</v>
      </c>
      <c r="C18" s="17"/>
      <c r="D18" s="62">
        <f>4*3</f>
        <v>12</v>
      </c>
      <c r="E18" s="85">
        <f t="shared" si="0"/>
        <v>5806.2</v>
      </c>
      <c r="F18" s="17"/>
      <c r="G18" s="17">
        <f t="shared" si="1"/>
        <v>19.821282789189905</v>
      </c>
      <c r="H18" s="17"/>
      <c r="I18" s="17">
        <f t="shared" si="2"/>
        <v>237.85539347027884</v>
      </c>
      <c r="J18" s="17">
        <f t="shared" si="3"/>
        <v>115086.33213059443</v>
      </c>
      <c r="K18" s="81"/>
      <c r="L18" s="90">
        <f>SUM(I18)</f>
        <v>237.85539347027884</v>
      </c>
      <c r="M18" s="89"/>
      <c r="N18" s="162">
        <v>42103</v>
      </c>
    </row>
    <row r="19" spans="1:14" s="34" customFormat="1" x14ac:dyDescent="0.3">
      <c r="A19" s="115">
        <v>42109</v>
      </c>
      <c r="B19" s="51" t="s">
        <v>204</v>
      </c>
      <c r="C19" s="17"/>
      <c r="D19" s="62">
        <f>2*3</f>
        <v>6</v>
      </c>
      <c r="E19" s="85">
        <f t="shared" si="0"/>
        <v>5800.2</v>
      </c>
      <c r="F19" s="17"/>
      <c r="G19" s="17">
        <f t="shared" si="1"/>
        <v>19.821282789189905</v>
      </c>
      <c r="H19" s="17"/>
      <c r="I19" s="17">
        <f t="shared" si="2"/>
        <v>118.92769673513942</v>
      </c>
      <c r="J19" s="17">
        <f t="shared" si="3"/>
        <v>114967.40443385929</v>
      </c>
      <c r="K19" s="51"/>
      <c r="L19" s="60"/>
      <c r="M19" s="60"/>
      <c r="N19" s="60"/>
    </row>
    <row r="20" spans="1:14" s="34" customFormat="1" x14ac:dyDescent="0.3">
      <c r="A20" s="115">
        <v>42124</v>
      </c>
      <c r="B20" s="51" t="s">
        <v>235</v>
      </c>
      <c r="C20" s="17"/>
      <c r="D20" s="62">
        <f>7*3</f>
        <v>21</v>
      </c>
      <c r="E20" s="85">
        <f t="shared" si="0"/>
        <v>5779.2</v>
      </c>
      <c r="F20" s="17"/>
      <c r="G20" s="17">
        <f t="shared" si="1"/>
        <v>19.821282789189908</v>
      </c>
      <c r="H20" s="17"/>
      <c r="I20" s="17">
        <f t="shared" si="2"/>
        <v>416.24693857298809</v>
      </c>
      <c r="J20" s="17">
        <f t="shared" si="3"/>
        <v>114551.1574952863</v>
      </c>
      <c r="K20" s="81"/>
      <c r="L20" s="90">
        <f>SUM(I19:I20)</f>
        <v>535.17463530812756</v>
      </c>
      <c r="M20" s="90">
        <f>SUM(L18:L20)</f>
        <v>773.0300287784064</v>
      </c>
      <c r="N20" s="162">
        <v>42124</v>
      </c>
    </row>
    <row r="21" spans="1:14" s="34" customFormat="1" x14ac:dyDescent="0.3">
      <c r="A21" s="115">
        <v>42128</v>
      </c>
      <c r="B21" s="51" t="s">
        <v>244</v>
      </c>
      <c r="C21" s="17"/>
      <c r="D21" s="62">
        <f>5*3</f>
        <v>15</v>
      </c>
      <c r="E21" s="85">
        <f t="shared" ref="E21:E48" si="4">+E20-D21</f>
        <v>5764.2</v>
      </c>
      <c r="F21" s="17"/>
      <c r="G21" s="17">
        <f t="shared" ref="G21:G48" si="5">+J20/E20</f>
        <v>19.821282789189905</v>
      </c>
      <c r="H21" s="17"/>
      <c r="I21" s="17">
        <f t="shared" ref="I21:I48" si="6">+D21*G21</f>
        <v>297.31924183784855</v>
      </c>
      <c r="J21" s="17">
        <f t="shared" ref="J21:J48" si="7">+J20-I21</f>
        <v>114253.83825344846</v>
      </c>
      <c r="K21" s="51"/>
      <c r="L21" s="60"/>
      <c r="M21" s="60"/>
      <c r="N21" s="60"/>
    </row>
    <row r="22" spans="1:14" s="34" customFormat="1" x14ac:dyDescent="0.3">
      <c r="A22" s="115">
        <v>42142</v>
      </c>
      <c r="B22" s="51" t="s">
        <v>261</v>
      </c>
      <c r="C22" s="17"/>
      <c r="D22" s="62">
        <f>6*3</f>
        <v>18</v>
      </c>
      <c r="E22" s="85">
        <f t="shared" si="4"/>
        <v>5746.2</v>
      </c>
      <c r="F22" s="17"/>
      <c r="G22" s="17">
        <f t="shared" si="5"/>
        <v>19.821282789189908</v>
      </c>
      <c r="H22" s="17"/>
      <c r="I22" s="17">
        <f t="shared" si="6"/>
        <v>356.78309020541838</v>
      </c>
      <c r="J22" s="17">
        <f t="shared" si="7"/>
        <v>113897.05516324304</v>
      </c>
      <c r="K22" s="81"/>
      <c r="L22" s="90">
        <f>SUM(I21:I22)</f>
        <v>654.10233204326687</v>
      </c>
      <c r="M22" s="90">
        <f>SUM(L22)</f>
        <v>654.10233204326687</v>
      </c>
      <c r="N22" s="162">
        <v>42142</v>
      </c>
    </row>
    <row r="23" spans="1:14" s="34" customFormat="1" x14ac:dyDescent="0.3">
      <c r="A23" s="115">
        <v>42161</v>
      </c>
      <c r="B23" s="51" t="s">
        <v>277</v>
      </c>
      <c r="C23" s="17"/>
      <c r="D23" s="62">
        <f>4*3</f>
        <v>12</v>
      </c>
      <c r="E23" s="85">
        <f t="shared" si="4"/>
        <v>5734.2</v>
      </c>
      <c r="F23" s="17"/>
      <c r="G23" s="17">
        <f t="shared" si="5"/>
        <v>19.821282789189908</v>
      </c>
      <c r="H23" s="17"/>
      <c r="I23" s="17">
        <f t="shared" si="6"/>
        <v>237.8553934702789</v>
      </c>
      <c r="J23" s="17">
        <f t="shared" si="7"/>
        <v>113659.19976977276</v>
      </c>
      <c r="K23" s="51"/>
      <c r="L23" s="60"/>
      <c r="M23" s="60"/>
      <c r="N23" s="60"/>
    </row>
    <row r="24" spans="1:14" s="34" customFormat="1" x14ac:dyDescent="0.3">
      <c r="A24" s="115">
        <v>42161</v>
      </c>
      <c r="B24" s="51" t="s">
        <v>303</v>
      </c>
      <c r="C24" s="17"/>
      <c r="D24" s="62">
        <f>21*3</f>
        <v>63</v>
      </c>
      <c r="E24" s="85">
        <f t="shared" si="4"/>
        <v>5671.2</v>
      </c>
      <c r="F24" s="17"/>
      <c r="G24" s="17">
        <f t="shared" si="5"/>
        <v>19.821282789189908</v>
      </c>
      <c r="H24" s="17"/>
      <c r="I24" s="17">
        <f t="shared" si="6"/>
        <v>1248.7408157189643</v>
      </c>
      <c r="J24" s="17">
        <f t="shared" si="7"/>
        <v>112410.4589540538</v>
      </c>
      <c r="K24" s="51"/>
      <c r="L24" s="60"/>
      <c r="M24" s="60"/>
      <c r="N24" s="60"/>
    </row>
    <row r="25" spans="1:14" s="34" customFormat="1" x14ac:dyDescent="0.3">
      <c r="A25" s="115">
        <v>42173</v>
      </c>
      <c r="B25" s="51" t="s">
        <v>308</v>
      </c>
      <c r="C25" s="17"/>
      <c r="D25" s="62">
        <f>2*3</f>
        <v>6</v>
      </c>
      <c r="E25" s="85">
        <f t="shared" si="4"/>
        <v>5665.2</v>
      </c>
      <c r="F25" s="17"/>
      <c r="G25" s="17">
        <f t="shared" si="5"/>
        <v>19.821282789189908</v>
      </c>
      <c r="H25" s="17"/>
      <c r="I25" s="17">
        <f t="shared" si="6"/>
        <v>118.92769673513945</v>
      </c>
      <c r="J25" s="17">
        <f t="shared" si="7"/>
        <v>112291.53125731867</v>
      </c>
      <c r="K25" s="81"/>
      <c r="L25" s="90">
        <f>SUM(I23:I25)</f>
        <v>1605.5239059243827</v>
      </c>
      <c r="M25" s="90">
        <f>SUM(L25)</f>
        <v>1605.5239059243827</v>
      </c>
      <c r="N25" s="162">
        <v>42173</v>
      </c>
    </row>
    <row r="26" spans="1:14" s="34" customFormat="1" x14ac:dyDescent="0.3">
      <c r="A26" s="115">
        <v>42187</v>
      </c>
      <c r="B26" s="51" t="s">
        <v>342</v>
      </c>
      <c r="C26" s="17"/>
      <c r="D26" s="62">
        <f>4*3</f>
        <v>12</v>
      </c>
      <c r="E26" s="85">
        <f t="shared" si="4"/>
        <v>5653.2</v>
      </c>
      <c r="F26" s="17"/>
      <c r="G26" s="17">
        <f t="shared" si="5"/>
        <v>19.821282789189908</v>
      </c>
      <c r="H26" s="17"/>
      <c r="I26" s="17">
        <f t="shared" si="6"/>
        <v>237.8553934702789</v>
      </c>
      <c r="J26" s="17">
        <f t="shared" si="7"/>
        <v>112053.67586384839</v>
      </c>
      <c r="K26" s="51"/>
      <c r="L26" s="60"/>
      <c r="M26" s="60"/>
      <c r="N26" s="60"/>
    </row>
    <row r="27" spans="1:14" s="34" customFormat="1" x14ac:dyDescent="0.3">
      <c r="A27" s="115">
        <v>42192</v>
      </c>
      <c r="B27" s="51" t="s">
        <v>347</v>
      </c>
      <c r="C27" s="17"/>
      <c r="D27" s="62">
        <f>10*3</f>
        <v>30</v>
      </c>
      <c r="E27" s="85">
        <f t="shared" si="4"/>
        <v>5623.2</v>
      </c>
      <c r="F27" s="17"/>
      <c r="G27" s="17">
        <f t="shared" si="5"/>
        <v>19.821282789189908</v>
      </c>
      <c r="H27" s="17"/>
      <c r="I27" s="17">
        <f t="shared" si="6"/>
        <v>594.63848367569722</v>
      </c>
      <c r="J27" s="17">
        <f t="shared" si="7"/>
        <v>111459.0373801727</v>
      </c>
      <c r="K27" s="51"/>
      <c r="L27" s="60"/>
      <c r="M27" s="60"/>
      <c r="N27" s="60"/>
    </row>
    <row r="28" spans="1:14" s="34" customFormat="1" x14ac:dyDescent="0.3">
      <c r="A28" s="115">
        <v>42193</v>
      </c>
      <c r="B28" s="51" t="s">
        <v>349</v>
      </c>
      <c r="C28" s="17"/>
      <c r="D28" s="62">
        <f>12*3</f>
        <v>36</v>
      </c>
      <c r="E28" s="85">
        <f t="shared" si="4"/>
        <v>5587.2</v>
      </c>
      <c r="F28" s="17"/>
      <c r="G28" s="17">
        <f t="shared" si="5"/>
        <v>19.821282789189908</v>
      </c>
      <c r="H28" s="17"/>
      <c r="I28" s="17">
        <f t="shared" si="6"/>
        <v>713.56618041083675</v>
      </c>
      <c r="J28" s="17">
        <f t="shared" si="7"/>
        <v>110745.47119976186</v>
      </c>
      <c r="K28" s="51"/>
      <c r="L28" s="60"/>
      <c r="M28" s="60"/>
      <c r="N28" s="60"/>
    </row>
    <row r="29" spans="1:14" s="34" customFormat="1" x14ac:dyDescent="0.3">
      <c r="A29" s="115">
        <v>42194</v>
      </c>
      <c r="B29" s="51" t="s">
        <v>350</v>
      </c>
      <c r="C29" s="17"/>
      <c r="D29" s="62">
        <f>2*3</f>
        <v>6</v>
      </c>
      <c r="E29" s="85">
        <f t="shared" si="4"/>
        <v>5581.2</v>
      </c>
      <c r="F29" s="17"/>
      <c r="G29" s="17">
        <f t="shared" si="5"/>
        <v>19.821282789189908</v>
      </c>
      <c r="H29" s="17"/>
      <c r="I29" s="17">
        <f t="shared" si="6"/>
        <v>118.92769673513945</v>
      </c>
      <c r="J29" s="17">
        <f t="shared" si="7"/>
        <v>110626.54350302673</v>
      </c>
      <c r="K29" s="51"/>
      <c r="L29" s="60"/>
      <c r="M29" s="60"/>
      <c r="N29" s="60"/>
    </row>
    <row r="30" spans="1:14" s="34" customFormat="1" x14ac:dyDescent="0.3">
      <c r="A30" s="115">
        <v>42194</v>
      </c>
      <c r="B30" s="51" t="s">
        <v>352</v>
      </c>
      <c r="C30" s="17"/>
      <c r="D30" s="62">
        <f>20*3</f>
        <v>60</v>
      </c>
      <c r="E30" s="85">
        <f t="shared" si="4"/>
        <v>5521.2</v>
      </c>
      <c r="F30" s="17"/>
      <c r="G30" s="17">
        <f t="shared" si="5"/>
        <v>19.821282789189912</v>
      </c>
      <c r="H30" s="17"/>
      <c r="I30" s="17">
        <f t="shared" si="6"/>
        <v>1189.2769673513947</v>
      </c>
      <c r="J30" s="17">
        <f t="shared" si="7"/>
        <v>109437.26653567533</v>
      </c>
      <c r="K30" s="51"/>
      <c r="L30" s="60"/>
      <c r="M30" s="60"/>
      <c r="N30" s="60"/>
    </row>
    <row r="31" spans="1:14" s="34" customFormat="1" x14ac:dyDescent="0.3">
      <c r="A31" s="115">
        <v>42194</v>
      </c>
      <c r="B31" s="51" t="s">
        <v>356</v>
      </c>
      <c r="C31" s="17"/>
      <c r="D31" s="62">
        <f>5*3</f>
        <v>15</v>
      </c>
      <c r="E31" s="85">
        <f t="shared" si="4"/>
        <v>5506.2</v>
      </c>
      <c r="F31" s="17"/>
      <c r="G31" s="17">
        <f t="shared" si="5"/>
        <v>19.821282789189912</v>
      </c>
      <c r="H31" s="17"/>
      <c r="I31" s="17">
        <f t="shared" si="6"/>
        <v>297.31924183784866</v>
      </c>
      <c r="J31" s="17">
        <f t="shared" si="7"/>
        <v>109139.94729383748</v>
      </c>
      <c r="K31" s="51"/>
      <c r="L31" s="60"/>
      <c r="M31" s="60"/>
      <c r="N31" s="60"/>
    </row>
    <row r="32" spans="1:14" s="34" customFormat="1" x14ac:dyDescent="0.3">
      <c r="A32" s="115">
        <v>42199</v>
      </c>
      <c r="B32" s="51" t="s">
        <v>380</v>
      </c>
      <c r="C32" s="17"/>
      <c r="D32" s="62">
        <f>10*3</f>
        <v>30</v>
      </c>
      <c r="E32" s="85">
        <f t="shared" si="4"/>
        <v>5476.2</v>
      </c>
      <c r="F32" s="17"/>
      <c r="G32" s="17">
        <f t="shared" si="5"/>
        <v>19.821282789189912</v>
      </c>
      <c r="H32" s="17"/>
      <c r="I32" s="17">
        <f t="shared" si="6"/>
        <v>594.63848367569733</v>
      </c>
      <c r="J32" s="17">
        <f t="shared" si="7"/>
        <v>108545.30881016179</v>
      </c>
      <c r="K32" s="81"/>
      <c r="L32" s="90">
        <f>SUM(I26:I32)</f>
        <v>3746.2224471568929</v>
      </c>
      <c r="M32" s="89"/>
      <c r="N32" s="162">
        <v>42199</v>
      </c>
    </row>
    <row r="33" spans="1:14" s="34" customFormat="1" x14ac:dyDescent="0.3">
      <c r="A33" s="115">
        <v>42202</v>
      </c>
      <c r="B33" s="51" t="s">
        <v>385</v>
      </c>
      <c r="C33" s="17"/>
      <c r="D33" s="62">
        <f>10*3</f>
        <v>30</v>
      </c>
      <c r="E33" s="85">
        <f t="shared" si="4"/>
        <v>5446.2</v>
      </c>
      <c r="F33" s="17"/>
      <c r="G33" s="17">
        <f t="shared" si="5"/>
        <v>19.821282789189912</v>
      </c>
      <c r="H33" s="17"/>
      <c r="I33" s="17">
        <f t="shared" si="6"/>
        <v>594.63848367569733</v>
      </c>
      <c r="J33" s="17">
        <f t="shared" si="7"/>
        <v>107950.6703264861</v>
      </c>
      <c r="K33" s="51"/>
      <c r="L33" s="60"/>
      <c r="M33" s="60"/>
      <c r="N33" s="60"/>
    </row>
    <row r="34" spans="1:14" s="34" customFormat="1" x14ac:dyDescent="0.3">
      <c r="A34" s="115">
        <v>42202</v>
      </c>
      <c r="B34" s="51" t="s">
        <v>391</v>
      </c>
      <c r="C34" s="17"/>
      <c r="D34" s="62">
        <f>30*3</f>
        <v>90</v>
      </c>
      <c r="E34" s="85">
        <f t="shared" si="4"/>
        <v>5356.2</v>
      </c>
      <c r="F34" s="17"/>
      <c r="G34" s="17">
        <f t="shared" si="5"/>
        <v>19.821282789189912</v>
      </c>
      <c r="H34" s="17"/>
      <c r="I34" s="17">
        <f t="shared" si="6"/>
        <v>1783.9154510270921</v>
      </c>
      <c r="J34" s="17">
        <f t="shared" si="7"/>
        <v>106166.75487545901</v>
      </c>
      <c r="K34" s="51"/>
      <c r="L34" s="60"/>
      <c r="M34" s="60"/>
      <c r="N34" s="60"/>
    </row>
    <row r="35" spans="1:14" s="34" customFormat="1" x14ac:dyDescent="0.3">
      <c r="A35" s="115">
        <v>42203</v>
      </c>
      <c r="B35" s="51" t="s">
        <v>392</v>
      </c>
      <c r="C35" s="17"/>
      <c r="D35" s="62">
        <f>10*3</f>
        <v>30</v>
      </c>
      <c r="E35" s="85">
        <f t="shared" si="4"/>
        <v>5326.2</v>
      </c>
      <c r="F35" s="17"/>
      <c r="G35" s="17">
        <f t="shared" si="5"/>
        <v>19.821282789189912</v>
      </c>
      <c r="H35" s="17"/>
      <c r="I35" s="17">
        <f t="shared" si="6"/>
        <v>594.63848367569733</v>
      </c>
      <c r="J35" s="17">
        <f t="shared" si="7"/>
        <v>105572.11639178332</v>
      </c>
      <c r="K35" s="51"/>
      <c r="L35" s="60"/>
      <c r="M35" s="60"/>
      <c r="N35" s="60"/>
    </row>
    <row r="36" spans="1:14" s="34" customFormat="1" x14ac:dyDescent="0.3">
      <c r="A36" s="115">
        <v>42208</v>
      </c>
      <c r="B36" s="51" t="s">
        <v>406</v>
      </c>
      <c r="C36" s="17"/>
      <c r="D36" s="62">
        <f>30*3</f>
        <v>90</v>
      </c>
      <c r="E36" s="85">
        <f t="shared" si="4"/>
        <v>5236.2</v>
      </c>
      <c r="F36" s="17"/>
      <c r="G36" s="17">
        <f t="shared" si="5"/>
        <v>19.821282789189915</v>
      </c>
      <c r="H36" s="17"/>
      <c r="I36" s="17">
        <f t="shared" si="6"/>
        <v>1783.9154510270923</v>
      </c>
      <c r="J36" s="17">
        <f t="shared" si="7"/>
        <v>103788.20094075623</v>
      </c>
      <c r="K36" s="81"/>
      <c r="L36" s="90">
        <f>SUM(I33:I36)</f>
        <v>4757.1078694055795</v>
      </c>
      <c r="M36" s="90">
        <f>SUM(L32:L36)</f>
        <v>8503.3303165624729</v>
      </c>
      <c r="N36" s="162">
        <v>41851</v>
      </c>
    </row>
    <row r="37" spans="1:14" s="34" customFormat="1" x14ac:dyDescent="0.3">
      <c r="A37" s="115">
        <v>42217</v>
      </c>
      <c r="B37" s="51" t="s">
        <v>449</v>
      </c>
      <c r="C37" s="17"/>
      <c r="D37" s="62">
        <f>6*3</f>
        <v>18</v>
      </c>
      <c r="E37" s="85">
        <f t="shared" si="4"/>
        <v>5218.2</v>
      </c>
      <c r="F37" s="17"/>
      <c r="G37" s="17">
        <f t="shared" si="5"/>
        <v>19.821282789189915</v>
      </c>
      <c r="H37" s="17"/>
      <c r="I37" s="17">
        <f t="shared" si="6"/>
        <v>356.78309020541849</v>
      </c>
      <c r="J37" s="17">
        <f t="shared" si="7"/>
        <v>103431.41785055082</v>
      </c>
      <c r="K37" s="51"/>
      <c r="L37" s="60"/>
      <c r="M37" s="60"/>
      <c r="N37" s="60"/>
    </row>
    <row r="38" spans="1:14" s="34" customFormat="1" x14ac:dyDescent="0.3">
      <c r="A38" s="115">
        <v>42219</v>
      </c>
      <c r="B38" s="51" t="s">
        <v>451</v>
      </c>
      <c r="C38" s="17"/>
      <c r="D38" s="62">
        <f>10*3</f>
        <v>30</v>
      </c>
      <c r="E38" s="85">
        <f t="shared" si="4"/>
        <v>5188.2</v>
      </c>
      <c r="F38" s="17"/>
      <c r="G38" s="17">
        <f t="shared" si="5"/>
        <v>19.821282789189915</v>
      </c>
      <c r="H38" s="17"/>
      <c r="I38" s="17">
        <f t="shared" si="6"/>
        <v>594.63848367569744</v>
      </c>
      <c r="J38" s="17">
        <f t="shared" si="7"/>
        <v>102836.77936687513</v>
      </c>
      <c r="K38" s="51"/>
      <c r="L38" s="60"/>
      <c r="M38" s="60"/>
      <c r="N38" s="60"/>
    </row>
    <row r="39" spans="1:14" s="34" customFormat="1" x14ac:dyDescent="0.3">
      <c r="A39" s="115">
        <v>42220</v>
      </c>
      <c r="B39" s="51" t="s">
        <v>453</v>
      </c>
      <c r="C39" s="17"/>
      <c r="D39" s="62">
        <f>25*3</f>
        <v>75</v>
      </c>
      <c r="E39" s="85">
        <f t="shared" si="4"/>
        <v>5113.2</v>
      </c>
      <c r="F39" s="17"/>
      <c r="G39" s="17">
        <f t="shared" si="5"/>
        <v>19.821282789189919</v>
      </c>
      <c r="H39" s="17"/>
      <c r="I39" s="17">
        <f t="shared" si="6"/>
        <v>1486.5962091892438</v>
      </c>
      <c r="J39" s="17">
        <f t="shared" si="7"/>
        <v>101350.18315768588</v>
      </c>
      <c r="K39" s="51"/>
      <c r="L39" s="60"/>
      <c r="M39" s="60"/>
      <c r="N39" s="60"/>
    </row>
    <row r="40" spans="1:14" s="34" customFormat="1" x14ac:dyDescent="0.3">
      <c r="A40" s="115">
        <v>42229</v>
      </c>
      <c r="B40" s="51" t="s">
        <v>475</v>
      </c>
      <c r="C40" s="17"/>
      <c r="D40" s="62">
        <f>3*3</f>
        <v>9</v>
      </c>
      <c r="E40" s="85">
        <f t="shared" si="4"/>
        <v>5104.2</v>
      </c>
      <c r="F40" s="17"/>
      <c r="G40" s="17">
        <f t="shared" si="5"/>
        <v>19.821282789189919</v>
      </c>
      <c r="H40" s="17"/>
      <c r="I40" s="17">
        <f t="shared" si="6"/>
        <v>178.39154510270927</v>
      </c>
      <c r="J40" s="17">
        <f t="shared" si="7"/>
        <v>101171.79161258317</v>
      </c>
      <c r="K40" s="51"/>
      <c r="L40" s="60"/>
      <c r="M40" s="60"/>
      <c r="N40" s="60"/>
    </row>
    <row r="41" spans="1:14" s="34" customFormat="1" x14ac:dyDescent="0.3">
      <c r="A41" s="115">
        <v>42234</v>
      </c>
      <c r="B41" s="51" t="s">
        <v>493</v>
      </c>
      <c r="C41" s="17"/>
      <c r="D41" s="62">
        <f>25*3</f>
        <v>75</v>
      </c>
      <c r="E41" s="85">
        <f t="shared" si="4"/>
        <v>5029.2</v>
      </c>
      <c r="F41" s="17"/>
      <c r="G41" s="17">
        <f t="shared" si="5"/>
        <v>19.821282789189915</v>
      </c>
      <c r="H41" s="17"/>
      <c r="I41" s="17">
        <f t="shared" si="6"/>
        <v>1486.5962091892436</v>
      </c>
      <c r="J41" s="17">
        <f t="shared" si="7"/>
        <v>99685.195403393926</v>
      </c>
      <c r="K41" s="81"/>
      <c r="L41" s="90">
        <f>SUM(I37:I41)</f>
        <v>4103.0055373623127</v>
      </c>
      <c r="M41" s="89"/>
      <c r="N41" s="162">
        <v>42234</v>
      </c>
    </row>
    <row r="42" spans="1:14" s="34" customFormat="1" x14ac:dyDescent="0.3">
      <c r="A42" s="115">
        <v>42236</v>
      </c>
      <c r="B42" s="51" t="s">
        <v>505</v>
      </c>
      <c r="C42" s="17"/>
      <c r="D42" s="62">
        <v>3</v>
      </c>
      <c r="E42" s="85">
        <f t="shared" si="4"/>
        <v>5026.2</v>
      </c>
      <c r="F42" s="17"/>
      <c r="G42" s="17">
        <f t="shared" si="5"/>
        <v>19.821282789189915</v>
      </c>
      <c r="H42" s="17"/>
      <c r="I42" s="17">
        <f t="shared" si="6"/>
        <v>59.463848367569746</v>
      </c>
      <c r="J42" s="17">
        <f t="shared" si="7"/>
        <v>99625.731555026359</v>
      </c>
      <c r="K42" s="51"/>
      <c r="L42" s="60"/>
      <c r="M42" s="60"/>
      <c r="N42" s="60"/>
    </row>
    <row r="43" spans="1:14" s="34" customFormat="1" x14ac:dyDescent="0.3">
      <c r="A43" s="115">
        <v>42241</v>
      </c>
      <c r="B43" s="51" t="s">
        <v>514</v>
      </c>
      <c r="C43" s="17"/>
      <c r="D43" s="62">
        <f>7*3</f>
        <v>21</v>
      </c>
      <c r="E43" s="85">
        <f t="shared" si="4"/>
        <v>5005.2</v>
      </c>
      <c r="F43" s="17"/>
      <c r="G43" s="17">
        <f t="shared" si="5"/>
        <v>19.821282789189919</v>
      </c>
      <c r="H43" s="17"/>
      <c r="I43" s="17">
        <f t="shared" si="6"/>
        <v>416.24693857298831</v>
      </c>
      <c r="J43" s="17">
        <f t="shared" si="7"/>
        <v>99209.484616453366</v>
      </c>
      <c r="K43" s="51"/>
      <c r="L43" s="60"/>
      <c r="M43" s="60"/>
      <c r="N43" s="60"/>
    </row>
    <row r="44" spans="1:14" s="34" customFormat="1" x14ac:dyDescent="0.3">
      <c r="A44" s="115">
        <v>42244</v>
      </c>
      <c r="B44" s="51" t="s">
        <v>524</v>
      </c>
      <c r="C44" s="17"/>
      <c r="D44" s="62">
        <f>20*3</f>
        <v>60</v>
      </c>
      <c r="E44" s="85">
        <f t="shared" si="4"/>
        <v>4945.2</v>
      </c>
      <c r="F44" s="17"/>
      <c r="G44" s="17">
        <f t="shared" si="5"/>
        <v>19.821282789189915</v>
      </c>
      <c r="H44" s="17"/>
      <c r="I44" s="17">
        <f t="shared" si="6"/>
        <v>1189.2769673513949</v>
      </c>
      <c r="J44" s="17">
        <f t="shared" si="7"/>
        <v>98020.207649101969</v>
      </c>
      <c r="K44" s="51"/>
      <c r="L44" s="60"/>
      <c r="M44" s="60"/>
      <c r="N44" s="60"/>
    </row>
    <row r="45" spans="1:14" s="34" customFormat="1" x14ac:dyDescent="0.3">
      <c r="A45" s="115">
        <v>42247</v>
      </c>
      <c r="B45" s="51" t="s">
        <v>534</v>
      </c>
      <c r="C45" s="17"/>
      <c r="D45" s="62">
        <f>59*3</f>
        <v>177</v>
      </c>
      <c r="E45" s="85">
        <f t="shared" si="4"/>
        <v>4768.2</v>
      </c>
      <c r="F45" s="17"/>
      <c r="G45" s="17">
        <f t="shared" si="5"/>
        <v>19.821282789189915</v>
      </c>
      <c r="H45" s="17"/>
      <c r="I45" s="17">
        <f t="shared" si="6"/>
        <v>3508.3670536866148</v>
      </c>
      <c r="J45" s="17">
        <f t="shared" si="7"/>
        <v>94511.840595415357</v>
      </c>
      <c r="K45" s="81"/>
      <c r="L45" s="90">
        <f>SUM(I42:I45)</f>
        <v>5173.3548079785678</v>
      </c>
      <c r="M45" s="90">
        <f>SUM(L41:L45)</f>
        <v>9276.3603453408796</v>
      </c>
      <c r="N45" s="162">
        <v>42247</v>
      </c>
    </row>
    <row r="46" spans="1:14" s="34" customFormat="1" x14ac:dyDescent="0.3">
      <c r="A46" s="115">
        <v>42258</v>
      </c>
      <c r="B46" s="51" t="s">
        <v>601</v>
      </c>
      <c r="C46" s="17"/>
      <c r="D46" s="62">
        <f>2*3</f>
        <v>6</v>
      </c>
      <c r="E46" s="85">
        <f t="shared" si="4"/>
        <v>4762.2</v>
      </c>
      <c r="F46" s="17"/>
      <c r="G46" s="17">
        <f t="shared" si="5"/>
        <v>19.821282789189915</v>
      </c>
      <c r="H46" s="17"/>
      <c r="I46" s="17">
        <f t="shared" si="6"/>
        <v>118.92769673513949</v>
      </c>
      <c r="J46" s="17">
        <f t="shared" si="7"/>
        <v>94392.912898680224</v>
      </c>
      <c r="K46" s="51"/>
      <c r="L46" s="60"/>
      <c r="M46" s="60"/>
      <c r="N46" s="60"/>
    </row>
    <row r="47" spans="1:14" s="34" customFormat="1" x14ac:dyDescent="0.3">
      <c r="A47" s="115">
        <v>42262</v>
      </c>
      <c r="B47" s="51" t="s">
        <v>608</v>
      </c>
      <c r="C47" s="17"/>
      <c r="D47" s="62">
        <v>3</v>
      </c>
      <c r="E47" s="85">
        <f t="shared" si="4"/>
        <v>4759.2</v>
      </c>
      <c r="F47" s="17"/>
      <c r="G47" s="17">
        <f t="shared" si="5"/>
        <v>19.821282789189919</v>
      </c>
      <c r="H47" s="17"/>
      <c r="I47" s="17">
        <f t="shared" si="6"/>
        <v>59.463848367569753</v>
      </c>
      <c r="J47" s="17">
        <f t="shared" si="7"/>
        <v>94333.449050312658</v>
      </c>
      <c r="K47" s="81"/>
      <c r="L47" s="90">
        <f>SUM(I46:I47)</f>
        <v>178.39154510270924</v>
      </c>
      <c r="M47" s="89"/>
      <c r="N47" s="162">
        <v>42262</v>
      </c>
    </row>
    <row r="48" spans="1:14" s="34" customFormat="1" x14ac:dyDescent="0.3">
      <c r="A48" s="115">
        <v>42268</v>
      </c>
      <c r="B48" s="51" t="s">
        <v>631</v>
      </c>
      <c r="C48" s="17"/>
      <c r="D48" s="62">
        <f>20*3</f>
        <v>60</v>
      </c>
      <c r="E48" s="85">
        <f t="shared" si="4"/>
        <v>4699.2</v>
      </c>
      <c r="F48" s="17"/>
      <c r="G48" s="17">
        <f t="shared" si="5"/>
        <v>19.821282789189919</v>
      </c>
      <c r="H48" s="17"/>
      <c r="I48" s="17">
        <f t="shared" si="6"/>
        <v>1189.2769673513951</v>
      </c>
      <c r="J48" s="17">
        <f t="shared" si="7"/>
        <v>93144.17208296126</v>
      </c>
      <c r="K48" s="51"/>
      <c r="L48" s="60"/>
      <c r="M48" s="60"/>
      <c r="N48" s="60"/>
    </row>
    <row r="49" spans="1:14" s="34" customFormat="1" x14ac:dyDescent="0.3">
      <c r="A49" s="115">
        <v>42270</v>
      </c>
      <c r="B49" s="51" t="s">
        <v>640</v>
      </c>
      <c r="C49" s="17"/>
      <c r="D49" s="62">
        <f>10*3</f>
        <v>30</v>
      </c>
      <c r="E49" s="85">
        <f t="shared" ref="E49:E61" si="8">+E48-D49</f>
        <v>4669.2</v>
      </c>
      <c r="F49" s="17"/>
      <c r="G49" s="17">
        <f t="shared" ref="G49:G61" si="9">+J48/E48</f>
        <v>19.821282789189919</v>
      </c>
      <c r="H49" s="17"/>
      <c r="I49" s="17">
        <f t="shared" ref="I49:I61" si="10">+D49*G49</f>
        <v>594.63848367569756</v>
      </c>
      <c r="J49" s="17">
        <f t="shared" ref="J49:J61" si="11">+J48-I49</f>
        <v>92549.533599285569</v>
      </c>
      <c r="K49" s="51"/>
      <c r="L49" s="60"/>
      <c r="M49" s="60"/>
      <c r="N49" s="60"/>
    </row>
    <row r="50" spans="1:14" s="34" customFormat="1" x14ac:dyDescent="0.3">
      <c r="A50" s="115">
        <v>42277</v>
      </c>
      <c r="B50" s="51" t="s">
        <v>668</v>
      </c>
      <c r="C50" s="17"/>
      <c r="D50" s="62">
        <f>6*3</f>
        <v>18</v>
      </c>
      <c r="E50" s="85">
        <f t="shared" si="8"/>
        <v>4651.2</v>
      </c>
      <c r="F50" s="17"/>
      <c r="G50" s="17">
        <f t="shared" si="9"/>
        <v>19.821282789189919</v>
      </c>
      <c r="H50" s="17"/>
      <c r="I50" s="17">
        <f t="shared" si="10"/>
        <v>356.78309020541855</v>
      </c>
      <c r="J50" s="17">
        <f t="shared" si="11"/>
        <v>92192.750509080157</v>
      </c>
      <c r="K50" s="81"/>
      <c r="L50" s="90">
        <f>SUM(I48:I50)</f>
        <v>2140.6985412325112</v>
      </c>
      <c r="M50" s="90">
        <f>SUM(L47:L50)</f>
        <v>2319.0900863352203</v>
      </c>
      <c r="N50" s="162">
        <v>42277</v>
      </c>
    </row>
    <row r="51" spans="1:14" s="34" customFormat="1" x14ac:dyDescent="0.3">
      <c r="A51" s="115">
        <v>42287</v>
      </c>
      <c r="B51" s="51" t="s">
        <v>702</v>
      </c>
      <c r="C51" s="17"/>
      <c r="D51" s="62">
        <f>7*3</f>
        <v>21</v>
      </c>
      <c r="E51" s="85">
        <f t="shared" si="8"/>
        <v>4630.2</v>
      </c>
      <c r="F51" s="17"/>
      <c r="G51" s="17">
        <f t="shared" si="9"/>
        <v>19.821282789189922</v>
      </c>
      <c r="H51" s="17"/>
      <c r="I51" s="17">
        <f t="shared" si="10"/>
        <v>416.24693857298837</v>
      </c>
      <c r="J51" s="17">
        <f t="shared" si="11"/>
        <v>91776.503570507164</v>
      </c>
      <c r="K51" s="51"/>
      <c r="L51" s="60"/>
      <c r="M51" s="60"/>
      <c r="N51" s="60"/>
    </row>
    <row r="52" spans="1:14" s="34" customFormat="1" x14ac:dyDescent="0.3">
      <c r="A52" s="115">
        <v>42294</v>
      </c>
      <c r="B52" s="51" t="s">
        <v>740</v>
      </c>
      <c r="C52" s="17"/>
      <c r="D52" s="62">
        <f>20*3</f>
        <v>60</v>
      </c>
      <c r="E52" s="85">
        <f t="shared" si="8"/>
        <v>4570.2</v>
      </c>
      <c r="F52" s="17"/>
      <c r="G52" s="17">
        <f t="shared" si="9"/>
        <v>19.821282789189919</v>
      </c>
      <c r="H52" s="17"/>
      <c r="I52" s="17">
        <f t="shared" si="10"/>
        <v>1189.2769673513951</v>
      </c>
      <c r="J52" s="17">
        <f t="shared" si="11"/>
        <v>90587.226603155766</v>
      </c>
      <c r="K52" s="81"/>
      <c r="L52" s="90">
        <f>SUM(I51:I52)</f>
        <v>1605.5239059243836</v>
      </c>
      <c r="M52" s="89"/>
      <c r="N52" s="162">
        <v>42294</v>
      </c>
    </row>
    <row r="53" spans="1:14" s="34" customFormat="1" x14ac:dyDescent="0.3">
      <c r="A53" s="115">
        <v>42299</v>
      </c>
      <c r="B53" s="51" t="s">
        <v>748</v>
      </c>
      <c r="C53" s="17"/>
      <c r="D53" s="62">
        <v>3</v>
      </c>
      <c r="E53" s="85">
        <f t="shared" si="8"/>
        <v>4567.2</v>
      </c>
      <c r="F53" s="17"/>
      <c r="G53" s="17">
        <f t="shared" si="9"/>
        <v>19.821282789189919</v>
      </c>
      <c r="H53" s="17"/>
      <c r="I53" s="17">
        <f t="shared" si="10"/>
        <v>59.463848367569753</v>
      </c>
      <c r="J53" s="17">
        <f t="shared" si="11"/>
        <v>90527.7627547882</v>
      </c>
      <c r="K53" s="51"/>
      <c r="L53" s="60"/>
      <c r="M53" s="60"/>
      <c r="N53" s="60"/>
    </row>
    <row r="54" spans="1:14" s="34" customFormat="1" x14ac:dyDescent="0.3">
      <c r="A54" s="115">
        <v>42308</v>
      </c>
      <c r="B54" s="51" t="s">
        <v>786</v>
      </c>
      <c r="C54" s="17"/>
      <c r="D54" s="62">
        <f>5*3</f>
        <v>15</v>
      </c>
      <c r="E54" s="85">
        <f t="shared" si="8"/>
        <v>4552.2</v>
      </c>
      <c r="F54" s="17"/>
      <c r="G54" s="17">
        <f t="shared" si="9"/>
        <v>19.821282789189919</v>
      </c>
      <c r="H54" s="17"/>
      <c r="I54" s="17">
        <f t="shared" si="10"/>
        <v>297.31924183784878</v>
      </c>
      <c r="J54" s="17">
        <f t="shared" si="11"/>
        <v>90230.443512950354</v>
      </c>
      <c r="K54" s="81"/>
      <c r="L54" s="90">
        <f>SUM(I53:I54)</f>
        <v>356.78309020541855</v>
      </c>
      <c r="M54" s="90">
        <f>SUM(L52:L54)</f>
        <v>1962.3069961298022</v>
      </c>
      <c r="N54" s="162">
        <v>42308</v>
      </c>
    </row>
    <row r="55" spans="1:14" s="34" customFormat="1" x14ac:dyDescent="0.3">
      <c r="A55" s="115">
        <v>42311</v>
      </c>
      <c r="B55" s="51" t="s">
        <v>791</v>
      </c>
      <c r="C55" s="17"/>
      <c r="D55" s="62">
        <f>6*3</f>
        <v>18</v>
      </c>
      <c r="E55" s="85">
        <f t="shared" si="8"/>
        <v>4534.2</v>
      </c>
      <c r="F55" s="17"/>
      <c r="G55" s="17">
        <f t="shared" si="9"/>
        <v>19.821282789189922</v>
      </c>
      <c r="H55" s="17"/>
      <c r="I55" s="17">
        <f t="shared" si="10"/>
        <v>356.7830902054186</v>
      </c>
      <c r="J55" s="17">
        <f t="shared" si="11"/>
        <v>89873.660422744942</v>
      </c>
      <c r="K55" s="51"/>
      <c r="L55" s="60"/>
      <c r="M55" s="60"/>
      <c r="N55" s="60"/>
    </row>
    <row r="56" spans="1:14" s="34" customFormat="1" x14ac:dyDescent="0.3">
      <c r="A56" s="115">
        <v>42312</v>
      </c>
      <c r="B56" s="51" t="s">
        <v>798</v>
      </c>
      <c r="C56" s="17"/>
      <c r="D56" s="62">
        <f>20*3</f>
        <v>60</v>
      </c>
      <c r="E56" s="85">
        <f t="shared" si="8"/>
        <v>4474.2</v>
      </c>
      <c r="F56" s="17"/>
      <c r="G56" s="17">
        <f t="shared" si="9"/>
        <v>19.821282789189922</v>
      </c>
      <c r="H56" s="17"/>
      <c r="I56" s="17">
        <f t="shared" si="10"/>
        <v>1189.2769673513953</v>
      </c>
      <c r="J56" s="17">
        <f t="shared" si="11"/>
        <v>88684.383455393545</v>
      </c>
      <c r="K56" s="51"/>
      <c r="L56" s="60"/>
      <c r="M56" s="60"/>
      <c r="N56" s="60"/>
    </row>
    <row r="57" spans="1:14" s="34" customFormat="1" x14ac:dyDescent="0.3">
      <c r="A57" s="115">
        <v>42313</v>
      </c>
      <c r="B57" s="51" t="s">
        <v>801</v>
      </c>
      <c r="C57" s="17"/>
      <c r="D57" s="62">
        <f>4*3</f>
        <v>12</v>
      </c>
      <c r="E57" s="85">
        <f t="shared" si="8"/>
        <v>4462.2</v>
      </c>
      <c r="F57" s="17"/>
      <c r="G57" s="17">
        <f t="shared" si="9"/>
        <v>19.821282789189922</v>
      </c>
      <c r="H57" s="17"/>
      <c r="I57" s="17">
        <f t="shared" si="10"/>
        <v>237.85539347027907</v>
      </c>
      <c r="J57" s="17">
        <f t="shared" si="11"/>
        <v>88446.528061923265</v>
      </c>
      <c r="K57" s="81"/>
      <c r="L57" s="90">
        <f>SUM(I55:I57)</f>
        <v>1783.915451027093</v>
      </c>
      <c r="M57" s="89"/>
      <c r="N57" s="162">
        <v>42323</v>
      </c>
    </row>
    <row r="58" spans="1:14" s="34" customFormat="1" x14ac:dyDescent="0.3">
      <c r="A58" s="115">
        <v>42331</v>
      </c>
      <c r="B58" s="51" t="s">
        <v>864</v>
      </c>
      <c r="C58" s="17"/>
      <c r="D58" s="62">
        <f>31*3</f>
        <v>93</v>
      </c>
      <c r="E58" s="85">
        <f t="shared" si="8"/>
        <v>4369.2</v>
      </c>
      <c r="F58" s="17"/>
      <c r="G58" s="17">
        <f t="shared" si="9"/>
        <v>19.821282789189922</v>
      </c>
      <c r="H58" s="17"/>
      <c r="I58" s="17">
        <f t="shared" si="10"/>
        <v>1843.3792993946627</v>
      </c>
      <c r="J58" s="17">
        <f t="shared" si="11"/>
        <v>86603.14876252861</v>
      </c>
      <c r="K58" s="51"/>
      <c r="L58" s="60"/>
      <c r="M58" s="60"/>
      <c r="N58" s="60"/>
    </row>
    <row r="59" spans="1:14" s="34" customFormat="1" x14ac:dyDescent="0.3">
      <c r="A59" s="115">
        <v>42338</v>
      </c>
      <c r="B59" s="51" t="s">
        <v>877</v>
      </c>
      <c r="C59" s="17"/>
      <c r="D59" s="62">
        <f>10*3</f>
        <v>30</v>
      </c>
      <c r="E59" s="85">
        <f t="shared" si="8"/>
        <v>4339.2</v>
      </c>
      <c r="F59" s="17"/>
      <c r="G59" s="17">
        <f t="shared" si="9"/>
        <v>19.821282789189922</v>
      </c>
      <c r="H59" s="17"/>
      <c r="I59" s="17">
        <f t="shared" si="10"/>
        <v>594.63848367569767</v>
      </c>
      <c r="J59" s="17">
        <f t="shared" si="11"/>
        <v>86008.510278852918</v>
      </c>
      <c r="K59" s="81"/>
      <c r="L59" s="90">
        <f>SUM(I58:I59)</f>
        <v>2438.0177830703606</v>
      </c>
      <c r="M59" s="90">
        <f>SUM(L57:L59)</f>
        <v>4221.9332340974534</v>
      </c>
      <c r="N59" s="162">
        <v>42338</v>
      </c>
    </row>
    <row r="60" spans="1:14" s="77" customFormat="1" x14ac:dyDescent="0.3">
      <c r="A60" s="116">
        <v>42340</v>
      </c>
      <c r="B60" s="48" t="s">
        <v>885</v>
      </c>
      <c r="C60" s="62"/>
      <c r="D60" s="62">
        <f>35*3</f>
        <v>105</v>
      </c>
      <c r="E60" s="86">
        <f t="shared" si="8"/>
        <v>4234.2</v>
      </c>
      <c r="F60" s="62"/>
      <c r="G60" s="62">
        <f t="shared" si="9"/>
        <v>19.821282789189926</v>
      </c>
      <c r="H60" s="62"/>
      <c r="I60" s="62">
        <f t="shared" si="10"/>
        <v>2081.2346928649422</v>
      </c>
      <c r="J60" s="62">
        <f t="shared" si="11"/>
        <v>83927.275585987984</v>
      </c>
      <c r="K60" s="48"/>
      <c r="L60" s="167"/>
      <c r="M60" s="167"/>
      <c r="N60" s="167"/>
    </row>
    <row r="61" spans="1:14" s="34" customFormat="1" x14ac:dyDescent="0.3">
      <c r="A61" s="115">
        <v>42345</v>
      </c>
      <c r="B61" s="51" t="s">
        <v>893</v>
      </c>
      <c r="C61" s="17"/>
      <c r="D61" s="62">
        <f>5*3</f>
        <v>15</v>
      </c>
      <c r="E61" s="85">
        <f t="shared" si="8"/>
        <v>4219.2</v>
      </c>
      <c r="F61" s="17"/>
      <c r="G61" s="17">
        <f t="shared" si="9"/>
        <v>19.821282789189926</v>
      </c>
      <c r="H61" s="17"/>
      <c r="I61" s="17">
        <f t="shared" si="10"/>
        <v>297.31924183784889</v>
      </c>
      <c r="J61" s="17">
        <f t="shared" si="11"/>
        <v>83629.956344150138</v>
      </c>
      <c r="K61" s="81"/>
      <c r="L61" s="90">
        <f>SUM(I60:I61)</f>
        <v>2378.5539347027911</v>
      </c>
      <c r="M61" s="169">
        <f>SUM(L61)</f>
        <v>2378.5539347027911</v>
      </c>
      <c r="N61" s="162">
        <v>42353</v>
      </c>
    </row>
    <row r="62" spans="1:14" s="34" customFormat="1" ht="15" thickBot="1" x14ac:dyDescent="0.35">
      <c r="A62" s="58"/>
      <c r="B62" s="51" t="s">
        <v>982</v>
      </c>
      <c r="C62" s="17">
        <f>SUM(C9:C61)</f>
        <v>6046.2</v>
      </c>
      <c r="D62" s="17">
        <f>SUM(D9:D61)</f>
        <v>1827</v>
      </c>
      <c r="E62" s="85"/>
      <c r="F62" s="17"/>
      <c r="G62" s="17"/>
      <c r="H62" s="17">
        <f t="shared" ref="H62:I62" si="12">SUM(H9:H61)</f>
        <v>119843.44</v>
      </c>
      <c r="I62" s="17">
        <f t="shared" si="12"/>
        <v>36213.483655849981</v>
      </c>
      <c r="J62" s="17"/>
      <c r="K62" s="51"/>
      <c r="L62" s="60"/>
      <c r="M62" s="189">
        <f>SUM(M13:M61)</f>
        <v>36213.483655849974</v>
      </c>
      <c r="N62" s="60"/>
    </row>
    <row r="63" spans="1:14" s="39" customFormat="1" ht="15" thickTop="1" x14ac:dyDescent="0.3">
      <c r="A63" s="106"/>
      <c r="B63" s="6"/>
      <c r="C63" s="112"/>
      <c r="D63" s="108"/>
      <c r="E63" s="109"/>
      <c r="F63" s="112"/>
      <c r="G63" s="112"/>
      <c r="H63" s="112"/>
      <c r="I63" s="112"/>
      <c r="J63" s="112"/>
      <c r="K63" s="6"/>
      <c r="L63" s="5"/>
      <c r="M63" s="5"/>
      <c r="N63" s="5"/>
    </row>
    <row r="64" spans="1:14" s="39" customFormat="1" x14ac:dyDescent="0.3">
      <c r="A64" s="106"/>
      <c r="B64" s="6"/>
      <c r="C64" s="107"/>
      <c r="D64" s="108"/>
      <c r="E64" s="109"/>
      <c r="F64" s="112"/>
      <c r="G64" s="112"/>
      <c r="H64" s="107"/>
      <c r="I64" s="112"/>
      <c r="J64" s="107"/>
      <c r="K64" s="6"/>
      <c r="L64" s="5"/>
      <c r="M64" s="5"/>
      <c r="N64" s="5"/>
    </row>
    <row r="65" spans="1:14" s="39" customFormat="1" x14ac:dyDescent="0.3">
      <c r="A65" s="127" t="s">
        <v>980</v>
      </c>
      <c r="B65" s="6"/>
      <c r="C65" s="5"/>
      <c r="D65" s="5"/>
      <c r="E65" s="5"/>
      <c r="F65" s="5"/>
      <c r="G65" s="60"/>
      <c r="H65" s="60"/>
      <c r="I65" s="60"/>
      <c r="J65" s="60"/>
      <c r="K65" s="6"/>
      <c r="L65" s="5"/>
      <c r="M65" s="5"/>
      <c r="N65" s="5"/>
    </row>
    <row r="66" spans="1:14" s="39" customFormat="1" x14ac:dyDescent="0.3">
      <c r="A66" s="127" t="s">
        <v>981</v>
      </c>
      <c r="B66" s="6"/>
      <c r="C66" s="5"/>
      <c r="D66" s="5"/>
      <c r="E66" s="5"/>
      <c r="F66" s="5"/>
      <c r="G66" s="60"/>
      <c r="H66" s="60"/>
      <c r="I66" s="60"/>
      <c r="J66" s="163">
        <f>+E61*F9</f>
        <v>83629.956344150036</v>
      </c>
      <c r="K66" s="6"/>
      <c r="L66" s="5"/>
      <c r="M66" s="5"/>
      <c r="N66" s="5"/>
    </row>
    <row r="67" spans="1:14" s="39" customFormat="1" x14ac:dyDescent="0.3">
      <c r="A67" s="127" t="s">
        <v>978</v>
      </c>
      <c r="B67" s="6"/>
      <c r="C67" s="5"/>
      <c r="D67" s="5"/>
      <c r="E67" s="5"/>
      <c r="F67" s="5"/>
      <c r="G67" s="60"/>
      <c r="H67" s="60"/>
      <c r="I67" s="60"/>
      <c r="J67" s="164">
        <f>+J61</f>
        <v>83629.956344150138</v>
      </c>
      <c r="K67" s="6"/>
      <c r="L67" s="5"/>
      <c r="M67" s="5"/>
      <c r="N67" s="5"/>
    </row>
    <row r="68" spans="1:14" s="39" customFormat="1" x14ac:dyDescent="0.3">
      <c r="A68" s="127"/>
      <c r="B68" s="6" t="s">
        <v>979</v>
      </c>
      <c r="C68" s="5"/>
      <c r="D68" s="5"/>
      <c r="E68" s="5"/>
      <c r="F68" s="5"/>
      <c r="G68" s="60"/>
      <c r="H68" s="60"/>
      <c r="I68" s="60"/>
      <c r="J68" s="163">
        <f>+J66-J67</f>
        <v>0</v>
      </c>
      <c r="K68" s="6"/>
      <c r="L68" s="5"/>
      <c r="M68" s="5"/>
      <c r="N68" s="5"/>
    </row>
    <row r="69" spans="1:14" s="39" customFormat="1" x14ac:dyDescent="0.3">
      <c r="A69" s="5"/>
      <c r="B69" s="117"/>
      <c r="C69" s="107"/>
      <c r="D69" s="108"/>
      <c r="E69" s="118"/>
      <c r="F69" s="119"/>
      <c r="G69" s="119"/>
      <c r="H69" s="119"/>
      <c r="I69" s="119"/>
      <c r="J69" s="120"/>
      <c r="K69" s="6"/>
      <c r="L69" s="5"/>
      <c r="M69" s="5"/>
      <c r="N69" s="5"/>
    </row>
    <row r="70" spans="1:14" s="39" customFormat="1" x14ac:dyDescent="0.3">
      <c r="A70" s="106"/>
      <c r="B70" s="6"/>
      <c r="C70" s="107"/>
      <c r="D70" s="108"/>
      <c r="E70" s="109"/>
      <c r="F70" s="110"/>
      <c r="G70" s="110"/>
      <c r="H70" s="111"/>
      <c r="I70" s="112"/>
      <c r="J70" s="107"/>
      <c r="K70" s="113"/>
    </row>
    <row r="71" spans="1:14" s="39" customFormat="1" x14ac:dyDescent="0.3">
      <c r="A71" s="106"/>
      <c r="B71" s="6"/>
      <c r="C71" s="107"/>
      <c r="D71" s="108"/>
      <c r="E71" s="109"/>
      <c r="F71" s="110"/>
      <c r="G71" s="110"/>
      <c r="H71" s="111"/>
      <c r="I71" s="112"/>
      <c r="J71" s="107"/>
      <c r="K71" s="113"/>
    </row>
    <row r="72" spans="1:14" s="39" customFormat="1" x14ac:dyDescent="0.3">
      <c r="A72" s="106"/>
      <c r="B72" s="6"/>
      <c r="C72" s="107"/>
      <c r="D72" s="108"/>
      <c r="E72" s="109"/>
      <c r="F72" s="110"/>
      <c r="G72" s="110"/>
      <c r="H72" s="111"/>
      <c r="I72" s="112"/>
      <c r="J72" s="107"/>
      <c r="K72" s="113"/>
    </row>
    <row r="73" spans="1:14" s="39" customFormat="1" x14ac:dyDescent="0.3">
      <c r="A73" s="106"/>
      <c r="B73" s="6"/>
      <c r="C73" s="107"/>
      <c r="D73" s="108"/>
      <c r="E73" s="109"/>
      <c r="F73" s="110"/>
      <c r="G73" s="110"/>
      <c r="H73" s="111"/>
      <c r="I73" s="112"/>
      <c r="J73" s="107"/>
      <c r="K73" s="113"/>
    </row>
    <row r="74" spans="1:14" s="39" customFormat="1" x14ac:dyDescent="0.3">
      <c r="C74" s="19"/>
      <c r="D74" s="19"/>
      <c r="E74" s="19"/>
      <c r="F74" s="19"/>
      <c r="G74" s="19"/>
      <c r="H74" s="19"/>
      <c r="I74" s="19"/>
      <c r="J74" s="19"/>
    </row>
    <row r="75" spans="1:14" x14ac:dyDescent="0.3">
      <c r="C75" s="55"/>
      <c r="D75" s="55"/>
      <c r="E75" s="55"/>
      <c r="F75" s="55"/>
      <c r="G75" s="55"/>
      <c r="H75" s="55"/>
      <c r="I75" s="55"/>
      <c r="J75" s="55"/>
    </row>
    <row r="76" spans="1:14" x14ac:dyDescent="0.3">
      <c r="C76" s="55"/>
      <c r="D76" s="55"/>
      <c r="E76" s="55"/>
      <c r="F76" s="55"/>
      <c r="G76" s="55"/>
      <c r="H76" s="55"/>
      <c r="I76" s="55"/>
      <c r="J76" s="55"/>
    </row>
    <row r="77" spans="1:14" x14ac:dyDescent="0.3">
      <c r="C77" s="55"/>
      <c r="D77" s="55"/>
      <c r="E77" s="55"/>
      <c r="F77" s="55"/>
      <c r="G77" s="55"/>
      <c r="H77" s="55"/>
      <c r="I77" s="55"/>
      <c r="J77" s="55"/>
    </row>
    <row r="78" spans="1:14" x14ac:dyDescent="0.3">
      <c r="C78" s="55"/>
      <c r="D78" s="55"/>
      <c r="E78" s="55"/>
      <c r="F78" s="55"/>
      <c r="G78" s="55"/>
      <c r="H78" s="55"/>
      <c r="I78" s="55"/>
      <c r="J78" s="55"/>
    </row>
    <row r="79" spans="1:14" x14ac:dyDescent="0.3">
      <c r="C79" s="55"/>
      <c r="D79" s="55"/>
      <c r="E79" s="55"/>
      <c r="F79" s="55"/>
      <c r="G79" s="55"/>
      <c r="H79" s="55"/>
      <c r="I79" s="55"/>
      <c r="J79" s="55"/>
    </row>
  </sheetData>
  <mergeCells count="4">
    <mergeCell ref="D4:H4"/>
    <mergeCell ref="C7:E7"/>
    <mergeCell ref="F7:G7"/>
    <mergeCell ref="H7:J7"/>
  </mergeCells>
  <pageMargins left="0.42" right="0.70866141732283472" top="0.74803149606299213" bottom="0.74803149606299213" header="0.31496062992125984" footer="0.31496062992125984"/>
  <pageSetup scale="70" orientation="landscape" verticalDpi="0" r:id="rId1"/>
  <ignoredErrors>
    <ignoredError sqref="D15 D34:D35 D4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ondulada</vt:lpstr>
      <vt:lpstr>azul</vt:lpstr>
      <vt:lpstr>ral #28</vt:lpstr>
      <vt:lpstr>j-50</vt:lpstr>
      <vt:lpstr>j-60</vt:lpstr>
      <vt:lpstr>clavos</vt:lpstr>
      <vt:lpstr>ral #26</vt:lpstr>
      <vt:lpstr>blanco</vt:lpstr>
      <vt:lpstr>galva.</vt:lpstr>
      <vt:lpstr>J-   70</vt:lpstr>
      <vt:lpstr>tiraf63-76</vt:lpstr>
      <vt:lpstr>tiraf 63-63</vt:lpstr>
      <vt:lpstr>JuntaGoma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Elva</cp:lastModifiedBy>
  <cp:lastPrinted>2017-04-10T21:47:49Z</cp:lastPrinted>
  <dcterms:created xsi:type="dcterms:W3CDTF">2015-01-23T15:23:33Z</dcterms:created>
  <dcterms:modified xsi:type="dcterms:W3CDTF">2017-04-10T21:48:31Z</dcterms:modified>
</cp:coreProperties>
</file>