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\Documents\Diplomado\Proyecto\Datos\Datos TC\Inventarios\Delgadillo\"/>
    </mc:Choice>
  </mc:AlternateContent>
  <xr:revisionPtr revIDLastSave="0" documentId="13_ncr:1_{D700E6F5-35A6-464F-B333-971ECF23C6A1}" xr6:coauthVersionLast="47" xr6:coauthVersionMax="47" xr10:uidLastSave="{00000000-0000-0000-0000-000000000000}"/>
  <bookViews>
    <workbookView xWindow="-110" yWindow="-110" windowWidth="22780" windowHeight="14540" firstSheet="1" activeTab="2" xr2:uid="{00000000-000D-0000-FFFF-FFFF00000000}"/>
  </bookViews>
  <sheets>
    <sheet name="BLUE #28" sheetId="2" r:id="rId1"/>
    <sheet name="RAL28" sheetId="13" r:id="rId2"/>
    <sheet name="AGOTADO Clavos" sheetId="4" r:id="rId3"/>
    <sheet name="Clavos 2" sheetId="14" r:id="rId4"/>
    <sheet name="RAL #26" sheetId="5" r:id="rId5"/>
    <sheet name="zinc #28" sheetId="1" r:id="rId6"/>
    <sheet name="AGOTADO Blanco" sheetId="6" r:id="rId7"/>
    <sheet name="GALV." sheetId="7" r:id="rId8"/>
    <sheet name="TIRAFONDOS 6,3X76,2" sheetId="8" r:id="rId9"/>
    <sheet name="TIRAFONDOS 6,3X63,5" sheetId="9" r:id="rId10"/>
    <sheet name="JUNTAS DE GOMA" sheetId="10" r:id="rId11"/>
  </sheets>
  <definedNames>
    <definedName name="_xlnm.Print_Area" localSheetId="6">'AGOTADO Blanco'!$A$1:$N$35</definedName>
    <definedName name="_xlnm.Print_Area" localSheetId="2">'AGOTADO Clavos'!$A$1:$M$49</definedName>
    <definedName name="_xlnm.Print_Area" localSheetId="0">'BLUE #28'!$A$1:$N$33</definedName>
    <definedName name="_xlnm.Print_Area" localSheetId="7">GALV.!$A$1:$N$25</definedName>
    <definedName name="_xlnm.Print_Area" localSheetId="4">'RAL #26'!$A$1:$N$87</definedName>
    <definedName name="_xlnm.Print_Area" localSheetId="1">'RAL28'!$A$1:$N$28</definedName>
    <definedName name="_xlnm.Print_Area" localSheetId="9">'TIRAFONDOS 6,3X63,5'!$A$1:$M$51</definedName>
    <definedName name="_xlnm.Print_Area" localSheetId="8">'TIRAFONDOS 6,3X76,2'!$A$1:$M$91</definedName>
    <definedName name="_xlnm.Print_Area" localSheetId="5">'zinc #28'!$A$1:$N$371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2" i="14" l="1"/>
  <c r="D122" i="14"/>
  <c r="C122" i="14"/>
  <c r="H37" i="14"/>
  <c r="F37" i="14"/>
  <c r="H27" i="14"/>
  <c r="F27" i="14"/>
  <c r="E20" i="14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J127" i="14" s="1"/>
  <c r="H17" i="14"/>
  <c r="F17" i="14"/>
  <c r="J12" i="14"/>
  <c r="G13" i="14" s="1"/>
  <c r="I13" i="14" s="1"/>
  <c r="E12" i="14"/>
  <c r="E13" i="14" s="1"/>
  <c r="E14" i="14" s="1"/>
  <c r="E15" i="14" s="1"/>
  <c r="E16" i="14" s="1"/>
  <c r="E17" i="14" s="1"/>
  <c r="E18" i="14" s="1"/>
  <c r="E19" i="14" s="1"/>
  <c r="J11" i="14"/>
  <c r="G12" i="14" s="1"/>
  <c r="I12" i="14" s="1"/>
  <c r="F11" i="14"/>
  <c r="J13" i="14" l="1"/>
  <c r="H46" i="9"/>
  <c r="D46" i="9"/>
  <c r="C46" i="9"/>
  <c r="H85" i="8"/>
  <c r="D85" i="8"/>
  <c r="C85" i="8"/>
  <c r="H18" i="7"/>
  <c r="C18" i="7"/>
  <c r="H366" i="1"/>
  <c r="C366" i="1"/>
  <c r="C80" i="5"/>
  <c r="H23" i="13"/>
  <c r="C23" i="13"/>
  <c r="G14" i="14" l="1"/>
  <c r="I14" i="14" s="1"/>
  <c r="J14" i="14"/>
  <c r="C28" i="2"/>
  <c r="D365" i="1"/>
  <c r="G15" i="14" l="1"/>
  <c r="I15" i="14" s="1"/>
  <c r="J15" i="14"/>
  <c r="D22" i="13"/>
  <c r="D27" i="2"/>
  <c r="D364" i="1"/>
  <c r="D363" i="1"/>
  <c r="D362" i="1"/>
  <c r="D361" i="1"/>
  <c r="D26" i="2"/>
  <c r="D360" i="1"/>
  <c r="F148" i="1"/>
  <c r="D77" i="5"/>
  <c r="D76" i="5"/>
  <c r="D53" i="5"/>
  <c r="D71" i="1"/>
  <c r="D41" i="5"/>
  <c r="D38" i="5"/>
  <c r="D40" i="1"/>
  <c r="D25" i="5"/>
  <c r="D23" i="5"/>
  <c r="D20" i="5"/>
  <c r="D19" i="5"/>
  <c r="D31" i="1"/>
  <c r="D16" i="7"/>
  <c r="G16" i="14" l="1"/>
  <c r="I16" i="14" s="1"/>
  <c r="J16" i="14"/>
  <c r="J17" i="14" s="1"/>
  <c r="D24" i="2"/>
  <c r="D25" i="2"/>
  <c r="G18" i="14" l="1"/>
  <c r="I18" i="14" s="1"/>
  <c r="K17" i="14"/>
  <c r="L17" i="14" s="1"/>
  <c r="D359" i="1"/>
  <c r="D21" i="13"/>
  <c r="D358" i="1"/>
  <c r="D357" i="1"/>
  <c r="D356" i="1"/>
  <c r="J18" i="14" l="1"/>
  <c r="D332" i="1"/>
  <c r="D346" i="1"/>
  <c r="G19" i="14" l="1"/>
  <c r="I19" i="14" s="1"/>
  <c r="D354" i="1"/>
  <c r="D352" i="1"/>
  <c r="D351" i="1"/>
  <c r="D20" i="13"/>
  <c r="D347" i="1"/>
  <c r="D17" i="7"/>
  <c r="K19" i="14" l="1"/>
  <c r="J19" i="14"/>
  <c r="D345" i="1"/>
  <c r="D344" i="1"/>
  <c r="G20" i="14" l="1"/>
  <c r="I20" i="14" s="1"/>
  <c r="J20" i="14" s="1"/>
  <c r="D343" i="1"/>
  <c r="D342" i="1"/>
  <c r="D341" i="1"/>
  <c r="D340" i="1"/>
  <c r="D339" i="1"/>
  <c r="D338" i="1"/>
  <c r="D337" i="1"/>
  <c r="D336" i="1"/>
  <c r="D335" i="1"/>
  <c r="D334" i="1"/>
  <c r="D333" i="1"/>
  <c r="D18" i="13"/>
  <c r="D331" i="1"/>
  <c r="D330" i="1"/>
  <c r="D17" i="13"/>
  <c r="D328" i="1"/>
  <c r="D327" i="1"/>
  <c r="G21" i="14" l="1"/>
  <c r="I21" i="14" s="1"/>
  <c r="J21" i="14" s="1"/>
  <c r="K21" i="14"/>
  <c r="L21" i="14" s="1"/>
  <c r="F9" i="13"/>
  <c r="D326" i="1"/>
  <c r="D325" i="1"/>
  <c r="D324" i="1"/>
  <c r="D323" i="1"/>
  <c r="D322" i="1"/>
  <c r="D16" i="13"/>
  <c r="D15" i="13"/>
  <c r="D321" i="1"/>
  <c r="D14" i="13"/>
  <c r="D319" i="1"/>
  <c r="D317" i="1"/>
  <c r="D13" i="13"/>
  <c r="D316" i="1"/>
  <c r="D313" i="1"/>
  <c r="D311" i="1"/>
  <c r="D310" i="1"/>
  <c r="D12" i="13"/>
  <c r="D11" i="13"/>
  <c r="D10" i="13"/>
  <c r="D23" i="13" s="1"/>
  <c r="D309" i="1"/>
  <c r="D308" i="1"/>
  <c r="D307" i="1"/>
  <c r="D23" i="2"/>
  <c r="G22" i="14" l="1"/>
  <c r="I22" i="14" s="1"/>
  <c r="J22" i="14"/>
  <c r="D306" i="1"/>
  <c r="D305" i="1"/>
  <c r="D276" i="1"/>
  <c r="G23" i="14" l="1"/>
  <c r="I23" i="14" s="1"/>
  <c r="J23" i="14"/>
  <c r="D304" i="1"/>
  <c r="D303" i="1"/>
  <c r="D22" i="2"/>
  <c r="G24" i="14" l="1"/>
  <c r="I24" i="14" s="1"/>
  <c r="J24" i="14"/>
  <c r="D302" i="1"/>
  <c r="G25" i="14" l="1"/>
  <c r="I25" i="14" s="1"/>
  <c r="J25" i="14"/>
  <c r="K25" i="14"/>
  <c r="D301" i="1"/>
  <c r="D21" i="2"/>
  <c r="D300" i="1"/>
  <c r="D299" i="1"/>
  <c r="D298" i="1"/>
  <c r="D15" i="7"/>
  <c r="D296" i="1"/>
  <c r="D295" i="1"/>
  <c r="D294" i="1"/>
  <c r="D292" i="1"/>
  <c r="D291" i="1"/>
  <c r="G26" i="14" l="1"/>
  <c r="I26" i="14" s="1"/>
  <c r="K26" i="14" s="1"/>
  <c r="L26" i="14" s="1"/>
  <c r="J26" i="14"/>
  <c r="D290" i="1"/>
  <c r="D20" i="2"/>
  <c r="D289" i="1"/>
  <c r="D288" i="1"/>
  <c r="D287" i="1"/>
  <c r="D286" i="1"/>
  <c r="D285" i="1"/>
  <c r="D284" i="1"/>
  <c r="D283" i="1"/>
  <c r="D14" i="7"/>
  <c r="D282" i="1"/>
  <c r="D281" i="1"/>
  <c r="D280" i="1"/>
  <c r="D19" i="2"/>
  <c r="D279" i="1"/>
  <c r="D278" i="1"/>
  <c r="D277" i="1"/>
  <c r="J27" i="14" l="1"/>
  <c r="G28" i="14"/>
  <c r="I28" i="14" s="1"/>
  <c r="D275" i="1"/>
  <c r="D274" i="1"/>
  <c r="D273" i="1"/>
  <c r="D18" i="2"/>
  <c r="D272" i="1"/>
  <c r="D271" i="1"/>
  <c r="D270" i="1"/>
  <c r="D269" i="1"/>
  <c r="J28" i="14" l="1"/>
  <c r="D268" i="1"/>
  <c r="D267" i="1"/>
  <c r="D266" i="1"/>
  <c r="D264" i="1"/>
  <c r="D263" i="1"/>
  <c r="D261" i="1"/>
  <c r="D13" i="7"/>
  <c r="J9" i="13"/>
  <c r="E9" i="13"/>
  <c r="E10" i="13" s="1"/>
  <c r="E11" i="13" s="1"/>
  <c r="E12" i="13" s="1"/>
  <c r="E13" i="13" s="1"/>
  <c r="E14" i="13" s="1"/>
  <c r="F15" i="2"/>
  <c r="G29" i="14" l="1"/>
  <c r="I29" i="14" s="1"/>
  <c r="E15" i="13"/>
  <c r="E16" i="13" s="1"/>
  <c r="E17" i="13" s="1"/>
  <c r="E18" i="13" s="1"/>
  <c r="E19" i="13" s="1"/>
  <c r="E20" i="13" s="1"/>
  <c r="E21" i="13" s="1"/>
  <c r="E22" i="13" s="1"/>
  <c r="J26" i="13" s="1"/>
  <c r="G10" i="13"/>
  <c r="I10" i="13" s="1"/>
  <c r="D260" i="1"/>
  <c r="D259" i="1"/>
  <c r="D258" i="1"/>
  <c r="D257" i="1"/>
  <c r="D256" i="1"/>
  <c r="D255" i="1"/>
  <c r="D17" i="2"/>
  <c r="D254" i="1"/>
  <c r="D253" i="1"/>
  <c r="D252" i="1"/>
  <c r="D250" i="1"/>
  <c r="D249" i="1"/>
  <c r="D247" i="1"/>
  <c r="J29" i="14" l="1"/>
  <c r="J10" i="13"/>
  <c r="D245" i="1"/>
  <c r="D244" i="1"/>
  <c r="D243" i="1"/>
  <c r="D242" i="1"/>
  <c r="D241" i="1"/>
  <c r="D240" i="1"/>
  <c r="D239" i="1"/>
  <c r="D238" i="1"/>
  <c r="D237" i="1"/>
  <c r="G30" i="14" l="1"/>
  <c r="I30" i="14" s="1"/>
  <c r="K30" i="14" s="1"/>
  <c r="L30" i="14" s="1"/>
  <c r="G11" i="13"/>
  <c r="I11" i="13" s="1"/>
  <c r="D236" i="1"/>
  <c r="J30" i="14" l="1"/>
  <c r="J11" i="13"/>
  <c r="G12" i="13"/>
  <c r="I12" i="13" s="1"/>
  <c r="J12" i="13" s="1"/>
  <c r="D235" i="1"/>
  <c r="D234" i="1"/>
  <c r="D233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G31" i="14" l="1"/>
  <c r="I31" i="14" s="1"/>
  <c r="J31" i="14" s="1"/>
  <c r="L12" i="13"/>
  <c r="G13" i="13"/>
  <c r="I13" i="13" s="1"/>
  <c r="J13" i="13" s="1"/>
  <c r="D218" i="1"/>
  <c r="D217" i="1"/>
  <c r="D216" i="1"/>
  <c r="D215" i="1"/>
  <c r="D214" i="1"/>
  <c r="D213" i="1"/>
  <c r="D212" i="1"/>
  <c r="D211" i="1"/>
  <c r="D210" i="1"/>
  <c r="D208" i="1"/>
  <c r="G32" i="14" l="1"/>
  <c r="I32" i="14" s="1"/>
  <c r="J32" i="14" s="1"/>
  <c r="G14" i="13"/>
  <c r="I14" i="13" s="1"/>
  <c r="J14" i="13" s="1"/>
  <c r="D207" i="1"/>
  <c r="D206" i="1"/>
  <c r="D205" i="1"/>
  <c r="D204" i="1"/>
  <c r="D43" i="4"/>
  <c r="C43" i="4"/>
  <c r="G33" i="14" l="1"/>
  <c r="I33" i="14" s="1"/>
  <c r="J33" i="14"/>
  <c r="K33" i="14"/>
  <c r="L33" i="14" s="1"/>
  <c r="G15" i="13"/>
  <c r="I15" i="13" s="1"/>
  <c r="J15" i="13" s="1"/>
  <c r="D203" i="1"/>
  <c r="D201" i="1"/>
  <c r="D200" i="1"/>
  <c r="D198" i="1"/>
  <c r="D197" i="1"/>
  <c r="D196" i="1"/>
  <c r="D195" i="1"/>
  <c r="D194" i="1"/>
  <c r="D193" i="1"/>
  <c r="D192" i="1"/>
  <c r="D191" i="1"/>
  <c r="D190" i="1"/>
  <c r="D189" i="1"/>
  <c r="D187" i="1"/>
  <c r="D186" i="1"/>
  <c r="G34" i="14" l="1"/>
  <c r="I34" i="14" s="1"/>
  <c r="G16" i="13"/>
  <c r="I16" i="13" s="1"/>
  <c r="J16" i="13" s="1"/>
  <c r="G17" i="13" s="1"/>
  <c r="I17" i="13" s="1"/>
  <c r="J17" i="13" s="1"/>
  <c r="G18" i="13" s="1"/>
  <c r="I18" i="13" s="1"/>
  <c r="J18" i="13" s="1"/>
  <c r="G19" i="13" s="1"/>
  <c r="I19" i="13" s="1"/>
  <c r="J19" i="13" s="1"/>
  <c r="G20" i="13" s="1"/>
  <c r="I20" i="13" s="1"/>
  <c r="L20" i="13" s="1"/>
  <c r="D185" i="1"/>
  <c r="D184" i="1"/>
  <c r="D182" i="1"/>
  <c r="D181" i="1"/>
  <c r="D168" i="1"/>
  <c r="D180" i="1"/>
  <c r="D179" i="1"/>
  <c r="D178" i="1"/>
  <c r="C27" i="6"/>
  <c r="D24" i="6"/>
  <c r="D26" i="6"/>
  <c r="D177" i="1"/>
  <c r="D165" i="1"/>
  <c r="J34" i="14" l="1"/>
  <c r="J20" i="13"/>
  <c r="L17" i="13"/>
  <c r="M17" i="13" s="1"/>
  <c r="D176" i="1"/>
  <c r="D175" i="1"/>
  <c r="D174" i="1"/>
  <c r="D173" i="1"/>
  <c r="D172" i="1"/>
  <c r="D171" i="1"/>
  <c r="D170" i="1"/>
  <c r="D169" i="1"/>
  <c r="D167" i="1"/>
  <c r="D166" i="1"/>
  <c r="G35" i="14" l="1"/>
  <c r="I35" i="14" s="1"/>
  <c r="G21" i="13"/>
  <c r="I21" i="13" s="1"/>
  <c r="D164" i="1"/>
  <c r="D163" i="1"/>
  <c r="D161" i="1"/>
  <c r="D160" i="1"/>
  <c r="D159" i="1"/>
  <c r="D158" i="1"/>
  <c r="D157" i="1"/>
  <c r="D16" i="2"/>
  <c r="D156" i="1"/>
  <c r="D154" i="1"/>
  <c r="D153" i="1"/>
  <c r="D152" i="1"/>
  <c r="J35" i="14" l="1"/>
  <c r="J21" i="13"/>
  <c r="D151" i="1"/>
  <c r="D150" i="1"/>
  <c r="D149" i="1"/>
  <c r="D147" i="1"/>
  <c r="D146" i="1"/>
  <c r="D145" i="1"/>
  <c r="D78" i="5"/>
  <c r="D144" i="1"/>
  <c r="D143" i="1"/>
  <c r="D142" i="1"/>
  <c r="D141" i="1"/>
  <c r="D140" i="1"/>
  <c r="D139" i="1"/>
  <c r="D75" i="5"/>
  <c r="D138" i="1"/>
  <c r="D137" i="1"/>
  <c r="G36" i="14" l="1"/>
  <c r="I36" i="14" s="1"/>
  <c r="G22" i="13"/>
  <c r="I22" i="13" s="1"/>
  <c r="D136" i="1"/>
  <c r="D74" i="5"/>
  <c r="D134" i="1"/>
  <c r="D22" i="6"/>
  <c r="D73" i="5"/>
  <c r="D133" i="1"/>
  <c r="D72" i="5"/>
  <c r="D131" i="1"/>
  <c r="D130" i="1"/>
  <c r="D70" i="5"/>
  <c r="D129" i="1"/>
  <c r="D128" i="1"/>
  <c r="D127" i="1"/>
  <c r="D126" i="1"/>
  <c r="D69" i="5"/>
  <c r="D125" i="1"/>
  <c r="D68" i="5"/>
  <c r="D124" i="1"/>
  <c r="D123" i="1"/>
  <c r="D122" i="1"/>
  <c r="J36" i="14" l="1"/>
  <c r="J37" i="14" s="1"/>
  <c r="J22" i="13"/>
  <c r="J27" i="13" s="1"/>
  <c r="I23" i="13"/>
  <c r="L22" i="13"/>
  <c r="M22" i="13" s="1"/>
  <c r="M23" i="13" s="1"/>
  <c r="D119" i="1"/>
  <c r="D21" i="6"/>
  <c r="D117" i="1"/>
  <c r="D19" i="6"/>
  <c r="D116" i="1"/>
  <c r="D115" i="1"/>
  <c r="D114" i="1"/>
  <c r="D113" i="1"/>
  <c r="D112" i="1"/>
  <c r="G38" i="14" l="1"/>
  <c r="I38" i="14" s="1"/>
  <c r="J38" i="14" s="1"/>
  <c r="J28" i="13"/>
  <c r="D97" i="1"/>
  <c r="G39" i="14" l="1"/>
  <c r="I39" i="14" s="1"/>
  <c r="J39" i="14" s="1"/>
  <c r="D110" i="1"/>
  <c r="D109" i="1"/>
  <c r="D107" i="1"/>
  <c r="D106" i="1"/>
  <c r="D105" i="1"/>
  <c r="D104" i="1"/>
  <c r="D67" i="5"/>
  <c r="D103" i="1"/>
  <c r="D65" i="5"/>
  <c r="D102" i="1"/>
  <c r="D101" i="1"/>
  <c r="D100" i="1"/>
  <c r="D99" i="1"/>
  <c r="D98" i="1"/>
  <c r="D64" i="5"/>
  <c r="D96" i="1"/>
  <c r="D95" i="1"/>
  <c r="D94" i="1"/>
  <c r="D63" i="5"/>
  <c r="D93" i="1"/>
  <c r="D92" i="1"/>
  <c r="D62" i="5"/>
  <c r="D61" i="5"/>
  <c r="D91" i="1"/>
  <c r="D90" i="1"/>
  <c r="D89" i="1"/>
  <c r="D88" i="1"/>
  <c r="D87" i="1"/>
  <c r="D18" i="6"/>
  <c r="D86" i="1"/>
  <c r="D85" i="1"/>
  <c r="D84" i="1"/>
  <c r="D83" i="1"/>
  <c r="D60" i="5"/>
  <c r="G40" i="14" l="1"/>
  <c r="I40" i="14" s="1"/>
  <c r="K40" i="14" s="1"/>
  <c r="D59" i="5"/>
  <c r="D58" i="5"/>
  <c r="D57" i="5"/>
  <c r="D56" i="5"/>
  <c r="D82" i="1"/>
  <c r="D81" i="1"/>
  <c r="D17" i="6"/>
  <c r="D14" i="2"/>
  <c r="D13" i="2"/>
  <c r="D79" i="1"/>
  <c r="J40" i="14" l="1"/>
  <c r="D78" i="1"/>
  <c r="D77" i="1"/>
  <c r="D76" i="1"/>
  <c r="D75" i="1"/>
  <c r="D74" i="1"/>
  <c r="D55" i="5"/>
  <c r="D73" i="1"/>
  <c r="D72" i="1"/>
  <c r="D54" i="5"/>
  <c r="D52" i="5"/>
  <c r="D70" i="1"/>
  <c r="D69" i="1"/>
  <c r="G41" i="14" l="1"/>
  <c r="I41" i="14" s="1"/>
  <c r="J41" i="14"/>
  <c r="D51" i="5"/>
  <c r="D50" i="5"/>
  <c r="D49" i="5"/>
  <c r="D67" i="1"/>
  <c r="D66" i="1"/>
  <c r="D65" i="1"/>
  <c r="G42" i="14" l="1"/>
  <c r="I42" i="14" s="1"/>
  <c r="J42" i="14" s="1"/>
  <c r="F10" i="5"/>
  <c r="J10" i="5"/>
  <c r="F14" i="1"/>
  <c r="G43" i="14" l="1"/>
  <c r="I43" i="14" s="1"/>
  <c r="J43" i="14"/>
  <c r="D64" i="1"/>
  <c r="D16" i="6"/>
  <c r="D48" i="5"/>
  <c r="D47" i="5"/>
  <c r="D46" i="5"/>
  <c r="D63" i="1"/>
  <c r="D45" i="5"/>
  <c r="D62" i="1"/>
  <c r="D61" i="1"/>
  <c r="D60" i="1"/>
  <c r="D43" i="5"/>
  <c r="D59" i="1"/>
  <c r="D58" i="1"/>
  <c r="D57" i="1"/>
  <c r="D56" i="1"/>
  <c r="D55" i="1"/>
  <c r="G44" i="14" l="1"/>
  <c r="I44" i="14" s="1"/>
  <c r="J44" i="14" s="1"/>
  <c r="D42" i="5"/>
  <c r="D54" i="1"/>
  <c r="D52" i="1"/>
  <c r="D40" i="5"/>
  <c r="D39" i="5"/>
  <c r="D37" i="5"/>
  <c r="D51" i="1"/>
  <c r="D50" i="1"/>
  <c r="D36" i="5"/>
  <c r="D35" i="5"/>
  <c r="D34" i="5"/>
  <c r="D49" i="1"/>
  <c r="D33" i="5"/>
  <c r="D48" i="1"/>
  <c r="D31" i="5"/>
  <c r="D29" i="5"/>
  <c r="D47" i="1"/>
  <c r="D28" i="5"/>
  <c r="D27" i="5"/>
  <c r="D46" i="1"/>
  <c r="D44" i="1"/>
  <c r="D43" i="1"/>
  <c r="D42" i="1"/>
  <c r="D41" i="1"/>
  <c r="D26" i="5"/>
  <c r="D39" i="1"/>
  <c r="D32" i="1"/>
  <c r="J11" i="10"/>
  <c r="F11" i="10"/>
  <c r="E11" i="10"/>
  <c r="G45" i="14" l="1"/>
  <c r="I45" i="14" s="1"/>
  <c r="J45" i="14" s="1"/>
  <c r="J18" i="10"/>
  <c r="J17" i="10"/>
  <c r="J19" i="10" s="1"/>
  <c r="J9" i="1"/>
  <c r="G46" i="14" l="1"/>
  <c r="I46" i="14" s="1"/>
  <c r="J46" i="14" s="1"/>
  <c r="D15" i="6"/>
  <c r="D37" i="1"/>
  <c r="D36" i="1"/>
  <c r="D22" i="5"/>
  <c r="D21" i="5"/>
  <c r="D35" i="1"/>
  <c r="D34" i="1"/>
  <c r="D18" i="5"/>
  <c r="D17" i="5"/>
  <c r="D33" i="1"/>
  <c r="D16" i="5"/>
  <c r="D30" i="1"/>
  <c r="D14" i="5"/>
  <c r="D13" i="5"/>
  <c r="D12" i="5"/>
  <c r="D29" i="1"/>
  <c r="D28" i="1"/>
  <c r="D11" i="5"/>
  <c r="D27" i="1"/>
  <c r="D26" i="1"/>
  <c r="D25" i="1"/>
  <c r="G47" i="14" l="1"/>
  <c r="I47" i="14" s="1"/>
  <c r="J47" i="14" s="1"/>
  <c r="D80" i="5"/>
  <c r="F9" i="8"/>
  <c r="F9" i="7"/>
  <c r="F9" i="9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J49" i="9" s="1"/>
  <c r="J9" i="9"/>
  <c r="J9" i="8"/>
  <c r="E9" i="8"/>
  <c r="E10" i="8" s="1"/>
  <c r="E11" i="8" s="1"/>
  <c r="E12" i="8" s="1"/>
  <c r="J9" i="7"/>
  <c r="E9" i="7"/>
  <c r="H10" i="6"/>
  <c r="E10" i="6"/>
  <c r="G11" i="6" s="1"/>
  <c r="H9" i="5"/>
  <c r="E9" i="5"/>
  <c r="E10" i="5" s="1"/>
  <c r="H11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H9" i="2"/>
  <c r="E9" i="2"/>
  <c r="G10" i="2" s="1"/>
  <c r="F9" i="1"/>
  <c r="E9" i="1"/>
  <c r="G10" i="1" s="1"/>
  <c r="G48" i="14" l="1"/>
  <c r="I48" i="14" s="1"/>
  <c r="J48" i="14" s="1"/>
  <c r="F9" i="2"/>
  <c r="H28" i="2"/>
  <c r="F9" i="5"/>
  <c r="H80" i="5"/>
  <c r="G10" i="7"/>
  <c r="F11" i="4"/>
  <c r="J47" i="4" s="1"/>
  <c r="H43" i="4"/>
  <c r="F10" i="6"/>
  <c r="H27" i="6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G11" i="5"/>
  <c r="I11" i="5" s="1"/>
  <c r="G10" i="9"/>
  <c r="I10" i="9" s="1"/>
  <c r="G10" i="8"/>
  <c r="I10" i="8" s="1"/>
  <c r="G12" i="4"/>
  <c r="I12" i="4" s="1"/>
  <c r="E13" i="8"/>
  <c r="D11" i="2"/>
  <c r="D24" i="1"/>
  <c r="D23" i="1"/>
  <c r="D22" i="1"/>
  <c r="D13" i="6"/>
  <c r="D21" i="1"/>
  <c r="D20" i="1"/>
  <c r="D10" i="2"/>
  <c r="D28" i="2" s="1"/>
  <c r="D19" i="1"/>
  <c r="D12" i="7"/>
  <c r="D12" i="6"/>
  <c r="D18" i="1"/>
  <c r="D17" i="1"/>
  <c r="D11" i="6"/>
  <c r="D16" i="1"/>
  <c r="D10" i="7"/>
  <c r="D15" i="1"/>
  <c r="D13" i="1"/>
  <c r="D12" i="1"/>
  <c r="D11" i="1"/>
  <c r="D10" i="1"/>
  <c r="G49" i="14" l="1"/>
  <c r="I49" i="14" s="1"/>
  <c r="J49" i="14" s="1"/>
  <c r="I10" i="7"/>
  <c r="D18" i="7"/>
  <c r="D366" i="1"/>
  <c r="E27" i="5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J85" i="5" s="1"/>
  <c r="D27" i="6"/>
  <c r="J12" i="4"/>
  <c r="G13" i="4" s="1"/>
  <c r="I13" i="4" s="1"/>
  <c r="K12" i="4"/>
  <c r="L12" i="4" s="1"/>
  <c r="J10" i="8"/>
  <c r="G11" i="8" s="1"/>
  <c r="I11" i="8" s="1"/>
  <c r="J11" i="8" s="1"/>
  <c r="G12" i="8" s="1"/>
  <c r="I12" i="8" s="1"/>
  <c r="J10" i="9"/>
  <c r="G11" i="9" s="1"/>
  <c r="I11" i="9" s="1"/>
  <c r="K10" i="9"/>
  <c r="L10" i="9" s="1"/>
  <c r="J11" i="5"/>
  <c r="I10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I11" i="6"/>
  <c r="E11" i="6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J31" i="6" s="1"/>
  <c r="I10" i="2"/>
  <c r="E10" i="2"/>
  <c r="E11" i="2" s="1"/>
  <c r="E12" i="2" s="1"/>
  <c r="E13" i="2" s="1"/>
  <c r="E14" i="2" s="1"/>
  <c r="E10" i="7"/>
  <c r="E14" i="8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J89" i="8" s="1"/>
  <c r="J50" i="14" l="1"/>
  <c r="G50" i="14"/>
  <c r="I50" i="14" s="1"/>
  <c r="K50" i="14" s="1"/>
  <c r="L50" i="14" s="1"/>
  <c r="J10" i="7"/>
  <c r="L10" i="7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5" i="2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K31" i="2" s="1"/>
  <c r="K11" i="8"/>
  <c r="J10" i="2"/>
  <c r="G11" i="2" s="1"/>
  <c r="I11" i="2" s="1"/>
  <c r="L10" i="2"/>
  <c r="M10" i="2" s="1"/>
  <c r="J10" i="1"/>
  <c r="G11" i="1" s="1"/>
  <c r="I11" i="1" s="1"/>
  <c r="J11" i="1" s="1"/>
  <c r="J12" i="8"/>
  <c r="G13" i="8" s="1"/>
  <c r="I13" i="8" s="1"/>
  <c r="J11" i="6"/>
  <c r="G12" i="6" s="1"/>
  <c r="I12" i="6" s="1"/>
  <c r="L11" i="6"/>
  <c r="J11" i="9"/>
  <c r="G12" i="9" s="1"/>
  <c r="I12" i="9" s="1"/>
  <c r="K11" i="9"/>
  <c r="L11" i="9" s="1"/>
  <c r="J13" i="4"/>
  <c r="G14" i="4" s="1"/>
  <c r="I14" i="4" s="1"/>
  <c r="K13" i="4"/>
  <c r="L13" i="4" s="1"/>
  <c r="G12" i="5"/>
  <c r="I12" i="5" s="1"/>
  <c r="E11" i="7"/>
  <c r="E12" i="7" s="1"/>
  <c r="E13" i="7" s="1"/>
  <c r="E14" i="7" s="1"/>
  <c r="E15" i="7" s="1"/>
  <c r="E16" i="7" s="1"/>
  <c r="E17" i="7" s="1"/>
  <c r="J23" i="7" s="1"/>
  <c r="G11" i="7"/>
  <c r="I11" i="7" s="1"/>
  <c r="G51" i="14" l="1"/>
  <c r="I51" i="14" s="1"/>
  <c r="J51" i="14"/>
  <c r="E148" i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J369" i="1" s="1"/>
  <c r="J11" i="7"/>
  <c r="G12" i="7" s="1"/>
  <c r="I12" i="7" s="1"/>
  <c r="J13" i="8"/>
  <c r="G14" i="8" s="1"/>
  <c r="I14" i="8" s="1"/>
  <c r="J14" i="8" s="1"/>
  <c r="G15" i="8" s="1"/>
  <c r="I15" i="8" s="1"/>
  <c r="J15" i="8" s="1"/>
  <c r="G16" i="8" s="1"/>
  <c r="I16" i="8" s="1"/>
  <c r="J16" i="8" s="1"/>
  <c r="J12" i="5"/>
  <c r="G13" i="5" s="1"/>
  <c r="I13" i="5" s="1"/>
  <c r="J13" i="5" s="1"/>
  <c r="J12" i="9"/>
  <c r="G13" i="9" s="1"/>
  <c r="I13" i="9" s="1"/>
  <c r="K12" i="9"/>
  <c r="J12" i="6"/>
  <c r="G13" i="6" s="1"/>
  <c r="I13" i="6" s="1"/>
  <c r="L12" i="6"/>
  <c r="M12" i="6" s="1"/>
  <c r="J11" i="2"/>
  <c r="G12" i="2" s="1"/>
  <c r="I12" i="2" s="1"/>
  <c r="L11" i="2"/>
  <c r="J14" i="4"/>
  <c r="G15" i="4" s="1"/>
  <c r="I15" i="4" s="1"/>
  <c r="G12" i="1"/>
  <c r="I12" i="1" s="1"/>
  <c r="G52" i="14" l="1"/>
  <c r="I52" i="14" s="1"/>
  <c r="J52" i="14"/>
  <c r="L12" i="7"/>
  <c r="M12" i="7" s="1"/>
  <c r="G17" i="8"/>
  <c r="I17" i="8" s="1"/>
  <c r="J15" i="4"/>
  <c r="G16" i="4" s="1"/>
  <c r="I16" i="4" s="1"/>
  <c r="J16" i="4" s="1"/>
  <c r="G17" i="4" s="1"/>
  <c r="I17" i="4" s="1"/>
  <c r="J17" i="4" s="1"/>
  <c r="G18" i="4" s="1"/>
  <c r="I18" i="4" s="1"/>
  <c r="J18" i="4" s="1"/>
  <c r="G19" i="4" s="1"/>
  <c r="I19" i="4" s="1"/>
  <c r="J19" i="4" s="1"/>
  <c r="G20" i="4" s="1"/>
  <c r="I20" i="4" s="1"/>
  <c r="J20" i="4" s="1"/>
  <c r="G21" i="4" s="1"/>
  <c r="I21" i="4" s="1"/>
  <c r="J21" i="4" s="1"/>
  <c r="G22" i="4" s="1"/>
  <c r="I22" i="4" s="1"/>
  <c r="J12" i="1"/>
  <c r="G13" i="1" s="1"/>
  <c r="I13" i="1" s="1"/>
  <c r="J13" i="1" s="1"/>
  <c r="J14" i="1" s="1"/>
  <c r="G15" i="1" s="1"/>
  <c r="J13" i="9"/>
  <c r="K13" i="9"/>
  <c r="L13" i="9" s="1"/>
  <c r="J13" i="6"/>
  <c r="G14" i="6" s="1"/>
  <c r="I14" i="6" s="1"/>
  <c r="J14" i="6" s="1"/>
  <c r="G15" i="6" s="1"/>
  <c r="I15" i="6" s="1"/>
  <c r="K16" i="8"/>
  <c r="L16" i="8" s="1"/>
  <c r="J12" i="2"/>
  <c r="G13" i="2" s="1"/>
  <c r="I13" i="2" s="1"/>
  <c r="L12" i="2"/>
  <c r="M12" i="2" s="1"/>
  <c r="J12" i="7"/>
  <c r="G14" i="5"/>
  <c r="I14" i="5" s="1"/>
  <c r="G53" i="14" l="1"/>
  <c r="I53" i="14" s="1"/>
  <c r="J53" i="14" s="1"/>
  <c r="G13" i="7"/>
  <c r="I13" i="7" s="1"/>
  <c r="J14" i="5"/>
  <c r="G15" i="5" s="1"/>
  <c r="I15" i="5" s="1"/>
  <c r="J15" i="5" s="1"/>
  <c r="G16" i="5" s="1"/>
  <c r="I16" i="5" s="1"/>
  <c r="J16" i="5" s="1"/>
  <c r="J17" i="8"/>
  <c r="J13" i="2"/>
  <c r="G14" i="2" s="1"/>
  <c r="I14" i="2" s="1"/>
  <c r="J14" i="2" s="1"/>
  <c r="L14" i="6"/>
  <c r="M14" i="6" s="1"/>
  <c r="K21" i="4"/>
  <c r="L21" i="4" s="1"/>
  <c r="J22" i="4"/>
  <c r="G23" i="4" s="1"/>
  <c r="I23" i="4" s="1"/>
  <c r="J23" i="4" s="1"/>
  <c r="G24" i="4" s="1"/>
  <c r="I24" i="4" s="1"/>
  <c r="J24" i="4" s="1"/>
  <c r="G25" i="4" s="1"/>
  <c r="I25" i="4" s="1"/>
  <c r="J25" i="4" s="1"/>
  <c r="G26" i="4" s="1"/>
  <c r="I26" i="4" s="1"/>
  <c r="J15" i="6"/>
  <c r="G16" i="6" s="1"/>
  <c r="I16" i="6" s="1"/>
  <c r="L15" i="6"/>
  <c r="M15" i="6" s="1"/>
  <c r="G14" i="9"/>
  <c r="I14" i="9" s="1"/>
  <c r="K14" i="9" s="1"/>
  <c r="I15" i="1"/>
  <c r="J15" i="1" s="1"/>
  <c r="G16" i="1" s="1"/>
  <c r="I16" i="1" s="1"/>
  <c r="G54" i="14" l="1"/>
  <c r="I54" i="14" s="1"/>
  <c r="J54" i="14"/>
  <c r="J13" i="7"/>
  <c r="L13" i="7"/>
  <c r="M13" i="7" s="1"/>
  <c r="J15" i="2"/>
  <c r="G16" i="2" s="1"/>
  <c r="I16" i="2" s="1"/>
  <c r="G14" i="7"/>
  <c r="I14" i="7" s="1"/>
  <c r="G18" i="8"/>
  <c r="I18" i="8" s="1"/>
  <c r="J18" i="8" s="1"/>
  <c r="G19" i="8" s="1"/>
  <c r="I19" i="8" s="1"/>
  <c r="J19" i="8" s="1"/>
  <c r="G20" i="8" s="1"/>
  <c r="I20" i="8" s="1"/>
  <c r="J20" i="8" s="1"/>
  <c r="L14" i="2"/>
  <c r="M14" i="2" s="1"/>
  <c r="K25" i="4"/>
  <c r="J26" i="4"/>
  <c r="G27" i="4" s="1"/>
  <c r="I27" i="4" s="1"/>
  <c r="J27" i="4" s="1"/>
  <c r="G28" i="4" s="1"/>
  <c r="I28" i="4" s="1"/>
  <c r="J28" i="4" s="1"/>
  <c r="G29" i="4" s="1"/>
  <c r="I29" i="4" s="1"/>
  <c r="J29" i="4" s="1"/>
  <c r="G30" i="4" s="1"/>
  <c r="I30" i="4" s="1"/>
  <c r="J30" i="4" s="1"/>
  <c r="G31" i="4" s="1"/>
  <c r="I31" i="4" s="1"/>
  <c r="J14" i="9"/>
  <c r="G15" i="9" s="1"/>
  <c r="I15" i="9" s="1"/>
  <c r="J16" i="6"/>
  <c r="G17" i="6" s="1"/>
  <c r="I17" i="6" s="1"/>
  <c r="L16" i="6"/>
  <c r="M16" i="6" s="1"/>
  <c r="G17" i="5"/>
  <c r="I17" i="5" s="1"/>
  <c r="J17" i="5" s="1"/>
  <c r="J16" i="1"/>
  <c r="G17" i="1" s="1"/>
  <c r="I17" i="1" s="1"/>
  <c r="L17" i="1" s="1"/>
  <c r="G55" i="14" l="1"/>
  <c r="I55" i="14" s="1"/>
  <c r="K55" i="14" s="1"/>
  <c r="J55" i="14"/>
  <c r="J14" i="7"/>
  <c r="L14" i="7"/>
  <c r="G15" i="7"/>
  <c r="I15" i="7" s="1"/>
  <c r="J16" i="2"/>
  <c r="G17" i="2" s="1"/>
  <c r="I17" i="2" s="1"/>
  <c r="L17" i="2" s="1"/>
  <c r="L16" i="2"/>
  <c r="M16" i="2" s="1"/>
  <c r="G21" i="8"/>
  <c r="I21" i="8" s="1"/>
  <c r="J21" i="8" s="1"/>
  <c r="K18" i="8"/>
  <c r="J31" i="4"/>
  <c r="G32" i="4" s="1"/>
  <c r="I32" i="4" s="1"/>
  <c r="J32" i="4" s="1"/>
  <c r="G33" i="4" s="1"/>
  <c r="I33" i="4" s="1"/>
  <c r="J33" i="4" s="1"/>
  <c r="G34" i="4" s="1"/>
  <c r="I34" i="4" s="1"/>
  <c r="J34" i="4" s="1"/>
  <c r="G35" i="4" s="1"/>
  <c r="I35" i="4" s="1"/>
  <c r="J35" i="4" s="1"/>
  <c r="K30" i="4"/>
  <c r="L30" i="4" s="1"/>
  <c r="J17" i="6"/>
  <c r="K19" i="8"/>
  <c r="L19" i="8" s="1"/>
  <c r="J15" i="9"/>
  <c r="G16" i="9" s="1"/>
  <c r="I16" i="9" s="1"/>
  <c r="J16" i="9" s="1"/>
  <c r="G17" i="9" s="1"/>
  <c r="I17" i="9" s="1"/>
  <c r="J17" i="9" s="1"/>
  <c r="G18" i="9" s="1"/>
  <c r="I18" i="9" s="1"/>
  <c r="G18" i="5"/>
  <c r="I18" i="5" s="1"/>
  <c r="J18" i="5" s="1"/>
  <c r="J17" i="1"/>
  <c r="G18" i="1" s="1"/>
  <c r="I18" i="1" s="1"/>
  <c r="G56" i="14" l="1"/>
  <c r="I56" i="14" s="1"/>
  <c r="J15" i="7"/>
  <c r="G16" i="7" s="1"/>
  <c r="I16" i="7" s="1"/>
  <c r="L15" i="7"/>
  <c r="M15" i="7" s="1"/>
  <c r="J17" i="2"/>
  <c r="G18" i="2" s="1"/>
  <c r="I18" i="2" s="1"/>
  <c r="G22" i="8"/>
  <c r="I22" i="8" s="1"/>
  <c r="J22" i="8" s="1"/>
  <c r="G18" i="6"/>
  <c r="I18" i="6" s="1"/>
  <c r="L18" i="6" s="1"/>
  <c r="J18" i="9"/>
  <c r="G19" i="9" s="1"/>
  <c r="I19" i="9" s="1"/>
  <c r="J19" i="9" s="1"/>
  <c r="K17" i="9"/>
  <c r="L17" i="9" s="1"/>
  <c r="G36" i="4"/>
  <c r="I36" i="4" s="1"/>
  <c r="J36" i="4" s="1"/>
  <c r="G19" i="5"/>
  <c r="I19" i="5" s="1"/>
  <c r="J19" i="5" s="1"/>
  <c r="J18" i="1"/>
  <c r="G19" i="1" s="1"/>
  <c r="I19" i="1" s="1"/>
  <c r="L19" i="1" s="1"/>
  <c r="M19" i="1" s="1"/>
  <c r="J56" i="14" l="1"/>
  <c r="J16" i="7"/>
  <c r="L16" i="7"/>
  <c r="M16" i="7" s="1"/>
  <c r="J18" i="2"/>
  <c r="G19" i="2" s="1"/>
  <c r="I19" i="2" s="1"/>
  <c r="L18" i="2"/>
  <c r="M18" i="2" s="1"/>
  <c r="G23" i="8"/>
  <c r="I23" i="8" s="1"/>
  <c r="J23" i="8" s="1"/>
  <c r="G24" i="8" s="1"/>
  <c r="I24" i="8" s="1"/>
  <c r="J24" i="8" s="1"/>
  <c r="K19" i="9"/>
  <c r="J18" i="6"/>
  <c r="G19" i="6" s="1"/>
  <c r="I19" i="6" s="1"/>
  <c r="G37" i="4"/>
  <c r="I37" i="4" s="1"/>
  <c r="J37" i="4" s="1"/>
  <c r="G20" i="9"/>
  <c r="I20" i="9" s="1"/>
  <c r="G20" i="5"/>
  <c r="I20" i="5" s="1"/>
  <c r="J20" i="5" s="1"/>
  <c r="J19" i="1"/>
  <c r="G20" i="1" s="1"/>
  <c r="I20" i="1" s="1"/>
  <c r="G57" i="14" l="1"/>
  <c r="I57" i="14" s="1"/>
  <c r="J57" i="14" s="1"/>
  <c r="G17" i="7"/>
  <c r="I17" i="7" s="1"/>
  <c r="J19" i="2"/>
  <c r="G20" i="2" s="1"/>
  <c r="I20" i="2" s="1"/>
  <c r="L19" i="2"/>
  <c r="G25" i="8"/>
  <c r="I25" i="8" s="1"/>
  <c r="J25" i="8" s="1"/>
  <c r="G26" i="8" s="1"/>
  <c r="I26" i="8" s="1"/>
  <c r="J26" i="8" s="1"/>
  <c r="G27" i="8" s="1"/>
  <c r="I27" i="8" s="1"/>
  <c r="J27" i="8" s="1"/>
  <c r="J20" i="9"/>
  <c r="G21" i="9" s="1"/>
  <c r="I21" i="9" s="1"/>
  <c r="K20" i="9"/>
  <c r="L20" i="9" s="1"/>
  <c r="J19" i="6"/>
  <c r="G20" i="6" s="1"/>
  <c r="I20" i="6" s="1"/>
  <c r="L19" i="6"/>
  <c r="M19" i="6" s="1"/>
  <c r="K23" i="8"/>
  <c r="L23" i="8" s="1"/>
  <c r="G38" i="4"/>
  <c r="I38" i="4" s="1"/>
  <c r="G21" i="5"/>
  <c r="I21" i="5" s="1"/>
  <c r="J21" i="5" s="1"/>
  <c r="J20" i="1"/>
  <c r="G21" i="1" s="1"/>
  <c r="I21" i="1" s="1"/>
  <c r="G58" i="14" l="1"/>
  <c r="I58" i="14" s="1"/>
  <c r="J58" i="14"/>
  <c r="L17" i="7"/>
  <c r="M17" i="7" s="1"/>
  <c r="M18" i="7" s="1"/>
  <c r="I18" i="7"/>
  <c r="J17" i="7"/>
  <c r="J24" i="7" s="1"/>
  <c r="J25" i="7" s="1"/>
  <c r="J20" i="2"/>
  <c r="G21" i="2" s="1"/>
  <c r="I21" i="2" s="1"/>
  <c r="J21" i="2" s="1"/>
  <c r="G22" i="2" s="1"/>
  <c r="I22" i="2" s="1"/>
  <c r="J22" i="2" s="1"/>
  <c r="G23" i="2" s="1"/>
  <c r="I23" i="2" s="1"/>
  <c r="J23" i="2" s="1"/>
  <c r="G24" i="2" s="1"/>
  <c r="I24" i="2" s="1"/>
  <c r="G28" i="8"/>
  <c r="I28" i="8" s="1"/>
  <c r="J28" i="8" s="1"/>
  <c r="G29" i="8" s="1"/>
  <c r="I29" i="8" s="1"/>
  <c r="J21" i="9"/>
  <c r="G22" i="9" s="1"/>
  <c r="I22" i="9" s="1"/>
  <c r="J22" i="9" s="1"/>
  <c r="G23" i="9" s="1"/>
  <c r="I23" i="9" s="1"/>
  <c r="J23" i="9" s="1"/>
  <c r="G24" i="9" s="1"/>
  <c r="I24" i="9" s="1"/>
  <c r="J38" i="4"/>
  <c r="G39" i="4" s="1"/>
  <c r="I39" i="4" s="1"/>
  <c r="K38" i="4"/>
  <c r="J20" i="6"/>
  <c r="G21" i="6" s="1"/>
  <c r="I21" i="6" s="1"/>
  <c r="J21" i="6" s="1"/>
  <c r="G22" i="6" s="1"/>
  <c r="I22" i="6" s="1"/>
  <c r="G22" i="5"/>
  <c r="I22" i="5" s="1"/>
  <c r="J21" i="1"/>
  <c r="G22" i="1" s="1"/>
  <c r="I22" i="1" s="1"/>
  <c r="G59" i="14" l="1"/>
  <c r="I59" i="14" s="1"/>
  <c r="J24" i="2"/>
  <c r="G25" i="2" s="1"/>
  <c r="I25" i="2" s="1"/>
  <c r="L24" i="2"/>
  <c r="L23" i="2"/>
  <c r="M23" i="2" s="1"/>
  <c r="J29" i="8"/>
  <c r="K23" i="9"/>
  <c r="L23" i="9" s="1"/>
  <c r="J24" i="9"/>
  <c r="G25" i="9" s="1"/>
  <c r="I25" i="9" s="1"/>
  <c r="K24" i="9"/>
  <c r="J39" i="4"/>
  <c r="G40" i="4" s="1"/>
  <c r="I40" i="4" s="1"/>
  <c r="K39" i="4"/>
  <c r="L39" i="4" s="1"/>
  <c r="J22" i="6"/>
  <c r="G23" i="6" s="1"/>
  <c r="I23" i="6" s="1"/>
  <c r="J23" i="6" s="1"/>
  <c r="G24" i="6" s="1"/>
  <c r="I24" i="6" s="1"/>
  <c r="L21" i="6"/>
  <c r="J22" i="5"/>
  <c r="J22" i="1"/>
  <c r="G23" i="1" s="1"/>
  <c r="I23" i="1" s="1"/>
  <c r="L23" i="1" s="1"/>
  <c r="M23" i="1" s="1"/>
  <c r="J59" i="14" l="1"/>
  <c r="J25" i="2"/>
  <c r="G26" i="2" s="1"/>
  <c r="I26" i="2" s="1"/>
  <c r="J26" i="2" s="1"/>
  <c r="G27" i="2" s="1"/>
  <c r="I27" i="2" s="1"/>
  <c r="L27" i="2"/>
  <c r="M27" i="2" s="1"/>
  <c r="M28" i="2" s="1"/>
  <c r="G30" i="8"/>
  <c r="I30" i="8" s="1"/>
  <c r="K30" i="8" s="1"/>
  <c r="J40" i="4"/>
  <c r="G41" i="4" s="1"/>
  <c r="I41" i="4" s="1"/>
  <c r="J41" i="4" s="1"/>
  <c r="J25" i="9"/>
  <c r="G26" i="9" s="1"/>
  <c r="I26" i="9" s="1"/>
  <c r="J26" i="9" s="1"/>
  <c r="G27" i="9" s="1"/>
  <c r="I27" i="9" s="1"/>
  <c r="L23" i="6"/>
  <c r="M23" i="6" s="1"/>
  <c r="J24" i="6"/>
  <c r="G23" i="5"/>
  <c r="I23" i="5" s="1"/>
  <c r="J23" i="5" s="1"/>
  <c r="J23" i="1"/>
  <c r="G24" i="1" s="1"/>
  <c r="I24" i="1" s="1"/>
  <c r="L24" i="1" s="1"/>
  <c r="G60" i="14" l="1"/>
  <c r="I60" i="14" s="1"/>
  <c r="J60" i="14" s="1"/>
  <c r="J27" i="2"/>
  <c r="K32" i="2" s="1"/>
  <c r="K33" i="2" s="1"/>
  <c r="I28" i="2"/>
  <c r="J27" i="9"/>
  <c r="G28" i="9" s="1"/>
  <c r="I28" i="9" s="1"/>
  <c r="K27" i="9"/>
  <c r="K26" i="9"/>
  <c r="L26" i="9" s="1"/>
  <c r="J30" i="8"/>
  <c r="G25" i="6"/>
  <c r="I25" i="6" s="1"/>
  <c r="L25" i="6" s="1"/>
  <c r="G42" i="4"/>
  <c r="I42" i="4" s="1"/>
  <c r="G24" i="5"/>
  <c r="I24" i="5" s="1"/>
  <c r="J24" i="1"/>
  <c r="G25" i="1" s="1"/>
  <c r="I25" i="1" s="1"/>
  <c r="G61" i="14" l="1"/>
  <c r="I61" i="14" s="1"/>
  <c r="J61" i="14"/>
  <c r="G31" i="8"/>
  <c r="I31" i="8" s="1"/>
  <c r="J31" i="8" s="1"/>
  <c r="G32" i="8" s="1"/>
  <c r="I32" i="8" s="1"/>
  <c r="J32" i="8" s="1"/>
  <c r="J28" i="9"/>
  <c r="G29" i="9" s="1"/>
  <c r="I29" i="9" s="1"/>
  <c r="J29" i="9" s="1"/>
  <c r="G30" i="9" s="1"/>
  <c r="I30" i="9" s="1"/>
  <c r="J42" i="4"/>
  <c r="J48" i="4" s="1"/>
  <c r="J49" i="4" s="1"/>
  <c r="I43" i="4"/>
  <c r="K42" i="4"/>
  <c r="L42" i="4" s="1"/>
  <c r="L43" i="4" s="1"/>
  <c r="J25" i="6"/>
  <c r="G26" i="6" s="1"/>
  <c r="I26" i="6" s="1"/>
  <c r="J24" i="5"/>
  <c r="G25" i="5" s="1"/>
  <c r="I25" i="5" s="1"/>
  <c r="J25" i="1"/>
  <c r="G26" i="1" s="1"/>
  <c r="I26" i="1" s="1"/>
  <c r="G62" i="14" l="1"/>
  <c r="I62" i="14" s="1"/>
  <c r="J62" i="14" s="1"/>
  <c r="K29" i="9"/>
  <c r="L29" i="9" s="1"/>
  <c r="J30" i="9"/>
  <c r="G31" i="9" s="1"/>
  <c r="I31" i="9" s="1"/>
  <c r="K30" i="9"/>
  <c r="G33" i="8"/>
  <c r="I33" i="8" s="1"/>
  <c r="J33" i="8" s="1"/>
  <c r="J26" i="6"/>
  <c r="J32" i="6" s="1"/>
  <c r="J33" i="6" s="1"/>
  <c r="L26" i="6"/>
  <c r="M26" i="6" s="1"/>
  <c r="M27" i="6" s="1"/>
  <c r="I27" i="6"/>
  <c r="J25" i="5"/>
  <c r="G26" i="5" s="1"/>
  <c r="I26" i="5" s="1"/>
  <c r="J26" i="1"/>
  <c r="G27" i="1" s="1"/>
  <c r="I27" i="1" s="1"/>
  <c r="G63" i="14" l="1"/>
  <c r="I63" i="14" s="1"/>
  <c r="J63" i="14" s="1"/>
  <c r="J31" i="9"/>
  <c r="G32" i="9" s="1"/>
  <c r="I32" i="9" s="1"/>
  <c r="K31" i="9"/>
  <c r="L31" i="9" s="1"/>
  <c r="G34" i="8"/>
  <c r="I34" i="8" s="1"/>
  <c r="J26" i="5"/>
  <c r="J27" i="1"/>
  <c r="G28" i="1" s="1"/>
  <c r="I28" i="1" s="1"/>
  <c r="G64" i="14" l="1"/>
  <c r="I64" i="14" s="1"/>
  <c r="K64" i="14" s="1"/>
  <c r="L64" i="14" s="1"/>
  <c r="G27" i="5"/>
  <c r="I27" i="5" s="1"/>
  <c r="J27" i="5" s="1"/>
  <c r="J32" i="9"/>
  <c r="G33" i="9" s="1"/>
  <c r="I33" i="9" s="1"/>
  <c r="J33" i="9" s="1"/>
  <c r="J34" i="8"/>
  <c r="G35" i="8" s="1"/>
  <c r="I35" i="8" s="1"/>
  <c r="J35" i="8" s="1"/>
  <c r="G36" i="8" s="1"/>
  <c r="I36" i="8" s="1"/>
  <c r="J28" i="1"/>
  <c r="G29" i="1" s="1"/>
  <c r="I29" i="1" s="1"/>
  <c r="J64" i="14" l="1"/>
  <c r="K33" i="9"/>
  <c r="G34" i="9"/>
  <c r="I34" i="9" s="1"/>
  <c r="K35" i="8"/>
  <c r="L35" i="8" s="1"/>
  <c r="J36" i="8"/>
  <c r="K36" i="8"/>
  <c r="J29" i="1"/>
  <c r="G30" i="1" s="1"/>
  <c r="I30" i="1" s="1"/>
  <c r="G65" i="14" l="1"/>
  <c r="I65" i="14" s="1"/>
  <c r="J34" i="9"/>
  <c r="G35" i="9" s="1"/>
  <c r="I35" i="9" s="1"/>
  <c r="K34" i="9"/>
  <c r="L34" i="9" s="1"/>
  <c r="G37" i="8"/>
  <c r="I37" i="8" s="1"/>
  <c r="J37" i="8" s="1"/>
  <c r="J30" i="1"/>
  <c r="G31" i="1" s="1"/>
  <c r="I31" i="1" s="1"/>
  <c r="J65" i="14" l="1"/>
  <c r="J35" i="9"/>
  <c r="G36" i="9" s="1"/>
  <c r="I36" i="9" s="1"/>
  <c r="J36" i="9" s="1"/>
  <c r="G38" i="8"/>
  <c r="I38" i="8" s="1"/>
  <c r="J38" i="8" s="1"/>
  <c r="G39" i="8" s="1"/>
  <c r="I39" i="8" s="1"/>
  <c r="J39" i="8" s="1"/>
  <c r="G40" i="8" s="1"/>
  <c r="I40" i="8" s="1"/>
  <c r="G28" i="5"/>
  <c r="I28" i="5" s="1"/>
  <c r="L28" i="5" s="1"/>
  <c r="M28" i="5" s="1"/>
  <c r="J31" i="1"/>
  <c r="G32" i="1" s="1"/>
  <c r="I32" i="1" s="1"/>
  <c r="G66" i="14" l="1"/>
  <c r="I66" i="14" s="1"/>
  <c r="G37" i="9"/>
  <c r="I37" i="9" s="1"/>
  <c r="J37" i="9" s="1"/>
  <c r="J40" i="8"/>
  <c r="K39" i="8"/>
  <c r="L39" i="8" s="1"/>
  <c r="J28" i="5"/>
  <c r="J32" i="1"/>
  <c r="G33" i="1" s="1"/>
  <c r="I33" i="1" s="1"/>
  <c r="J66" i="14" l="1"/>
  <c r="K37" i="9"/>
  <c r="G41" i="8"/>
  <c r="I41" i="8" s="1"/>
  <c r="G38" i="9"/>
  <c r="I38" i="9" s="1"/>
  <c r="G29" i="5"/>
  <c r="I29" i="5" s="1"/>
  <c r="J33" i="1"/>
  <c r="G34" i="1" s="1"/>
  <c r="I34" i="1" s="1"/>
  <c r="G67" i="14" l="1"/>
  <c r="I67" i="14" s="1"/>
  <c r="J67" i="14"/>
  <c r="J38" i="9"/>
  <c r="G39" i="9" s="1"/>
  <c r="I39" i="9" s="1"/>
  <c r="J39" i="9" s="1"/>
  <c r="J41" i="8"/>
  <c r="J29" i="5"/>
  <c r="J34" i="1"/>
  <c r="G35" i="1" s="1"/>
  <c r="I35" i="1" s="1"/>
  <c r="G68" i="14" l="1"/>
  <c r="I68" i="14" s="1"/>
  <c r="J68" i="14" s="1"/>
  <c r="K68" i="14"/>
  <c r="K39" i="9"/>
  <c r="L39" i="9" s="1"/>
  <c r="G40" i="9"/>
  <c r="I40" i="9" s="1"/>
  <c r="G42" i="8"/>
  <c r="I42" i="8" s="1"/>
  <c r="J42" i="8" s="1"/>
  <c r="G30" i="5"/>
  <c r="I30" i="5" s="1"/>
  <c r="J35" i="1"/>
  <c r="G36" i="1" s="1"/>
  <c r="I36" i="1" s="1"/>
  <c r="G69" i="14" l="1"/>
  <c r="I69" i="14" s="1"/>
  <c r="J40" i="9"/>
  <c r="G43" i="8"/>
  <c r="I43" i="8" s="1"/>
  <c r="J43" i="8" s="1"/>
  <c r="G41" i="9"/>
  <c r="I41" i="9" s="1"/>
  <c r="J41" i="9" s="1"/>
  <c r="J30" i="5"/>
  <c r="J36" i="1"/>
  <c r="G37" i="1" s="1"/>
  <c r="I37" i="1" s="1"/>
  <c r="J69" i="14" l="1"/>
  <c r="K43" i="8"/>
  <c r="G42" i="9"/>
  <c r="I42" i="9" s="1"/>
  <c r="J42" i="9" s="1"/>
  <c r="G44" i="8"/>
  <c r="I44" i="8" s="1"/>
  <c r="J44" i="8" s="1"/>
  <c r="G31" i="5"/>
  <c r="I31" i="5" s="1"/>
  <c r="J37" i="1"/>
  <c r="G38" i="1" s="1"/>
  <c r="I38" i="1" s="1"/>
  <c r="G70" i="14" l="1"/>
  <c r="I70" i="14" s="1"/>
  <c r="J70" i="14"/>
  <c r="K42" i="9"/>
  <c r="G43" i="9"/>
  <c r="I43" i="9" s="1"/>
  <c r="G45" i="8"/>
  <c r="I45" i="8" s="1"/>
  <c r="J45" i="8" s="1"/>
  <c r="J31" i="5"/>
  <c r="J38" i="1"/>
  <c r="G39" i="1" s="1"/>
  <c r="I39" i="1" s="1"/>
  <c r="G71" i="14" l="1"/>
  <c r="I71" i="14" s="1"/>
  <c r="J71" i="14" s="1"/>
  <c r="J43" i="9"/>
  <c r="G44" i="9" s="1"/>
  <c r="I44" i="9" s="1"/>
  <c r="J44" i="9" s="1"/>
  <c r="G45" i="9" s="1"/>
  <c r="I45" i="9" s="1"/>
  <c r="G46" i="8"/>
  <c r="I46" i="8" s="1"/>
  <c r="J46" i="8" s="1"/>
  <c r="G47" i="8" s="1"/>
  <c r="I47" i="8" s="1"/>
  <c r="J47" i="8" s="1"/>
  <c r="G32" i="5"/>
  <c r="I32" i="5" s="1"/>
  <c r="J39" i="1"/>
  <c r="G72" i="14" l="1"/>
  <c r="I72" i="14" s="1"/>
  <c r="J72" i="14"/>
  <c r="J45" i="9"/>
  <c r="J50" i="9" s="1"/>
  <c r="J51" i="9" s="1"/>
  <c r="I46" i="9"/>
  <c r="K45" i="9"/>
  <c r="L45" i="9" s="1"/>
  <c r="L46" i="9" s="1"/>
  <c r="G40" i="1"/>
  <c r="I40" i="1" s="1"/>
  <c r="J40" i="1" s="1"/>
  <c r="G48" i="8"/>
  <c r="I48" i="8" s="1"/>
  <c r="K47" i="8"/>
  <c r="L47" i="8" s="1"/>
  <c r="J32" i="5"/>
  <c r="G73" i="14" l="1"/>
  <c r="I73" i="14" s="1"/>
  <c r="J73" i="14"/>
  <c r="G41" i="1"/>
  <c r="I41" i="1" s="1"/>
  <c r="J41" i="1" s="1"/>
  <c r="J48" i="8"/>
  <c r="G33" i="5"/>
  <c r="I33" i="5" s="1"/>
  <c r="G74" i="14" l="1"/>
  <c r="I74" i="14" s="1"/>
  <c r="J74" i="14"/>
  <c r="G42" i="1"/>
  <c r="I42" i="1" s="1"/>
  <c r="J42" i="1" s="1"/>
  <c r="G49" i="8"/>
  <c r="I49" i="8" s="1"/>
  <c r="J49" i="8" s="1"/>
  <c r="J33" i="5"/>
  <c r="G75" i="14" l="1"/>
  <c r="I75" i="14" s="1"/>
  <c r="J75" i="14"/>
  <c r="G43" i="1"/>
  <c r="I43" i="1" s="1"/>
  <c r="J43" i="1" s="1"/>
  <c r="G50" i="8"/>
  <c r="I50" i="8" s="1"/>
  <c r="J50" i="8" s="1"/>
  <c r="G51" i="8" s="1"/>
  <c r="I51" i="8" s="1"/>
  <c r="G34" i="5"/>
  <c r="I34" i="5" s="1"/>
  <c r="G76" i="14" l="1"/>
  <c r="I76" i="14" s="1"/>
  <c r="J76" i="14"/>
  <c r="G44" i="1"/>
  <c r="I44" i="1" s="1"/>
  <c r="J44" i="1" s="1"/>
  <c r="J51" i="8"/>
  <c r="G52" i="8" s="1"/>
  <c r="I52" i="8" s="1"/>
  <c r="J52" i="8" s="1"/>
  <c r="J34" i="5"/>
  <c r="G77" i="14" l="1"/>
  <c r="I77" i="14" s="1"/>
  <c r="K77" i="14" s="1"/>
  <c r="L77" i="14" s="1"/>
  <c r="J77" i="14"/>
  <c r="G45" i="1"/>
  <c r="I45" i="1" s="1"/>
  <c r="J45" i="1" s="1"/>
  <c r="G53" i="8"/>
  <c r="I53" i="8" s="1"/>
  <c r="K53" i="8" s="1"/>
  <c r="G35" i="5"/>
  <c r="I35" i="5" s="1"/>
  <c r="G78" i="14" l="1"/>
  <c r="I78" i="14" s="1"/>
  <c r="G46" i="1"/>
  <c r="I46" i="1" s="1"/>
  <c r="L46" i="1" s="1"/>
  <c r="M46" i="1" s="1"/>
  <c r="J53" i="8"/>
  <c r="J35" i="5"/>
  <c r="J78" i="14" l="1"/>
  <c r="J46" i="1"/>
  <c r="G54" i="8"/>
  <c r="I54" i="8" s="1"/>
  <c r="K54" i="8" s="1"/>
  <c r="L54" i="8" s="1"/>
  <c r="G36" i="5"/>
  <c r="I36" i="5" s="1"/>
  <c r="G79" i="14" l="1"/>
  <c r="I79" i="14" s="1"/>
  <c r="G47" i="1"/>
  <c r="I47" i="1" s="1"/>
  <c r="J47" i="1" s="1"/>
  <c r="J54" i="8"/>
  <c r="J36" i="5"/>
  <c r="J79" i="14" l="1"/>
  <c r="G48" i="1"/>
  <c r="I48" i="1" s="1"/>
  <c r="J48" i="1" s="1"/>
  <c r="G55" i="8"/>
  <c r="I55" i="8" s="1"/>
  <c r="J55" i="8" s="1"/>
  <c r="G37" i="5"/>
  <c r="I37" i="5" s="1"/>
  <c r="G80" i="14" l="1"/>
  <c r="I80" i="14" s="1"/>
  <c r="G49" i="1"/>
  <c r="I49" i="1" s="1"/>
  <c r="J49" i="1" s="1"/>
  <c r="G56" i="8"/>
  <c r="I56" i="8" s="1"/>
  <c r="J56" i="8" s="1"/>
  <c r="J37" i="5"/>
  <c r="J80" i="14" l="1"/>
  <c r="G50" i="1"/>
  <c r="I50" i="1" s="1"/>
  <c r="J50" i="1" s="1"/>
  <c r="G57" i="8"/>
  <c r="I57" i="8" s="1"/>
  <c r="K57" i="8" s="1"/>
  <c r="G38" i="5"/>
  <c r="I38" i="5" s="1"/>
  <c r="G81" i="14" l="1"/>
  <c r="I81" i="14" s="1"/>
  <c r="J81" i="14" s="1"/>
  <c r="G51" i="1"/>
  <c r="I51" i="1" s="1"/>
  <c r="J51" i="1" s="1"/>
  <c r="J57" i="8"/>
  <c r="J38" i="5"/>
  <c r="G82" i="14" l="1"/>
  <c r="I82" i="14" s="1"/>
  <c r="J82" i="14" s="1"/>
  <c r="G52" i="1"/>
  <c r="I52" i="1" s="1"/>
  <c r="J52" i="1" s="1"/>
  <c r="G53" i="1" s="1"/>
  <c r="I53" i="1" s="1"/>
  <c r="J53" i="1" s="1"/>
  <c r="G54" i="1" s="1"/>
  <c r="I54" i="1" s="1"/>
  <c r="J54" i="1" s="1"/>
  <c r="G58" i="8"/>
  <c r="I58" i="8" s="1"/>
  <c r="J58" i="8" s="1"/>
  <c r="G39" i="5"/>
  <c r="I39" i="5" s="1"/>
  <c r="J83" i="14" l="1"/>
  <c r="G83" i="14"/>
  <c r="I83" i="14" s="1"/>
  <c r="G59" i="8"/>
  <c r="I59" i="8" s="1"/>
  <c r="J59" i="8" s="1"/>
  <c r="J39" i="5"/>
  <c r="G55" i="1"/>
  <c r="I55" i="1" s="1"/>
  <c r="J55" i="1" s="1"/>
  <c r="G84" i="14" l="1"/>
  <c r="I84" i="14" s="1"/>
  <c r="J84" i="14" s="1"/>
  <c r="G60" i="8"/>
  <c r="I60" i="8" s="1"/>
  <c r="J60" i="8" s="1"/>
  <c r="G40" i="5"/>
  <c r="I40" i="5" s="1"/>
  <c r="G56" i="1"/>
  <c r="I56" i="1" s="1"/>
  <c r="J56" i="1" s="1"/>
  <c r="G85" i="14" l="1"/>
  <c r="I85" i="14" s="1"/>
  <c r="J85" i="14" s="1"/>
  <c r="G61" i="8"/>
  <c r="I61" i="8" s="1"/>
  <c r="J61" i="8" s="1"/>
  <c r="G62" i="8" s="1"/>
  <c r="I62" i="8" s="1"/>
  <c r="J40" i="5"/>
  <c r="G57" i="1"/>
  <c r="I57" i="1" s="1"/>
  <c r="J57" i="1" s="1"/>
  <c r="G86" i="14" l="1"/>
  <c r="I86" i="14" s="1"/>
  <c r="J86" i="14" s="1"/>
  <c r="J62" i="8"/>
  <c r="G63" i="8" s="1"/>
  <c r="I63" i="8" s="1"/>
  <c r="J63" i="8" s="1"/>
  <c r="G64" i="8" s="1"/>
  <c r="I64" i="8" s="1"/>
  <c r="J64" i="8" s="1"/>
  <c r="G65" i="8" s="1"/>
  <c r="I65" i="8" s="1"/>
  <c r="K61" i="8"/>
  <c r="L61" i="8" s="1"/>
  <c r="G41" i="5"/>
  <c r="I41" i="5" s="1"/>
  <c r="G58" i="1"/>
  <c r="I58" i="1" s="1"/>
  <c r="G87" i="14" l="1"/>
  <c r="I87" i="14" s="1"/>
  <c r="J87" i="14" s="1"/>
  <c r="K64" i="8"/>
  <c r="J65" i="8"/>
  <c r="G66" i="8" s="1"/>
  <c r="I66" i="8" s="1"/>
  <c r="K65" i="8"/>
  <c r="J58" i="1"/>
  <c r="G59" i="1" s="1"/>
  <c r="I59" i="1" s="1"/>
  <c r="L58" i="1"/>
  <c r="J41" i="5"/>
  <c r="G88" i="14" l="1"/>
  <c r="I88" i="14" s="1"/>
  <c r="J88" i="14" s="1"/>
  <c r="J66" i="8"/>
  <c r="G67" i="8" s="1"/>
  <c r="I67" i="8" s="1"/>
  <c r="J67" i="8" s="1"/>
  <c r="G68" i="8" s="1"/>
  <c r="I68" i="8" s="1"/>
  <c r="J68" i="8" s="1"/>
  <c r="G69" i="8" s="1"/>
  <c r="I69" i="8" s="1"/>
  <c r="J69" i="8" s="1"/>
  <c r="G70" i="8" s="1"/>
  <c r="I70" i="8" s="1"/>
  <c r="L65" i="8"/>
  <c r="J59" i="1"/>
  <c r="G60" i="1" s="1"/>
  <c r="I60" i="1" s="1"/>
  <c r="J60" i="1" s="1"/>
  <c r="G61" i="1" s="1"/>
  <c r="I61" i="1" s="1"/>
  <c r="G42" i="5"/>
  <c r="I42" i="5" s="1"/>
  <c r="L42" i="5" s="1"/>
  <c r="G89" i="14" l="1"/>
  <c r="I89" i="14" s="1"/>
  <c r="K89" i="14" s="1"/>
  <c r="K69" i="8"/>
  <c r="J70" i="8"/>
  <c r="G71" i="8" s="1"/>
  <c r="I71" i="8" s="1"/>
  <c r="J71" i="8" s="1"/>
  <c r="G72" i="8" s="1"/>
  <c r="I72" i="8" s="1"/>
  <c r="J72" i="8" s="1"/>
  <c r="G73" i="8" s="1"/>
  <c r="I73" i="8" s="1"/>
  <c r="J73" i="8" s="1"/>
  <c r="G74" i="8" s="1"/>
  <c r="I74" i="8" s="1"/>
  <c r="J74" i="8" s="1"/>
  <c r="G75" i="8" s="1"/>
  <c r="I75" i="8" s="1"/>
  <c r="J75" i="8" s="1"/>
  <c r="G76" i="8" s="1"/>
  <c r="I76" i="8" s="1"/>
  <c r="J42" i="5"/>
  <c r="J61" i="1"/>
  <c r="G62" i="1" s="1"/>
  <c r="I62" i="1" s="1"/>
  <c r="J62" i="1" s="1"/>
  <c r="J89" i="14" l="1"/>
  <c r="K75" i="8"/>
  <c r="J76" i="8"/>
  <c r="G77" i="8" s="1"/>
  <c r="I77" i="8" s="1"/>
  <c r="K76" i="8"/>
  <c r="L75" i="8"/>
  <c r="G43" i="5"/>
  <c r="I43" i="5" s="1"/>
  <c r="G63" i="1"/>
  <c r="G90" i="14" l="1"/>
  <c r="I90" i="14" s="1"/>
  <c r="J90" i="14" s="1"/>
  <c r="J77" i="8"/>
  <c r="G78" i="8" s="1"/>
  <c r="I78" i="8" s="1"/>
  <c r="K77" i="8"/>
  <c r="L77" i="8" s="1"/>
  <c r="J43" i="5"/>
  <c r="I63" i="1"/>
  <c r="G91" i="14" l="1"/>
  <c r="I91" i="14" s="1"/>
  <c r="J91" i="14" s="1"/>
  <c r="J78" i="8"/>
  <c r="G79" i="8" s="1"/>
  <c r="I79" i="8" s="1"/>
  <c r="J79" i="8" s="1"/>
  <c r="G80" i="8" s="1"/>
  <c r="I80" i="8" s="1"/>
  <c r="J63" i="1"/>
  <c r="G64" i="1" s="1"/>
  <c r="I64" i="1" s="1"/>
  <c r="J64" i="1" s="1"/>
  <c r="G65" i="1" s="1"/>
  <c r="I65" i="1" s="1"/>
  <c r="G44" i="5"/>
  <c r="I44" i="5" s="1"/>
  <c r="G92" i="14" l="1"/>
  <c r="I92" i="14" s="1"/>
  <c r="J92" i="14" s="1"/>
  <c r="J80" i="8"/>
  <c r="G81" i="8" s="1"/>
  <c r="I81" i="8" s="1"/>
  <c r="J81" i="8"/>
  <c r="G82" i="8" s="1"/>
  <c r="I82" i="8" s="1"/>
  <c r="J82" i="8" s="1"/>
  <c r="G83" i="8" s="1"/>
  <c r="I83" i="8" s="1"/>
  <c r="J83" i="8" s="1"/>
  <c r="G84" i="8" s="1"/>
  <c r="I84" i="8" s="1"/>
  <c r="K79" i="8"/>
  <c r="J65" i="1"/>
  <c r="G66" i="1" s="1"/>
  <c r="I66" i="1" s="1"/>
  <c r="J66" i="1" s="1"/>
  <c r="J44" i="5"/>
  <c r="G93" i="14" l="1"/>
  <c r="I93" i="14" s="1"/>
  <c r="J93" i="14" s="1"/>
  <c r="J84" i="8"/>
  <c r="J90" i="8" s="1"/>
  <c r="J91" i="8" s="1"/>
  <c r="I85" i="8"/>
  <c r="K84" i="8"/>
  <c r="L84" i="8" s="1"/>
  <c r="L85" i="8" s="1"/>
  <c r="G45" i="5"/>
  <c r="I45" i="5" s="1"/>
  <c r="G67" i="1"/>
  <c r="G94" i="14" l="1"/>
  <c r="I94" i="14" s="1"/>
  <c r="J94" i="14" s="1"/>
  <c r="J45" i="5"/>
  <c r="I67" i="1"/>
  <c r="J67" i="1" s="1"/>
  <c r="G68" i="1" s="1"/>
  <c r="G95" i="14" l="1"/>
  <c r="I95" i="14" s="1"/>
  <c r="J95" i="14"/>
  <c r="K94" i="14"/>
  <c r="L94" i="14" s="1"/>
  <c r="G46" i="5"/>
  <c r="I46" i="5" s="1"/>
  <c r="I68" i="1"/>
  <c r="J68" i="1" s="1"/>
  <c r="G69" i="1" s="1"/>
  <c r="I69" i="1" s="1"/>
  <c r="G96" i="14" l="1"/>
  <c r="I96" i="14" s="1"/>
  <c r="J96" i="14"/>
  <c r="J46" i="5"/>
  <c r="J69" i="1"/>
  <c r="G70" i="1" s="1"/>
  <c r="I70" i="1" s="1"/>
  <c r="J70" i="1" s="1"/>
  <c r="G71" i="1" s="1"/>
  <c r="I71" i="1" s="1"/>
  <c r="G97" i="14" l="1"/>
  <c r="I97" i="14" s="1"/>
  <c r="G47" i="5"/>
  <c r="I47" i="5" s="1"/>
  <c r="J71" i="1"/>
  <c r="G72" i="1" s="1"/>
  <c r="I72" i="1" s="1"/>
  <c r="J97" i="14" l="1"/>
  <c r="J47" i="5"/>
  <c r="J72" i="1"/>
  <c r="G73" i="1" s="1"/>
  <c r="I73" i="1" s="1"/>
  <c r="G98" i="14" l="1"/>
  <c r="I98" i="14" s="1"/>
  <c r="J98" i="14" s="1"/>
  <c r="G48" i="5"/>
  <c r="I48" i="5" s="1"/>
  <c r="J73" i="1"/>
  <c r="G74" i="1" s="1"/>
  <c r="I74" i="1" s="1"/>
  <c r="G99" i="14" l="1"/>
  <c r="I99" i="14" s="1"/>
  <c r="J99" i="14"/>
  <c r="J48" i="5"/>
  <c r="J74" i="1"/>
  <c r="G75" i="1" s="1"/>
  <c r="I75" i="1" s="1"/>
  <c r="L75" i="1" s="1"/>
  <c r="M75" i="1" s="1"/>
  <c r="G100" i="14" l="1"/>
  <c r="I100" i="14" s="1"/>
  <c r="K100" i="14" s="1"/>
  <c r="J100" i="14"/>
  <c r="G49" i="5"/>
  <c r="I49" i="5" s="1"/>
  <c r="J75" i="1"/>
  <c r="J101" i="14" l="1"/>
  <c r="G101" i="14"/>
  <c r="I101" i="14" s="1"/>
  <c r="G76" i="1"/>
  <c r="I76" i="1" s="1"/>
  <c r="J49" i="5"/>
  <c r="G102" i="14" l="1"/>
  <c r="I102" i="14" s="1"/>
  <c r="J76" i="1"/>
  <c r="G77" i="1" s="1"/>
  <c r="I77" i="1" s="1"/>
  <c r="J77" i="1" s="1"/>
  <c r="G50" i="5"/>
  <c r="I50" i="5" s="1"/>
  <c r="J102" i="14" l="1"/>
  <c r="G78" i="1"/>
  <c r="I78" i="1" s="1"/>
  <c r="J78" i="1" s="1"/>
  <c r="J50" i="5"/>
  <c r="G103" i="14" l="1"/>
  <c r="I103" i="14" s="1"/>
  <c r="G79" i="1"/>
  <c r="I79" i="1" s="1"/>
  <c r="G51" i="5"/>
  <c r="I51" i="5" s="1"/>
  <c r="J103" i="14" l="1"/>
  <c r="J79" i="1"/>
  <c r="G80" i="1" s="1"/>
  <c r="I80" i="1" s="1"/>
  <c r="J51" i="5"/>
  <c r="G104" i="14" l="1"/>
  <c r="I104" i="14" s="1"/>
  <c r="J104" i="14" s="1"/>
  <c r="J80" i="1"/>
  <c r="G81" i="1" s="1"/>
  <c r="I81" i="1" s="1"/>
  <c r="J81" i="1" s="1"/>
  <c r="G52" i="5"/>
  <c r="I52" i="5" s="1"/>
  <c r="G105" i="14" l="1"/>
  <c r="I105" i="14" s="1"/>
  <c r="J105" i="14" s="1"/>
  <c r="G82" i="1"/>
  <c r="I82" i="1" s="1"/>
  <c r="J82" i="1" s="1"/>
  <c r="J52" i="5"/>
  <c r="G106" i="14" l="1"/>
  <c r="I106" i="14" s="1"/>
  <c r="K106" i="14" s="1"/>
  <c r="L106" i="14" s="1"/>
  <c r="G83" i="1"/>
  <c r="I83" i="1" s="1"/>
  <c r="J83" i="1" s="1"/>
  <c r="G53" i="5"/>
  <c r="I53" i="5" s="1"/>
  <c r="J106" i="14" l="1"/>
  <c r="G84" i="1"/>
  <c r="I84" i="1" s="1"/>
  <c r="J84" i="1" s="1"/>
  <c r="J53" i="5"/>
  <c r="G107" i="14" l="1"/>
  <c r="I107" i="14" s="1"/>
  <c r="J107" i="14" s="1"/>
  <c r="G85" i="1"/>
  <c r="I85" i="1" s="1"/>
  <c r="J85" i="1" s="1"/>
  <c r="G54" i="5"/>
  <c r="I54" i="5" s="1"/>
  <c r="G108" i="14" l="1"/>
  <c r="I108" i="14" s="1"/>
  <c r="J108" i="14" s="1"/>
  <c r="G86" i="1"/>
  <c r="I86" i="1" s="1"/>
  <c r="J86" i="1" s="1"/>
  <c r="J54" i="5"/>
  <c r="G109" i="14" l="1"/>
  <c r="I109" i="14" s="1"/>
  <c r="K108" i="14"/>
  <c r="G87" i="1"/>
  <c r="I87" i="1" s="1"/>
  <c r="J87" i="1" s="1"/>
  <c r="G55" i="5"/>
  <c r="I55" i="5" s="1"/>
  <c r="L55" i="5" s="1"/>
  <c r="M55" i="5" s="1"/>
  <c r="J109" i="14" l="1"/>
  <c r="G88" i="1"/>
  <c r="I88" i="1" s="1"/>
  <c r="J88" i="1" s="1"/>
  <c r="J55" i="5"/>
  <c r="G110" i="14" l="1"/>
  <c r="I110" i="14" s="1"/>
  <c r="J110" i="14"/>
  <c r="G89" i="1"/>
  <c r="I89" i="1" s="1"/>
  <c r="J89" i="1" s="1"/>
  <c r="G56" i="5"/>
  <c r="I56" i="5" s="1"/>
  <c r="G111" i="14" l="1"/>
  <c r="I111" i="14" s="1"/>
  <c r="J111" i="14"/>
  <c r="G90" i="1"/>
  <c r="I90" i="1" s="1"/>
  <c r="J90" i="1" s="1"/>
  <c r="J56" i="5"/>
  <c r="G112" i="14" l="1"/>
  <c r="I112" i="14" s="1"/>
  <c r="G91" i="1"/>
  <c r="I91" i="1" s="1"/>
  <c r="J91" i="1" s="1"/>
  <c r="G57" i="5"/>
  <c r="I57" i="5" s="1"/>
  <c r="J112" i="14" l="1"/>
  <c r="G92" i="1"/>
  <c r="I92" i="1" s="1"/>
  <c r="J92" i="1" s="1"/>
  <c r="J57" i="5"/>
  <c r="G113" i="14" l="1"/>
  <c r="I113" i="14" s="1"/>
  <c r="J113" i="14" s="1"/>
  <c r="G93" i="1"/>
  <c r="I93" i="1" s="1"/>
  <c r="J93" i="1" s="1"/>
  <c r="G58" i="5"/>
  <c r="I58" i="5" s="1"/>
  <c r="G114" i="14" l="1"/>
  <c r="I114" i="14" s="1"/>
  <c r="J114" i="14"/>
  <c r="G94" i="1"/>
  <c r="I94" i="1" s="1"/>
  <c r="J94" i="1" s="1"/>
  <c r="J58" i="5"/>
  <c r="G115" i="14" l="1"/>
  <c r="I115" i="14" s="1"/>
  <c r="J115" i="14"/>
  <c r="G95" i="1"/>
  <c r="I95" i="1" s="1"/>
  <c r="J95" i="1" s="1"/>
  <c r="G59" i="5"/>
  <c r="I59" i="5" s="1"/>
  <c r="G116" i="14" l="1"/>
  <c r="I116" i="14" s="1"/>
  <c r="K116" i="14" s="1"/>
  <c r="L116" i="14" s="1"/>
  <c r="G96" i="1"/>
  <c r="I96" i="1" s="1"/>
  <c r="J96" i="1" s="1"/>
  <c r="J59" i="5"/>
  <c r="J116" i="14" l="1"/>
  <c r="G97" i="1"/>
  <c r="I97" i="1" s="1"/>
  <c r="J97" i="1" s="1"/>
  <c r="G60" i="5"/>
  <c r="I60" i="5" s="1"/>
  <c r="G117" i="14" l="1"/>
  <c r="I117" i="14" s="1"/>
  <c r="G98" i="1"/>
  <c r="I98" i="1" s="1"/>
  <c r="J60" i="5"/>
  <c r="J117" i="14" l="1"/>
  <c r="J98" i="1"/>
  <c r="G99" i="1" s="1"/>
  <c r="I99" i="1" s="1"/>
  <c r="L98" i="1"/>
  <c r="G61" i="5"/>
  <c r="I61" i="5" s="1"/>
  <c r="G118" i="14" l="1"/>
  <c r="I118" i="14" s="1"/>
  <c r="J99" i="1"/>
  <c r="G100" i="1" s="1"/>
  <c r="I100" i="1" s="1"/>
  <c r="J100" i="1" s="1"/>
  <c r="J61" i="5"/>
  <c r="J118" i="14" l="1"/>
  <c r="G101" i="1"/>
  <c r="I101" i="1" s="1"/>
  <c r="G62" i="5"/>
  <c r="I62" i="5" s="1"/>
  <c r="G119" i="14" l="1"/>
  <c r="I119" i="14" s="1"/>
  <c r="K119" i="14" s="1"/>
  <c r="J101" i="1"/>
  <c r="G102" i="1" s="1"/>
  <c r="I102" i="1" s="1"/>
  <c r="J62" i="5"/>
  <c r="J119" i="14" l="1"/>
  <c r="J102" i="1"/>
  <c r="G103" i="1" s="1"/>
  <c r="I103" i="1" s="1"/>
  <c r="G63" i="5"/>
  <c r="I63" i="5" s="1"/>
  <c r="G120" i="14" l="1"/>
  <c r="I120" i="14" s="1"/>
  <c r="J120" i="14"/>
  <c r="J103" i="1"/>
  <c r="G104" i="1" s="1"/>
  <c r="I104" i="1" s="1"/>
  <c r="J63" i="5"/>
  <c r="G121" i="14" l="1"/>
  <c r="I121" i="14" s="1"/>
  <c r="I122" i="14" s="1"/>
  <c r="J121" i="14"/>
  <c r="J128" i="14" s="1"/>
  <c r="J129" i="14" s="1"/>
  <c r="K121" i="14"/>
  <c r="L121" i="14" s="1"/>
  <c r="L122" i="14" s="1"/>
  <c r="J104" i="1"/>
  <c r="G105" i="1" s="1"/>
  <c r="I105" i="1" s="1"/>
  <c r="J105" i="1" s="1"/>
  <c r="G64" i="5"/>
  <c r="I64" i="5" l="1"/>
  <c r="L64" i="5" s="1"/>
  <c r="G106" i="1"/>
  <c r="I106" i="1" s="1"/>
  <c r="J106" i="1" s="1"/>
  <c r="J64" i="5" l="1"/>
  <c r="XFD64" i="5" s="1"/>
  <c r="G107" i="1"/>
  <c r="I107" i="1" s="1"/>
  <c r="J107" i="1" s="1"/>
  <c r="G65" i="5" l="1"/>
  <c r="I65" i="5" s="1"/>
  <c r="J65" i="5" s="1"/>
  <c r="G108" i="1"/>
  <c r="I108" i="1" s="1"/>
  <c r="J108" i="1" s="1"/>
  <c r="G109" i="1" l="1"/>
  <c r="I109" i="1" s="1"/>
  <c r="J109" i="1" s="1"/>
  <c r="G66" i="5"/>
  <c r="I66" i="5" s="1"/>
  <c r="G110" i="1" l="1"/>
  <c r="I110" i="1" s="1"/>
  <c r="J110" i="1" s="1"/>
  <c r="J66" i="5"/>
  <c r="G111" i="1" l="1"/>
  <c r="I111" i="1" s="1"/>
  <c r="J111" i="1" s="1"/>
  <c r="G67" i="5"/>
  <c r="I67" i="5" s="1"/>
  <c r="L67" i="5" s="1"/>
  <c r="M67" i="5" s="1"/>
  <c r="G112" i="1" l="1"/>
  <c r="I112" i="1" s="1"/>
  <c r="J112" i="1" s="1"/>
  <c r="J67" i="5"/>
  <c r="G113" i="1" l="1"/>
  <c r="I113" i="1" s="1"/>
  <c r="J113" i="1" s="1"/>
  <c r="G68" i="5"/>
  <c r="I68" i="5" s="1"/>
  <c r="G114" i="1" l="1"/>
  <c r="I114" i="1" s="1"/>
  <c r="J114" i="1" s="1"/>
  <c r="J68" i="5"/>
  <c r="G115" i="1" l="1"/>
  <c r="I115" i="1" s="1"/>
  <c r="J115" i="1" s="1"/>
  <c r="G69" i="5"/>
  <c r="I69" i="5" s="1"/>
  <c r="L69" i="5" s="1"/>
  <c r="G116" i="1" l="1"/>
  <c r="I116" i="1" s="1"/>
  <c r="J69" i="5"/>
  <c r="J116" i="1" l="1"/>
  <c r="G117" i="1" s="1"/>
  <c r="I117" i="1" s="1"/>
  <c r="L116" i="1"/>
  <c r="M116" i="1" s="1"/>
  <c r="G70" i="5"/>
  <c r="I70" i="5" s="1"/>
  <c r="J117" i="1" l="1"/>
  <c r="G118" i="1" s="1"/>
  <c r="I118" i="1" s="1"/>
  <c r="J118" i="1" s="1"/>
  <c r="J70" i="5"/>
  <c r="G119" i="1" l="1"/>
  <c r="I119" i="1" s="1"/>
  <c r="J119" i="1" s="1"/>
  <c r="G71" i="5"/>
  <c r="I71" i="5" s="1"/>
  <c r="G120" i="1" l="1"/>
  <c r="I120" i="1" s="1"/>
  <c r="J71" i="5"/>
  <c r="J120" i="1" l="1"/>
  <c r="G121" i="1" s="1"/>
  <c r="I121" i="1" s="1"/>
  <c r="J121" i="1" s="1"/>
  <c r="G72" i="5"/>
  <c r="I72" i="5" s="1"/>
  <c r="G122" i="1" l="1"/>
  <c r="I122" i="1" s="1"/>
  <c r="J122" i="1" s="1"/>
  <c r="J72" i="5"/>
  <c r="G123" i="1" l="1"/>
  <c r="I123" i="1" s="1"/>
  <c r="J123" i="1" s="1"/>
  <c r="G73" i="5"/>
  <c r="I73" i="5" s="1"/>
  <c r="G124" i="1" l="1"/>
  <c r="I124" i="1" s="1"/>
  <c r="J124" i="1" s="1"/>
  <c r="J73" i="5"/>
  <c r="G125" i="1" l="1"/>
  <c r="I125" i="1" s="1"/>
  <c r="J125" i="1" s="1"/>
  <c r="G74" i="5"/>
  <c r="I74" i="5" s="1"/>
  <c r="G126" i="1" l="1"/>
  <c r="I126" i="1" s="1"/>
  <c r="J126" i="1" s="1"/>
  <c r="J74" i="5"/>
  <c r="G127" i="1" l="1"/>
  <c r="I127" i="1" s="1"/>
  <c r="J127" i="1" s="1"/>
  <c r="G75" i="5"/>
  <c r="I75" i="5" s="1"/>
  <c r="G128" i="1" l="1"/>
  <c r="I128" i="1" s="1"/>
  <c r="J75" i="5"/>
  <c r="J128" i="1" l="1"/>
  <c r="G129" i="1" s="1"/>
  <c r="I129" i="1" s="1"/>
  <c r="L128" i="1"/>
  <c r="G76" i="5"/>
  <c r="I76" i="5" s="1"/>
  <c r="J129" i="1" l="1"/>
  <c r="G130" i="1" s="1"/>
  <c r="I130" i="1" s="1"/>
  <c r="J130" i="1" s="1"/>
  <c r="J76" i="5"/>
  <c r="G131" i="1" l="1"/>
  <c r="I131" i="1" s="1"/>
  <c r="J131" i="1" s="1"/>
  <c r="G77" i="5"/>
  <c r="I77" i="5" s="1"/>
  <c r="G132" i="1" l="1"/>
  <c r="I132" i="1" s="1"/>
  <c r="J77" i="5"/>
  <c r="J132" i="1" l="1"/>
  <c r="G133" i="1" s="1"/>
  <c r="I133" i="1" s="1"/>
  <c r="J133" i="1" s="1"/>
  <c r="G78" i="5"/>
  <c r="I78" i="5" s="1"/>
  <c r="L78" i="5" s="1"/>
  <c r="M78" i="5" s="1"/>
  <c r="G134" i="1" l="1"/>
  <c r="I134" i="1" s="1"/>
  <c r="J134" i="1" s="1"/>
  <c r="G135" i="1" s="1"/>
  <c r="I135" i="1" s="1"/>
  <c r="J135" i="1" s="1"/>
  <c r="G136" i="1" s="1"/>
  <c r="I136" i="1" s="1"/>
  <c r="J136" i="1" s="1"/>
  <c r="G137" i="1" s="1"/>
  <c r="I137" i="1" s="1"/>
  <c r="J137" i="1" s="1"/>
  <c r="G138" i="1" s="1"/>
  <c r="I138" i="1" s="1"/>
  <c r="J138" i="1" s="1"/>
  <c r="G139" i="1" s="1"/>
  <c r="I139" i="1" s="1"/>
  <c r="J139" i="1" s="1"/>
  <c r="G140" i="1" s="1"/>
  <c r="I140" i="1" s="1"/>
  <c r="J140" i="1" s="1"/>
  <c r="G141" i="1" s="1"/>
  <c r="I141" i="1" s="1"/>
  <c r="J141" i="1" s="1"/>
  <c r="G142" i="1" s="1"/>
  <c r="I142" i="1" s="1"/>
  <c r="J142" i="1" s="1"/>
  <c r="G143" i="1" s="1"/>
  <c r="I143" i="1" s="1"/>
  <c r="J143" i="1" s="1"/>
  <c r="G144" i="1" s="1"/>
  <c r="I144" i="1" s="1"/>
  <c r="J144" i="1" s="1"/>
  <c r="J78" i="5"/>
  <c r="G145" i="1" l="1"/>
  <c r="I145" i="1" s="1"/>
  <c r="J145" i="1" s="1"/>
  <c r="G79" i="5"/>
  <c r="I79" i="5" s="1"/>
  <c r="L79" i="5" l="1"/>
  <c r="M79" i="5" s="1"/>
  <c r="M80" i="5" s="1"/>
  <c r="I80" i="5"/>
  <c r="G146" i="1"/>
  <c r="I146" i="1" s="1"/>
  <c r="J146" i="1" s="1"/>
  <c r="J79" i="5"/>
  <c r="J86" i="5" s="1"/>
  <c r="G147" i="1" l="1"/>
  <c r="I147" i="1" s="1"/>
  <c r="J147" i="1" s="1"/>
  <c r="J148" i="1" s="1"/>
  <c r="G149" i="1" s="1"/>
  <c r="I149" i="1" s="1"/>
  <c r="J149" i="1" s="1"/>
  <c r="G150" i="1" s="1"/>
  <c r="I150" i="1" s="1"/>
  <c r="J150" i="1" s="1"/>
  <c r="G80" i="5"/>
  <c r="G151" i="1" l="1"/>
  <c r="I151" i="1" s="1"/>
  <c r="J151" i="1" s="1"/>
  <c r="G152" i="1" l="1"/>
  <c r="I152" i="1" s="1"/>
  <c r="J152" i="1" s="1"/>
  <c r="G153" i="1" l="1"/>
  <c r="I153" i="1" s="1"/>
  <c r="J153" i="1" l="1"/>
  <c r="G154" i="1" l="1"/>
  <c r="I154" i="1" s="1"/>
  <c r="J154" i="1" s="1"/>
  <c r="G155" i="1" s="1"/>
  <c r="I155" i="1" s="1"/>
  <c r="J155" i="1" s="1"/>
  <c r="G156" i="1" l="1"/>
  <c r="I156" i="1" s="1"/>
  <c r="J156" i="1" s="1"/>
  <c r="G157" i="1" l="1"/>
  <c r="I157" i="1" s="1"/>
  <c r="J157" i="1" s="1"/>
  <c r="L156" i="1"/>
  <c r="M156" i="1" s="1"/>
  <c r="J87" i="5"/>
  <c r="G158" i="1" l="1"/>
  <c r="I158" i="1" s="1"/>
  <c r="J158" i="1" s="1"/>
  <c r="G159" i="1" l="1"/>
  <c r="I159" i="1" s="1"/>
  <c r="J159" i="1" l="1"/>
  <c r="G160" i="1" l="1"/>
  <c r="I160" i="1" s="1"/>
  <c r="J160" i="1" l="1"/>
  <c r="G161" i="1" l="1"/>
  <c r="I161" i="1" s="1"/>
  <c r="J161" i="1"/>
  <c r="G162" i="1" l="1"/>
  <c r="I162" i="1" s="1"/>
  <c r="J162" i="1" s="1"/>
  <c r="G163" i="1" l="1"/>
  <c r="I163" i="1" s="1"/>
  <c r="J163" i="1"/>
  <c r="G164" i="1" s="1"/>
  <c r="I164" i="1" s="1"/>
  <c r="J164" i="1" s="1"/>
  <c r="G165" i="1" l="1"/>
  <c r="I165" i="1" s="1"/>
  <c r="J165" i="1" s="1"/>
  <c r="G166" i="1" l="1"/>
  <c r="I166" i="1" s="1"/>
  <c r="J166" i="1" s="1"/>
  <c r="G167" i="1" s="1"/>
  <c r="I167" i="1" s="1"/>
  <c r="J167" i="1" s="1"/>
  <c r="G168" i="1" l="1"/>
  <c r="I168" i="1" s="1"/>
  <c r="J168" i="1" s="1"/>
  <c r="G169" i="1" l="1"/>
  <c r="I169" i="1" s="1"/>
  <c r="J169" i="1" s="1"/>
  <c r="G170" i="1" l="1"/>
  <c r="I170" i="1" s="1"/>
  <c r="J170" i="1"/>
  <c r="G171" i="1" l="1"/>
  <c r="I171" i="1" s="1"/>
  <c r="J171" i="1" s="1"/>
  <c r="G172" i="1" l="1"/>
  <c r="I172" i="1" s="1"/>
  <c r="J172" i="1" s="1"/>
  <c r="G173" i="1" l="1"/>
  <c r="I173" i="1" s="1"/>
  <c r="J173" i="1" s="1"/>
  <c r="G174" i="1" l="1"/>
  <c r="I174" i="1" s="1"/>
  <c r="J174" i="1" s="1"/>
  <c r="G175" i="1" l="1"/>
  <c r="I175" i="1" s="1"/>
  <c r="L175" i="1" s="1"/>
  <c r="J175" i="1" l="1"/>
  <c r="G176" i="1" l="1"/>
  <c r="I176" i="1" s="1"/>
  <c r="J176" i="1" s="1"/>
  <c r="G177" i="1" l="1"/>
  <c r="I177" i="1" s="1"/>
  <c r="J177" i="1" s="1"/>
  <c r="G178" i="1" l="1"/>
  <c r="I178" i="1" s="1"/>
  <c r="J178" i="1" s="1"/>
  <c r="G179" i="1" l="1"/>
  <c r="I179" i="1" s="1"/>
  <c r="J179" i="1"/>
  <c r="G180" i="1" l="1"/>
  <c r="I180" i="1" s="1"/>
  <c r="J180" i="1" s="1"/>
  <c r="G181" i="1" l="1"/>
  <c r="I181" i="1" s="1"/>
  <c r="J181" i="1" s="1"/>
  <c r="G182" i="1" l="1"/>
  <c r="I182" i="1" s="1"/>
  <c r="J182" i="1" s="1"/>
  <c r="G183" i="1" l="1"/>
  <c r="I183" i="1" s="1"/>
  <c r="J183" i="1" s="1"/>
  <c r="G184" i="1" l="1"/>
  <c r="I184" i="1" s="1"/>
  <c r="J184" i="1" s="1"/>
  <c r="G185" i="1" s="1"/>
  <c r="I185" i="1" s="1"/>
  <c r="J185" i="1" s="1"/>
  <c r="G186" i="1" s="1"/>
  <c r="I186" i="1" s="1"/>
  <c r="J186" i="1" s="1"/>
  <c r="G187" i="1" s="1"/>
  <c r="I187" i="1" s="1"/>
  <c r="J187" i="1" s="1"/>
  <c r="G188" i="1" s="1"/>
  <c r="I188" i="1" s="1"/>
  <c r="J188" i="1" s="1"/>
  <c r="G189" i="1" s="1"/>
  <c r="I189" i="1" s="1"/>
  <c r="J189" i="1" s="1"/>
  <c r="G190" i="1" s="1"/>
  <c r="I190" i="1" s="1"/>
  <c r="J190" i="1" s="1"/>
  <c r="G191" i="1" s="1"/>
  <c r="I191" i="1" s="1"/>
  <c r="J191" i="1" s="1"/>
  <c r="G192" i="1" s="1"/>
  <c r="I192" i="1" s="1"/>
  <c r="J192" i="1" s="1"/>
  <c r="G193" i="1" s="1"/>
  <c r="I193" i="1" s="1"/>
  <c r="J193" i="1" s="1"/>
  <c r="G194" i="1" s="1"/>
  <c r="I194" i="1" s="1"/>
  <c r="J194" i="1" s="1"/>
  <c r="G195" i="1" s="1"/>
  <c r="I195" i="1" s="1"/>
  <c r="J195" i="1" s="1"/>
  <c r="G196" i="1" s="1"/>
  <c r="I196" i="1" s="1"/>
  <c r="J196" i="1" s="1"/>
  <c r="G197" i="1" l="1"/>
  <c r="I197" i="1" s="1"/>
  <c r="J197" i="1"/>
  <c r="G198" i="1" s="1"/>
  <c r="I198" i="1" s="1"/>
  <c r="J198" i="1" s="1"/>
  <c r="G199" i="1" l="1"/>
  <c r="I199" i="1" s="1"/>
  <c r="J199" i="1"/>
  <c r="G200" i="1" l="1"/>
  <c r="I200" i="1" s="1"/>
  <c r="J200" i="1" s="1"/>
  <c r="G201" i="1" l="1"/>
  <c r="I201" i="1" s="1"/>
  <c r="L201" i="1" s="1"/>
  <c r="M201" i="1" s="1"/>
  <c r="J201" i="1" l="1"/>
  <c r="G202" i="1"/>
  <c r="I202" i="1" s="1"/>
  <c r="J202" i="1" s="1"/>
  <c r="G203" i="1" s="1"/>
  <c r="I203" i="1" s="1"/>
  <c r="J203" i="1" s="1"/>
  <c r="G204" i="1" s="1"/>
  <c r="I204" i="1" s="1"/>
  <c r="J204" i="1" s="1"/>
  <c r="G205" i="1" s="1"/>
  <c r="I205" i="1" s="1"/>
  <c r="J205" i="1" s="1"/>
  <c r="G206" i="1" s="1"/>
  <c r="I206" i="1" s="1"/>
  <c r="J206" i="1" s="1"/>
  <c r="G207" i="1" s="1"/>
  <c r="I207" i="1" s="1"/>
  <c r="J207" i="1" s="1"/>
  <c r="G208" i="1" s="1"/>
  <c r="I208" i="1" s="1"/>
  <c r="J208" i="1" s="1"/>
  <c r="G209" i="1" s="1"/>
  <c r="I209" i="1" s="1"/>
  <c r="J209" i="1" s="1"/>
  <c r="G210" i="1" s="1"/>
  <c r="I210" i="1" s="1"/>
  <c r="J210" i="1" s="1"/>
  <c r="G211" i="1" s="1"/>
  <c r="I211" i="1" s="1"/>
  <c r="J211" i="1" s="1"/>
  <c r="G212" i="1" l="1"/>
  <c r="I212" i="1" s="1"/>
  <c r="J212" i="1"/>
  <c r="L212" i="1"/>
  <c r="G213" i="1" l="1"/>
  <c r="I213" i="1" s="1"/>
  <c r="J213" i="1" s="1"/>
  <c r="G214" i="1" s="1"/>
  <c r="I214" i="1" s="1"/>
  <c r="J214" i="1" s="1"/>
  <c r="G215" i="1" s="1"/>
  <c r="I215" i="1" s="1"/>
  <c r="J215" i="1" s="1"/>
  <c r="G216" i="1" s="1"/>
  <c r="I216" i="1" s="1"/>
  <c r="J216" i="1" s="1"/>
  <c r="G217" i="1" s="1"/>
  <c r="I217" i="1" s="1"/>
  <c r="J217" i="1" s="1"/>
  <c r="G218" i="1" s="1"/>
  <c r="I218" i="1" s="1"/>
  <c r="J218" i="1" s="1"/>
  <c r="G219" i="1" s="1"/>
  <c r="I219" i="1" s="1"/>
  <c r="J219" i="1" s="1"/>
  <c r="G220" i="1" s="1"/>
  <c r="I220" i="1" s="1"/>
  <c r="J220" i="1" s="1"/>
  <c r="G221" i="1" s="1"/>
  <c r="I221" i="1" s="1"/>
  <c r="J221" i="1" s="1"/>
  <c r="G222" i="1" s="1"/>
  <c r="I222" i="1" s="1"/>
  <c r="J222" i="1" s="1"/>
  <c r="G223" i="1" s="1"/>
  <c r="I223" i="1" s="1"/>
  <c r="J223" i="1" s="1"/>
  <c r="G224" i="1" s="1"/>
  <c r="I224" i="1" s="1"/>
  <c r="J224" i="1" s="1"/>
  <c r="G225" i="1" s="1"/>
  <c r="I225" i="1" s="1"/>
  <c r="J225" i="1" s="1"/>
  <c r="G226" i="1" s="1"/>
  <c r="I226" i="1" s="1"/>
  <c r="J226" i="1" s="1"/>
  <c r="G227" i="1" s="1"/>
  <c r="I227" i="1" s="1"/>
  <c r="J227" i="1" s="1"/>
  <c r="G228" i="1" s="1"/>
  <c r="I228" i="1" s="1"/>
  <c r="J228" i="1" s="1"/>
  <c r="G229" i="1" s="1"/>
  <c r="I229" i="1" s="1"/>
  <c r="J229" i="1" s="1"/>
  <c r="G230" i="1" s="1"/>
  <c r="I230" i="1" s="1"/>
  <c r="J230" i="1" s="1"/>
  <c r="G231" i="1" s="1"/>
  <c r="I231" i="1" s="1"/>
  <c r="J231" i="1" s="1"/>
  <c r="G232" i="1" s="1"/>
  <c r="I232" i="1" s="1"/>
  <c r="J232" i="1" s="1"/>
  <c r="G233" i="1" s="1"/>
  <c r="I233" i="1" s="1"/>
  <c r="J233" i="1" s="1"/>
  <c r="G234" i="1" s="1"/>
  <c r="I234" i="1" s="1"/>
  <c r="J234" i="1" s="1"/>
  <c r="G235" i="1" l="1"/>
  <c r="I235" i="1" s="1"/>
  <c r="J235" i="1" s="1"/>
  <c r="G236" i="1" l="1"/>
  <c r="I236" i="1" s="1"/>
  <c r="J236" i="1" l="1"/>
  <c r="L236" i="1"/>
  <c r="M236" i="1" s="1"/>
  <c r="G237" i="1"/>
  <c r="I237" i="1" s="1"/>
  <c r="J237" i="1" l="1"/>
  <c r="G238" i="1" s="1"/>
  <c r="I238" i="1" s="1"/>
  <c r="J238" i="1" s="1"/>
  <c r="G239" i="1" l="1"/>
  <c r="I239" i="1" s="1"/>
  <c r="J239" i="1" s="1"/>
  <c r="G240" i="1" l="1"/>
  <c r="I240" i="1" s="1"/>
  <c r="J240" i="1" s="1"/>
  <c r="G241" i="1" l="1"/>
  <c r="I241" i="1" s="1"/>
  <c r="J241" i="1" s="1"/>
  <c r="G242" i="1" l="1"/>
  <c r="I242" i="1" s="1"/>
  <c r="J242" i="1" s="1"/>
  <c r="G243" i="1" l="1"/>
  <c r="I243" i="1" s="1"/>
  <c r="J243" i="1" s="1"/>
  <c r="G244" i="1" l="1"/>
  <c r="I244" i="1" s="1"/>
  <c r="J244" i="1" l="1"/>
  <c r="G245" i="1" l="1"/>
  <c r="I245" i="1" s="1"/>
  <c r="J245" i="1" s="1"/>
  <c r="G246" i="1" l="1"/>
  <c r="I246" i="1" s="1"/>
  <c r="J246" i="1" s="1"/>
  <c r="G247" i="1" l="1"/>
  <c r="I247" i="1" s="1"/>
  <c r="J247" i="1" s="1"/>
  <c r="G248" i="1" l="1"/>
  <c r="I248" i="1" s="1"/>
  <c r="J248" i="1" s="1"/>
  <c r="G249" i="1" l="1"/>
  <c r="I249" i="1" s="1"/>
  <c r="J249" i="1" s="1"/>
  <c r="G250" i="1" l="1"/>
  <c r="I250" i="1" s="1"/>
  <c r="J250" i="1" s="1"/>
  <c r="G251" i="1" l="1"/>
  <c r="I251" i="1" s="1"/>
  <c r="J251" i="1" s="1"/>
  <c r="G252" i="1" l="1"/>
  <c r="I252" i="1" s="1"/>
  <c r="J252" i="1" s="1"/>
  <c r="G253" i="1" l="1"/>
  <c r="I253" i="1" s="1"/>
  <c r="J253" i="1" s="1"/>
  <c r="G254" i="1" l="1"/>
  <c r="I254" i="1" s="1"/>
  <c r="J254" i="1" s="1"/>
  <c r="G255" i="1" l="1"/>
  <c r="I255" i="1" s="1"/>
  <c r="J255" i="1" s="1"/>
  <c r="G256" i="1" l="1"/>
  <c r="I256" i="1" s="1"/>
  <c r="J256" i="1" s="1"/>
  <c r="G257" i="1" l="1"/>
  <c r="I257" i="1" s="1"/>
  <c r="J257" i="1" s="1"/>
  <c r="G258" i="1" l="1"/>
  <c r="I258" i="1" s="1"/>
  <c r="J258" i="1" s="1"/>
  <c r="G259" i="1" l="1"/>
  <c r="I259" i="1" s="1"/>
  <c r="J259" i="1" l="1"/>
  <c r="G260" i="1" s="1"/>
  <c r="I260" i="1" s="1"/>
  <c r="L259" i="1"/>
  <c r="J260" i="1" l="1"/>
  <c r="G261" i="1" s="1"/>
  <c r="I261" i="1" s="1"/>
  <c r="J261" i="1" s="1"/>
  <c r="G262" i="1" l="1"/>
  <c r="I262" i="1" s="1"/>
  <c r="J262" i="1" s="1"/>
  <c r="G263" i="1" l="1"/>
  <c r="I263" i="1" s="1"/>
  <c r="J263" i="1" s="1"/>
  <c r="G264" i="1" l="1"/>
  <c r="I264" i="1" s="1"/>
  <c r="J264" i="1" s="1"/>
  <c r="G265" i="1" l="1"/>
  <c r="I265" i="1" s="1"/>
  <c r="J265" i="1" s="1"/>
  <c r="G266" i="1" l="1"/>
  <c r="I266" i="1" s="1"/>
  <c r="J266" i="1" s="1"/>
  <c r="G267" i="1" l="1"/>
  <c r="I267" i="1" s="1"/>
  <c r="J267" i="1" s="1"/>
  <c r="G268" i="1" l="1"/>
  <c r="I268" i="1" s="1"/>
  <c r="J268" i="1" s="1"/>
  <c r="G269" i="1" l="1"/>
  <c r="I269" i="1" s="1"/>
  <c r="J269" i="1" s="1"/>
  <c r="G270" i="1" l="1"/>
  <c r="I270" i="1" s="1"/>
  <c r="J270" i="1" s="1"/>
  <c r="G271" i="1" l="1"/>
  <c r="I271" i="1" s="1"/>
  <c r="J271" i="1" s="1"/>
  <c r="G272" i="1" s="1"/>
  <c r="I272" i="1" s="1"/>
  <c r="J272" i="1" s="1"/>
  <c r="G273" i="1" s="1"/>
  <c r="I273" i="1" s="1"/>
  <c r="J273" i="1" s="1"/>
  <c r="G274" i="1" s="1"/>
  <c r="I274" i="1" s="1"/>
  <c r="J274" i="1" s="1"/>
  <c r="G275" i="1" s="1"/>
  <c r="I275" i="1" s="1"/>
  <c r="J275" i="1" l="1"/>
  <c r="G276" i="1" s="1"/>
  <c r="I276" i="1" s="1"/>
  <c r="L275" i="1"/>
  <c r="M275" i="1" s="1"/>
  <c r="J276" i="1" l="1"/>
  <c r="G277" i="1" s="1"/>
  <c r="I277" i="1" s="1"/>
  <c r="J277" i="1" s="1"/>
  <c r="G278" i="1" s="1"/>
  <c r="I278" i="1" s="1"/>
  <c r="J278" i="1" s="1"/>
  <c r="G279" i="1" s="1"/>
  <c r="I279" i="1" s="1"/>
  <c r="J279" i="1" s="1"/>
  <c r="G280" i="1" s="1"/>
  <c r="I280" i="1" s="1"/>
  <c r="J280" i="1" s="1"/>
  <c r="G281" i="1" s="1"/>
  <c r="I281" i="1" s="1"/>
  <c r="J281" i="1" s="1"/>
  <c r="G282" i="1" s="1"/>
  <c r="I282" i="1" s="1"/>
  <c r="J282" i="1" s="1"/>
  <c r="G283" i="1" s="1"/>
  <c r="I283" i="1" s="1"/>
  <c r="J283" i="1" s="1"/>
  <c r="G284" i="1" s="1"/>
  <c r="I284" i="1" s="1"/>
  <c r="J284" i="1" s="1"/>
  <c r="G285" i="1" s="1"/>
  <c r="I285" i="1" s="1"/>
  <c r="J285" i="1" s="1"/>
  <c r="G286" i="1" s="1"/>
  <c r="I286" i="1" s="1"/>
  <c r="J286" i="1" s="1"/>
  <c r="G287" i="1" s="1"/>
  <c r="I287" i="1" s="1"/>
  <c r="J287" i="1" s="1"/>
  <c r="G288" i="1" s="1"/>
  <c r="I288" i="1" s="1"/>
  <c r="J288" i="1" s="1"/>
  <c r="G289" i="1" s="1"/>
  <c r="I289" i="1" s="1"/>
  <c r="L288" i="1" l="1"/>
  <c r="J289" i="1"/>
  <c r="G290" i="1" s="1"/>
  <c r="I290" i="1" s="1"/>
  <c r="J290" i="1" s="1"/>
  <c r="G291" i="1" s="1"/>
  <c r="I291" i="1" s="1"/>
  <c r="J291" i="1" s="1"/>
  <c r="G292" i="1" s="1"/>
  <c r="I292" i="1" s="1"/>
  <c r="J292" i="1" s="1"/>
  <c r="G293" i="1" s="1"/>
  <c r="I293" i="1" s="1"/>
  <c r="J293" i="1" s="1"/>
  <c r="G294" i="1" s="1"/>
  <c r="I294" i="1" s="1"/>
  <c r="J294" i="1" s="1"/>
  <c r="G295" i="1" s="1"/>
  <c r="I295" i="1" s="1"/>
  <c r="J295" i="1" s="1"/>
  <c r="G296" i="1" s="1"/>
  <c r="I296" i="1" s="1"/>
  <c r="J296" i="1" s="1"/>
  <c r="G297" i="1" s="1"/>
  <c r="I297" i="1" s="1"/>
  <c r="J297" i="1" s="1"/>
  <c r="G298" i="1" s="1"/>
  <c r="I298" i="1" s="1"/>
  <c r="J298" i="1" s="1"/>
  <c r="G299" i="1" s="1"/>
  <c r="I299" i="1" s="1"/>
  <c r="J299" i="1" s="1"/>
  <c r="G300" i="1" s="1"/>
  <c r="I300" i="1" s="1"/>
  <c r="J300" i="1" s="1"/>
  <c r="G301" i="1" s="1"/>
  <c r="I301" i="1" s="1"/>
  <c r="J301" i="1" s="1"/>
  <c r="G302" i="1" s="1"/>
  <c r="I302" i="1" s="1"/>
  <c r="J302" i="1" s="1"/>
  <c r="G303" i="1" s="1"/>
  <c r="I303" i="1" s="1"/>
  <c r="J303" i="1" s="1"/>
  <c r="G304" i="1" l="1"/>
  <c r="I304" i="1" s="1"/>
  <c r="J304" i="1" s="1"/>
  <c r="G305" i="1" l="1"/>
  <c r="I305" i="1" s="1"/>
  <c r="J305" i="1" s="1"/>
  <c r="L305" i="1" l="1"/>
  <c r="M305" i="1" s="1"/>
  <c r="G306" i="1"/>
  <c r="I306" i="1" s="1"/>
  <c r="J306" i="1" s="1"/>
  <c r="G307" i="1" s="1"/>
  <c r="I307" i="1" s="1"/>
  <c r="J307" i="1" s="1"/>
  <c r="G308" i="1" l="1"/>
  <c r="I308" i="1" s="1"/>
  <c r="J308" i="1" s="1"/>
  <c r="G309" i="1" l="1"/>
  <c r="I309" i="1" s="1"/>
  <c r="J309" i="1" s="1"/>
  <c r="G310" i="1" l="1"/>
  <c r="I310" i="1" s="1"/>
  <c r="J310" i="1" s="1"/>
  <c r="G311" i="1" l="1"/>
  <c r="I311" i="1" s="1"/>
  <c r="J311" i="1" s="1"/>
  <c r="G312" i="1" l="1"/>
  <c r="I312" i="1" s="1"/>
  <c r="J312" i="1" s="1"/>
  <c r="G313" i="1" l="1"/>
  <c r="I313" i="1" s="1"/>
  <c r="J313" i="1" s="1"/>
  <c r="G314" i="1" l="1"/>
  <c r="I314" i="1" s="1"/>
  <c r="J314" i="1" s="1"/>
  <c r="G315" i="1" l="1"/>
  <c r="I315" i="1" s="1"/>
  <c r="J315" i="1" l="1"/>
  <c r="G316" i="1" s="1"/>
  <c r="I316" i="1" s="1"/>
  <c r="L315" i="1"/>
  <c r="J316" i="1" l="1"/>
  <c r="G317" i="1" s="1"/>
  <c r="I317" i="1" s="1"/>
  <c r="J317" i="1" s="1"/>
  <c r="G318" i="1" l="1"/>
  <c r="I318" i="1" s="1"/>
  <c r="J318" i="1" s="1"/>
  <c r="G319" i="1" l="1"/>
  <c r="I319" i="1" s="1"/>
  <c r="J319" i="1" s="1"/>
  <c r="G320" i="1" l="1"/>
  <c r="I320" i="1" s="1"/>
  <c r="J320" i="1" l="1"/>
  <c r="G321" i="1" s="1"/>
  <c r="I321" i="1" s="1"/>
  <c r="J321" i="1" s="1"/>
  <c r="G322" i="1" l="1"/>
  <c r="I322" i="1" s="1"/>
  <c r="J322" i="1" s="1"/>
  <c r="G323" i="1" l="1"/>
  <c r="I323" i="1" s="1"/>
  <c r="J323" i="1" s="1"/>
  <c r="G324" i="1" l="1"/>
  <c r="I324" i="1" s="1"/>
  <c r="J324" i="1" s="1"/>
  <c r="G325" i="1" l="1"/>
  <c r="I325" i="1" s="1"/>
  <c r="J325" i="1" s="1"/>
  <c r="G326" i="1" l="1"/>
  <c r="I326" i="1" s="1"/>
  <c r="J326" i="1" s="1"/>
  <c r="G327" i="1" l="1"/>
  <c r="I327" i="1" s="1"/>
  <c r="J327" i="1" s="1"/>
  <c r="G328" i="1" l="1"/>
  <c r="I328" i="1" s="1"/>
  <c r="J328" i="1" s="1"/>
  <c r="G329" i="1" l="1"/>
  <c r="I329" i="1" s="1"/>
  <c r="J329" i="1" s="1"/>
  <c r="G330" i="1" l="1"/>
  <c r="I330" i="1" s="1"/>
  <c r="J330" i="1" l="1"/>
  <c r="G331" i="1" s="1"/>
  <c r="I331" i="1" s="1"/>
  <c r="L330" i="1"/>
  <c r="M330" i="1" s="1"/>
  <c r="J331" i="1" l="1"/>
  <c r="G332" i="1" s="1"/>
  <c r="I332" i="1" s="1"/>
  <c r="J332" i="1" s="1"/>
  <c r="G333" i="1" l="1"/>
  <c r="I333" i="1" s="1"/>
  <c r="J333" i="1" s="1"/>
  <c r="G334" i="1" l="1"/>
  <c r="I334" i="1" s="1"/>
  <c r="J334" i="1" l="1"/>
  <c r="G335" i="1" s="1"/>
  <c r="I335" i="1" s="1"/>
  <c r="J335" i="1" s="1"/>
  <c r="G336" i="1" l="1"/>
  <c r="I336" i="1" s="1"/>
  <c r="J336" i="1" s="1"/>
  <c r="G337" i="1" l="1"/>
  <c r="I337" i="1" s="1"/>
  <c r="J337" i="1" l="1"/>
  <c r="G338" i="1" s="1"/>
  <c r="I338" i="1" s="1"/>
  <c r="J338" i="1" s="1"/>
  <c r="G339" i="1" l="1"/>
  <c r="I339" i="1" s="1"/>
  <c r="J339" i="1" s="1"/>
  <c r="G340" i="1" l="1"/>
  <c r="I340" i="1" s="1"/>
  <c r="J340" i="1" s="1"/>
  <c r="G341" i="1" l="1"/>
  <c r="I341" i="1" s="1"/>
  <c r="J341" i="1" s="1"/>
  <c r="G342" i="1" l="1"/>
  <c r="I342" i="1" s="1"/>
  <c r="J342" i="1" s="1"/>
  <c r="G343" i="1" l="1"/>
  <c r="I343" i="1" s="1"/>
  <c r="J343" i="1" s="1"/>
  <c r="G344" i="1" l="1"/>
  <c r="I344" i="1" s="1"/>
  <c r="J344" i="1" s="1"/>
  <c r="G345" i="1" l="1"/>
  <c r="I345" i="1" s="1"/>
  <c r="J345" i="1" s="1"/>
  <c r="G346" i="1" l="1"/>
  <c r="I346" i="1" s="1"/>
  <c r="J346" i="1" s="1"/>
  <c r="G347" i="1" l="1"/>
  <c r="I347" i="1" s="1"/>
  <c r="J347" i="1" s="1"/>
  <c r="G348" i="1" l="1"/>
  <c r="I348" i="1" s="1"/>
  <c r="J348" i="1" s="1"/>
  <c r="G349" i="1" l="1"/>
  <c r="I349" i="1" s="1"/>
  <c r="J349" i="1" s="1"/>
  <c r="G350" i="1" l="1"/>
  <c r="I350" i="1" s="1"/>
  <c r="J350" i="1" s="1"/>
  <c r="G351" i="1" l="1"/>
  <c r="I351" i="1" s="1"/>
  <c r="J351" i="1" l="1"/>
  <c r="G352" i="1" s="1"/>
  <c r="I352" i="1" s="1"/>
  <c r="L351" i="1"/>
  <c r="J352" i="1" l="1"/>
  <c r="G353" i="1"/>
  <c r="I353" i="1" s="1"/>
  <c r="J353" i="1" s="1"/>
  <c r="G354" i="1" l="1"/>
  <c r="I354" i="1" s="1"/>
  <c r="J354" i="1" s="1"/>
  <c r="G355" i="1" l="1"/>
  <c r="I355" i="1" s="1"/>
  <c r="J355" i="1" s="1"/>
  <c r="G356" i="1" l="1"/>
  <c r="I356" i="1" s="1"/>
  <c r="J356" i="1" s="1"/>
  <c r="G357" i="1" l="1"/>
  <c r="I357" i="1" s="1"/>
  <c r="J357" i="1" s="1"/>
  <c r="G358" i="1" l="1"/>
  <c r="I358" i="1" s="1"/>
  <c r="J358" i="1" l="1"/>
  <c r="G359" i="1" s="1"/>
  <c r="I359" i="1" s="1"/>
  <c r="J359" i="1" s="1"/>
  <c r="G360" i="1" s="1"/>
  <c r="I360" i="1" s="1"/>
  <c r="J360" i="1" s="1"/>
  <c r="G361" i="1" s="1"/>
  <c r="I361" i="1" s="1"/>
  <c r="J361" i="1" s="1"/>
  <c r="G362" i="1" s="1"/>
  <c r="I362" i="1" s="1"/>
  <c r="J362" i="1" s="1"/>
  <c r="G363" i="1" l="1"/>
  <c r="I363" i="1" s="1"/>
  <c r="J363" i="1" s="1"/>
  <c r="G364" i="1" l="1"/>
  <c r="I364" i="1" s="1"/>
  <c r="J364" i="1" s="1"/>
  <c r="G365" i="1" s="1"/>
  <c r="I365" i="1" s="1"/>
  <c r="J365" i="1" l="1"/>
  <c r="J370" i="1" s="1"/>
  <c r="J371" i="1" s="1"/>
  <c r="I366" i="1"/>
  <c r="L365" i="1"/>
  <c r="M365" i="1" s="1"/>
  <c r="M366" i="1" s="1"/>
</calcChain>
</file>

<file path=xl/sharedStrings.xml><?xml version="1.0" encoding="utf-8"?>
<sst xmlns="http://schemas.openxmlformats.org/spreadsheetml/2006/main" count="1049" uniqueCount="786">
  <si>
    <t>FELIX DELGADILLO MEJIA</t>
  </si>
  <si>
    <t>Metodo:Promedio Ponderado</t>
  </si>
  <si>
    <t>NIT  358900018</t>
  </si>
  <si>
    <t>Cochabamba - Bolivia</t>
  </si>
  <si>
    <t>Unidad de Medida:Metros lineales</t>
  </si>
  <si>
    <t>KARDEX  FISICO VALORADO</t>
  </si>
  <si>
    <t xml:space="preserve">               (Expresado en bolivianos)</t>
  </si>
  <si>
    <t>FECHA</t>
  </si>
  <si>
    <t>DETALLE</t>
  </si>
  <si>
    <t>KARDEX FISICO</t>
  </si>
  <si>
    <t>COSTO UNITARIO</t>
  </si>
  <si>
    <t>KARDEX VALORADO</t>
  </si>
  <si>
    <t>OBSERVACIONES</t>
  </si>
  <si>
    <t>ENTRADA</t>
  </si>
  <si>
    <t>SALIDA</t>
  </si>
  <si>
    <t xml:space="preserve">SALDO </t>
  </si>
  <si>
    <t>ADQ.</t>
  </si>
  <si>
    <t>PROM.</t>
  </si>
  <si>
    <t>DEBE</t>
  </si>
  <si>
    <t>HABER</t>
  </si>
  <si>
    <t>SALDO</t>
  </si>
  <si>
    <t xml:space="preserve">inventario inicial </t>
  </si>
  <si>
    <t>inventario inicial</t>
  </si>
  <si>
    <t xml:space="preserve">Mercaderia:Clavos de calamina </t>
  </si>
  <si>
    <t>Unidad de Medida:Kg.</t>
  </si>
  <si>
    <t>Peso: kg</t>
  </si>
  <si>
    <t xml:space="preserve">ENTRADA </t>
  </si>
  <si>
    <t>INVENTARIO INICIAL clavos Calamina</t>
  </si>
  <si>
    <t xml:space="preserve">INVENTARIO INICIAL </t>
  </si>
  <si>
    <t>AJUSTE</t>
  </si>
  <si>
    <t>Mercaderia:Planchas Cortadas</t>
  </si>
  <si>
    <t>Mercaderia:Tirafondos 6.3*76.2c/gomas</t>
  </si>
  <si>
    <t>Unidad de Medida:Uds.</t>
  </si>
  <si>
    <t>INVENTARIO INICIAL</t>
  </si>
  <si>
    <t>Mercaderia:Tirafondos 6.3*63.5c/gomas</t>
  </si>
  <si>
    <t>INENTARIO INICIAL</t>
  </si>
  <si>
    <t>Venta tirafondos 63*76.2 c/gomas F- 664</t>
  </si>
  <si>
    <t>Venta tirafondos 63*76.2 c/gomas F- 665</t>
  </si>
  <si>
    <t>Venta tirafondos 63*76.2 c/gomas F- 667</t>
  </si>
  <si>
    <t>Venta tirafondos 63*63.5 c/gomas F- 670</t>
  </si>
  <si>
    <t>Venta tirafondos 63*76.2 c/gomas F- 671</t>
  </si>
  <si>
    <t>Venta tirafondos 63*76.2 c/gomas F- 672</t>
  </si>
  <si>
    <t>ANULADA F- 673</t>
  </si>
  <si>
    <t>Venta tirafondos 63*76.2 c/gomas F- 676</t>
  </si>
  <si>
    <t>VENTA CLAVOS DE CALAMINA F- 677</t>
  </si>
  <si>
    <t>Venta tirafondos 63*76.2 c/gomas F- 678</t>
  </si>
  <si>
    <t>Venta tirafondos 63*76.2 c/gomas F- 679</t>
  </si>
  <si>
    <t>Venta tirafondos 63*76.2 c/gomas F- 680</t>
  </si>
  <si>
    <t>Venta tirafondos 63*63.5 c/gomas F- 681</t>
  </si>
  <si>
    <t>VENTA CLAVOS DE CALAMINA F- 685</t>
  </si>
  <si>
    <t>Venta tirafondos 63*63.5 c/gomas F- 688</t>
  </si>
  <si>
    <t>VENTA CLAVOS DE CALAMINA F- 692</t>
  </si>
  <si>
    <t>VENTA CLAVOS DE CALAMINA F- 693</t>
  </si>
  <si>
    <t>Venta tirafondos 63*76.2 c/gomas F- 695</t>
  </si>
  <si>
    <t>VENTA CLAVOS DE CALAMINA F- 696</t>
  </si>
  <si>
    <t>Venta tirafondos 63*76.2 c/gomas F- 704</t>
  </si>
  <si>
    <t>VENTA CLAVOS DE CALAMINA F- 706</t>
  </si>
  <si>
    <t>Venta tirafondos 63*63.5 c/gomas F- 709</t>
  </si>
  <si>
    <t>Venta tirafondos 63*76.2 c/gomas F- 714</t>
  </si>
  <si>
    <t>VENTA CLAVOS DE CALAMINA F- 715</t>
  </si>
  <si>
    <t xml:space="preserve">                Practicado al 31 de diciembre de 2017</t>
  </si>
  <si>
    <t xml:space="preserve">                Practicado al 31 diciembre 2017</t>
  </si>
  <si>
    <t xml:space="preserve">                Practicado al 31 de diciembre DE 2017</t>
  </si>
  <si>
    <t>Mercaderia:Planchas para calaminas N°28 0.35mm</t>
  </si>
  <si>
    <t xml:space="preserve">Inventario Inicial </t>
  </si>
  <si>
    <t>Mercaderia:Juntas de goma</t>
  </si>
  <si>
    <t>Venta tirafondos 63*76.2 c/gomas F- 675</t>
  </si>
  <si>
    <t>VENTA CLAVOS DE CALAMINA F- 703</t>
  </si>
  <si>
    <t>VENTA CLAVOS DE CALAMINA F- 705</t>
  </si>
  <si>
    <t>ANULADA F- 720</t>
  </si>
  <si>
    <t>VENTA CLAVOS DE CALAMINA F- 727</t>
  </si>
  <si>
    <t>Venta tirafondos 63*76.2 c/gomas F- 733</t>
  </si>
  <si>
    <t>Venta tirafondos 63*76.2 c/gomas F- 738</t>
  </si>
  <si>
    <t>VENTA CLAVOS DE CALAMINA F- 741</t>
  </si>
  <si>
    <t>VENTA CLAVOS DE CALAMINA F- 745</t>
  </si>
  <si>
    <t>Venta tirafondos 63*76.2 c/gomas F- 746</t>
  </si>
  <si>
    <t>VENTA CLAVOS DE CALAMINA F- 747</t>
  </si>
  <si>
    <t>Venta tirafondos 63*76.2 c/gomas F- 748</t>
  </si>
  <si>
    <t>Venta tirafondos 63*76.2 c/gomas F- 750</t>
  </si>
  <si>
    <t xml:space="preserve">Venta tirafondos 63*76.2 c/gomas F-753 </t>
  </si>
  <si>
    <t>Venta tirafondos 63*76.2 c/gomas F- 755</t>
  </si>
  <si>
    <t>VENTA CLAVOS DE CALAMINA F- 757</t>
  </si>
  <si>
    <t>Venta tirafondos 63*76.2 c/gomas F- 759</t>
  </si>
  <si>
    <t>Venta tirafondos 63*63.5 c/gomas F- 763</t>
  </si>
  <si>
    <t>Venta tirafondos 63*76.2 c/gomas F- 765</t>
  </si>
  <si>
    <t>Venta tirafondos 63*63.5 c/gomas F- 767</t>
  </si>
  <si>
    <t>Venta tirafondos 63*76.2 c/gomas F- 770</t>
  </si>
  <si>
    <t>Venta tirafondos 63*76.2 c/gomas F- 774</t>
  </si>
  <si>
    <t>VENTA CLAVOS DE CALAMINA F- 777</t>
  </si>
  <si>
    <t>VENTA CLAVOS DE CALAMINA F- 778</t>
  </si>
  <si>
    <t>Compra poliza c-27633</t>
  </si>
  <si>
    <t>Compra poliza C 27653</t>
  </si>
  <si>
    <t>Venta tirafondos 63*63.5 c/gomas F- 782</t>
  </si>
  <si>
    <t>Venta tirafondos 63*76.2 c/gomas F- 783</t>
  </si>
  <si>
    <t>VENTA CLAVOS DE CALAMINA F- 786</t>
  </si>
  <si>
    <t>VENTA CLAVOS DE CALAMINA F- 791</t>
  </si>
  <si>
    <t>Venta tirafondos 63*76.2 c/gomas F- 792</t>
  </si>
  <si>
    <t>Venta tirafondos 63*63.5 c/gomas F- 794</t>
  </si>
  <si>
    <t>VENTA CLAVOS DE CALAMINA F- 797</t>
  </si>
  <si>
    <t>30/04/217</t>
  </si>
  <si>
    <t>30./04/2017</t>
  </si>
  <si>
    <t>VENTA CLAVOS DE CALAMINA F- 802</t>
  </si>
  <si>
    <t>Venta tirafondos 63*63.5 c/gomas F- 803</t>
  </si>
  <si>
    <t>VENTA CLAVOS DE CALAMINA F- 804</t>
  </si>
  <si>
    <t>VENTA CLAVOS DE CALAMINA F- 807</t>
  </si>
  <si>
    <t>Venta tirafondos 63*76.2 c/gomas F- 812</t>
  </si>
  <si>
    <t>Venta tirafondos 63*63.5 c/gomas F- 816</t>
  </si>
  <si>
    <t>VENTA CLAVOS DE CALAMINA F- 816</t>
  </si>
  <si>
    <t>VENTA CLAVOS DE CALAMINA F- 817</t>
  </si>
  <si>
    <t>VENTA CLAVOS DE CALAMINA F- 822</t>
  </si>
  <si>
    <t>VENTA CLAVOS DE CALAMINA F- 823</t>
  </si>
  <si>
    <t>VENTA CLAVOS DE CALAMINA F- 834</t>
  </si>
  <si>
    <t>VENTA CLAVOS DE CALAMINA F- 845</t>
  </si>
  <si>
    <t>Venta tirafondos 63*63.5 c/gomas F- 839</t>
  </si>
  <si>
    <t>Venta tirafondos 63*76.2 c/gomas F- 843</t>
  </si>
  <si>
    <t>ANULADA F- 848</t>
  </si>
  <si>
    <t>Venta tirafondos 63*76.2 c/gomas F- 850</t>
  </si>
  <si>
    <t>ANULADA F- 852</t>
  </si>
  <si>
    <t>Venta tirafondos 63*76.2 c/gomas F- 856</t>
  </si>
  <si>
    <t>Venta tirafondos 63*76.2 c/gomas F- 865</t>
  </si>
  <si>
    <t>Venta tirafondos 63*76.2 c/gomas F- 868</t>
  </si>
  <si>
    <t>Venta tirafondos 63*76.2 c/gomas F- 871</t>
  </si>
  <si>
    <t>Venta tirafondos 63*76.2 c/gomas F- 873</t>
  </si>
  <si>
    <t>Venta tirafondos 63*76.2 c/gomas F- 881</t>
  </si>
  <si>
    <t>Venta tirafondos 63*63.5 c/gomas F- 891</t>
  </si>
  <si>
    <t>Venta tirafondos 63*76.2 c/gomas F- 899</t>
  </si>
  <si>
    <t>Venta tirafondos 63*63.5 c/gomas F- 904</t>
  </si>
  <si>
    <t>Venta tirafondos 63*63.5 c/gomas F- 906</t>
  </si>
  <si>
    <t>Anulada F- 912</t>
  </si>
  <si>
    <t>Venta tirafondos 63*76.2 c/gomas F- 913</t>
  </si>
  <si>
    <t>Venta tirafondos 63*76.2 c/gomas F- 920</t>
  </si>
  <si>
    <t>Venta tirafondos 63*76.2 c/gomas F- 922</t>
  </si>
  <si>
    <t>Venta tirafondos 63*76.2 c/gomas F- 924</t>
  </si>
  <si>
    <t>Venta tirafondos 63*76.2 c/gomas F- 925</t>
  </si>
  <si>
    <t>Venta tirafondos 63*76.2 c/gomas F- 926</t>
  </si>
  <si>
    <t>Venta tirafondos 63*63.5 c/gomas F- 939</t>
  </si>
  <si>
    <t>Venta tirafondos 63*76.2 c/gomas F- 941</t>
  </si>
  <si>
    <t>ANULADA F- 942</t>
  </si>
  <si>
    <t>TOTAL</t>
  </si>
  <si>
    <t>Venta tirafondos 63*76.2 c/gomas F- 949</t>
  </si>
  <si>
    <t>Venta tirafondos 63*63.5 c/gomas F- 950</t>
  </si>
  <si>
    <t>VENTA CLAVOS DE CALAMINA F- 951</t>
  </si>
  <si>
    <t>VENTA CLAVOS DE CALAMINA F- 957</t>
  </si>
  <si>
    <t>Venta tirafondos 63*63.5 c/gomas F- 962</t>
  </si>
  <si>
    <t>VENTA CLAVOS DE CALAMINA F- 966</t>
  </si>
  <si>
    <t>Venta tirafondos 63*63.5 c/gomas F- 975</t>
  </si>
  <si>
    <t>Venta tirafondos 63*76.2 c/gomas F- 976</t>
  </si>
  <si>
    <t>Venta tirafondos 63*76.2 c/gomas F- 977</t>
  </si>
  <si>
    <t>Venta tirafondos 63*76.2 c/gomas F- 981</t>
  </si>
  <si>
    <t>Venta tirafondos 63*76.2 c/gomas F- 990</t>
  </si>
  <si>
    <t>Venta tirafondos 63*63.5 c/gomas F- 1004</t>
  </si>
  <si>
    <t>Venta tirafondos 63*76.2 c/gomas F- 1009</t>
  </si>
  <si>
    <t>Venta tirafondos 63*76.2 c/gomas F- 1011</t>
  </si>
  <si>
    <t>Venta tirafondos 63*76.2 c/gomas F- 1013</t>
  </si>
  <si>
    <t xml:space="preserve">Venta tirafondos 63*63.5 c/gomas F-1014 </t>
  </si>
  <si>
    <t>Venta tirafondos 63*76.2 c/gomas F- 1019</t>
  </si>
  <si>
    <t>Venta tirafondos 63*63.5 c/gomas F- 1021</t>
  </si>
  <si>
    <t>Venta tirafondos 63*76.2 c/gomas F- 1023</t>
  </si>
  <si>
    <t>Venta tirafondos 63*76.2 c/gomas F- 1025</t>
  </si>
  <si>
    <t>Venta tirafondos 63*76.2 c/gomas F- 1043</t>
  </si>
  <si>
    <t>COMPRA poliza C-10362</t>
  </si>
  <si>
    <t>COMPRA DUI C-10362</t>
  </si>
  <si>
    <t>Venta tirafondos 63*63.5 c/gomas F- 1057</t>
  </si>
  <si>
    <t>Venta tirafondos 63*63.5 c/gomas F- 1064</t>
  </si>
  <si>
    <t>Venta tirafondos 63*76.2 c/gomas F- 1066</t>
  </si>
  <si>
    <t>Venta tirafondos 63*63.5 c/gomas F- 1068</t>
  </si>
  <si>
    <t>Venta tirafondos 63*76.2 c/gomas F- 1071</t>
  </si>
  <si>
    <t>Venta tirafondos 63*76.2 c/gomas F- 1073</t>
  </si>
  <si>
    <t>Venta tirafondos 63*76.2 c/gomas F- 1081</t>
  </si>
  <si>
    <t>Venta tirafondos 63*76.2 c/gomas F- 1083</t>
  </si>
  <si>
    <t>Venta tirafondos 63*76.2 c/gomas F- 1084</t>
  </si>
  <si>
    <t>Venta tirafondos 63*76.2 c/gomas F- 1092</t>
  </si>
  <si>
    <t>Venta tirafondos 63*76.2 c/gomas F- 1096</t>
  </si>
  <si>
    <t>Venta tirafondos 63*76.2 c/gomas F- 1102</t>
  </si>
  <si>
    <t>Venta tirafondos 63*63.5 c/gomas F- 1103</t>
  </si>
  <si>
    <t>Venta tirafondos 63*76.2 c/gomas F- 1106</t>
  </si>
  <si>
    <t>Venta tirafondos 63*76.2 c/gomas F- 1115</t>
  </si>
  <si>
    <t>Venta tirafondos 63*63.5 c/gomas F- 1117</t>
  </si>
  <si>
    <t>Venta tirafondos 63*63.5 c/gomas F- 1118</t>
  </si>
  <si>
    <t>Venta tirafondos 63*63.5 c/gomas F- 1120</t>
  </si>
  <si>
    <t>Venta tirafondos 63*63.5 c/gomas F- 1134</t>
  </si>
  <si>
    <t>Venta tirafondos 63*63.5 c/gomas F- 1141</t>
  </si>
  <si>
    <t>Venta tirafondos 63*76.2 c/gomas F- 1142</t>
  </si>
  <si>
    <t>Venta tirafondos 63*63.5 c/gomas F- 1151</t>
  </si>
  <si>
    <t>Venta tirafondos 63*63.5 c/gomas F- 1152</t>
  </si>
  <si>
    <t>Venta tirafondos 63*63.5 c/gomas F- 1153</t>
  </si>
  <si>
    <t>Venta tirafondos 63*76.2 c/gomas F- 1166</t>
  </si>
  <si>
    <t>ANULADA F- 1167</t>
  </si>
  <si>
    <t>Venta tirafondos 63*76.2 c/gomas F- 1169</t>
  </si>
  <si>
    <t>Venta tirafondos 63*76.2 c/gomas F- 1181</t>
  </si>
  <si>
    <t>Venta tirafondos 63*63.5 c/gomas F- 1181</t>
  </si>
  <si>
    <t>Venta tirafondos 63*63.5 c/gomas F- 1182</t>
  </si>
  <si>
    <t>Venta tirafondos 63*63.5 c/gomas F- 1183</t>
  </si>
  <si>
    <t>ANULADA F- 983</t>
  </si>
  <si>
    <t>Venta tirafondos 63*76.2 c/gomas F- 1185</t>
  </si>
  <si>
    <t>Venta tirafondos 63*76.2 c/gomas F- 1187</t>
  </si>
  <si>
    <t>Venta tirafondos 63*76.2 c/gomas F- 1189</t>
  </si>
  <si>
    <t>Venta tirafondos 63*76.2 c/gomas F- 1194</t>
  </si>
  <si>
    <t>Compra bobinas para calamina DUI C-10362</t>
  </si>
  <si>
    <t>Venta Calamina  0.35mm RAL #28 F- 1113</t>
  </si>
  <si>
    <t>Venta Calamina  0.35mm RAL #28 F- 1114</t>
  </si>
  <si>
    <t>Venta Calamina  0.35mm RAL #28 F- 1124</t>
  </si>
  <si>
    <t>Venta Calamina  0.35mm RAL #28 F- 1128</t>
  </si>
  <si>
    <t>Venta Calamina  0.35mm RAL #28 F- 1131</t>
  </si>
  <si>
    <t>Venta Calamina  0.35mm RAL #28 F- 1132</t>
  </si>
  <si>
    <t>Venta Calamina  0.35mm RAL #28 F- 1141</t>
  </si>
  <si>
    <t>Venta Calamina  0.35mm RAL #28 F- 1146</t>
  </si>
  <si>
    <t>Venta Calamina  0.35mm RAL #28 F- 1156</t>
  </si>
  <si>
    <t>Venta Calamina  0.35mm RAL #28 F- 1166</t>
  </si>
  <si>
    <t>Venta Calamina  0.35mm RAL #28 F- 1180</t>
  </si>
  <si>
    <t>Venta Calamina  0.35mm RAL #28 F- 1194</t>
  </si>
  <si>
    <t>Venta Calamina 0.40mm RAL# 26 F- 695</t>
  </si>
  <si>
    <t>Venta Calamina 0.40mm RAL# 26 F- 698</t>
  </si>
  <si>
    <t>Venta Calamina 0.40mm RAL# 26 F- 699</t>
  </si>
  <si>
    <t>Venta Calamina 0.40mm RAL# 26 F- 700</t>
  </si>
  <si>
    <t>Venta Calamina 0.40mm RAL# 26 F- 701</t>
  </si>
  <si>
    <t>Venta Calamina 0.40mm RAL# 26 F- 704</t>
  </si>
  <si>
    <t>Venta Calamina 0.40mm RAL# 26 F- 707</t>
  </si>
  <si>
    <t>Venta Calamina 0.40mm RAL# 26 F- 708</t>
  </si>
  <si>
    <t>Venta Calamina 0.40mm RAL# 26 F- 711</t>
  </si>
  <si>
    <t>Venta Calamina 0.40mm RAL# 26 F- 712</t>
  </si>
  <si>
    <t>Venta Calamina 0.40mm RAL# 26 F- 713</t>
  </si>
  <si>
    <t>Venta Calamina 0.40mm RAL# 26 F- 714</t>
  </si>
  <si>
    <t>Venta Calamina 0.40mm RAL# 26 F- 719</t>
  </si>
  <si>
    <t>Venta Calamina 0.40mm RAL# 26 F- 721</t>
  </si>
  <si>
    <t>Venta Calamina 0.40mm RAL# 26 F- 724</t>
  </si>
  <si>
    <t>Venta Calamina 0.40mm RAL# 26 F- 732</t>
  </si>
  <si>
    <t>Venta Calamina 0.40mm RAL# 26 F- 733</t>
  </si>
  <si>
    <t>Venta Calamina 0.40mm RAL# 26 F- 735</t>
  </si>
  <si>
    <t>Venta Calamina 0.40mm RAL# 26 F- 736</t>
  </si>
  <si>
    <t>Venta Calamina 0.40mm RAL# 26 F- 737</t>
  </si>
  <si>
    <t>Venta Calamina 0.40mm RAL# 26 F- 739</t>
  </si>
  <si>
    <t>Venta Calamina 0.40mm RAL# 26 F- 741</t>
  </si>
  <si>
    <t>Venta Calamina 0.40mm RAL# 26 F- 742</t>
  </si>
  <si>
    <t>Venta Calamina 0.40mm RAL# 26 F- 743</t>
  </si>
  <si>
    <t>Venta Calamina 0.40mm RAL# 26 F- 744</t>
  </si>
  <si>
    <t>Venta Calamina 0.40mm RAL# 26 F- 748</t>
  </si>
  <si>
    <t>Venta Calamina 0.40mm RAL# 26 F- 749</t>
  </si>
  <si>
    <t>Venta Calamina 0.40mm RAL# 26 F- 750</t>
  </si>
  <si>
    <t>Venta Calamina 0.40mm RAL# 26 F- 751</t>
  </si>
  <si>
    <t>Venta Calamina 0.40mm RAL# 26 F- 753</t>
  </si>
  <si>
    <t>Venta Calamina 0.40mm RAL# 26 F- 758</t>
  </si>
  <si>
    <t>Venta Calamina 0.40mm RAL# 26 F- 766</t>
  </si>
  <si>
    <t>Venta Calamina 0.40mm RAL# 26 F- 771</t>
  </si>
  <si>
    <t>Venta Calamina 0.40mm RAL# 26 F- 772</t>
  </si>
  <si>
    <t>Venta Calamina 0.40mm RAL# 26 F- 774</t>
  </si>
  <si>
    <t>Venta Calamina 0.40mm RAL# 26 F- 775</t>
  </si>
  <si>
    <t>Venta Calamina 0.40mm RAL# 26 F- 776</t>
  </si>
  <si>
    <t>Venta Calamina 0.40mm RAL# 26 F- 782</t>
  </si>
  <si>
    <t>Venta Calamina 0.40mm RAL# 26 F- 783</t>
  </si>
  <si>
    <t>Venta Calamina 0.40mm RAL# 26 F- 784</t>
  </si>
  <si>
    <t>Venta Calamina 0.40mm RAL# 26 F- 788</t>
  </si>
  <si>
    <t>Venta Calamina 0.40mm RAL# 26 F- 789</t>
  </si>
  <si>
    <t>Venta Calamina 0.40mm RAL# 26 F- 790</t>
  </si>
  <si>
    <t>Venta Calamina 0.40mm RAL# 26 F- 795</t>
  </si>
  <si>
    <t>Venta Calamina 0.40mm RAL# 26 F- 809</t>
  </si>
  <si>
    <t>Venta Calamina 0.40mm RAL# 26 F- 810</t>
  </si>
  <si>
    <t>Venta Calamina 0.40mm RAL# 26 F- 811</t>
  </si>
  <si>
    <t>Venta Calamina 0.40mm RAL# 26 F- 812</t>
  </si>
  <si>
    <t>Venta Calamina 0.40mm RAL# 26 F- 813</t>
  </si>
  <si>
    <t>Venta Calamina 0.40mm RAL# 26 F- 824</t>
  </si>
  <si>
    <t>Venta Calamina 0.40mm RAL# 26 F- 825</t>
  </si>
  <si>
    <t>Venta Calamina 0.40mm RAL# 26 F- 828</t>
  </si>
  <si>
    <t>Venta Calamina 0.40mm RAL# 26 F- 832</t>
  </si>
  <si>
    <t>Venta Calamina 0.40mm RAL# 26 F- 839</t>
  </si>
  <si>
    <t>Venta Calamina 0.40mm RAL# 26 F- 841</t>
  </si>
  <si>
    <t>Venta Calamina 0.40mm RAL# 26 F- 842</t>
  </si>
  <si>
    <t>Venta Calamina 0.40mm RAL# 26 F- 871</t>
  </si>
  <si>
    <t>Venta Calamina 0.40mm RAL# 26 F- 873</t>
  </si>
  <si>
    <t>Venta Calamina 0.40mm RAL# 26 F- 878</t>
  </si>
  <si>
    <t>Venta Calamina 0.40mm RAL# 26 F- 881</t>
  </si>
  <si>
    <t>Venta Calamina 0.40mm RAL# 26 F- 883</t>
  </si>
  <si>
    <t>Venta Calamina 0.40mm RAL# 26 F- 885</t>
  </si>
  <si>
    <t>Venta Calamina 0.40mm RAL# 26 F- 888</t>
  </si>
  <si>
    <t>Venta Calamina 0.40mm RAL# 26 F- 895</t>
  </si>
  <si>
    <t>Venta Calamina 0.40mm RAL# 26 F- 897</t>
  </si>
  <si>
    <t>Venta Calamina 0.40mm RAL# 26 F- 900</t>
  </si>
  <si>
    <t>Venta Calamina 0.40mm RAL# 26 F- 905</t>
  </si>
  <si>
    <t>Venta Calamina 0.40mm RAL# 26 F- 1194</t>
  </si>
  <si>
    <t>Calamina 0.35mm #28 F- 656</t>
  </si>
  <si>
    <t>Calamina 0.35mm #28 F- 657</t>
  </si>
  <si>
    <t>Calamina 0.35mm #28 F- 658</t>
  </si>
  <si>
    <t>Calamina 0.35mm #28 F- 659</t>
  </si>
  <si>
    <t>Calamina 0.35mm #28 F- 660</t>
  </si>
  <si>
    <t>Calamina 0.35mm #28 F- 662</t>
  </si>
  <si>
    <t>Calamina 0.35mm #28 F- 666</t>
  </si>
  <si>
    <t>Calamina 0.35mm #28 F- 668</t>
  </si>
  <si>
    <t>Calamina 0.35mm #28 F- 677</t>
  </si>
  <si>
    <t>Calamina 0.35mm #28 F- 682</t>
  </si>
  <si>
    <t>Calamina 0.35mm #28 F- 683</t>
  </si>
  <si>
    <t>Calamina 0.35mm #28 F- 685</t>
  </si>
  <si>
    <t>Calamina 0.35mm #28 F- 686</t>
  </si>
  <si>
    <t>Calamina 0.35mm #28 F- 689</t>
  </si>
  <si>
    <t>Calamina 0.35mm #28 F- 691</t>
  </si>
  <si>
    <t>Calamina 0.35mm #28 F- 692</t>
  </si>
  <si>
    <t>Calamina 0.35mm #28 F- 694</t>
  </si>
  <si>
    <t>Calamina 0.35mm #28 F- 696</t>
  </si>
  <si>
    <t>Calamina 0.35mm #28 F- 697</t>
  </si>
  <si>
    <t>Calamina 0.35mm #28 F- 702</t>
  </si>
  <si>
    <t>Calamina 0.35mm #28 F- 703</t>
  </si>
  <si>
    <t>Calamina 0.35mm #28 F- 705</t>
  </si>
  <si>
    <t>Calamina 0.35mm #28 F- 706</t>
  </si>
  <si>
    <t>Calamina 0.35mm #28 F- 709</t>
  </si>
  <si>
    <t>Calamina 0.35mm #28 F- 710</t>
  </si>
  <si>
    <t>Calamina 0.35mm #28 F- 715</t>
  </si>
  <si>
    <t>Calamina 0.35mm #28 F- 716</t>
  </si>
  <si>
    <t>Calamina 0.35mm #28 F- 717</t>
  </si>
  <si>
    <t>Calamina 0.35mm #28 F- 723</t>
  </si>
  <si>
    <t>Calamina 0.35mm #28 F- 725</t>
  </si>
  <si>
    <t>Calamina 0.35mm #28 F- 726</t>
  </si>
  <si>
    <t>Calamina 0.35mm #28 F- 727</t>
  </si>
  <si>
    <t>Calamina 0.35mm #28 F- 728</t>
  </si>
  <si>
    <t>Calamina 0.35mm #28 F- 729</t>
  </si>
  <si>
    <t>Calamina 0.35mm #28 F- 730</t>
  </si>
  <si>
    <t>Calamina 0.35mm #28 F- 731</t>
  </si>
  <si>
    <t>Calamina 0.35mm #28 F- 734</t>
  </si>
  <si>
    <t>Calamina 0.35mm #28 F- 740</t>
  </si>
  <si>
    <t>Calamina 0.35mm #28 F- 741</t>
  </si>
  <si>
    <t>Calamina 0.35mm #28 F- 745</t>
  </si>
  <si>
    <t>Calamina 0.35mm #28 F- 747</t>
  </si>
  <si>
    <t>Calamina 0.35mm #28 F- 752</t>
  </si>
  <si>
    <t>Calamina 0.35mm #28 F- 754</t>
  </si>
  <si>
    <t>Calamina 0.35mm #28 F- 756</t>
  </si>
  <si>
    <t>Calamina 0.35mm #28 F- 760</t>
  </si>
  <si>
    <t>Calamina 0.35mm #28 F- 761</t>
  </si>
  <si>
    <t>Calamina 0.35mm #28 F- 762</t>
  </si>
  <si>
    <t>Calamina 0.35mm #28 F- 763</t>
  </si>
  <si>
    <t>Calamina 0.35mm #28 F- 764</t>
  </si>
  <si>
    <t>Calamina 0.35mm #28 F- 767</t>
  </si>
  <si>
    <t>Calamina 0.35mm #28 F- 768</t>
  </si>
  <si>
    <t>Calamina 0.35mm #28 F- 769</t>
  </si>
  <si>
    <t>Calamina 0.35mm #28 F- 773</t>
  </si>
  <si>
    <t>Calamina 0.35mm #28 F- 778</t>
  </si>
  <si>
    <t>Calamina 0.35mm #28 F- 779</t>
  </si>
  <si>
    <t>Calamina 0.35mm #28 F- 780</t>
  </si>
  <si>
    <t>Calamina 0.35mm #28 F- 781</t>
  </si>
  <si>
    <t>Calamina 0.35mm #28 F- 782</t>
  </si>
  <si>
    <t>Calamina 0.35mm #28 F- 785</t>
  </si>
  <si>
    <t>Calamina 0.35mm #28 F- 786</t>
  </si>
  <si>
    <t>Calamina 0.35mm #28 F- 787</t>
  </si>
  <si>
    <t>Calamina 0.35mm #28 F- 791</t>
  </si>
  <si>
    <t>Calamina 0.35mm #28 F- 793</t>
  </si>
  <si>
    <t>Calamina 0.35mm #28 F- 796</t>
  </si>
  <si>
    <t>Calamina 0.35mm #28 F- 797</t>
  </si>
  <si>
    <t>Calamina 0.35mm #28 F- 798</t>
  </si>
  <si>
    <t>Calamina 0.35mm #28 F- 799</t>
  </si>
  <si>
    <t>Calamina 0.35mm #28 F- 800</t>
  </si>
  <si>
    <t>Calamina 0.35mm #28 F- 801</t>
  </si>
  <si>
    <t>Calamina 0.35mm #28 F- 806</t>
  </si>
  <si>
    <t>Calamina 0.35mm #28 F- 807</t>
  </si>
  <si>
    <t>Calamina 0.35mm #28 F- 808</t>
  </si>
  <si>
    <t>Calamina 0.35mm #28 F- 814</t>
  </si>
  <si>
    <t>Calamina 0.35mm #28 F- 815</t>
  </si>
  <si>
    <t>Calamina 0.35mm #28 F- 816</t>
  </si>
  <si>
    <t>Calamina 0.35mm #28 F- 817</t>
  </si>
  <si>
    <t>Calamina 0.35mm #28 F- 819</t>
  </si>
  <si>
    <t>Calamina 0.35mm #28 F- 820</t>
  </si>
  <si>
    <t>Calamina 0.35mm #28 F- 821</t>
  </si>
  <si>
    <t>Calamina 0.35mm #28 F- 822</t>
  </si>
  <si>
    <t>Calamina 0.35mm #28 F- 823</t>
  </si>
  <si>
    <t>Calamina 0.35mm #28 F- 826</t>
  </si>
  <si>
    <t>Calamina 0.35mm #28 F- 827</t>
  </si>
  <si>
    <t>Calamina 0.35mm #28 F- 829</t>
  </si>
  <si>
    <t>Calamina 0.35mm #28 F- 830</t>
  </si>
  <si>
    <t>Calamina 0.35mm #28 F- 831</t>
  </si>
  <si>
    <t>Calamina 0.35mm #28 F- 833</t>
  </si>
  <si>
    <t>Calamina 0.35mm #28 F- 834</t>
  </si>
  <si>
    <t>Calamina 0.35mm #28 F- 835</t>
  </si>
  <si>
    <t>Calamina 0.35mm #28 F- 836</t>
  </si>
  <si>
    <t>Calamina 0.35mm #28 F- 837</t>
  </si>
  <si>
    <t>Calamina 0.35mm #28 F- 838</t>
  </si>
  <si>
    <t>Calamina 0.35mm #28 F- 840</t>
  </si>
  <si>
    <t>Calamina 0.35mm #28 F- 844</t>
  </si>
  <si>
    <t>Calamina 0.35mm #28 F- 845</t>
  </si>
  <si>
    <t>Calamina 0.35mm #28 F- 846</t>
  </si>
  <si>
    <t>Calamina 0.35mm #28 F- 847</t>
  </si>
  <si>
    <t>Calamina 0.35mm #28 F- 849</t>
  </si>
  <si>
    <t>Calamina 0.35mm #28 F- 851</t>
  </si>
  <si>
    <t>Calamina 0.35mm #28 F- 853</t>
  </si>
  <si>
    <t>Calamina 0.35mm #28 F- 854</t>
  </si>
  <si>
    <t>Calamina 0.35mm #28 F- 855</t>
  </si>
  <si>
    <t>Calamina 0.35mm #28 F- 857</t>
  </si>
  <si>
    <t>Calamina 0.35mm #28 F- 858</t>
  </si>
  <si>
    <t>Calamina 0.35mm #28 F- 860</t>
  </si>
  <si>
    <t>Calamina 0.35mm #28 F- 862</t>
  </si>
  <si>
    <t>Calamina 0.35mm #28 F- 864</t>
  </si>
  <si>
    <t>Calamina 0.35mm #28 F- 865</t>
  </si>
  <si>
    <t>Calamina 0.35mm #28 F- 866</t>
  </si>
  <si>
    <t>Calamina 0.35mm #28 F- 867</t>
  </si>
  <si>
    <t>Calamina 0.35mm #28 F- 869</t>
  </si>
  <si>
    <t>Calamina 0.35mm #28 F- 870</t>
  </si>
  <si>
    <t>Calamina 0.35mm #28 F- 872</t>
  </si>
  <si>
    <t>Calamina 0.35mm #28 F- 874</t>
  </si>
  <si>
    <t>Calamina 0.35mm #28 F- 875</t>
  </si>
  <si>
    <t>Calamina 0.35mm #28 F- 876</t>
  </si>
  <si>
    <t>Calamina 0.35mm #28 F- 877</t>
  </si>
  <si>
    <t>Calamina 0.35mm #28 F- 879</t>
  </si>
  <si>
    <t>Calamina 0.35mm #28 F- 880</t>
  </si>
  <si>
    <t>Calamina 0.35mm #28 F- 882</t>
  </si>
  <si>
    <t>Calamina 0.35mm #28 F- 884</t>
  </si>
  <si>
    <t>Calamina 0.35mm #28 F- 887</t>
  </si>
  <si>
    <t>Calamina 0.35mm #28 F- 889</t>
  </si>
  <si>
    <t>Calamina 0.35mm #28 F- 892</t>
  </si>
  <si>
    <t>Calamina 0.35mm #28 F- 893</t>
  </si>
  <si>
    <t>Calamina 0.35mm #28 F- 894</t>
  </si>
  <si>
    <t>Calamina 0.35mm #28 F- 896</t>
  </si>
  <si>
    <t>Calamina 0.35mm #28 F- 898</t>
  </si>
  <si>
    <t>Calamina 0.35mm #28 F- 901</t>
  </si>
  <si>
    <t>Calamina 0.35mm #28 F- 902</t>
  </si>
  <si>
    <t>Calamina 0.35mm #28 F- 903</t>
  </si>
  <si>
    <t>Calamina 0.35mm #28 F- 904</t>
  </si>
  <si>
    <t>Calamina 0.35mm #28 F- 906</t>
  </si>
  <si>
    <t>Calamina 0.35mm #28 F- 907</t>
  </si>
  <si>
    <t>Calamina 0.35mm #28 F- 908</t>
  </si>
  <si>
    <t>Calamina 0.35mm #28 F- 909</t>
  </si>
  <si>
    <t>Calamina 0.35mm #28 F- 910</t>
  </si>
  <si>
    <t>Calamina 0.35mm #28 F- 911</t>
  </si>
  <si>
    <t>Calamina 0.35mm #28 F- 914</t>
  </si>
  <si>
    <t>Calamina 0.35mm #28 F- 915</t>
  </si>
  <si>
    <t>Calamina 0.35mm #28 F- 916</t>
  </si>
  <si>
    <t>Calamina 0.35mm #28 F- 917</t>
  </si>
  <si>
    <t>Calamina 0.35mm #28 F- 918</t>
  </si>
  <si>
    <t>Calamina 0.35mm #28 F- 921</t>
  </si>
  <si>
    <t>Calamina 0.35mm #28 F- 923</t>
  </si>
  <si>
    <t>Calamina 0.35mm #28 F- 927</t>
  </si>
  <si>
    <t>Calamina 0.35mm #28 F- 928</t>
  </si>
  <si>
    <t>Calamina 0.35mm #28 F- 929</t>
  </si>
  <si>
    <t>Calamina 0.35mm #28 F- 930</t>
  </si>
  <si>
    <t>Calamina 0.35mm #28 F- 931</t>
  </si>
  <si>
    <t>Calamina 0.35mm #28 F- 932</t>
  </si>
  <si>
    <t>Calamina 0.35mm #28 F- 933</t>
  </si>
  <si>
    <t>Calamina 0.35mm #28 F- 934</t>
  </si>
  <si>
    <t>Calamina 0.35mm #28 F- 935</t>
  </si>
  <si>
    <t>Calamina 0.35mm #28 F- 936</t>
  </si>
  <si>
    <t>Calamina 0.35mm #28 F- 937</t>
  </si>
  <si>
    <t>Calamina 0.35mm #28 F- 938</t>
  </si>
  <si>
    <t>Calamina 0.35mm #28 F- 939</t>
  </si>
  <si>
    <t>Calamina 0.35mm #28 F- 940</t>
  </si>
  <si>
    <t>Calamina 0.35mm #28 F- 943</t>
  </si>
  <si>
    <t>Calamina 0.35mm #28 F- 944</t>
  </si>
  <si>
    <t>Calamina 0.35mm #28 F- 945</t>
  </si>
  <si>
    <t>Calamina 0.35mm #28 F- 946</t>
  </si>
  <si>
    <t>Calamina 0.35mm #28 F- 947</t>
  </si>
  <si>
    <t>Calamina 0.35mm #28 F- 948</t>
  </si>
  <si>
    <t>Calamina 0.35mm #28 F- 950</t>
  </si>
  <si>
    <t>Calamina 0.35mm #28 F- 951</t>
  </si>
  <si>
    <t>Calamina 0.35mm #28 F- 952</t>
  </si>
  <si>
    <t>Calamina 0.35mm #28 F- 953</t>
  </si>
  <si>
    <t>Calamina 0.35mm #28 F- 954</t>
  </si>
  <si>
    <t>Calamina 0.35mm #28 F- 955</t>
  </si>
  <si>
    <t>Calamina 0.35mm #28 F- 956</t>
  </si>
  <si>
    <t>Calamina 0.35mm #28 F- 957</t>
  </si>
  <si>
    <t>Calamina 0.35mm #28 F- 958</t>
  </si>
  <si>
    <t>Calamina 0.35mm #28 F- 959</t>
  </si>
  <si>
    <t>Calamina 0.35mm #28 F- 960</t>
  </si>
  <si>
    <t>Calamina 0.35mm #28 F- 961</t>
  </si>
  <si>
    <t>Calamina 0.35mm #28 F- 962</t>
  </si>
  <si>
    <t>Calamina 0.35mm #28 F- 963</t>
  </si>
  <si>
    <t>Calamina 0.35mm #28 F- 964</t>
  </si>
  <si>
    <t>Calamina 0.35mm #28 F- 965</t>
  </si>
  <si>
    <t>Calamina 0.35mm #28 F- 966</t>
  </si>
  <si>
    <t>Calamina 0.35mm #28 F- 967</t>
  </si>
  <si>
    <t>Calamina 0.35mm #28 F- 968</t>
  </si>
  <si>
    <t>Calamina 0.35mm #28 F- 969</t>
  </si>
  <si>
    <t>Calamina 0.35mm #28 F- 970</t>
  </si>
  <si>
    <t>Calamina 0.35mm #28 F- 971</t>
  </si>
  <si>
    <t>Calamina 0.35mm #28 F- 972</t>
  </si>
  <si>
    <t>Calamina 0.35mm #28 F- 973</t>
  </si>
  <si>
    <t>Calamina 0.35mm #28 F- 974</t>
  </si>
  <si>
    <t>Calamina 0.35mm #28 F- 975</t>
  </si>
  <si>
    <t>Calamina 0.35mm #28 F- 978</t>
  </si>
  <si>
    <t>Calamina 0.35mm #28 F- 979</t>
  </si>
  <si>
    <t>Calamina 0.35mm #28 F- 980</t>
  </si>
  <si>
    <t>Calamina 0.35mm #28 F- 982</t>
  </si>
  <si>
    <t>Calamina 0.35mm #28 F- 984</t>
  </si>
  <si>
    <t>Calamina 0.35mm #28 F- 985</t>
  </si>
  <si>
    <t>Calamina 0.35mm #28 F- 986</t>
  </si>
  <si>
    <t>Calamina 0.35mm #28 F- 987</t>
  </si>
  <si>
    <t>Calamina 0.35mm #28 F- 988</t>
  </si>
  <si>
    <t>Calamina 0.35mm #28 F- 989</t>
  </si>
  <si>
    <t>Calamina 0.35mm #28 F- 991</t>
  </si>
  <si>
    <t>Calamina 0.35mm #28 F- 992</t>
  </si>
  <si>
    <t>Calamina 0.35mm #28 F- 993</t>
  </si>
  <si>
    <t>Calamina 0.35mm #28 F- 994</t>
  </si>
  <si>
    <t>Calamina 0.35mm #28 F- 995</t>
  </si>
  <si>
    <t>Calamina 0.35mm #28 F- 996</t>
  </si>
  <si>
    <t>Calamina 0.35mm #28 F- 997</t>
  </si>
  <si>
    <t>Calamina 0.35mm #28 F- 998</t>
  </si>
  <si>
    <t>Calamina 0.35mm #28 F- 999</t>
  </si>
  <si>
    <t>Calamina 0.35mm #28 F- 1000</t>
  </si>
  <si>
    <t>Calamina 0.35mm #28 F- 1001</t>
  </si>
  <si>
    <t>Calamina 0.35mm #28 F- 1002</t>
  </si>
  <si>
    <t>Calamina 0.35mm #28 F- 1003</t>
  </si>
  <si>
    <t>Calamina 0.35mm #28 F- 1004</t>
  </si>
  <si>
    <t>Calamina 0.35mm #28 F- 1005</t>
  </si>
  <si>
    <t>Calamina 0.35mm #28 F- 1006</t>
  </si>
  <si>
    <t>Calamina 0.35mm #28 F- 1007</t>
  </si>
  <si>
    <t>Calamina 0.35mm #28 F- 1008</t>
  </si>
  <si>
    <t>Calamina 0.35mm #28 F- 1010</t>
  </si>
  <si>
    <t>Calamina 0.35mm #28 F- 1012</t>
  </si>
  <si>
    <t>Calamina 0.35mm #28 F- 1015</t>
  </si>
  <si>
    <t>Calamina 0.35mm #28 F- 1016</t>
  </si>
  <si>
    <t>Calamina 0.35mm #28 F- 1017</t>
  </si>
  <si>
    <t>Calamina 0.35mm #28 F- 1018</t>
  </si>
  <si>
    <t>Calamina 0.35mm #28 F- 1020</t>
  </si>
  <si>
    <t>Calamina 0.35mm #28 F- 1021</t>
  </si>
  <si>
    <t>Calamina 0.35mm #28 F- 1022</t>
  </si>
  <si>
    <t>Calamina 0.35mm #28 F- 1024</t>
  </si>
  <si>
    <t>Calamina 0.35mm #28 F- 1026</t>
  </si>
  <si>
    <t>Calamina 0.35mm #28 F- 1027</t>
  </si>
  <si>
    <t>Calamina 0.35mm #28 F- 1028</t>
  </si>
  <si>
    <t>Calamina 0.35mm #28 F- 1029</t>
  </si>
  <si>
    <t>Calamina 0.35mm #28 F- 1030</t>
  </si>
  <si>
    <t>Calamina 0.35mm #28 F- 1031</t>
  </si>
  <si>
    <t>Calamina 0.35mm #28 F- 1032</t>
  </si>
  <si>
    <t>Calamina 0.35mm #28 F- 1033</t>
  </si>
  <si>
    <t>Calamina 0.35mm #28 F- 1034</t>
  </si>
  <si>
    <t>Calamina 0.35mm #28 F- 1035</t>
  </si>
  <si>
    <t>Calamina 0.35mm #28 F- 1036</t>
  </si>
  <si>
    <t>Calamina 0.35mm #28 F- 1038</t>
  </si>
  <si>
    <t>Calamina 0.35mm #28 F- 1039</t>
  </si>
  <si>
    <t>Calamina 0.35mm #28 F- 1040</t>
  </si>
  <si>
    <t>Calamina 0.35mm #28 F- 1041</t>
  </si>
  <si>
    <t>Calamina 0.35mm #28 F- 1042</t>
  </si>
  <si>
    <t>Calamina 0.35mm #28 F- 1044</t>
  </si>
  <si>
    <t>Calamina 0.35mm #28 F- 1046</t>
  </si>
  <si>
    <t>Calamina 0.35mm #28 F- 1047</t>
  </si>
  <si>
    <t>Calamina 0.35mm #28 F- 1048</t>
  </si>
  <si>
    <t>Calamina 0.35mm #28 F- 1049</t>
  </si>
  <si>
    <t>Calamina 0.35mm #28 F- 1050</t>
  </si>
  <si>
    <t>Calamina 0.35mm #28 F- 1051</t>
  </si>
  <si>
    <t>Calamina 0.35mm #28 F- 1052</t>
  </si>
  <si>
    <t>Calamina 0.35mm #28 F- 1053</t>
  </si>
  <si>
    <t>Calamina 0.35mm #28 F- 1054</t>
  </si>
  <si>
    <t>Calamina 0.35mm #28 F- 1055</t>
  </si>
  <si>
    <t>Calamina 0.35mm #28 F- 1056</t>
  </si>
  <si>
    <t>Calamina 0.35mm #28 F- 1058</t>
  </si>
  <si>
    <t>Calamina 0.35mm #28 F- 1060</t>
  </si>
  <si>
    <t>Calamina 0.35mm #28 F- 1061</t>
  </si>
  <si>
    <t>Calamina 0.35mm #28 F- 1062</t>
  </si>
  <si>
    <t>Calamina 0.35mm #28 F- 1063</t>
  </si>
  <si>
    <t>Calamina 0.35mm #28 F- 1064</t>
  </si>
  <si>
    <t>Calamina 0.35mm #28 F- 1065</t>
  </si>
  <si>
    <t>Calamina 0.35mm #28 F- 1067</t>
  </si>
  <si>
    <t>Calamina 0.35mm #28 F- 1069</t>
  </si>
  <si>
    <t>Calamina 0.35mm #28 F- 1070</t>
  </si>
  <si>
    <t>Calamina 0.35mm #28 F- 1072</t>
  </si>
  <si>
    <t>Calamina 0.35mm #28 F- 1075</t>
  </si>
  <si>
    <t>Calamina 0.35mm #28 F- 1076</t>
  </si>
  <si>
    <t>Calamina 0.35mm #28 F- 1077</t>
  </si>
  <si>
    <t>Calamina 0.35mm #28 F- 1078</t>
  </si>
  <si>
    <t>Calamina 0.35mm #28 F- 1079</t>
  </si>
  <si>
    <t>Calamina 0.35mm #28 F- 1080</t>
  </si>
  <si>
    <t>Calamina 0.35mm #28 F- 1082</t>
  </si>
  <si>
    <t>Calamina 0.35mm #28 F- 1085</t>
  </si>
  <si>
    <t>Calamina 0.35mm #28 F- 1086</t>
  </si>
  <si>
    <t>Calamina 0.35mm #28 F- 1087</t>
  </si>
  <si>
    <t>Calamina 0.35mm #28 F- 1088</t>
  </si>
  <si>
    <t>Calamina 0.35mm #28 F- 1089</t>
  </si>
  <si>
    <t>Calamina 0.35mm #28 F- 1090</t>
  </si>
  <si>
    <t>Calamina 0.35mm #28 F- 1091</t>
  </si>
  <si>
    <t>Calamina 0.35mm #28 F- 1093</t>
  </si>
  <si>
    <t>Calamina 0.35mm #28 F- 1094</t>
  </si>
  <si>
    <t>Calamina 0.35mm #28 F- 1095</t>
  </si>
  <si>
    <t>Calamina 0.35mm #28 F- 1097</t>
  </si>
  <si>
    <t>Calamina 0.35mm #28 F- 1099</t>
  </si>
  <si>
    <t>Calamina 0.35mm #28 F- 1100</t>
  </si>
  <si>
    <t>Calamina 0.35mm #28 F- 1103</t>
  </si>
  <si>
    <t>Calamina 0.35mm #28 F- 1104</t>
  </si>
  <si>
    <t>Calamina 0.35mm #28 F- 1105</t>
  </si>
  <si>
    <t>Calamina 0.35mm #28 F- 1108</t>
  </si>
  <si>
    <t>Calamina 0.35mm #28 F- 1109</t>
  </si>
  <si>
    <t>Calamina 0.35mm #28 F- 1110</t>
  </si>
  <si>
    <t>Calamina 0.35mm #28 F- 1111</t>
  </si>
  <si>
    <t>Calamina 0.35mm #28 F- 1116</t>
  </si>
  <si>
    <t>Calamina 0.35mm #28 F- 1118</t>
  </si>
  <si>
    <t>Calamina 0.35mm #28 F- 1119</t>
  </si>
  <si>
    <t>Calamina 0.35mm #28 F- 1120</t>
  </si>
  <si>
    <t>Calamina 0.35mm #28 F- 1121</t>
  </si>
  <si>
    <t>Calamina 0.35mm #28 F- 1122</t>
  </si>
  <si>
    <t>Calamina 0.35mm #28 F- 1123</t>
  </si>
  <si>
    <t>Calamina 0.35mm #28 F- 1125</t>
  </si>
  <si>
    <t>Calamina 0.35mm #28 F- 1126</t>
  </si>
  <si>
    <t>Calamina 0.35mm #28 F- 1127</t>
  </si>
  <si>
    <t>Calamina 0.35mm #28 F- 1129</t>
  </si>
  <si>
    <t>Calamina 0.35mm #28 F- 1130</t>
  </si>
  <si>
    <t>Calamina 0.35mm #28 F- 1133</t>
  </si>
  <si>
    <t>Calamina 0.35mm #28 F- 1134</t>
  </si>
  <si>
    <t>Calamina 0.35mm #28 F- 1135</t>
  </si>
  <si>
    <t>Calamina 0.35mm #28 F- 1136</t>
  </si>
  <si>
    <t>Calamina 0.35mm #28 F- 1137</t>
  </si>
  <si>
    <t>Calamina 0.35mm #28 F- 1138</t>
  </si>
  <si>
    <t>Calamina 0.35mm #28 F- 1139</t>
  </si>
  <si>
    <t>Calamina 0.35mm #28 F- 1140</t>
  </si>
  <si>
    <t>Calamina 0.35mm #28 F- 1142</t>
  </si>
  <si>
    <t>Calamina 0.35mm #28 F- 1145</t>
  </si>
  <si>
    <t>Calamina 0.35mm #28 F- 1147</t>
  </si>
  <si>
    <t>Calamina 0.35mm #28 F- 1148</t>
  </si>
  <si>
    <t>Calamina 0.35mm #28 F- 1149</t>
  </si>
  <si>
    <t>Calamina 0.35mm #28 F- 1150</t>
  </si>
  <si>
    <t>Calamina 0.35mm #28 F- 1152</t>
  </si>
  <si>
    <t>Calamina 0.35mm #28 F- 1153</t>
  </si>
  <si>
    <t>Calamina 0.35mm #28 F- 1154</t>
  </si>
  <si>
    <t>Calamina 0.35mm #28 F- 1155</t>
  </si>
  <si>
    <t>Calamina 0.35mm #28 F- 1157</t>
  </si>
  <si>
    <t>Calamina 0.35mm #28 F- 1158</t>
  </si>
  <si>
    <t>Calamina 0.35mm #28 F- 1159</t>
  </si>
  <si>
    <t>Calamina 0.35mm #28 F- 1160</t>
  </si>
  <si>
    <t>Calamina 0.35mm #28 F- 1161</t>
  </si>
  <si>
    <t>Calamina 0.35mm #28 F- 1162</t>
  </si>
  <si>
    <t>Calamina 0.35mm #28 F- 1163</t>
  </si>
  <si>
    <t>Calamina 0.35mm #28 F- 1165</t>
  </si>
  <si>
    <t>Calamina 0.35mm #28 F- 1168</t>
  </si>
  <si>
    <t>Calamina 0.35mm #28 F- 1170</t>
  </si>
  <si>
    <t>Calamina 0.35mm #28 F- 1171</t>
  </si>
  <si>
    <t>Calamina 0.35mm #28 F- 1172</t>
  </si>
  <si>
    <t>Calamina 0.35mm #28 F- 1173</t>
  </si>
  <si>
    <t>Calamina 0.35mm #28 F- 1174</t>
  </si>
  <si>
    <t>Calamina 0.35mm #28 F- 1176</t>
  </si>
  <si>
    <t>Calamina 0.35mm #28 F- 1177</t>
  </si>
  <si>
    <t>Calamina 0.35mm #28 F- 1178</t>
  </si>
  <si>
    <t>Calamina 0.35mm #28 F- 1179</t>
  </si>
  <si>
    <t>Calamina 0.35mm #28 F- 1184</t>
  </si>
  <si>
    <t>Calamina 0.35mm #28 F- 1186</t>
  </si>
  <si>
    <t>Calamina 0.35mm #28 F- 1190</t>
  </si>
  <si>
    <t>Calamina 0.35mm #28 F- 1191</t>
  </si>
  <si>
    <t>Calamina 0.35mm #28 F- 1192</t>
  </si>
  <si>
    <t>Calamina 0.35mm #28 F- 1193</t>
  </si>
  <si>
    <t>Calamina 0.35mm #28 F- 1194</t>
  </si>
  <si>
    <t>VALORACIÓN INVENTARIO FINAL, PRECIO DE LAS FACTURAS DE COMPRAS (ULTIMAS COMPRAS) Art..9 del D.S. 24051</t>
  </si>
  <si>
    <t>INVENTARIO FINAL AL COSTO HISTORICO</t>
  </si>
  <si>
    <t>INVENTARIO FINAL AL 31/12/2017</t>
  </si>
  <si>
    <t>Venta Calamina  0.35mm SEA BLUE #28 F- 690</t>
  </si>
  <si>
    <t>Venta Calamina 0.35mm SEA BLUE #28  F- 681</t>
  </si>
  <si>
    <t>Venta Calamina  0.35mm SEA BLUE #28 F- 722</t>
  </si>
  <si>
    <t>Venta Calamina  0.35mm SEA BLUE #28 F- 802</t>
  </si>
  <si>
    <t>Venta Calamina  0.35mm SEA BLUE #28 F- 804</t>
  </si>
  <si>
    <t>Venta Calamina  0.35mm SEA BLUE #28 F- 919</t>
  </si>
  <si>
    <t>Venta Calamina  0.35mm SEA BLUE #28 F- 1037</t>
  </si>
  <si>
    <t>Venta Calamina  0.35mm SEA BLUE #28 F- 1059</t>
  </si>
  <si>
    <t>Venta Calamina  0.35mm SEA BLUE #28 F- 1068</t>
  </si>
  <si>
    <t>Venta Calamina  0.35mm SEA BLUE #28 F- 1084</t>
  </si>
  <si>
    <t>Venta Calamina  0.35mm SEA BLUE #28 F- 1098</t>
  </si>
  <si>
    <t>Venta Calamina  0.35mm SEA BLUE #28 F- 1101</t>
  </si>
  <si>
    <t>Venta Calamina  0.35mm SEA BLUE #28 F- 1107</t>
  </si>
  <si>
    <t>Venta Calamina  0.35mm SEA BLUE #28 F- 1144</t>
  </si>
  <si>
    <t>Venta Calamina  0.35mm SEA BLUE #28 F- 1175</t>
  </si>
  <si>
    <t>Venta Calamina  0.35mm SEA BLUE #28 F- 1188</t>
  </si>
  <si>
    <t>Venta Calamina  0.35mm SEA BLUE #28 F- 1193</t>
  </si>
  <si>
    <t>Mercaderia:Bobinas de acero galvanizado prepintado 0.35mm SEA BLUE #28</t>
  </si>
  <si>
    <t xml:space="preserve">Mercaderia:Bobinas de acero galvanizado prepintado 0.35mm  RAL #28 </t>
  </si>
  <si>
    <t xml:space="preserve">Mercaderia:Planchas para calaminas 0.40mm RAL #26 </t>
  </si>
  <si>
    <t>Venta Calamina 0.35mm WHITE GREY #28 F- 663</t>
  </si>
  <si>
    <t>Venta Calamina 0.35mm WHITE GREY #28 F- 669</t>
  </si>
  <si>
    <t>Venta Calamina 0.35mm WHITE GREY  #28F- 684</t>
  </si>
  <si>
    <t>Venta Calamina 0.35mm WHITE GREY #28 F- 687</t>
  </si>
  <si>
    <t>Venta Calamina 0.35mm WHITE GREY #28 F- 718</t>
  </si>
  <si>
    <t>Venta Calamina 0.35mm WHITE GREY #28 F- 805</t>
  </si>
  <si>
    <t>Venta Calamina 0.35mm WHITE GREY #28 F- 818</t>
  </si>
  <si>
    <t>Venta Calamina 0.35mm WHITE GREY #28 F- 861</t>
  </si>
  <si>
    <t>Venta Calamina 0.35mm WHITE GREY #28 F- 886</t>
  </si>
  <si>
    <t>Venta Calamina 0.35mm WHITE GREY  #28 F- 890</t>
  </si>
  <si>
    <t>Venta Calamina 0.35mm WHITE GREY #28 F- 863</t>
  </si>
  <si>
    <t>Venta Calamina 0.35mm WHITE GREY  #28 F- 859</t>
  </si>
  <si>
    <t>Venta Calamina 0.35mm WHITE GREY #28 F- 777</t>
  </si>
  <si>
    <t>Venta Calamina 0.35mm WHITE GREY #28  F- 933</t>
  </si>
  <si>
    <t>Venta Calamina 0.35mm WHITE GREY #28F- 948</t>
  </si>
  <si>
    <t>Venta Calamina Galvanizada #28 F- 661</t>
  </si>
  <si>
    <t>Venta Calamina Galvanizada #28 F- 674</t>
  </si>
  <si>
    <t>Venta Calamina Galvanizada #28 F- 1045</t>
  </si>
  <si>
    <t>Venta Calamina Galvanizada #28 F- 1074</t>
  </si>
  <si>
    <t>Venta Calamina Galvanizada #28 F- 1093</t>
  </si>
  <si>
    <t>Venta Calamina Galvanizada #28 F- 1143</t>
  </si>
  <si>
    <t>Venta Calamina Galvanizada #28 F- 1164</t>
  </si>
  <si>
    <t>Venta Calamina 0.35mm  RAL #28  F- 1112</t>
  </si>
  <si>
    <t xml:space="preserve">Mercaderia:Planchas0.35mm White Grey N°28 </t>
  </si>
  <si>
    <t>ELVA FERNANDEZ DE DELGADILLO</t>
  </si>
  <si>
    <t>NIT  3733613014</t>
  </si>
  <si>
    <t>Mercaderia:Clavos de Calamina</t>
  </si>
  <si>
    <t>VENTA CLAVOS DE CALAMINA F- 666</t>
  </si>
  <si>
    <t>VENTA CLAVOS DE CALAMINA F- 667</t>
  </si>
  <si>
    <t>VENTA CLAVOS DE CALAMINA F- 669</t>
  </si>
  <si>
    <t>VENTA CLAVOS DE CALAMINA F- 680</t>
  </si>
  <si>
    <t>COMPRA CLAVOS F- 1653</t>
  </si>
  <si>
    <t>VENTA CLAVOS DE CALAMINA F- 707</t>
  </si>
  <si>
    <t>VENTA CLAVOS DE CALAMINA F- 719</t>
  </si>
  <si>
    <t>VENTA CLAVOS DE CALAMINA F- 731</t>
  </si>
  <si>
    <t>VENTA CLAVOS DE CALAMINA F- 733</t>
  </si>
  <si>
    <t>VENTA CLAVOS DE CALAMINA F- 735</t>
  </si>
  <si>
    <t>VENTA CLAVOS DE CALAMINA F- 738</t>
  </si>
  <si>
    <t>VENTA CLAVOS DE CALAMINA F- 742</t>
  </si>
  <si>
    <t>VENTA CLAVOS DE CALAMINA F- 749</t>
  </si>
  <si>
    <t>COMPRA CLAVOS F- 134</t>
  </si>
  <si>
    <t>VENTA CLAVOS DE CALAMINA F- 769</t>
  </si>
  <si>
    <t>VENTA CLAVOS DE CALAMINA F- 770</t>
  </si>
  <si>
    <t>VENTA CLAVOS DE CALAMINA F- 776</t>
  </si>
  <si>
    <t>VENTA CLAVOS DE CALAMINA F- 788</t>
  </si>
  <si>
    <t>VENTA CLAVOS DE CALAMINA F- 798</t>
  </si>
  <si>
    <t>VENTA CLAVOS DE CALAMINA F- 811</t>
  </si>
  <si>
    <t>VENTA CLAVOS DE CALAMINA F- 819</t>
  </si>
  <si>
    <t>VENTA CLAVOS DE CALAMINA F- 821</t>
  </si>
  <si>
    <t>COMPRA CLAVOS F- 987</t>
  </si>
  <si>
    <t>VENTA CLAVOS DE CALAMINA F- 824</t>
  </si>
  <si>
    <t>VENTA CLAVOS DE CALAMINA F- 826</t>
  </si>
  <si>
    <t>VENTA CLAVOS DE CALAMINA F- 829</t>
  </si>
  <si>
    <t>VENTA CLAVOS DE CALAMINA F- 832</t>
  </si>
  <si>
    <t>VENTA CLAVOS DE CALAMINA F- 838</t>
  </si>
  <si>
    <t>VENTA CLAVOS DE CALAMINA F- 839</t>
  </si>
  <si>
    <t>VENTA CLAVOS DE CALAMINA F- 840</t>
  </si>
  <si>
    <t>VENTA CLAVOS DE CALAMINA F- 841</t>
  </si>
  <si>
    <t>VENTA CLAVOS DE CALAMINA F- 843</t>
  </si>
  <si>
    <t>VENTA CLAVOS DE CALAMINA F- 847</t>
  </si>
  <si>
    <t>VENTA CLAVOS DE CALAMINA F- 649</t>
  </si>
  <si>
    <t>VENTA CLAVOS DE CALAMINA F- 853</t>
  </si>
  <si>
    <t>VENTA CLAVOS DE CALAMINA F- 855</t>
  </si>
  <si>
    <t>VENTA CLAVOS DE CALAMINA F- 866</t>
  </si>
  <si>
    <t>VENTA CLAVOS DE CALAMINA F- 869</t>
  </si>
  <si>
    <t>VENTA CLAVOS DE CALAMINA F- 872</t>
  </si>
  <si>
    <t>VENTA CLAVOS DE CALAMINA F- 873</t>
  </si>
  <si>
    <t>VENTA CLAVOS DE CALAMINA F- 874</t>
  </si>
  <si>
    <t>VENTA CLAVOS DE CALAMINA F- 876</t>
  </si>
  <si>
    <t>VENTA CLAVOS DE CALAMINA F- 883</t>
  </si>
  <si>
    <t>VENTA CLAVOS DE CALAMINA F- 885</t>
  </si>
  <si>
    <t>VENTA CLAVOS DE CALAMINA F- 886</t>
  </si>
  <si>
    <t>VENTA CLAVOS DE CALAMINA F- 887</t>
  </si>
  <si>
    <t>VENTA CLAVOS DE CALAMINA F- 892</t>
  </si>
  <si>
    <t>VENTA CLAVOS DE CALAMINA F- 893</t>
  </si>
  <si>
    <t>VENTA CLAVOS DE CALAMINA F- 894</t>
  </si>
  <si>
    <t>VENTA CLAVOS DE CALAMINA F- 895</t>
  </si>
  <si>
    <t>VENTA CLAVOS DE CALAMINA F- 896</t>
  </si>
  <si>
    <t>VENTA CLAVOS DE CALAMINA F- 1056</t>
  </si>
  <si>
    <t>VENTA CLAVOS DE CALAMINA F- 1058</t>
  </si>
  <si>
    <t>VENTA CLAVOS DE CALAMINA F- 1065</t>
  </si>
  <si>
    <t>VENTA CLAVOS DE CALAMINA F- 1071</t>
  </si>
  <si>
    <t>VENTA CLAVOS DE CALAMINA F- 1074</t>
  </si>
  <si>
    <t>VENTA CLAVOS DE CALAMINA F- 1075</t>
  </si>
  <si>
    <t>VENTA CLAVOS DE CALAMINA F- 1077</t>
  </si>
  <si>
    <t>VENTA CLAVOS DE CALAMINA F- 1079</t>
  </si>
  <si>
    <t>VENTA CLAVOS DE CALAMINA F- 1082</t>
  </si>
  <si>
    <t>VENTA CLAVOS DE CALAMINA F- 1091</t>
  </si>
  <si>
    <t>VENTA CLAVOS DE CALAMINA F- 1092</t>
  </si>
  <si>
    <t>VENTA CLAVOS DE CALAMINA F- 1093</t>
  </si>
  <si>
    <t>VENTA CLAVOS DE CALAMINA F- 1098</t>
  </si>
  <si>
    <t>VENTA CLAVOS DE CALAMINA F- 1100</t>
  </si>
  <si>
    <t>VENTA CLAVOS DE CALAMINA F- 1104</t>
  </si>
  <si>
    <t>VENTA CLAVOS DE CALAMINA F- 1105</t>
  </si>
  <si>
    <t>VENTA CLAVOS DE CALAMINA F- 1106</t>
  </si>
  <si>
    <t>VENTA CLAVOS DE CALAMINA F- 1112</t>
  </si>
  <si>
    <t>ANULADA F- 1113</t>
  </si>
  <si>
    <t>VENTA CLAVOS DE CALAMINA F- 1114</t>
  </si>
  <si>
    <t>VENTA CLAVOS DE CALAMINA F- 1115</t>
  </si>
  <si>
    <t>VENTA CLAVOS DE CALAMINA F- 1116</t>
  </si>
  <si>
    <t>VENTA CLAVOS DE CALAMINA F- 1118</t>
  </si>
  <si>
    <t>VENTA CLAVOS DE CALAMINA F- 1129</t>
  </si>
  <si>
    <t>VENTA CLAVOS DE CALAMINA F- 1132</t>
  </si>
  <si>
    <t>VENTA CLAVOS DE CALAMINA F- 1133</t>
  </si>
  <si>
    <t>VENTA CLAVOS DE CALAMINA F- 1137</t>
  </si>
  <si>
    <t>VENTA CLAVOS DE CALAMINA F- 1138</t>
  </si>
  <si>
    <t>VENTA CLAVOS DE CALAMINA F- 1141</t>
  </si>
  <si>
    <t>VENTA CLAVOS DE CALAMINA F- 1144</t>
  </si>
  <si>
    <t>VENTA CLAVOS DE CALAMINA F- 1145</t>
  </si>
  <si>
    <t>VENTA CLAVOS DE CALAMINA F- 1150</t>
  </si>
  <si>
    <t>VENTA CLAVOS DE CALAMINA F- 1153</t>
  </si>
  <si>
    <t>VENTA CLAVOS DE CALAMINA F- 1158</t>
  </si>
  <si>
    <t>VENTA CLAVOS DE CALAMINA F- 1163</t>
  </si>
  <si>
    <t>VENTA CLAVOS DE CALAMINA F- 1164</t>
  </si>
  <si>
    <t>VENTA CLAVOS DE CALAMINA F- 1166</t>
  </si>
  <si>
    <t>VENTA CLAVOS DE CALAMINA F- 1168</t>
  </si>
  <si>
    <t>VENTA CLAVOS DE CALAMINA F- 1171</t>
  </si>
  <si>
    <t>VENTA CLAVOS DE CALAMINA F- 1176</t>
  </si>
  <si>
    <t>VENTA CLAVOS DE CALAMINA F- 1192</t>
  </si>
  <si>
    <t>VENTA CLAVOS DE CALAMINA F- 1196</t>
  </si>
  <si>
    <t>VENTA CLAVOS DE CALAMINA F- 1203</t>
  </si>
  <si>
    <t>VENTA CLAVOS DE CALAMINA F- 1206</t>
  </si>
  <si>
    <t>VENTA CLAVOS DE CALAMINA F- 1210</t>
  </si>
  <si>
    <t>VENTA CLAVOS DE CALAMINA F- 1211</t>
  </si>
  <si>
    <t>VENTA CLAVOS DE CALAMINA F- 1213</t>
  </si>
  <si>
    <t>VENTA CLAVOS DE CALAMINA F- 1214</t>
  </si>
  <si>
    <t>VENTA CLAVOS DE CALAMINA F- 1218</t>
  </si>
  <si>
    <t>VENTA CLAVOS DE CALAMINA F- 1221</t>
  </si>
  <si>
    <t>VENTA CLAVOS DE CALAMINA F- 1225</t>
  </si>
  <si>
    <t>VENTA CLAVOS DE CALAMINA F- 1232</t>
  </si>
  <si>
    <t>VENTA CLAVOS DE CALAMINA F- 1236</t>
  </si>
  <si>
    <t>VENTA CLAVOS DE CALAMINA F- 1250</t>
  </si>
  <si>
    <t>VENTA CLAVOS DE CALAMINA F- 1254</t>
  </si>
  <si>
    <t>VALORACIÓN INVENTARIO FINAL, PERCIO DE LAS FACTURAS DE COMPRAS (ULTIMAS COMPRAS) Art..9 del D.S. 24051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</si>
</sst>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u/>
      <sz val="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sz val="6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4">
    <xf numFmtId="0" fontId="0" fillId="0" borderId="0" xfId="0"/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4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3" fontId="9" fillId="2" borderId="14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4" fontId="9" fillId="2" borderId="14" xfId="0" applyNumberFormat="1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14" fontId="10" fillId="0" borderId="12" xfId="0" applyNumberFormat="1" applyFont="1" applyBorder="1"/>
    <xf numFmtId="4" fontId="10" fillId="0" borderId="16" xfId="0" applyNumberFormat="1" applyFont="1" applyFill="1" applyBorder="1"/>
    <xf numFmtId="4" fontId="10" fillId="0" borderId="16" xfId="0" applyNumberFormat="1" applyFont="1" applyBorder="1"/>
    <xf numFmtId="4" fontId="8" fillId="0" borderId="16" xfId="0" applyNumberFormat="1" applyFont="1" applyBorder="1"/>
    <xf numFmtId="4" fontId="11" fillId="0" borderId="16" xfId="0" applyNumberFormat="1" applyFont="1" applyBorder="1"/>
    <xf numFmtId="4" fontId="10" fillId="0" borderId="16" xfId="0" applyNumberFormat="1" applyFont="1" applyBorder="1" applyAlignment="1">
      <alignment horizontal="right"/>
    </xf>
    <xf numFmtId="4" fontId="10" fillId="2" borderId="16" xfId="0" applyNumberFormat="1" applyFont="1" applyFill="1" applyBorder="1"/>
    <xf numFmtId="0" fontId="11" fillId="0" borderId="18" xfId="0" applyFont="1" applyBorder="1"/>
    <xf numFmtId="0" fontId="10" fillId="0" borderId="17" xfId="0" applyFont="1" applyBorder="1"/>
    <xf numFmtId="0" fontId="10" fillId="0" borderId="14" xfId="0" applyFont="1" applyBorder="1"/>
    <xf numFmtId="0" fontId="9" fillId="2" borderId="30" xfId="0" applyFont="1" applyFill="1" applyBorder="1" applyAlignment="1">
      <alignment horizontal="center"/>
    </xf>
    <xf numFmtId="0" fontId="9" fillId="2" borderId="17" xfId="0" applyFont="1" applyFill="1" applyBorder="1"/>
    <xf numFmtId="4" fontId="8" fillId="0" borderId="0" xfId="0" applyNumberFormat="1" applyFont="1" applyBorder="1"/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4" xfId="0" applyFont="1" applyBorder="1"/>
    <xf numFmtId="0" fontId="5" fillId="0" borderId="0" xfId="0" applyFont="1" applyBorder="1"/>
    <xf numFmtId="0" fontId="8" fillId="0" borderId="4" xfId="0" applyFont="1" applyBorder="1"/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" fontId="11" fillId="0" borderId="16" xfId="0" applyNumberFormat="1" applyFont="1" applyBorder="1"/>
    <xf numFmtId="0" fontId="10" fillId="0" borderId="16" xfId="0" applyFont="1" applyBorder="1"/>
    <xf numFmtId="4" fontId="10" fillId="0" borderId="16" xfId="0" applyNumberFormat="1" applyFont="1" applyBorder="1" applyAlignment="1">
      <alignment horizontal="right"/>
    </xf>
    <xf numFmtId="0" fontId="8" fillId="0" borderId="2" xfId="0" applyFont="1" applyBorder="1"/>
    <xf numFmtId="0" fontId="10" fillId="0" borderId="2" xfId="0" applyFont="1" applyBorder="1"/>
    <xf numFmtId="0" fontId="11" fillId="0" borderId="3" xfId="0" applyFont="1" applyBorder="1"/>
    <xf numFmtId="0" fontId="8" fillId="0" borderId="0" xfId="0" applyFont="1" applyBorder="1"/>
    <xf numFmtId="0" fontId="10" fillId="0" borderId="0" xfId="0" applyFont="1" applyBorder="1"/>
    <xf numFmtId="0" fontId="11" fillId="0" borderId="5" xfId="0" applyFont="1" applyBorder="1"/>
    <xf numFmtId="0" fontId="2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4" fontId="10" fillId="0" borderId="19" xfId="0" applyNumberFormat="1" applyFont="1" applyBorder="1"/>
    <xf numFmtId="0" fontId="11" fillId="0" borderId="16" xfId="0" applyFont="1" applyBorder="1"/>
    <xf numFmtId="2" fontId="10" fillId="0" borderId="16" xfId="0" applyNumberFormat="1" applyFont="1" applyBorder="1"/>
    <xf numFmtId="2" fontId="8" fillId="0" borderId="16" xfId="0" applyNumberFormat="1" applyFont="1" applyBorder="1"/>
    <xf numFmtId="0" fontId="10" fillId="0" borderId="17" xfId="0" applyFont="1" applyBorder="1"/>
    <xf numFmtId="0" fontId="8" fillId="0" borderId="0" xfId="0" applyFont="1"/>
    <xf numFmtId="0" fontId="9" fillId="2" borderId="30" xfId="0" applyFont="1" applyFill="1" applyBorder="1" applyAlignment="1">
      <alignment horizontal="center"/>
    </xf>
    <xf numFmtId="0" fontId="2" fillId="2" borderId="17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4" xfId="0" applyFont="1" applyBorder="1"/>
    <xf numFmtId="0" fontId="5" fillId="0" borderId="0" xfId="0" applyFont="1" applyBorder="1"/>
    <xf numFmtId="0" fontId="8" fillId="0" borderId="4" xfId="0" applyFont="1" applyBorder="1"/>
    <xf numFmtId="0" fontId="8" fillId="0" borderId="2" xfId="0" applyFont="1" applyBorder="1"/>
    <xf numFmtId="0" fontId="10" fillId="0" borderId="2" xfId="0" applyFont="1" applyBorder="1"/>
    <xf numFmtId="0" fontId="8" fillId="0" borderId="0" xfId="0" applyFont="1" applyBorder="1"/>
    <xf numFmtId="0" fontId="10" fillId="0" borderId="0" xfId="0" applyFont="1" applyBorder="1"/>
    <xf numFmtId="2" fontId="8" fillId="0" borderId="16" xfId="0" applyNumberFormat="1" applyFont="1" applyBorder="1"/>
    <xf numFmtId="14" fontId="8" fillId="0" borderId="19" xfId="0" applyNumberFormat="1" applyFont="1" applyBorder="1"/>
    <xf numFmtId="0" fontId="8" fillId="0" borderId="16" xfId="0" applyFont="1" applyBorder="1"/>
    <xf numFmtId="2" fontId="8" fillId="0" borderId="18" xfId="0" applyNumberFormat="1" applyFont="1" applyBorder="1"/>
    <xf numFmtId="0" fontId="8" fillId="0" borderId="0" xfId="0" applyFont="1"/>
    <xf numFmtId="0" fontId="8" fillId="0" borderId="3" xfId="0" applyFont="1" applyBorder="1"/>
    <xf numFmtId="0" fontId="8" fillId="0" borderId="5" xfId="0" applyFont="1" applyBorder="1"/>
    <xf numFmtId="0" fontId="8" fillId="0" borderId="23" xfId="0" applyFont="1" applyBorder="1"/>
    <xf numFmtId="0" fontId="8" fillId="0" borderId="14" xfId="0" applyFont="1" applyBorder="1"/>
    <xf numFmtId="0" fontId="8" fillId="0" borderId="15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0" xfId="0" applyFont="1" applyBorder="1"/>
    <xf numFmtId="0" fontId="8" fillId="0" borderId="11" xfId="0" applyFont="1" applyBorder="1"/>
    <xf numFmtId="0" fontId="8" fillId="0" borderId="16" xfId="0" applyFont="1" applyBorder="1" applyAlignment="1">
      <alignment horizontal="center"/>
    </xf>
    <xf numFmtId="0" fontId="5" fillId="0" borderId="0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4" xfId="0" applyFont="1" applyBorder="1"/>
    <xf numFmtId="0" fontId="5" fillId="0" borderId="0" xfId="0" applyFont="1" applyBorder="1"/>
    <xf numFmtId="0" fontId="8" fillId="0" borderId="4" xfId="0" applyFont="1" applyBorder="1"/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4" fontId="10" fillId="0" borderId="12" xfId="0" applyNumberFormat="1" applyFont="1" applyBorder="1"/>
    <xf numFmtId="0" fontId="10" fillId="0" borderId="16" xfId="0" applyFont="1" applyBorder="1"/>
    <xf numFmtId="0" fontId="8" fillId="0" borderId="2" xfId="0" applyFont="1" applyBorder="1"/>
    <xf numFmtId="0" fontId="10" fillId="0" borderId="2" xfId="0" applyFont="1" applyBorder="1"/>
    <xf numFmtId="0" fontId="11" fillId="0" borderId="3" xfId="0" applyFont="1" applyBorder="1"/>
    <xf numFmtId="0" fontId="8" fillId="0" borderId="0" xfId="0" applyFont="1" applyBorder="1"/>
    <xf numFmtId="0" fontId="10" fillId="0" borderId="0" xfId="0" applyFont="1" applyBorder="1"/>
    <xf numFmtId="0" fontId="11" fillId="0" borderId="5" xfId="0" applyFont="1" applyBorder="1"/>
    <xf numFmtId="0" fontId="2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4" fontId="10" fillId="0" borderId="19" xfId="0" applyNumberFormat="1" applyFont="1" applyBorder="1"/>
    <xf numFmtId="2" fontId="10" fillId="0" borderId="16" xfId="0" applyNumberFormat="1" applyFont="1" applyBorder="1"/>
    <xf numFmtId="2" fontId="8" fillId="0" borderId="16" xfId="0" applyNumberFormat="1" applyFont="1" applyBorder="1"/>
    <xf numFmtId="2" fontId="10" fillId="2" borderId="16" xfId="0" applyNumberFormat="1" applyFont="1" applyFill="1" applyBorder="1"/>
    <xf numFmtId="2" fontId="10" fillId="0" borderId="16" xfId="0" applyNumberFormat="1" applyFont="1" applyFill="1" applyBorder="1"/>
    <xf numFmtId="2" fontId="11" fillId="0" borderId="16" xfId="0" applyNumberFormat="1" applyFont="1" applyBorder="1"/>
    <xf numFmtId="0" fontId="10" fillId="0" borderId="14" xfId="0" applyFont="1" applyBorder="1"/>
    <xf numFmtId="2" fontId="10" fillId="0" borderId="16" xfId="1" applyNumberFormat="1" applyFont="1" applyBorder="1"/>
    <xf numFmtId="2" fontId="10" fillId="0" borderId="16" xfId="1" applyNumberFormat="1" applyFont="1" applyBorder="1" applyAlignment="1">
      <alignment horizontal="right" vertical="center" wrapText="1"/>
    </xf>
    <xf numFmtId="2" fontId="11" fillId="0" borderId="16" xfId="1" applyNumberFormat="1" applyFont="1" applyBorder="1"/>
    <xf numFmtId="2" fontId="10" fillId="0" borderId="17" xfId="0" applyNumberFormat="1" applyFont="1" applyBorder="1"/>
    <xf numFmtId="2" fontId="10" fillId="0" borderId="16" xfId="1" applyNumberFormat="1" applyFont="1" applyFill="1" applyBorder="1"/>
    <xf numFmtId="2" fontId="10" fillId="0" borderId="16" xfId="1" applyNumberFormat="1" applyFont="1" applyBorder="1" applyAlignment="1">
      <alignment horizontal="right"/>
    </xf>
    <xf numFmtId="2" fontId="11" fillId="0" borderId="18" xfId="0" applyNumberFormat="1" applyFont="1" applyBorder="1"/>
    <xf numFmtId="0" fontId="8" fillId="0" borderId="0" xfId="0" applyFont="1"/>
    <xf numFmtId="0" fontId="8" fillId="2" borderId="0" xfId="0" applyFont="1" applyFill="1" applyBorder="1"/>
    <xf numFmtId="0" fontId="9" fillId="2" borderId="30" xfId="0" applyFont="1" applyFill="1" applyBorder="1" applyAlignment="1">
      <alignment horizontal="center"/>
    </xf>
    <xf numFmtId="0" fontId="2" fillId="2" borderId="17" xfId="0" applyFont="1" applyFill="1" applyBorder="1"/>
    <xf numFmtId="0" fontId="8" fillId="0" borderId="4" xfId="0" applyFont="1" applyBorder="1"/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4" fontId="10" fillId="0" borderId="12" xfId="0" applyNumberFormat="1" applyFont="1" applyBorder="1"/>
    <xf numFmtId="0" fontId="8" fillId="0" borderId="0" xfId="0" applyFont="1" applyBorder="1"/>
    <xf numFmtId="0" fontId="11" fillId="0" borderId="5" xfId="0" applyFont="1" applyBorder="1"/>
    <xf numFmtId="0" fontId="2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2" fontId="10" fillId="0" borderId="16" xfId="0" applyNumberFormat="1" applyFont="1" applyBorder="1"/>
    <xf numFmtId="2" fontId="8" fillId="0" borderId="16" xfId="0" applyNumberFormat="1" applyFont="1" applyBorder="1"/>
    <xf numFmtId="0" fontId="10" fillId="0" borderId="17" xfId="0" applyFont="1" applyBorder="1"/>
    <xf numFmtId="2" fontId="10" fillId="0" borderId="16" xfId="0" applyNumberFormat="1" applyFont="1" applyFill="1" applyBorder="1"/>
    <xf numFmtId="2" fontId="11" fillId="0" borderId="16" xfId="0" applyNumberFormat="1" applyFont="1" applyBorder="1"/>
    <xf numFmtId="0" fontId="10" fillId="0" borderId="14" xfId="0" applyFont="1" applyBorder="1"/>
    <xf numFmtId="2" fontId="10" fillId="0" borderId="16" xfId="0" applyNumberFormat="1" applyFont="1" applyBorder="1" applyAlignment="1">
      <alignment horizontal="right" vertical="center" wrapText="1"/>
    </xf>
    <xf numFmtId="14" fontId="10" fillId="2" borderId="19" xfId="0" applyNumberFormat="1" applyFont="1" applyFill="1" applyBorder="1"/>
    <xf numFmtId="2" fontId="11" fillId="2" borderId="16" xfId="0" applyNumberFormat="1" applyFont="1" applyFill="1" applyBorder="1"/>
    <xf numFmtId="2" fontId="10" fillId="2" borderId="16" xfId="0" applyNumberFormat="1" applyFont="1" applyFill="1" applyBorder="1" applyAlignment="1">
      <alignment horizontal="right"/>
    </xf>
    <xf numFmtId="0" fontId="11" fillId="2" borderId="18" xfId="0" applyFont="1" applyFill="1" applyBorder="1"/>
    <xf numFmtId="0" fontId="8" fillId="0" borderId="0" xfId="0" applyFont="1"/>
    <xf numFmtId="0" fontId="9" fillId="2" borderId="30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" fontId="8" fillId="0" borderId="0" xfId="0" applyNumberFormat="1" applyFont="1"/>
    <xf numFmtId="0" fontId="11" fillId="0" borderId="3" xfId="0" applyFont="1" applyBorder="1"/>
    <xf numFmtId="0" fontId="8" fillId="0" borderId="0" xfId="0" applyFont="1" applyBorder="1"/>
    <xf numFmtId="0" fontId="11" fillId="0" borderId="5" xfId="0" applyFont="1" applyBorder="1"/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2" fontId="10" fillId="0" borderId="16" xfId="0" applyNumberFormat="1" applyFont="1" applyBorder="1"/>
    <xf numFmtId="0" fontId="10" fillId="0" borderId="17" xfId="0" applyFont="1" applyBorder="1"/>
    <xf numFmtId="2" fontId="10" fillId="2" borderId="16" xfId="0" applyNumberFormat="1" applyFont="1" applyFill="1" applyBorder="1"/>
    <xf numFmtId="2" fontId="10" fillId="0" borderId="16" xfId="0" applyNumberFormat="1" applyFont="1" applyFill="1" applyBorder="1"/>
    <xf numFmtId="2" fontId="10" fillId="0" borderId="16" xfId="0" applyNumberFormat="1" applyFont="1" applyBorder="1" applyAlignment="1">
      <alignment horizontal="right"/>
    </xf>
    <xf numFmtId="2" fontId="11" fillId="0" borderId="16" xfId="0" applyNumberFormat="1" applyFont="1" applyBorder="1"/>
    <xf numFmtId="0" fontId="10" fillId="0" borderId="14" xfId="0" applyFont="1" applyBorder="1"/>
    <xf numFmtId="2" fontId="10" fillId="0" borderId="16" xfId="0" applyNumberFormat="1" applyFont="1" applyBorder="1" applyAlignment="1">
      <alignment horizontal="right" vertical="center" wrapText="1"/>
    </xf>
    <xf numFmtId="0" fontId="12" fillId="0" borderId="18" xfId="0" applyFont="1" applyBorder="1"/>
    <xf numFmtId="2" fontId="12" fillId="0" borderId="16" xfId="0" applyNumberFormat="1" applyFont="1" applyBorder="1" applyAlignment="1">
      <alignment horizontal="right"/>
    </xf>
    <xf numFmtId="2" fontId="12" fillId="0" borderId="16" xfId="0" applyNumberFormat="1" applyFont="1" applyBorder="1"/>
    <xf numFmtId="0" fontId="8" fillId="0" borderId="0" xfId="0" applyFont="1"/>
    <xf numFmtId="2" fontId="13" fillId="0" borderId="0" xfId="0" applyNumberFormat="1" applyFont="1"/>
    <xf numFmtId="14" fontId="13" fillId="0" borderId="0" xfId="0" applyNumberFormat="1" applyFont="1"/>
    <xf numFmtId="2" fontId="8" fillId="0" borderId="0" xfId="0" applyNumberFormat="1" applyFont="1"/>
    <xf numFmtId="0" fontId="13" fillId="0" borderId="0" xfId="0" applyFont="1"/>
    <xf numFmtId="0" fontId="9" fillId="2" borderId="30" xfId="0" applyFont="1" applyFill="1" applyBorder="1" applyAlignment="1">
      <alignment horizontal="center"/>
    </xf>
    <xf numFmtId="14" fontId="8" fillId="0" borderId="0" xfId="0" applyNumberFormat="1" applyFont="1" applyBorder="1"/>
    <xf numFmtId="4" fontId="8" fillId="0" borderId="24" xfId="0" applyNumberFormat="1" applyFont="1" applyBorder="1"/>
    <xf numFmtId="2" fontId="10" fillId="2" borderId="0" xfId="0" applyNumberFormat="1" applyFont="1" applyFill="1" applyBorder="1"/>
    <xf numFmtId="0" fontId="2" fillId="2" borderId="17" xfId="0" applyFont="1" applyFill="1" applyBorder="1"/>
    <xf numFmtId="4" fontId="8" fillId="0" borderId="32" xfId="0" applyNumberFormat="1" applyFont="1" applyBorder="1"/>
    <xf numFmtId="0" fontId="11" fillId="0" borderId="0" xfId="0" applyFont="1" applyBorder="1"/>
    <xf numFmtId="2" fontId="10" fillId="0" borderId="0" xfId="0" applyNumberFormat="1" applyFont="1" applyBorder="1" applyAlignment="1">
      <alignment horizontal="right"/>
    </xf>
    <xf numFmtId="2" fontId="10" fillId="0" borderId="0" xfId="0" applyNumberFormat="1" applyFont="1" applyBorder="1"/>
    <xf numFmtId="2" fontId="11" fillId="0" borderId="0" xfId="0" applyNumberFormat="1" applyFont="1" applyBorder="1"/>
    <xf numFmtId="2" fontId="11" fillId="0" borderId="27" xfId="0" applyNumberFormat="1" applyFont="1" applyBorder="1"/>
    <xf numFmtId="0" fontId="11" fillId="0" borderId="31" xfId="0" applyFont="1" applyBorder="1"/>
    <xf numFmtId="0" fontId="8" fillId="0" borderId="28" xfId="0" applyFont="1" applyBorder="1"/>
    <xf numFmtId="43" fontId="8" fillId="0" borderId="0" xfId="1" applyFont="1" applyBorder="1"/>
    <xf numFmtId="43" fontId="8" fillId="0" borderId="16" xfId="1" applyFont="1" applyFill="1" applyBorder="1"/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4" xfId="0" applyFont="1" applyBorder="1"/>
    <xf numFmtId="0" fontId="5" fillId="0" borderId="0" xfId="0" applyFont="1" applyBorder="1"/>
    <xf numFmtId="0" fontId="8" fillId="0" borderId="4" xfId="0" applyFont="1" applyBorder="1"/>
    <xf numFmtId="14" fontId="10" fillId="0" borderId="12" xfId="0" applyNumberFormat="1" applyFont="1" applyBorder="1"/>
    <xf numFmtId="4" fontId="10" fillId="0" borderId="16" xfId="0" applyNumberFormat="1" applyFont="1" applyBorder="1"/>
    <xf numFmtId="4" fontId="11" fillId="0" borderId="16" xfId="0" applyNumberFormat="1" applyFont="1" applyBorder="1"/>
    <xf numFmtId="0" fontId="10" fillId="0" borderId="16" xfId="0" applyFont="1" applyBorder="1"/>
    <xf numFmtId="4" fontId="10" fillId="0" borderId="16" xfId="0" applyNumberFormat="1" applyFont="1" applyBorder="1" applyAlignment="1">
      <alignment horizontal="right"/>
    </xf>
    <xf numFmtId="4" fontId="10" fillId="2" borderId="16" xfId="0" applyNumberFormat="1" applyFont="1" applyFill="1" applyBorder="1"/>
    <xf numFmtId="0" fontId="11" fillId="0" borderId="18" xfId="0" applyFont="1" applyBorder="1"/>
    <xf numFmtId="0" fontId="8" fillId="0" borderId="2" xfId="0" applyFont="1" applyBorder="1"/>
    <xf numFmtId="0" fontId="10" fillId="0" borderId="2" xfId="0" applyFont="1" applyBorder="1"/>
    <xf numFmtId="0" fontId="8" fillId="0" borderId="0" xfId="0" applyFont="1" applyBorder="1"/>
    <xf numFmtId="0" fontId="10" fillId="0" borderId="0" xfId="0" applyFont="1" applyBorder="1"/>
    <xf numFmtId="0" fontId="2" fillId="0" borderId="0" xfId="0" applyFont="1" applyBorder="1" applyAlignment="1">
      <alignment horizontal="center"/>
    </xf>
    <xf numFmtId="2" fontId="8" fillId="0" borderId="16" xfId="0" applyNumberFormat="1" applyFont="1" applyBorder="1"/>
    <xf numFmtId="0" fontId="10" fillId="2" borderId="16" xfId="0" applyFont="1" applyFill="1" applyBorder="1"/>
    <xf numFmtId="14" fontId="8" fillId="0" borderId="19" xfId="0" applyNumberFormat="1" applyFont="1" applyBorder="1"/>
    <xf numFmtId="0" fontId="8" fillId="0" borderId="16" xfId="0" applyFont="1" applyBorder="1"/>
    <xf numFmtId="2" fontId="8" fillId="0" borderId="18" xfId="0" applyNumberFormat="1" applyFont="1" applyBorder="1"/>
    <xf numFmtId="0" fontId="12" fillId="0" borderId="16" xfId="0" applyFont="1" applyBorder="1"/>
    <xf numFmtId="4" fontId="12" fillId="2" borderId="16" xfId="0" applyNumberFormat="1" applyFont="1" applyFill="1" applyBorder="1"/>
    <xf numFmtId="14" fontId="12" fillId="2" borderId="12" xfId="0" applyNumberFormat="1" applyFont="1" applyFill="1" applyBorder="1"/>
    <xf numFmtId="0" fontId="12" fillId="2" borderId="16" xfId="0" applyFont="1" applyFill="1" applyBorder="1"/>
    <xf numFmtId="4" fontId="12" fillId="2" borderId="16" xfId="0" applyNumberFormat="1" applyFont="1" applyFill="1" applyBorder="1" applyAlignment="1">
      <alignment horizontal="right"/>
    </xf>
    <xf numFmtId="2" fontId="12" fillId="2" borderId="16" xfId="0" applyNumberFormat="1" applyFont="1" applyFill="1" applyBorder="1"/>
    <xf numFmtId="14" fontId="13" fillId="0" borderId="19" xfId="0" applyNumberFormat="1" applyFont="1" applyBorder="1"/>
    <xf numFmtId="2" fontId="13" fillId="0" borderId="16" xfId="0" applyNumberFormat="1" applyFont="1" applyBorder="1"/>
    <xf numFmtId="2" fontId="13" fillId="0" borderId="18" xfId="0" applyNumberFormat="1" applyFont="1" applyBorder="1"/>
    <xf numFmtId="0" fontId="12" fillId="2" borderId="18" xfId="0" applyFont="1" applyFill="1" applyBorder="1"/>
    <xf numFmtId="0" fontId="8" fillId="0" borderId="0" xfId="0" applyFont="1"/>
    <xf numFmtId="2" fontId="13" fillId="0" borderId="0" xfId="0" applyNumberFormat="1" applyFont="1"/>
    <xf numFmtId="14" fontId="13" fillId="0" borderId="0" xfId="0" applyNumberFormat="1" applyFont="1"/>
    <xf numFmtId="0" fontId="8" fillId="0" borderId="3" xfId="0" applyFont="1" applyBorder="1"/>
    <xf numFmtId="0" fontId="8" fillId="0" borderId="5" xfId="0" applyFont="1" applyBorder="1"/>
    <xf numFmtId="0" fontId="8" fillId="0" borderId="23" xfId="0" applyFont="1" applyBorder="1"/>
    <xf numFmtId="0" fontId="8" fillId="0" borderId="14" xfId="0" applyFont="1" applyBorder="1"/>
    <xf numFmtId="43" fontId="8" fillId="0" borderId="16" xfId="1" applyFont="1" applyBorder="1"/>
    <xf numFmtId="43" fontId="8" fillId="0" borderId="18" xfId="1" applyFont="1" applyBorder="1"/>
    <xf numFmtId="4" fontId="13" fillId="0" borderId="0" xfId="0" applyNumberFormat="1" applyFont="1"/>
    <xf numFmtId="2" fontId="8" fillId="0" borderId="0" xfId="0" applyNumberFormat="1" applyFont="1" applyBorder="1"/>
    <xf numFmtId="0" fontId="8" fillId="0" borderId="20" xfId="0" applyFont="1" applyBorder="1"/>
    <xf numFmtId="0" fontId="8" fillId="0" borderId="11" xfId="0" applyFont="1" applyBorder="1"/>
    <xf numFmtId="2" fontId="8" fillId="0" borderId="16" xfId="0" applyNumberFormat="1" applyFont="1" applyFill="1" applyBorder="1"/>
    <xf numFmtId="0" fontId="0" fillId="0" borderId="0" xfId="0" applyFont="1"/>
    <xf numFmtId="0" fontId="11" fillId="2" borderId="16" xfId="0" applyFont="1" applyFill="1" applyBorder="1"/>
    <xf numFmtId="0" fontId="0" fillId="0" borderId="5" xfId="0" applyBorder="1"/>
    <xf numFmtId="0" fontId="0" fillId="0" borderId="20" xfId="0" applyBorder="1"/>
    <xf numFmtId="0" fontId="0" fillId="0" borderId="11" xfId="0" applyBorder="1"/>
    <xf numFmtId="0" fontId="0" fillId="0" borderId="23" xfId="0" applyBorder="1"/>
    <xf numFmtId="0" fontId="0" fillId="0" borderId="14" xfId="0" applyBorder="1"/>
    <xf numFmtId="0" fontId="0" fillId="0" borderId="15" xfId="0" applyBorder="1"/>
    <xf numFmtId="0" fontId="0" fillId="0" borderId="24" xfId="0" applyBorder="1"/>
    <xf numFmtId="0" fontId="0" fillId="0" borderId="13" xfId="0" applyBorder="1"/>
    <xf numFmtId="0" fontId="0" fillId="0" borderId="25" xfId="0" applyBorder="1"/>
    <xf numFmtId="14" fontId="0" fillId="0" borderId="19" xfId="0" applyNumberFormat="1" applyBorder="1"/>
    <xf numFmtId="0" fontId="0" fillId="0" borderId="16" xfId="0" applyBorder="1"/>
    <xf numFmtId="2" fontId="0" fillId="0" borderId="16" xfId="0" applyNumberFormat="1" applyBorder="1"/>
    <xf numFmtId="2" fontId="0" fillId="0" borderId="0" xfId="0" applyNumberFormat="1" applyBorder="1"/>
    <xf numFmtId="2" fontId="0" fillId="0" borderId="16" xfId="0" applyNumberFormat="1" applyFill="1" applyBorder="1"/>
    <xf numFmtId="2" fontId="0" fillId="0" borderId="18" xfId="0" applyNumberFormat="1" applyBorder="1"/>
    <xf numFmtId="14" fontId="0" fillId="0" borderId="19" xfId="0" applyNumberFormat="1" applyFont="1" applyBorder="1"/>
    <xf numFmtId="0" fontId="0" fillId="0" borderId="16" xfId="0" applyFont="1" applyBorder="1"/>
    <xf numFmtId="2" fontId="0" fillId="0" borderId="16" xfId="0" applyNumberFormat="1" applyFont="1" applyBorder="1"/>
    <xf numFmtId="2" fontId="0" fillId="0" borderId="18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2" fontId="0" fillId="0" borderId="0" xfId="0" applyNumberFormat="1" applyFont="1" applyBorder="1"/>
    <xf numFmtId="14" fontId="14" fillId="0" borderId="19" xfId="0" applyNumberFormat="1" applyFont="1" applyBorder="1"/>
    <xf numFmtId="2" fontId="14" fillId="0" borderId="16" xfId="0" applyNumberFormat="1" applyFont="1" applyBorder="1"/>
    <xf numFmtId="2" fontId="14" fillId="0" borderId="18" xfId="0" applyNumberFormat="1" applyFont="1" applyBorder="1"/>
    <xf numFmtId="0" fontId="6" fillId="0" borderId="0" xfId="0" applyFont="1" applyBorder="1" applyAlignment="1"/>
    <xf numFmtId="14" fontId="12" fillId="0" borderId="12" xfId="0" applyNumberFormat="1" applyFont="1" applyBorder="1"/>
    <xf numFmtId="4" fontId="12" fillId="0" borderId="16" xfId="0" applyNumberFormat="1" applyFont="1" applyBorder="1"/>
    <xf numFmtId="4" fontId="12" fillId="0" borderId="16" xfId="0" applyNumberFormat="1" applyFont="1" applyBorder="1" applyAlignment="1">
      <alignment horizontal="right"/>
    </xf>
    <xf numFmtId="0" fontId="15" fillId="0" borderId="0" xfId="0" applyFont="1"/>
    <xf numFmtId="0" fontId="13" fillId="0" borderId="16" xfId="0" applyFont="1" applyBorder="1"/>
    <xf numFmtId="14" fontId="12" fillId="0" borderId="19" xfId="0" applyNumberFormat="1" applyFont="1" applyBorder="1"/>
    <xf numFmtId="2" fontId="12" fillId="0" borderId="16" xfId="1" applyNumberFormat="1" applyFont="1" applyFill="1" applyBorder="1"/>
    <xf numFmtId="2" fontId="12" fillId="0" borderId="16" xfId="1" applyNumberFormat="1" applyFont="1" applyBorder="1" applyAlignment="1">
      <alignment horizontal="right"/>
    </xf>
    <xf numFmtId="2" fontId="12" fillId="0" borderId="16" xfId="1" applyNumberFormat="1" applyFont="1" applyBorder="1"/>
    <xf numFmtId="2" fontId="12" fillId="0" borderId="18" xfId="0" applyNumberFormat="1" applyFont="1" applyBorder="1"/>
    <xf numFmtId="0" fontId="13" fillId="0" borderId="0" xfId="0" applyFont="1" applyAlignment="1">
      <alignment horizontal="right"/>
    </xf>
    <xf numFmtId="14" fontId="12" fillId="2" borderId="19" xfId="0" applyNumberFormat="1" applyFont="1" applyFill="1" applyBorder="1"/>
    <xf numFmtId="2" fontId="12" fillId="2" borderId="16" xfId="0" applyNumberFormat="1" applyFont="1" applyFill="1" applyBorder="1" applyAlignment="1">
      <alignment horizontal="right"/>
    </xf>
    <xf numFmtId="43" fontId="13" fillId="0" borderId="16" xfId="1" applyFont="1" applyBorder="1"/>
    <xf numFmtId="43" fontId="13" fillId="0" borderId="18" xfId="1" applyFont="1" applyBorder="1"/>
    <xf numFmtId="0" fontId="8" fillId="0" borderId="16" xfId="0" applyFont="1" applyBorder="1" applyAlignment="1">
      <alignment horizontal="center"/>
    </xf>
    <xf numFmtId="14" fontId="10" fillId="2" borderId="12" xfId="0" applyNumberFormat="1" applyFont="1" applyFill="1" applyBorder="1"/>
    <xf numFmtId="2" fontId="15" fillId="0" borderId="0" xfId="0" applyNumberFormat="1" applyFont="1"/>
    <xf numFmtId="0" fontId="0" fillId="0" borderId="26" xfId="0" applyBorder="1"/>
    <xf numFmtId="43" fontId="13" fillId="0" borderId="0" xfId="0" applyNumberFormat="1" applyFont="1"/>
    <xf numFmtId="0" fontId="16" fillId="0" borderId="0" xfId="0" applyFont="1"/>
    <xf numFmtId="4" fontId="10" fillId="2" borderId="16" xfId="0" applyNumberFormat="1" applyFont="1" applyFill="1" applyBorder="1" applyAlignment="1">
      <alignment horizontal="right"/>
    </xf>
    <xf numFmtId="14" fontId="10" fillId="0" borderId="16" xfId="0" applyNumberFormat="1" applyFont="1" applyBorder="1"/>
    <xf numFmtId="14" fontId="8" fillId="0" borderId="16" xfId="0" applyNumberFormat="1" applyFont="1" applyBorder="1"/>
    <xf numFmtId="14" fontId="13" fillId="0" borderId="16" xfId="0" applyNumberFormat="1" applyFont="1" applyBorder="1"/>
    <xf numFmtId="14" fontId="15" fillId="0" borderId="0" xfId="0" applyNumberFormat="1" applyFont="1"/>
    <xf numFmtId="4" fontId="15" fillId="0" borderId="0" xfId="0" applyNumberFormat="1" applyFont="1"/>
    <xf numFmtId="0" fontId="15" fillId="0" borderId="16" xfId="0" applyFont="1" applyBorder="1"/>
    <xf numFmtId="43" fontId="13" fillId="0" borderId="16" xfId="1" applyFont="1" applyFill="1" applyBorder="1"/>
    <xf numFmtId="14" fontId="8" fillId="0" borderId="10" xfId="0" applyNumberFormat="1" applyFont="1" applyBorder="1"/>
    <xf numFmtId="0" fontId="10" fillId="0" borderId="11" xfId="0" applyFont="1" applyBorder="1"/>
    <xf numFmtId="4" fontId="11" fillId="0" borderId="11" xfId="0" applyNumberFormat="1" applyFont="1" applyBorder="1"/>
    <xf numFmtId="4" fontId="11" fillId="0" borderId="14" xfId="0" applyNumberFormat="1" applyFont="1" applyBorder="1"/>
    <xf numFmtId="4" fontId="0" fillId="0" borderId="0" xfId="0" applyNumberFormat="1"/>
    <xf numFmtId="4" fontId="16" fillId="0" borderId="0" xfId="0" applyNumberFormat="1" applyFont="1"/>
    <xf numFmtId="2" fontId="0" fillId="0" borderId="0" xfId="0" applyNumberFormat="1"/>
    <xf numFmtId="43" fontId="0" fillId="0" borderId="0" xfId="0" applyNumberFormat="1"/>
    <xf numFmtId="43" fontId="8" fillId="0" borderId="0" xfId="0" applyNumberFormat="1" applyFont="1"/>
    <xf numFmtId="0" fontId="10" fillId="2" borderId="18" xfId="0" applyFont="1" applyFill="1" applyBorder="1"/>
    <xf numFmtId="4" fontId="11" fillId="2" borderId="16" xfId="0" applyNumberFormat="1" applyFont="1" applyFill="1" applyBorder="1" applyAlignment="1">
      <alignment horizontal="right"/>
    </xf>
    <xf numFmtId="4" fontId="11" fillId="2" borderId="16" xfId="0" applyNumberFormat="1" applyFont="1" applyFill="1" applyBorder="1"/>
    <xf numFmtId="0" fontId="10" fillId="0" borderId="16" xfId="0" applyFont="1" applyFill="1" applyBorder="1"/>
    <xf numFmtId="14" fontId="13" fillId="0" borderId="19" xfId="0" applyNumberFormat="1" applyFont="1" applyFill="1" applyBorder="1"/>
    <xf numFmtId="0" fontId="13" fillId="0" borderId="16" xfId="0" applyFont="1" applyFill="1" applyBorder="1"/>
    <xf numFmtId="2" fontId="13" fillId="0" borderId="16" xfId="0" applyNumberFormat="1" applyFont="1" applyFill="1" applyBorder="1"/>
    <xf numFmtId="2" fontId="13" fillId="0" borderId="18" xfId="0" applyNumberFormat="1" applyFont="1" applyFill="1" applyBorder="1"/>
    <xf numFmtId="0" fontId="13" fillId="0" borderId="0" xfId="0" applyFont="1" applyFill="1"/>
    <xf numFmtId="0" fontId="15" fillId="0" borderId="0" xfId="0" applyFont="1" applyFill="1"/>
    <xf numFmtId="2" fontId="13" fillId="0" borderId="0" xfId="0" applyNumberFormat="1" applyFont="1" applyFill="1"/>
    <xf numFmtId="14" fontId="13" fillId="0" borderId="0" xfId="0" applyNumberFormat="1" applyFont="1" applyFill="1"/>
    <xf numFmtId="0" fontId="8" fillId="0" borderId="16" xfId="0" applyFont="1" applyBorder="1" applyAlignment="1">
      <alignment horizontal="center"/>
    </xf>
    <xf numFmtId="4" fontId="13" fillId="0" borderId="24" xfId="0" applyNumberFormat="1" applyFont="1" applyBorder="1"/>
    <xf numFmtId="4" fontId="13" fillId="0" borderId="32" xfId="0" applyNumberFormat="1" applyFont="1" applyBorder="1"/>
    <xf numFmtId="2" fontId="13" fillId="0" borderId="33" xfId="0" applyNumberFormat="1" applyFont="1" applyBorder="1"/>
    <xf numFmtId="2" fontId="13" fillId="0" borderId="24" xfId="0" applyNumberFormat="1" applyFont="1" applyBorder="1"/>
    <xf numFmtId="2" fontId="8" fillId="0" borderId="32" xfId="0" applyNumberFormat="1" applyFont="1" applyBorder="1"/>
    <xf numFmtId="4" fontId="0" fillId="0" borderId="16" xfId="0" applyNumberFormat="1" applyBorder="1"/>
    <xf numFmtId="14" fontId="13" fillId="0" borderId="11" xfId="0" applyNumberFormat="1" applyFont="1" applyBorder="1"/>
    <xf numFmtId="0" fontId="12" fillId="0" borderId="11" xfId="0" applyFont="1" applyBorder="1"/>
    <xf numFmtId="4" fontId="12" fillId="0" borderId="11" xfId="0" applyNumberFormat="1" applyFont="1" applyBorder="1"/>
    <xf numFmtId="4" fontId="12" fillId="0" borderId="11" xfId="0" applyNumberFormat="1" applyFont="1" applyBorder="1" applyAlignment="1">
      <alignment horizontal="right"/>
    </xf>
    <xf numFmtId="4" fontId="12" fillId="2" borderId="11" xfId="0" applyNumberFormat="1" applyFont="1" applyFill="1" applyBorder="1"/>
    <xf numFmtId="0" fontId="12" fillId="0" borderId="30" xfId="0" applyFont="1" applyBorder="1"/>
    <xf numFmtId="14" fontId="10" fillId="0" borderId="0" xfId="0" applyNumberFormat="1" applyFont="1" applyBorder="1"/>
    <xf numFmtId="0" fontId="12" fillId="0" borderId="0" xfId="0" applyFont="1" applyBorder="1"/>
    <xf numFmtId="43" fontId="0" fillId="0" borderId="16" xfId="0" applyNumberFormat="1" applyBorder="1"/>
    <xf numFmtId="0" fontId="0" fillId="0" borderId="0" xfId="0" applyFill="1"/>
    <xf numFmtId="4" fontId="0" fillId="0" borderId="32" xfId="0" applyNumberFormat="1" applyBorder="1"/>
    <xf numFmtId="4" fontId="0" fillId="0" borderId="0" xfId="0" applyNumberFormat="1" applyBorder="1"/>
    <xf numFmtId="0" fontId="17" fillId="0" borderId="0" xfId="0" applyFont="1" applyBorder="1"/>
    <xf numFmtId="0" fontId="12" fillId="0" borderId="2" xfId="0" applyFont="1" applyBorder="1"/>
    <xf numFmtId="0" fontId="15" fillId="0" borderId="5" xfId="0" applyFont="1" applyBorder="1"/>
    <xf numFmtId="14" fontId="10" fillId="0" borderId="34" xfId="0" applyNumberFormat="1" applyFont="1" applyBorder="1"/>
    <xf numFmtId="0" fontId="11" fillId="0" borderId="27" xfId="0" applyFont="1" applyBorder="1"/>
    <xf numFmtId="2" fontId="12" fillId="0" borderId="27" xfId="0" applyNumberFormat="1" applyFont="1" applyBorder="1" applyAlignment="1">
      <alignment horizontal="right"/>
    </xf>
    <xf numFmtId="2" fontId="12" fillId="2" borderId="27" xfId="0" applyNumberFormat="1" applyFont="1" applyFill="1" applyBorder="1"/>
    <xf numFmtId="2" fontId="12" fillId="0" borderId="27" xfId="0" applyNumberFormat="1" applyFont="1" applyBorder="1"/>
    <xf numFmtId="0" fontId="0" fillId="0" borderId="18" xfId="0" applyBorder="1"/>
    <xf numFmtId="0" fontId="8" fillId="0" borderId="18" xfId="0" applyFont="1" applyBorder="1" applyAlignment="1">
      <alignment horizontal="center"/>
    </xf>
    <xf numFmtId="14" fontId="8" fillId="0" borderId="34" xfId="0" applyNumberFormat="1" applyFont="1" applyBorder="1"/>
    <xf numFmtId="0" fontId="8" fillId="0" borderId="27" xfId="0" applyFont="1" applyBorder="1"/>
    <xf numFmtId="2" fontId="8" fillId="0" borderId="27" xfId="0" applyNumberFormat="1" applyFont="1" applyBorder="1"/>
    <xf numFmtId="2" fontId="14" fillId="0" borderId="27" xfId="0" applyNumberFormat="1" applyFont="1" applyBorder="1"/>
    <xf numFmtId="2" fontId="14" fillId="0" borderId="31" xfId="0" applyNumberFormat="1" applyFont="1" applyBorder="1"/>
    <xf numFmtId="0" fontId="0" fillId="0" borderId="3" xfId="0" applyBorder="1"/>
    <xf numFmtId="14" fontId="0" fillId="0" borderId="34" xfId="0" applyNumberFormat="1" applyFont="1" applyBorder="1"/>
    <xf numFmtId="0" fontId="0" fillId="0" borderId="27" xfId="0" applyFont="1" applyBorder="1"/>
    <xf numFmtId="2" fontId="0" fillId="0" borderId="27" xfId="0" applyNumberFormat="1" applyFont="1" applyBorder="1"/>
    <xf numFmtId="2" fontId="0" fillId="0" borderId="31" xfId="0" applyNumberFormat="1" applyFont="1" applyBorder="1"/>
    <xf numFmtId="0" fontId="5" fillId="0" borderId="0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/>
    <xf numFmtId="0" fontId="10" fillId="0" borderId="0" xfId="0" applyFont="1"/>
    <xf numFmtId="0" fontId="5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5" xfId="0" applyFont="1" applyBorder="1"/>
    <xf numFmtId="0" fontId="8" fillId="0" borderId="24" xfId="0" applyFont="1" applyBorder="1"/>
    <xf numFmtId="0" fontId="8" fillId="0" borderId="13" xfId="0" applyFont="1" applyBorder="1"/>
    <xf numFmtId="0" fontId="8" fillId="0" borderId="25" xfId="0" applyFont="1" applyBorder="1"/>
    <xf numFmtId="0" fontId="14" fillId="0" borderId="16" xfId="0" applyFont="1" applyBorder="1"/>
    <xf numFmtId="14" fontId="8" fillId="0" borderId="0" xfId="0" applyNumberFormat="1" applyFont="1"/>
    <xf numFmtId="4" fontId="0" fillId="0" borderId="24" xfId="0" applyNumberFormat="1" applyBorder="1"/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4"/>
  <sheetViews>
    <sheetView topLeftCell="A13" workbookViewId="0">
      <selection sqref="A1:N33"/>
    </sheetView>
  </sheetViews>
  <sheetFormatPr baseColWidth="10" defaultRowHeight="14.5" x14ac:dyDescent="0.35"/>
  <cols>
    <col min="2" max="2" width="36.08984375" customWidth="1"/>
    <col min="11" max="11" width="16.90625" customWidth="1"/>
  </cols>
  <sheetData>
    <row r="1" spans="1:14" x14ac:dyDescent="0.35">
      <c r="A1" s="39" t="s">
        <v>0</v>
      </c>
      <c r="B1" s="40"/>
      <c r="C1" s="51"/>
      <c r="D1" s="51"/>
      <c r="E1" s="51"/>
      <c r="F1" s="51"/>
      <c r="G1" s="51"/>
      <c r="H1" s="52" t="s">
        <v>1</v>
      </c>
      <c r="I1" s="51"/>
      <c r="J1" s="51"/>
      <c r="K1" s="53"/>
      <c r="L1" s="38"/>
      <c r="M1" s="38"/>
      <c r="N1" s="38"/>
    </row>
    <row r="2" spans="1:14" x14ac:dyDescent="0.35">
      <c r="A2" s="41" t="s">
        <v>2</v>
      </c>
      <c r="B2" s="42"/>
      <c r="C2" s="54"/>
      <c r="D2" s="54"/>
      <c r="E2" s="54"/>
      <c r="F2" s="54"/>
      <c r="G2" s="54"/>
      <c r="H2" s="234" t="s">
        <v>649</v>
      </c>
      <c r="I2" s="54"/>
      <c r="J2" s="54"/>
      <c r="K2" s="56"/>
      <c r="L2" s="38"/>
      <c r="M2" s="38"/>
      <c r="N2" s="38"/>
    </row>
    <row r="3" spans="1:14" x14ac:dyDescent="0.35">
      <c r="A3" s="43" t="s">
        <v>3</v>
      </c>
      <c r="B3" s="44"/>
      <c r="C3" s="54"/>
      <c r="D3" s="54"/>
      <c r="E3" s="54"/>
      <c r="F3" s="54"/>
      <c r="G3" s="54"/>
      <c r="H3" s="55" t="s">
        <v>4</v>
      </c>
      <c r="I3" s="54"/>
      <c r="J3" s="54"/>
      <c r="K3" s="56"/>
      <c r="L3" s="38"/>
      <c r="M3" s="38"/>
      <c r="N3" s="38"/>
    </row>
    <row r="4" spans="1:14" x14ac:dyDescent="0.35">
      <c r="A4" s="45"/>
      <c r="B4" s="54"/>
      <c r="C4" s="54"/>
      <c r="D4" s="382" t="s">
        <v>5</v>
      </c>
      <c r="E4" s="382"/>
      <c r="F4" s="382"/>
      <c r="G4" s="382"/>
      <c r="H4" s="382"/>
      <c r="I4" s="54"/>
      <c r="J4" s="54"/>
      <c r="K4" s="56"/>
      <c r="L4" s="38"/>
      <c r="M4" s="38"/>
      <c r="N4" s="38"/>
    </row>
    <row r="5" spans="1:14" x14ac:dyDescent="0.35">
      <c r="A5" s="45"/>
      <c r="B5" s="57"/>
      <c r="C5" s="54"/>
      <c r="D5" s="55" t="s">
        <v>62</v>
      </c>
      <c r="E5" s="57"/>
      <c r="F5" s="57"/>
      <c r="G5" s="54"/>
      <c r="H5" s="54"/>
      <c r="I5" s="54"/>
      <c r="J5" s="54"/>
      <c r="K5" s="56"/>
      <c r="L5" s="38"/>
      <c r="M5" s="38"/>
      <c r="N5" s="38"/>
    </row>
    <row r="6" spans="1:14" x14ac:dyDescent="0.35">
      <c r="A6" s="45"/>
      <c r="B6" s="57"/>
      <c r="C6" s="54"/>
      <c r="D6" s="54" t="s">
        <v>6</v>
      </c>
      <c r="E6" s="57"/>
      <c r="F6" s="57"/>
      <c r="G6" s="54"/>
      <c r="H6" s="54"/>
      <c r="I6" s="54"/>
      <c r="J6" s="54"/>
      <c r="K6" s="56"/>
      <c r="L6" s="38"/>
      <c r="M6" s="38"/>
      <c r="N6" s="38"/>
    </row>
    <row r="7" spans="1:14" x14ac:dyDescent="0.35">
      <c r="A7" s="46" t="s">
        <v>7</v>
      </c>
      <c r="B7" s="58" t="s">
        <v>8</v>
      </c>
      <c r="C7" s="383" t="s">
        <v>9</v>
      </c>
      <c r="D7" s="383"/>
      <c r="E7" s="384"/>
      <c r="F7" s="385" t="s">
        <v>10</v>
      </c>
      <c r="G7" s="385"/>
      <c r="H7" s="386" t="s">
        <v>11</v>
      </c>
      <c r="I7" s="387"/>
      <c r="J7" s="387"/>
      <c r="K7" s="71" t="s">
        <v>12</v>
      </c>
      <c r="L7" s="38"/>
      <c r="M7" s="38"/>
      <c r="N7" s="38"/>
    </row>
    <row r="8" spans="1:14" x14ac:dyDescent="0.35">
      <c r="A8" s="47"/>
      <c r="B8" s="59"/>
      <c r="C8" s="59" t="s">
        <v>13</v>
      </c>
      <c r="D8" s="60" t="s">
        <v>14</v>
      </c>
      <c r="E8" s="61" t="s">
        <v>15</v>
      </c>
      <c r="F8" s="62" t="s">
        <v>16</v>
      </c>
      <c r="G8" s="62" t="s">
        <v>17</v>
      </c>
      <c r="H8" s="60" t="s">
        <v>18</v>
      </c>
      <c r="I8" s="63" t="s">
        <v>19</v>
      </c>
      <c r="J8" s="64" t="s">
        <v>20</v>
      </c>
      <c r="K8" s="72"/>
      <c r="L8" s="38"/>
      <c r="M8" s="38"/>
      <c r="N8" s="38"/>
    </row>
    <row r="9" spans="1:14" x14ac:dyDescent="0.35">
      <c r="A9" s="65">
        <v>42736</v>
      </c>
      <c r="B9" s="49" t="s">
        <v>22</v>
      </c>
      <c r="C9" s="48">
        <v>2382.48</v>
      </c>
      <c r="D9" s="66"/>
      <c r="E9" s="50">
        <f>+C9</f>
        <v>2382.48</v>
      </c>
      <c r="F9" s="67">
        <f>+H9/C9</f>
        <v>25.528571068802254</v>
      </c>
      <c r="G9" s="54"/>
      <c r="H9" s="68">
        <f>+J9</f>
        <v>60821.31</v>
      </c>
      <c r="I9" s="66"/>
      <c r="J9" s="48">
        <v>60821.31</v>
      </c>
      <c r="K9" s="69"/>
      <c r="L9" s="70"/>
      <c r="M9" s="70"/>
      <c r="N9" s="70"/>
    </row>
    <row r="10" spans="1:14" s="296" customFormat="1" x14ac:dyDescent="0.35">
      <c r="A10" s="243">
        <v>42783</v>
      </c>
      <c r="B10" s="244" t="s">
        <v>633</v>
      </c>
      <c r="C10" s="244"/>
      <c r="D10" s="244">
        <f>25*3.75+3.5</f>
        <v>97.25</v>
      </c>
      <c r="E10" s="245">
        <f>+E9-D10</f>
        <v>2285.23</v>
      </c>
      <c r="F10" s="246"/>
      <c r="G10" s="246">
        <f>+J9/E9</f>
        <v>25.528571068802254</v>
      </c>
      <c r="H10" s="244"/>
      <c r="I10" s="242">
        <f>+D10*G10</f>
        <v>2482.6535364410192</v>
      </c>
      <c r="J10" s="242">
        <f>+J9-I10</f>
        <v>58338.656463558975</v>
      </c>
      <c r="K10" s="250"/>
      <c r="L10" s="260">
        <f>SUM(I10)</f>
        <v>2482.6535364410192</v>
      </c>
      <c r="M10" s="260">
        <f>SUM(L10)</f>
        <v>2482.6535364410192</v>
      </c>
      <c r="N10" s="253">
        <v>42794</v>
      </c>
    </row>
    <row r="11" spans="1:14" s="296" customFormat="1" x14ac:dyDescent="0.35">
      <c r="A11" s="243">
        <v>42804</v>
      </c>
      <c r="B11" s="244" t="s">
        <v>632</v>
      </c>
      <c r="C11" s="244"/>
      <c r="D11" s="244">
        <f>2*4</f>
        <v>8</v>
      </c>
      <c r="E11" s="245">
        <f t="shared" ref="E11:E12" si="0">+E10-D11</f>
        <v>2277.23</v>
      </c>
      <c r="F11" s="246"/>
      <c r="G11" s="246">
        <f t="shared" ref="G11:G12" si="1">+J10/E10</f>
        <v>25.528571068802254</v>
      </c>
      <c r="H11" s="244"/>
      <c r="I11" s="242">
        <f t="shared" ref="I11:I12" si="2">+D11*G11</f>
        <v>204.22856855041803</v>
      </c>
      <c r="J11" s="242">
        <f t="shared" ref="J11:J12" si="3">+J10-I11</f>
        <v>58134.427895008557</v>
      </c>
      <c r="K11" s="250"/>
      <c r="L11" s="260">
        <f>SUM(I11)</f>
        <v>204.22856855041803</v>
      </c>
      <c r="M11" s="260"/>
      <c r="N11" s="253">
        <v>42809</v>
      </c>
    </row>
    <row r="12" spans="1:14" s="296" customFormat="1" x14ac:dyDescent="0.35">
      <c r="A12" s="243">
        <v>42822</v>
      </c>
      <c r="B12" s="244" t="s">
        <v>634</v>
      </c>
      <c r="C12" s="244"/>
      <c r="D12" s="244">
        <v>15</v>
      </c>
      <c r="E12" s="245">
        <f t="shared" si="0"/>
        <v>2262.23</v>
      </c>
      <c r="F12" s="246"/>
      <c r="G12" s="246">
        <f t="shared" si="1"/>
        <v>25.528571068802254</v>
      </c>
      <c r="H12" s="244"/>
      <c r="I12" s="242">
        <f t="shared" si="2"/>
        <v>382.92856603203381</v>
      </c>
      <c r="J12" s="242">
        <f t="shared" si="3"/>
        <v>57751.499328976526</v>
      </c>
      <c r="K12" s="250"/>
      <c r="L12" s="260">
        <f>SUM(I12)</f>
        <v>382.92856603203381</v>
      </c>
      <c r="M12" s="260">
        <f>SUM(L11:L12)</f>
        <v>587.15713458245182</v>
      </c>
      <c r="N12" s="253">
        <v>42825</v>
      </c>
    </row>
    <row r="13" spans="1:14" s="216" customFormat="1" x14ac:dyDescent="0.35">
      <c r="A13" s="309">
        <v>42857</v>
      </c>
      <c r="B13" s="266" t="s">
        <v>635</v>
      </c>
      <c r="C13" s="244"/>
      <c r="D13" s="244">
        <f>8*5.4</f>
        <v>43.2</v>
      </c>
      <c r="E13" s="245">
        <f t="shared" ref="E13:E14" si="4">+E12-D13</f>
        <v>2219.0300000000002</v>
      </c>
      <c r="F13" s="246"/>
      <c r="G13" s="246">
        <f t="shared" ref="G13:G14" si="5">+J12/E12</f>
        <v>25.528571068802254</v>
      </c>
      <c r="H13" s="244"/>
      <c r="I13" s="242">
        <f t="shared" ref="I13:I14" si="6">+D13*G13</f>
        <v>1102.8342701722574</v>
      </c>
      <c r="J13" s="242">
        <f t="shared" ref="J13:J14" si="7">+J12-I13</f>
        <v>56648.665058804268</v>
      </c>
      <c r="K13" s="250"/>
      <c r="L13" s="260"/>
      <c r="M13" s="260"/>
      <c r="N13" s="253"/>
    </row>
    <row r="14" spans="1:14" s="296" customFormat="1" x14ac:dyDescent="0.35">
      <c r="A14" s="243">
        <v>42860</v>
      </c>
      <c r="B14" s="244" t="s">
        <v>636</v>
      </c>
      <c r="C14" s="244"/>
      <c r="D14" s="244">
        <f>4*2.7</f>
        <v>10.8</v>
      </c>
      <c r="E14" s="245">
        <f t="shared" si="4"/>
        <v>2208.23</v>
      </c>
      <c r="F14" s="246"/>
      <c r="G14" s="246">
        <f t="shared" si="5"/>
        <v>25.528571068802254</v>
      </c>
      <c r="H14" s="244"/>
      <c r="I14" s="242">
        <f t="shared" si="6"/>
        <v>275.70856754306436</v>
      </c>
      <c r="J14" s="242">
        <f t="shared" si="7"/>
        <v>56372.956491261204</v>
      </c>
      <c r="K14" s="250"/>
      <c r="L14" s="260">
        <f>SUM(I13:I14)</f>
        <v>1378.5428377153219</v>
      </c>
      <c r="M14" s="260">
        <f>SUM(L14)</f>
        <v>1378.5428377153219</v>
      </c>
      <c r="N14" s="253">
        <v>42870</v>
      </c>
    </row>
    <row r="15" spans="1:14" s="296" customFormat="1" x14ac:dyDescent="0.35">
      <c r="A15" s="309">
        <v>42910</v>
      </c>
      <c r="B15" s="237" t="s">
        <v>161</v>
      </c>
      <c r="C15" s="237">
        <v>6105.6</v>
      </c>
      <c r="D15" s="237"/>
      <c r="E15" s="314">
        <f>+E14+C15</f>
        <v>8313.83</v>
      </c>
      <c r="F15" s="187">
        <f>+H15/C15</f>
        <v>26.503401795073376</v>
      </c>
      <c r="G15" s="187"/>
      <c r="H15" s="237">
        <v>161819.17000000001</v>
      </c>
      <c r="I15" s="229"/>
      <c r="J15" s="229">
        <f>+J14+H15</f>
        <v>218192.12649126121</v>
      </c>
      <c r="K15" s="331"/>
      <c r="L15" s="260"/>
      <c r="M15" s="260"/>
      <c r="N15" s="253"/>
    </row>
    <row r="16" spans="1:14" s="296" customFormat="1" x14ac:dyDescent="0.35">
      <c r="A16" s="243">
        <v>42917</v>
      </c>
      <c r="B16" s="244" t="s">
        <v>637</v>
      </c>
      <c r="C16" s="244"/>
      <c r="D16" s="244">
        <f>11*5.2</f>
        <v>57.2</v>
      </c>
      <c r="E16" s="245">
        <f>+E15-D16</f>
        <v>8256.6299999999992</v>
      </c>
      <c r="F16" s="246"/>
      <c r="G16" s="246">
        <f>+J15/E15</f>
        <v>26.244477754688418</v>
      </c>
      <c r="H16" s="244"/>
      <c r="I16" s="242">
        <f t="shared" ref="I16:I27" si="8">+D16*G16</f>
        <v>1501.1841275681777</v>
      </c>
      <c r="J16" s="242">
        <f>+J15-I16</f>
        <v>216690.94236369303</v>
      </c>
      <c r="K16" s="250"/>
      <c r="L16" s="260">
        <f>SUM(I16)</f>
        <v>1501.1841275681777</v>
      </c>
      <c r="M16" s="260">
        <f>SUM(L16)</f>
        <v>1501.1841275681777</v>
      </c>
      <c r="N16" s="253">
        <v>42931</v>
      </c>
    </row>
    <row r="17" spans="1:14" s="296" customFormat="1" x14ac:dyDescent="0.35">
      <c r="A17" s="243">
        <v>42993</v>
      </c>
      <c r="B17" s="244" t="s">
        <v>638</v>
      </c>
      <c r="C17" s="244"/>
      <c r="D17" s="244">
        <f>7*5.7</f>
        <v>39.9</v>
      </c>
      <c r="E17" s="245">
        <f>+E16-D17</f>
        <v>8216.73</v>
      </c>
      <c r="F17" s="246"/>
      <c r="G17" s="246">
        <f t="shared" ref="G17:G27" si="9">+J16/E16</f>
        <v>26.244477754688422</v>
      </c>
      <c r="H17" s="244"/>
      <c r="I17" s="242">
        <f t="shared" si="8"/>
        <v>1047.1546624120681</v>
      </c>
      <c r="J17" s="242">
        <f>+J16-I17</f>
        <v>215643.78770128096</v>
      </c>
      <c r="K17" s="250"/>
      <c r="L17" s="260">
        <f>SUM(I17)</f>
        <v>1047.1546624120681</v>
      </c>
      <c r="M17" s="260"/>
      <c r="N17" s="253">
        <v>42993</v>
      </c>
    </row>
    <row r="18" spans="1:14" s="296" customFormat="1" x14ac:dyDescent="0.35">
      <c r="A18" s="243">
        <v>43007</v>
      </c>
      <c r="B18" s="244" t="s">
        <v>639</v>
      </c>
      <c r="C18" s="244"/>
      <c r="D18" s="244">
        <f>6*5.4</f>
        <v>32.400000000000006</v>
      </c>
      <c r="E18" s="245">
        <f t="shared" ref="E18:E27" si="10">+E17-D18</f>
        <v>8184.33</v>
      </c>
      <c r="F18" s="246"/>
      <c r="G18" s="246">
        <f t="shared" si="9"/>
        <v>26.244477754688418</v>
      </c>
      <c r="H18" s="244"/>
      <c r="I18" s="242">
        <f t="shared" si="8"/>
        <v>850.32107925190485</v>
      </c>
      <c r="J18" s="242">
        <f t="shared" ref="J18:J27" si="11">+J17-I18</f>
        <v>214793.46662202905</v>
      </c>
      <c r="K18" s="250"/>
      <c r="L18" s="260">
        <f>SUM(I18)</f>
        <v>850.32107925190485</v>
      </c>
      <c r="M18" s="260">
        <f>SUM(L17:L18)</f>
        <v>1897.4757416639729</v>
      </c>
      <c r="N18" s="253">
        <v>43008</v>
      </c>
    </row>
    <row r="19" spans="1:14" s="296" customFormat="1" x14ac:dyDescent="0.35">
      <c r="A19" s="243">
        <v>43018</v>
      </c>
      <c r="B19" s="244" t="s">
        <v>640</v>
      </c>
      <c r="C19" s="244"/>
      <c r="D19" s="244">
        <f>5*6.6</f>
        <v>33</v>
      </c>
      <c r="E19" s="245">
        <f t="shared" si="10"/>
        <v>8151.33</v>
      </c>
      <c r="F19" s="246"/>
      <c r="G19" s="246">
        <f t="shared" si="9"/>
        <v>26.244477754688418</v>
      </c>
      <c r="H19" s="244"/>
      <c r="I19" s="242">
        <f t="shared" si="8"/>
        <v>866.06776590471782</v>
      </c>
      <c r="J19" s="242">
        <f t="shared" si="11"/>
        <v>213927.39885612435</v>
      </c>
      <c r="K19" s="250"/>
      <c r="L19" s="260">
        <f>SUM(I19)</f>
        <v>866.06776590471782</v>
      </c>
      <c r="M19" s="260"/>
      <c r="N19" s="253">
        <v>43023</v>
      </c>
    </row>
    <row r="20" spans="1:14" s="216" customFormat="1" x14ac:dyDescent="0.35">
      <c r="A20" s="309">
        <v>43025</v>
      </c>
      <c r="B20" s="266" t="s">
        <v>641</v>
      </c>
      <c r="C20" s="244"/>
      <c r="D20" s="237">
        <f>4*5.2+12*4.4</f>
        <v>73.600000000000009</v>
      </c>
      <c r="E20" s="314">
        <f t="shared" si="10"/>
        <v>8077.73</v>
      </c>
      <c r="F20" s="187"/>
      <c r="G20" s="187">
        <f t="shared" si="9"/>
        <v>26.244477754688418</v>
      </c>
      <c r="H20" s="237"/>
      <c r="I20" s="229">
        <f t="shared" si="8"/>
        <v>1931.5935627450679</v>
      </c>
      <c r="J20" s="229">
        <f t="shared" si="11"/>
        <v>211995.80529337926</v>
      </c>
      <c r="K20" s="250"/>
      <c r="L20" s="260"/>
      <c r="M20" s="260"/>
      <c r="N20" s="253"/>
    </row>
    <row r="21" spans="1:14" s="216" customFormat="1" x14ac:dyDescent="0.35">
      <c r="A21" s="309">
        <v>43033</v>
      </c>
      <c r="B21" s="266" t="s">
        <v>642</v>
      </c>
      <c r="C21" s="244"/>
      <c r="D21" s="237">
        <f>70*5+20*6+10*4+22.94</f>
        <v>532.94000000000005</v>
      </c>
      <c r="E21" s="314">
        <f t="shared" si="10"/>
        <v>7544.7899999999991</v>
      </c>
      <c r="F21" s="187"/>
      <c r="G21" s="187">
        <f t="shared" si="9"/>
        <v>26.244477754688418</v>
      </c>
      <c r="H21" s="237"/>
      <c r="I21" s="229">
        <f t="shared" si="8"/>
        <v>13986.731974583647</v>
      </c>
      <c r="J21" s="229">
        <f t="shared" si="11"/>
        <v>198009.07331879562</v>
      </c>
      <c r="K21" s="250"/>
      <c r="L21" s="260"/>
      <c r="M21" s="260"/>
      <c r="N21" s="253"/>
    </row>
    <row r="22" spans="1:14" s="216" customFormat="1" x14ac:dyDescent="0.35">
      <c r="A22" s="309">
        <v>43036</v>
      </c>
      <c r="B22" s="266" t="s">
        <v>643</v>
      </c>
      <c r="C22" s="244"/>
      <c r="D22" s="237">
        <f>6*7.5</f>
        <v>45</v>
      </c>
      <c r="E22" s="314">
        <f t="shared" si="10"/>
        <v>7499.7899999999991</v>
      </c>
      <c r="F22" s="187"/>
      <c r="G22" s="187">
        <f t="shared" si="9"/>
        <v>26.244477754688422</v>
      </c>
      <c r="H22" s="237"/>
      <c r="I22" s="229">
        <f t="shared" si="8"/>
        <v>1181.001498960979</v>
      </c>
      <c r="J22" s="229">
        <f t="shared" si="11"/>
        <v>196828.07181983464</v>
      </c>
      <c r="K22" s="250"/>
      <c r="L22" s="260"/>
      <c r="M22" s="260"/>
      <c r="N22" s="253"/>
    </row>
    <row r="23" spans="1:14" s="296" customFormat="1" x14ac:dyDescent="0.35">
      <c r="A23" s="243">
        <v>43039</v>
      </c>
      <c r="B23" s="244" t="s">
        <v>644</v>
      </c>
      <c r="C23" s="244"/>
      <c r="D23" s="244">
        <f>70*5+20*6+10*4+22.94</f>
        <v>532.94000000000005</v>
      </c>
      <c r="E23" s="245">
        <f t="shared" si="10"/>
        <v>6966.8499999999985</v>
      </c>
      <c r="F23" s="246"/>
      <c r="G23" s="246">
        <f t="shared" si="9"/>
        <v>26.244477754688422</v>
      </c>
      <c r="H23" s="244"/>
      <c r="I23" s="242">
        <f t="shared" si="8"/>
        <v>13986.731974583648</v>
      </c>
      <c r="J23" s="242">
        <f t="shared" si="11"/>
        <v>182841.339845251</v>
      </c>
      <c r="K23" s="250"/>
      <c r="L23" s="260">
        <f>SUM(I20:I23)</f>
        <v>31086.059010873345</v>
      </c>
      <c r="M23" s="260">
        <f>SUM(L19:L23)</f>
        <v>31952.126776778063</v>
      </c>
      <c r="N23" s="253">
        <v>43039</v>
      </c>
    </row>
    <row r="24" spans="1:14" s="296" customFormat="1" x14ac:dyDescent="0.35">
      <c r="A24" s="243">
        <v>43070</v>
      </c>
      <c r="B24" s="244" t="s">
        <v>645</v>
      </c>
      <c r="C24" s="244"/>
      <c r="D24" s="244">
        <f>6*5.3</f>
        <v>31.799999999999997</v>
      </c>
      <c r="E24" s="245">
        <f t="shared" si="10"/>
        <v>6935.0499999999984</v>
      </c>
      <c r="F24" s="246"/>
      <c r="G24" s="246">
        <f t="shared" si="9"/>
        <v>26.244477754688422</v>
      </c>
      <c r="H24" s="244"/>
      <c r="I24" s="242">
        <f t="shared" si="8"/>
        <v>834.57439259909177</v>
      </c>
      <c r="J24" s="242">
        <f t="shared" si="11"/>
        <v>182006.76545265192</v>
      </c>
      <c r="K24" s="250"/>
      <c r="L24" s="260">
        <f>SUM(I24)</f>
        <v>834.57439259909177</v>
      </c>
      <c r="M24" s="260"/>
      <c r="N24" s="253">
        <v>43084</v>
      </c>
    </row>
    <row r="25" spans="1:14" s="216" customFormat="1" x14ac:dyDescent="0.35">
      <c r="A25" s="309">
        <v>43085</v>
      </c>
      <c r="B25" s="266" t="s">
        <v>646</v>
      </c>
      <c r="C25" s="244"/>
      <c r="D25" s="237">
        <f>70*5+20*6+10*4+22.94</f>
        <v>532.94000000000005</v>
      </c>
      <c r="E25" s="314">
        <f t="shared" si="10"/>
        <v>6402.1099999999988</v>
      </c>
      <c r="F25" s="187"/>
      <c r="G25" s="187">
        <f t="shared" si="9"/>
        <v>26.244477754688425</v>
      </c>
      <c r="H25" s="237"/>
      <c r="I25" s="229">
        <f t="shared" si="8"/>
        <v>13986.73197458365</v>
      </c>
      <c r="J25" s="229">
        <f t="shared" si="11"/>
        <v>168020.03347806828</v>
      </c>
      <c r="K25" s="250"/>
      <c r="L25" s="260"/>
      <c r="M25" s="260"/>
      <c r="N25" s="253"/>
    </row>
    <row r="26" spans="1:14" s="216" customFormat="1" x14ac:dyDescent="0.35">
      <c r="A26" s="309">
        <v>43096</v>
      </c>
      <c r="B26" s="266" t="s">
        <v>647</v>
      </c>
      <c r="C26" s="244"/>
      <c r="D26" s="237">
        <f>264*7.1+132*4.4</f>
        <v>2455.1999999999998</v>
      </c>
      <c r="E26" s="314">
        <f t="shared" si="10"/>
        <v>3946.9099999999989</v>
      </c>
      <c r="F26" s="187"/>
      <c r="G26" s="187">
        <f t="shared" si="9"/>
        <v>26.244477754688425</v>
      </c>
      <c r="H26" s="237"/>
      <c r="I26" s="229">
        <f t="shared" si="8"/>
        <v>64435.44178331102</v>
      </c>
      <c r="J26" s="229">
        <f t="shared" si="11"/>
        <v>103584.59169475726</v>
      </c>
      <c r="K26" s="250"/>
      <c r="L26" s="260"/>
      <c r="M26" s="260"/>
      <c r="N26" s="253"/>
    </row>
    <row r="27" spans="1:14" s="296" customFormat="1" x14ac:dyDescent="0.35">
      <c r="A27" s="243">
        <v>43099</v>
      </c>
      <c r="B27" s="244" t="s">
        <v>648</v>
      </c>
      <c r="C27" s="244"/>
      <c r="D27" s="244">
        <f>40*7+37.78</f>
        <v>317.77999999999997</v>
      </c>
      <c r="E27" s="245">
        <f t="shared" si="10"/>
        <v>3629.1299999999992</v>
      </c>
      <c r="F27" s="246"/>
      <c r="G27" s="246">
        <f t="shared" si="9"/>
        <v>26.244477754688422</v>
      </c>
      <c r="H27" s="244"/>
      <c r="I27" s="242">
        <f t="shared" si="8"/>
        <v>8339.9701408848869</v>
      </c>
      <c r="J27" s="242">
        <f t="shared" si="11"/>
        <v>95244.621553872363</v>
      </c>
      <c r="K27" s="250"/>
      <c r="L27" s="260">
        <f>SUM(I25:I27)</f>
        <v>86762.143898779555</v>
      </c>
      <c r="M27" s="344">
        <f>SUM(L24:L27)</f>
        <v>87596.718291378653</v>
      </c>
      <c r="N27" s="253">
        <v>43099</v>
      </c>
    </row>
    <row r="28" spans="1:14" s="216" customFormat="1" ht="15" thickBot="1" x14ac:dyDescent="0.4">
      <c r="A28" s="243"/>
      <c r="B28" s="266" t="s">
        <v>138</v>
      </c>
      <c r="C28" s="242">
        <f>SUM(C9:C27)</f>
        <v>8488.08</v>
      </c>
      <c r="D28" s="242">
        <f>SUM(D9:D27)</f>
        <v>4858.95</v>
      </c>
      <c r="E28" s="314"/>
      <c r="F28" s="187"/>
      <c r="G28" s="187"/>
      <c r="H28" s="242">
        <f>SUM(H9:H27)</f>
        <v>222640.48</v>
      </c>
      <c r="I28" s="242">
        <f>SUM(I9:I27)</f>
        <v>127395.85844612765</v>
      </c>
      <c r="J28" s="229"/>
      <c r="K28" s="250"/>
      <c r="L28" s="260"/>
      <c r="M28" s="345">
        <f>SUM(M10:M27)</f>
        <v>127395.85844612766</v>
      </c>
      <c r="N28" s="253"/>
    </row>
    <row r="29" spans="1:14" ht="15" thickTop="1" x14ac:dyDescent="0.35">
      <c r="B29" s="265"/>
      <c r="D29" s="313"/>
      <c r="E29" s="313"/>
      <c r="F29" s="313"/>
      <c r="G29" s="313"/>
      <c r="H29" s="313"/>
      <c r="I29" s="327"/>
      <c r="J29" s="313"/>
      <c r="M29" s="326"/>
    </row>
    <row r="30" spans="1:14" x14ac:dyDescent="0.35">
      <c r="B30" s="202" t="s">
        <v>629</v>
      </c>
      <c r="C30" s="234"/>
      <c r="D30" s="233"/>
      <c r="E30" s="233"/>
      <c r="F30" s="233"/>
      <c r="G30" s="233"/>
      <c r="H30" s="251"/>
      <c r="I30" s="251"/>
      <c r="J30" s="251"/>
      <c r="K30" s="251"/>
      <c r="M30" s="326"/>
    </row>
    <row r="31" spans="1:14" x14ac:dyDescent="0.35">
      <c r="B31" s="202" t="s">
        <v>631</v>
      </c>
      <c r="C31" s="234"/>
      <c r="D31" s="233"/>
      <c r="E31" s="233"/>
      <c r="F31" s="233"/>
      <c r="G31" s="233"/>
      <c r="H31" s="251"/>
      <c r="I31" s="251"/>
      <c r="J31" s="251"/>
      <c r="K31" s="174">
        <f>+E27*F15</f>
        <v>96184.290556554624</v>
      </c>
      <c r="M31" s="326"/>
    </row>
    <row r="32" spans="1:14" x14ac:dyDescent="0.35">
      <c r="B32" s="202" t="s">
        <v>630</v>
      </c>
      <c r="C32" s="234"/>
      <c r="D32" s="233"/>
      <c r="E32" s="233"/>
      <c r="F32" s="233"/>
      <c r="G32" s="233"/>
      <c r="H32" s="251"/>
      <c r="I32" s="251"/>
      <c r="J32" s="251"/>
      <c r="K32" s="203">
        <f>+J27</f>
        <v>95244.621553872363</v>
      </c>
    </row>
    <row r="33" spans="2:11" ht="15" thickBot="1" x14ac:dyDescent="0.4">
      <c r="B33" s="202"/>
      <c r="C33" s="234" t="s">
        <v>29</v>
      </c>
      <c r="D33" s="233"/>
      <c r="E33" s="233"/>
      <c r="F33" s="233"/>
      <c r="G33" s="233"/>
      <c r="H33" s="251"/>
      <c r="I33" s="251"/>
      <c r="J33" s="251"/>
      <c r="K33" s="206">
        <f>+K31-K32</f>
        <v>939.66900268226163</v>
      </c>
    </row>
    <row r="34" spans="2:11" ht="15" thickTop="1" x14ac:dyDescent="0.35"/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0" verticalDpi="0" r:id="rId1"/>
  <ignoredErrors>
    <ignoredError sqref="D22 D2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"/>
  <sheetViews>
    <sheetView topLeftCell="A31" workbookViewId="0">
      <selection activeCell="B55" sqref="B55"/>
    </sheetView>
  </sheetViews>
  <sheetFormatPr baseColWidth="10" defaultRowHeight="14.5" x14ac:dyDescent="0.35"/>
  <cols>
    <col min="2" max="2" width="33.08984375" customWidth="1"/>
  </cols>
  <sheetData>
    <row r="1" spans="1:13" x14ac:dyDescent="0.35">
      <c r="A1" s="217" t="s">
        <v>0</v>
      </c>
      <c r="B1" s="218"/>
      <c r="C1" s="231"/>
      <c r="D1" s="231"/>
      <c r="E1" s="231"/>
      <c r="F1" s="231"/>
      <c r="G1" s="231"/>
      <c r="H1" s="232" t="s">
        <v>1</v>
      </c>
      <c r="I1" s="231"/>
      <c r="J1" s="254"/>
      <c r="K1" s="251"/>
      <c r="L1" s="251"/>
      <c r="M1" s="251"/>
    </row>
    <row r="2" spans="1:13" x14ac:dyDescent="0.35">
      <c r="A2" s="219" t="s">
        <v>2</v>
      </c>
      <c r="B2" s="220"/>
      <c r="C2" s="233"/>
      <c r="D2" s="233"/>
      <c r="E2" s="233"/>
      <c r="F2" s="233"/>
      <c r="G2" s="233"/>
      <c r="H2" s="234" t="s">
        <v>34</v>
      </c>
      <c r="I2" s="233"/>
      <c r="J2" s="255"/>
      <c r="K2" s="251"/>
      <c r="L2" s="251"/>
      <c r="M2" s="251"/>
    </row>
    <row r="3" spans="1:13" x14ac:dyDescent="0.35">
      <c r="A3" s="221" t="s">
        <v>3</v>
      </c>
      <c r="B3" s="222"/>
      <c r="C3" s="233"/>
      <c r="D3" s="233"/>
      <c r="E3" s="233"/>
      <c r="F3" s="233"/>
      <c r="G3" s="233"/>
      <c r="H3" s="234" t="s">
        <v>32</v>
      </c>
      <c r="I3" s="233"/>
      <c r="J3" s="255"/>
      <c r="K3" s="251"/>
      <c r="L3" s="251"/>
      <c r="M3" s="251"/>
    </row>
    <row r="4" spans="1:13" x14ac:dyDescent="0.35">
      <c r="A4" s="223"/>
      <c r="B4" s="233"/>
      <c r="C4" s="233"/>
      <c r="D4" s="382" t="s">
        <v>5</v>
      </c>
      <c r="E4" s="382"/>
      <c r="F4" s="382"/>
      <c r="G4" s="382"/>
      <c r="H4" s="382"/>
      <c r="I4" s="233"/>
      <c r="J4" s="255"/>
      <c r="K4" s="251"/>
      <c r="L4" s="251"/>
      <c r="M4" s="251"/>
    </row>
    <row r="5" spans="1:13" x14ac:dyDescent="0.35">
      <c r="A5" s="223"/>
      <c r="B5" s="235"/>
      <c r="C5" s="233"/>
      <c r="D5" s="389" t="s">
        <v>60</v>
      </c>
      <c r="E5" s="389"/>
      <c r="F5" s="389"/>
      <c r="G5" s="389"/>
      <c r="H5" s="233"/>
      <c r="I5" s="233"/>
      <c r="J5" s="255"/>
      <c r="K5" s="251"/>
      <c r="L5" s="251"/>
      <c r="M5" s="251"/>
    </row>
    <row r="6" spans="1:13" x14ac:dyDescent="0.35">
      <c r="A6" s="223"/>
      <c r="B6" s="235"/>
      <c r="C6" s="233"/>
      <c r="D6" s="391" t="s">
        <v>6</v>
      </c>
      <c r="E6" s="391"/>
      <c r="F6" s="391"/>
      <c r="G6" s="391"/>
      <c r="H6" s="233"/>
      <c r="I6" s="233"/>
      <c r="J6" s="255"/>
      <c r="K6" s="251"/>
      <c r="L6" s="251"/>
      <c r="M6" s="251"/>
    </row>
    <row r="7" spans="1:13" x14ac:dyDescent="0.35">
      <c r="A7" s="262" t="s">
        <v>7</v>
      </c>
      <c r="B7" s="263" t="s">
        <v>8</v>
      </c>
      <c r="C7" s="393" t="s">
        <v>9</v>
      </c>
      <c r="D7" s="394"/>
      <c r="E7" s="395"/>
      <c r="F7" s="413" t="s">
        <v>10</v>
      </c>
      <c r="G7" s="414"/>
      <c r="H7" s="393" t="s">
        <v>11</v>
      </c>
      <c r="I7" s="394"/>
      <c r="J7" s="397"/>
      <c r="K7" s="251"/>
      <c r="L7" s="251"/>
      <c r="M7" s="251"/>
    </row>
    <row r="8" spans="1:13" x14ac:dyDescent="0.35">
      <c r="A8" s="256"/>
      <c r="B8" s="257"/>
      <c r="C8" s="343" t="s">
        <v>26</v>
      </c>
      <c r="D8" s="343" t="s">
        <v>14</v>
      </c>
      <c r="E8" s="343" t="s">
        <v>20</v>
      </c>
      <c r="F8" s="343" t="s">
        <v>16</v>
      </c>
      <c r="G8" s="343" t="s">
        <v>17</v>
      </c>
      <c r="H8" s="343" t="s">
        <v>18</v>
      </c>
      <c r="I8" s="343" t="s">
        <v>19</v>
      </c>
      <c r="J8" s="371" t="s">
        <v>20</v>
      </c>
      <c r="K8" s="251"/>
      <c r="L8" s="251"/>
      <c r="M8" s="251"/>
    </row>
    <row r="9" spans="1:13" x14ac:dyDescent="0.35">
      <c r="A9" s="238">
        <v>42737</v>
      </c>
      <c r="B9" s="239" t="s">
        <v>35</v>
      </c>
      <c r="C9" s="236">
        <v>285480</v>
      </c>
      <c r="D9" s="236"/>
      <c r="E9" s="236">
        <f>+C9</f>
        <v>285480</v>
      </c>
      <c r="F9" s="236">
        <f>+H9/C9</f>
        <v>0.17457335014712064</v>
      </c>
      <c r="G9" s="261"/>
      <c r="H9" s="264">
        <v>49837.2</v>
      </c>
      <c r="I9" s="236"/>
      <c r="J9" s="240">
        <f>+H9</f>
        <v>49837.2</v>
      </c>
      <c r="K9" s="251"/>
      <c r="L9" s="251"/>
      <c r="M9" s="251"/>
    </row>
    <row r="10" spans="1:13" s="296" customFormat="1" x14ac:dyDescent="0.35">
      <c r="A10" s="247">
        <v>42763</v>
      </c>
      <c r="B10" s="297" t="s">
        <v>39</v>
      </c>
      <c r="C10" s="248"/>
      <c r="D10" s="248">
        <v>250</v>
      </c>
      <c r="E10" s="248">
        <f>+E9-D10</f>
        <v>285230</v>
      </c>
      <c r="F10" s="248"/>
      <c r="G10" s="248">
        <f>+J9/E9</f>
        <v>0.17457335014712064</v>
      </c>
      <c r="H10" s="248"/>
      <c r="I10" s="248">
        <f>+D10*G10</f>
        <v>43.643337536780159</v>
      </c>
      <c r="J10" s="249">
        <f>+J9-I10</f>
        <v>49793.556662463219</v>
      </c>
      <c r="K10" s="252">
        <f>SUM(I10)</f>
        <v>43.643337536780159</v>
      </c>
      <c r="L10" s="252">
        <f>SUM(K10)</f>
        <v>43.643337536780159</v>
      </c>
      <c r="M10" s="253">
        <v>42766</v>
      </c>
    </row>
    <row r="11" spans="1:13" s="296" customFormat="1" x14ac:dyDescent="0.35">
      <c r="A11" s="247">
        <v>42783</v>
      </c>
      <c r="B11" s="297" t="s">
        <v>48</v>
      </c>
      <c r="C11" s="248"/>
      <c r="D11" s="248">
        <v>200</v>
      </c>
      <c r="E11" s="248">
        <f t="shared" ref="E11:E13" si="0">+E10-D11</f>
        <v>285030</v>
      </c>
      <c r="F11" s="248"/>
      <c r="G11" s="248">
        <f t="shared" ref="G11:G13" si="1">+J10/E10</f>
        <v>0.17457335014712064</v>
      </c>
      <c r="H11" s="248"/>
      <c r="I11" s="248">
        <f t="shared" ref="I11:I13" si="2">+D11*G11</f>
        <v>34.91467002942413</v>
      </c>
      <c r="J11" s="249">
        <f t="shared" ref="J11:J13" si="3">+J10-I11</f>
        <v>49758.641992433797</v>
      </c>
      <c r="K11" s="252">
        <f>SUM(I11)</f>
        <v>34.91467002942413</v>
      </c>
      <c r="L11" s="252">
        <f>SUM(K11)</f>
        <v>34.91467002942413</v>
      </c>
      <c r="M11" s="253">
        <v>42794</v>
      </c>
    </row>
    <row r="12" spans="1:13" s="296" customFormat="1" x14ac:dyDescent="0.35">
      <c r="A12" s="247">
        <v>42797</v>
      </c>
      <c r="B12" s="297" t="s">
        <v>50</v>
      </c>
      <c r="C12" s="248"/>
      <c r="D12" s="248">
        <v>150</v>
      </c>
      <c r="E12" s="248">
        <f t="shared" si="0"/>
        <v>284880</v>
      </c>
      <c r="F12" s="248"/>
      <c r="G12" s="248">
        <f t="shared" si="1"/>
        <v>0.17457335014712064</v>
      </c>
      <c r="H12" s="248"/>
      <c r="I12" s="248">
        <f t="shared" si="2"/>
        <v>26.186002522068094</v>
      </c>
      <c r="J12" s="249">
        <f t="shared" si="3"/>
        <v>49732.45598991173</v>
      </c>
      <c r="K12" s="252">
        <f>SUM(I12)</f>
        <v>26.186002522068094</v>
      </c>
      <c r="L12" s="200"/>
      <c r="M12" s="253">
        <v>42809</v>
      </c>
    </row>
    <row r="13" spans="1:13" s="296" customFormat="1" x14ac:dyDescent="0.35">
      <c r="A13" s="247">
        <v>42815</v>
      </c>
      <c r="B13" s="297" t="s">
        <v>57</v>
      </c>
      <c r="C13" s="248"/>
      <c r="D13" s="248">
        <v>200</v>
      </c>
      <c r="E13" s="248">
        <f t="shared" si="0"/>
        <v>284680</v>
      </c>
      <c r="F13" s="248"/>
      <c r="G13" s="248">
        <f t="shared" si="1"/>
        <v>0.17457335014712064</v>
      </c>
      <c r="H13" s="248"/>
      <c r="I13" s="248">
        <f t="shared" si="2"/>
        <v>34.91467002942413</v>
      </c>
      <c r="J13" s="249">
        <f t="shared" si="3"/>
        <v>49697.541319882308</v>
      </c>
      <c r="K13" s="252">
        <f>SUM(I13)</f>
        <v>34.91467002942413</v>
      </c>
      <c r="L13" s="252">
        <f>SUM(K12:K13)</f>
        <v>61.100672551492224</v>
      </c>
      <c r="M13" s="253">
        <v>42825</v>
      </c>
    </row>
    <row r="14" spans="1:13" s="296" customFormat="1" x14ac:dyDescent="0.35">
      <c r="A14" s="247">
        <v>42840</v>
      </c>
      <c r="B14" s="297" t="s">
        <v>83</v>
      </c>
      <c r="C14" s="248"/>
      <c r="D14" s="248">
        <v>50</v>
      </c>
      <c r="E14" s="248">
        <f t="shared" ref="E14:E16" si="4">+E13-D14</f>
        <v>284630</v>
      </c>
      <c r="F14" s="248"/>
      <c r="G14" s="248">
        <f t="shared" ref="G14:G16" si="5">+J13/E13</f>
        <v>0.17457335014712067</v>
      </c>
      <c r="H14" s="248"/>
      <c r="I14" s="248">
        <f t="shared" ref="I14:I16" si="6">+D14*G14</f>
        <v>8.7286675073560325</v>
      </c>
      <c r="J14" s="249">
        <f t="shared" ref="J14:J16" si="7">+J13-I14</f>
        <v>49688.812652374952</v>
      </c>
      <c r="K14" s="252">
        <f>SUM(I14)</f>
        <v>8.7286675073560325</v>
      </c>
      <c r="L14" s="200"/>
      <c r="M14" s="253">
        <v>42840</v>
      </c>
    </row>
    <row r="15" spans="1:13" s="216" customFormat="1" x14ac:dyDescent="0.35">
      <c r="A15" s="238">
        <v>42842</v>
      </c>
      <c r="B15" s="239" t="s">
        <v>85</v>
      </c>
      <c r="C15" s="236"/>
      <c r="D15" s="236">
        <v>500</v>
      </c>
      <c r="E15" s="236">
        <f t="shared" si="4"/>
        <v>284130</v>
      </c>
      <c r="F15" s="236"/>
      <c r="G15" s="236">
        <f t="shared" si="5"/>
        <v>0.17457335014712067</v>
      </c>
      <c r="H15" s="236"/>
      <c r="I15" s="236">
        <f t="shared" si="6"/>
        <v>87.286675073560332</v>
      </c>
      <c r="J15" s="240">
        <f t="shared" si="7"/>
        <v>49601.52597730139</v>
      </c>
      <c r="K15" s="251"/>
      <c r="L15" s="251"/>
      <c r="M15" s="251"/>
    </row>
    <row r="16" spans="1:13" s="216" customFormat="1" x14ac:dyDescent="0.35">
      <c r="A16" s="238">
        <v>42845</v>
      </c>
      <c r="B16" s="239" t="s">
        <v>92</v>
      </c>
      <c r="C16" s="236"/>
      <c r="D16" s="236">
        <v>50</v>
      </c>
      <c r="E16" s="236">
        <f t="shared" si="4"/>
        <v>284080</v>
      </c>
      <c r="F16" s="236"/>
      <c r="G16" s="236">
        <f t="shared" si="5"/>
        <v>0.17457335014712064</v>
      </c>
      <c r="H16" s="236"/>
      <c r="I16" s="236">
        <f t="shared" si="6"/>
        <v>8.7286675073560325</v>
      </c>
      <c r="J16" s="240">
        <f t="shared" si="7"/>
        <v>49592.797309794034</v>
      </c>
      <c r="K16" s="251"/>
      <c r="L16" s="251"/>
      <c r="M16" s="251"/>
    </row>
    <row r="17" spans="1:13" s="296" customFormat="1" x14ac:dyDescent="0.35">
      <c r="A17" s="247">
        <v>42850</v>
      </c>
      <c r="B17" s="297" t="s">
        <v>97</v>
      </c>
      <c r="C17" s="248"/>
      <c r="D17" s="248">
        <v>150</v>
      </c>
      <c r="E17" s="248">
        <f t="shared" ref="E17:E20" si="8">+E16-D17</f>
        <v>283930</v>
      </c>
      <c r="F17" s="248"/>
      <c r="G17" s="248">
        <f t="shared" ref="G17:G20" si="9">+J16/E16</f>
        <v>0.17457335014712064</v>
      </c>
      <c r="H17" s="248"/>
      <c r="I17" s="248">
        <f t="shared" ref="I17:I20" si="10">+D17*G17</f>
        <v>26.186002522068094</v>
      </c>
      <c r="J17" s="249">
        <f t="shared" ref="J17:J20" si="11">+J16-I17</f>
        <v>49566.611307271967</v>
      </c>
      <c r="K17" s="252">
        <f>SUM(I15:I17)</f>
        <v>122.20134510298446</v>
      </c>
      <c r="L17" s="252">
        <f>SUM(K14:K17)</f>
        <v>130.9300126103405</v>
      </c>
      <c r="M17" s="303" t="s">
        <v>100</v>
      </c>
    </row>
    <row r="18" spans="1:13" s="216" customFormat="1" x14ac:dyDescent="0.35">
      <c r="A18" s="238">
        <v>42860</v>
      </c>
      <c r="B18" s="239" t="s">
        <v>102</v>
      </c>
      <c r="C18" s="236"/>
      <c r="D18" s="236">
        <v>100</v>
      </c>
      <c r="E18" s="236">
        <f t="shared" si="8"/>
        <v>283830</v>
      </c>
      <c r="F18" s="236"/>
      <c r="G18" s="236">
        <f t="shared" si="9"/>
        <v>0.17457335014712067</v>
      </c>
      <c r="H18" s="236"/>
      <c r="I18" s="236">
        <f t="shared" si="10"/>
        <v>17.457335014712065</v>
      </c>
      <c r="J18" s="240">
        <f t="shared" si="11"/>
        <v>49549.153972257256</v>
      </c>
      <c r="K18" s="251"/>
      <c r="L18" s="251"/>
      <c r="M18" s="251"/>
    </row>
    <row r="19" spans="1:13" s="296" customFormat="1" x14ac:dyDescent="0.35">
      <c r="A19" s="247">
        <v>42864</v>
      </c>
      <c r="B19" s="297" t="s">
        <v>106</v>
      </c>
      <c r="C19" s="248"/>
      <c r="D19" s="248">
        <v>50</v>
      </c>
      <c r="E19" s="248">
        <f t="shared" si="8"/>
        <v>283780</v>
      </c>
      <c r="F19" s="248"/>
      <c r="G19" s="248">
        <f t="shared" si="9"/>
        <v>0.17457335014712067</v>
      </c>
      <c r="H19" s="248"/>
      <c r="I19" s="248">
        <f t="shared" si="10"/>
        <v>8.7286675073560325</v>
      </c>
      <c r="J19" s="249">
        <f t="shared" si="11"/>
        <v>49540.425304749901</v>
      </c>
      <c r="K19" s="252">
        <f>SUM(I18:I19)</f>
        <v>26.186002522068097</v>
      </c>
      <c r="L19" s="200"/>
      <c r="M19" s="253">
        <v>42870</v>
      </c>
    </row>
    <row r="20" spans="1:13" s="296" customFormat="1" x14ac:dyDescent="0.35">
      <c r="A20" s="247">
        <v>42871</v>
      </c>
      <c r="B20" s="297" t="s">
        <v>113</v>
      </c>
      <c r="C20" s="248"/>
      <c r="D20" s="248">
        <v>200</v>
      </c>
      <c r="E20" s="248">
        <f t="shared" si="8"/>
        <v>283580</v>
      </c>
      <c r="F20" s="248"/>
      <c r="G20" s="248">
        <f t="shared" si="9"/>
        <v>0.17457335014712067</v>
      </c>
      <c r="H20" s="248"/>
      <c r="I20" s="248">
        <f t="shared" si="10"/>
        <v>34.91467002942413</v>
      </c>
      <c r="J20" s="249">
        <f t="shared" si="11"/>
        <v>49505.510634720478</v>
      </c>
      <c r="K20" s="252">
        <f>SUM(I20)</f>
        <v>34.91467002942413</v>
      </c>
      <c r="L20" s="252">
        <f>SUM(K19:K20)</f>
        <v>61.100672551492224</v>
      </c>
      <c r="M20" s="253">
        <v>42886</v>
      </c>
    </row>
    <row r="21" spans="1:13" s="216" customFormat="1" x14ac:dyDescent="0.35">
      <c r="A21" s="238">
        <v>42906</v>
      </c>
      <c r="B21" s="239" t="s">
        <v>124</v>
      </c>
      <c r="C21" s="236"/>
      <c r="D21" s="236">
        <v>350</v>
      </c>
      <c r="E21" s="290">
        <f t="shared" ref="E21:E30" si="12">+E20-D21</f>
        <v>283230</v>
      </c>
      <c r="F21" s="290"/>
      <c r="G21" s="290">
        <f t="shared" ref="G21:G30" si="13">+J20/E20</f>
        <v>0.17457335014712067</v>
      </c>
      <c r="H21" s="290"/>
      <c r="I21" s="290">
        <f t="shared" ref="I21:I30" si="14">+D21*G21</f>
        <v>61.100672551492231</v>
      </c>
      <c r="J21" s="291">
        <f t="shared" ref="J21:J30" si="15">+J20-I21</f>
        <v>49444.409962168989</v>
      </c>
      <c r="K21" s="251"/>
      <c r="L21" s="251"/>
      <c r="M21" s="251"/>
    </row>
    <row r="22" spans="1:13" s="216" customFormat="1" x14ac:dyDescent="0.35">
      <c r="A22" s="238">
        <v>42909</v>
      </c>
      <c r="B22" s="239" t="s">
        <v>126</v>
      </c>
      <c r="C22" s="236"/>
      <c r="D22" s="236">
        <v>200</v>
      </c>
      <c r="E22" s="290">
        <f t="shared" si="12"/>
        <v>283030</v>
      </c>
      <c r="F22" s="290"/>
      <c r="G22" s="290">
        <f t="shared" si="13"/>
        <v>0.17457335014712067</v>
      </c>
      <c r="H22" s="290"/>
      <c r="I22" s="290">
        <f t="shared" si="14"/>
        <v>34.91467002942413</v>
      </c>
      <c r="J22" s="291">
        <f t="shared" si="15"/>
        <v>49409.495292139567</v>
      </c>
      <c r="K22" s="251"/>
      <c r="L22" s="251"/>
      <c r="M22" s="251"/>
    </row>
    <row r="23" spans="1:13" s="296" customFormat="1" x14ac:dyDescent="0.35">
      <c r="A23" s="247">
        <v>42910</v>
      </c>
      <c r="B23" s="297" t="s">
        <v>127</v>
      </c>
      <c r="C23" s="248"/>
      <c r="D23" s="248">
        <v>50</v>
      </c>
      <c r="E23" s="248">
        <f t="shared" si="12"/>
        <v>282980</v>
      </c>
      <c r="F23" s="248"/>
      <c r="G23" s="248">
        <f t="shared" si="13"/>
        <v>0.17457335014712069</v>
      </c>
      <c r="H23" s="248"/>
      <c r="I23" s="248">
        <f t="shared" si="14"/>
        <v>8.7286675073560342</v>
      </c>
      <c r="J23" s="249">
        <f t="shared" si="15"/>
        <v>49400.766624632211</v>
      </c>
      <c r="K23" s="252">
        <f>SUM(I21:I23)</f>
        <v>104.74401008827239</v>
      </c>
      <c r="L23" s="252">
        <f>SUM(K23)</f>
        <v>104.74401008827239</v>
      </c>
      <c r="M23" s="253">
        <v>42916</v>
      </c>
    </row>
    <row r="24" spans="1:13" s="296" customFormat="1" x14ac:dyDescent="0.35">
      <c r="A24" s="247">
        <v>42926</v>
      </c>
      <c r="B24" s="297" t="s">
        <v>135</v>
      </c>
      <c r="C24" s="248"/>
      <c r="D24" s="248">
        <v>400</v>
      </c>
      <c r="E24" s="248">
        <f t="shared" si="12"/>
        <v>282580</v>
      </c>
      <c r="F24" s="248"/>
      <c r="G24" s="248">
        <f t="shared" si="13"/>
        <v>0.17457335014712069</v>
      </c>
      <c r="H24" s="248"/>
      <c r="I24" s="248">
        <f t="shared" si="14"/>
        <v>69.829340058848274</v>
      </c>
      <c r="J24" s="249">
        <f t="shared" si="15"/>
        <v>49330.93728457336</v>
      </c>
      <c r="K24" s="252">
        <f>SUM(I24)</f>
        <v>69.829340058848274</v>
      </c>
      <c r="L24" s="200"/>
      <c r="M24" s="253">
        <v>42931</v>
      </c>
    </row>
    <row r="25" spans="1:13" s="216" customFormat="1" x14ac:dyDescent="0.35">
      <c r="A25" s="238">
        <v>42935</v>
      </c>
      <c r="B25" s="239" t="s">
        <v>140</v>
      </c>
      <c r="C25" s="236"/>
      <c r="D25" s="236">
        <v>350</v>
      </c>
      <c r="E25" s="290">
        <f t="shared" si="12"/>
        <v>282230</v>
      </c>
      <c r="F25" s="290"/>
      <c r="G25" s="290">
        <f t="shared" si="13"/>
        <v>0.17457335014712067</v>
      </c>
      <c r="H25" s="290"/>
      <c r="I25" s="290">
        <f t="shared" si="14"/>
        <v>61.100672551492231</v>
      </c>
      <c r="J25" s="291">
        <f t="shared" si="15"/>
        <v>49269.836612021871</v>
      </c>
      <c r="L25" s="251"/>
      <c r="M25" s="251"/>
    </row>
    <row r="26" spans="1:13" s="296" customFormat="1" x14ac:dyDescent="0.35">
      <c r="A26" s="247">
        <v>42944</v>
      </c>
      <c r="B26" s="297" t="s">
        <v>143</v>
      </c>
      <c r="C26" s="248"/>
      <c r="D26" s="248">
        <v>50</v>
      </c>
      <c r="E26" s="248">
        <f t="shared" si="12"/>
        <v>282180</v>
      </c>
      <c r="F26" s="248"/>
      <c r="G26" s="248">
        <f t="shared" si="13"/>
        <v>0.17457335014712069</v>
      </c>
      <c r="H26" s="248"/>
      <c r="I26" s="248">
        <f t="shared" si="14"/>
        <v>8.7286675073560342</v>
      </c>
      <c r="J26" s="249">
        <f t="shared" si="15"/>
        <v>49261.107944514515</v>
      </c>
      <c r="K26" s="252">
        <f>SUM(I25:I26)</f>
        <v>69.82934005884826</v>
      </c>
      <c r="L26" s="252">
        <f>SUM(K24:K26)</f>
        <v>139.65868011769652</v>
      </c>
      <c r="M26" s="253">
        <v>42947</v>
      </c>
    </row>
    <row r="27" spans="1:13" s="296" customFormat="1" x14ac:dyDescent="0.35">
      <c r="A27" s="247">
        <v>42949</v>
      </c>
      <c r="B27" s="297" t="s">
        <v>145</v>
      </c>
      <c r="C27" s="248"/>
      <c r="D27" s="248">
        <v>50</v>
      </c>
      <c r="E27" s="248">
        <f t="shared" si="12"/>
        <v>282130</v>
      </c>
      <c r="F27" s="248"/>
      <c r="G27" s="248">
        <f t="shared" si="13"/>
        <v>0.17457335014712069</v>
      </c>
      <c r="H27" s="248"/>
      <c r="I27" s="248">
        <f t="shared" si="14"/>
        <v>8.7286675073560342</v>
      </c>
      <c r="J27" s="249">
        <f t="shared" si="15"/>
        <v>49252.37927700716</v>
      </c>
      <c r="K27" s="252">
        <f>SUM(I27)</f>
        <v>8.7286675073560342</v>
      </c>
      <c r="L27" s="200"/>
      <c r="M27" s="253">
        <v>42962</v>
      </c>
    </row>
    <row r="28" spans="1:13" s="216" customFormat="1" x14ac:dyDescent="0.35">
      <c r="A28" s="238">
        <v>42972</v>
      </c>
      <c r="B28" s="239" t="s">
        <v>150</v>
      </c>
      <c r="C28" s="236"/>
      <c r="D28" s="236">
        <v>50</v>
      </c>
      <c r="E28" s="290">
        <f t="shared" si="12"/>
        <v>282080</v>
      </c>
      <c r="F28" s="290"/>
      <c r="G28" s="290">
        <f t="shared" si="13"/>
        <v>0.17457335014712069</v>
      </c>
      <c r="H28" s="290"/>
      <c r="I28" s="290">
        <f t="shared" si="14"/>
        <v>8.7286675073560342</v>
      </c>
      <c r="J28" s="291">
        <f t="shared" si="15"/>
        <v>49243.650609499804</v>
      </c>
      <c r="K28" s="251"/>
      <c r="L28" s="251"/>
      <c r="M28" s="251"/>
    </row>
    <row r="29" spans="1:13" s="296" customFormat="1" x14ac:dyDescent="0.35">
      <c r="A29" s="247">
        <v>42978</v>
      </c>
      <c r="B29" s="297" t="s">
        <v>154</v>
      </c>
      <c r="C29" s="248"/>
      <c r="D29" s="248">
        <v>50</v>
      </c>
      <c r="E29" s="248">
        <f t="shared" si="12"/>
        <v>282030</v>
      </c>
      <c r="F29" s="248"/>
      <c r="G29" s="248">
        <f t="shared" si="13"/>
        <v>0.17457335014712069</v>
      </c>
      <c r="H29" s="248"/>
      <c r="I29" s="248">
        <f t="shared" si="14"/>
        <v>8.7286675073560342</v>
      </c>
      <c r="J29" s="249">
        <f t="shared" si="15"/>
        <v>49234.921941992448</v>
      </c>
      <c r="K29" s="252">
        <f>SUM(I28:I29)</f>
        <v>17.457335014712068</v>
      </c>
      <c r="L29" s="252">
        <f>SUM(K27:K29)</f>
        <v>26.186002522068101</v>
      </c>
      <c r="M29" s="253">
        <v>42978</v>
      </c>
    </row>
    <row r="30" spans="1:13" s="296" customFormat="1" x14ac:dyDescent="0.35">
      <c r="A30" s="247">
        <v>42983</v>
      </c>
      <c r="B30" s="297" t="s">
        <v>156</v>
      </c>
      <c r="C30" s="248"/>
      <c r="D30" s="248">
        <v>500</v>
      </c>
      <c r="E30" s="248">
        <f t="shared" si="12"/>
        <v>281530</v>
      </c>
      <c r="F30" s="248"/>
      <c r="G30" s="248">
        <f t="shared" si="13"/>
        <v>0.17457335014712069</v>
      </c>
      <c r="H30" s="248"/>
      <c r="I30" s="248">
        <f t="shared" si="14"/>
        <v>87.286675073560346</v>
      </c>
      <c r="J30" s="249">
        <f t="shared" si="15"/>
        <v>49147.635266918885</v>
      </c>
      <c r="K30" s="252">
        <f>SUM(I30)</f>
        <v>87.286675073560346</v>
      </c>
      <c r="L30" s="200"/>
      <c r="M30" s="253">
        <v>42993</v>
      </c>
    </row>
    <row r="31" spans="1:13" s="296" customFormat="1" x14ac:dyDescent="0.35">
      <c r="A31" s="247">
        <v>43006</v>
      </c>
      <c r="B31" s="297" t="s">
        <v>162</v>
      </c>
      <c r="C31" s="248"/>
      <c r="D31" s="248">
        <v>350</v>
      </c>
      <c r="E31" s="248">
        <f t="shared" ref="E31:E45" si="16">+E30-D31</f>
        <v>281180</v>
      </c>
      <c r="F31" s="248"/>
      <c r="G31" s="248">
        <f t="shared" ref="G31:G45" si="17">+J30/E30</f>
        <v>0.17457335014712069</v>
      </c>
      <c r="H31" s="248"/>
      <c r="I31" s="248">
        <f t="shared" ref="I31:I45" si="18">+D31*G31</f>
        <v>61.100672551492245</v>
      </c>
      <c r="J31" s="249">
        <f t="shared" ref="J31:J45" si="19">+J30-I31</f>
        <v>49086.534594367396</v>
      </c>
      <c r="K31" s="252">
        <f>SUM(I31)</f>
        <v>61.100672551492245</v>
      </c>
      <c r="L31" s="252">
        <f>SUM(K30:K31)</f>
        <v>148.3873476250526</v>
      </c>
      <c r="M31" s="253">
        <v>43008</v>
      </c>
    </row>
    <row r="32" spans="1:13" s="216" customFormat="1" x14ac:dyDescent="0.35">
      <c r="A32" s="238">
        <v>43014</v>
      </c>
      <c r="B32" s="239" t="s">
        <v>163</v>
      </c>
      <c r="C32" s="236"/>
      <c r="D32" s="236">
        <v>300</v>
      </c>
      <c r="E32" s="290">
        <f t="shared" si="16"/>
        <v>280880</v>
      </c>
      <c r="F32" s="290"/>
      <c r="G32" s="290">
        <f t="shared" si="17"/>
        <v>0.17457335014712069</v>
      </c>
      <c r="H32" s="290"/>
      <c r="I32" s="290">
        <f t="shared" si="18"/>
        <v>52.372005044136209</v>
      </c>
      <c r="J32" s="291">
        <f t="shared" si="19"/>
        <v>49034.162589323263</v>
      </c>
      <c r="K32" s="251"/>
      <c r="L32" s="251"/>
      <c r="M32" s="251"/>
    </row>
    <row r="33" spans="1:13" s="296" customFormat="1" x14ac:dyDescent="0.35">
      <c r="A33" s="247">
        <v>43018</v>
      </c>
      <c r="B33" s="297" t="s">
        <v>165</v>
      </c>
      <c r="C33" s="248"/>
      <c r="D33" s="248">
        <v>50</v>
      </c>
      <c r="E33" s="248">
        <f t="shared" si="16"/>
        <v>280830</v>
      </c>
      <c r="F33" s="248"/>
      <c r="G33" s="248">
        <f t="shared" si="17"/>
        <v>0.17457335014712069</v>
      </c>
      <c r="H33" s="248"/>
      <c r="I33" s="248">
        <f t="shared" si="18"/>
        <v>8.7286675073560342</v>
      </c>
      <c r="J33" s="249">
        <f t="shared" si="19"/>
        <v>49025.433921815908</v>
      </c>
      <c r="K33" s="252">
        <f>SUM(I32:I33)</f>
        <v>61.100672551492245</v>
      </c>
      <c r="L33" s="200"/>
      <c r="M33" s="253">
        <v>43023</v>
      </c>
    </row>
    <row r="34" spans="1:13" s="296" customFormat="1" x14ac:dyDescent="0.35">
      <c r="A34" s="247">
        <v>43038</v>
      </c>
      <c r="B34" s="297" t="s">
        <v>174</v>
      </c>
      <c r="C34" s="248"/>
      <c r="D34" s="248">
        <v>50</v>
      </c>
      <c r="E34" s="248">
        <f t="shared" si="16"/>
        <v>280780</v>
      </c>
      <c r="F34" s="248"/>
      <c r="G34" s="248">
        <f t="shared" si="17"/>
        <v>0.17457335014712069</v>
      </c>
      <c r="H34" s="248"/>
      <c r="I34" s="248">
        <f t="shared" si="18"/>
        <v>8.7286675073560342</v>
      </c>
      <c r="J34" s="249">
        <f t="shared" si="19"/>
        <v>49016.705254308552</v>
      </c>
      <c r="K34" s="252">
        <f>SUM(I34)</f>
        <v>8.7286675073560342</v>
      </c>
      <c r="L34" s="252">
        <f>SUM(K33:K34)</f>
        <v>69.829340058848274</v>
      </c>
      <c r="M34" s="253">
        <v>43039</v>
      </c>
    </row>
    <row r="35" spans="1:13" s="216" customFormat="1" x14ac:dyDescent="0.35">
      <c r="A35" s="238">
        <v>43052</v>
      </c>
      <c r="B35" s="239" t="s">
        <v>177</v>
      </c>
      <c r="C35" s="236"/>
      <c r="D35" s="236">
        <v>50</v>
      </c>
      <c r="E35" s="290">
        <f t="shared" si="16"/>
        <v>280730</v>
      </c>
      <c r="F35" s="290"/>
      <c r="G35" s="290">
        <f t="shared" si="17"/>
        <v>0.17457335014712069</v>
      </c>
      <c r="H35" s="290"/>
      <c r="I35" s="290">
        <f t="shared" si="18"/>
        <v>8.7286675073560342</v>
      </c>
      <c r="J35" s="291">
        <f t="shared" si="19"/>
        <v>49007.976586801196</v>
      </c>
      <c r="K35" s="251"/>
      <c r="L35" s="251"/>
      <c r="M35" s="251"/>
    </row>
    <row r="36" spans="1:13" s="216" customFormat="1" x14ac:dyDescent="0.35">
      <c r="A36" s="238">
        <v>43052</v>
      </c>
      <c r="B36" s="239" t="s">
        <v>178</v>
      </c>
      <c r="C36" s="236"/>
      <c r="D36" s="236">
        <v>100</v>
      </c>
      <c r="E36" s="290">
        <f t="shared" si="16"/>
        <v>280630</v>
      </c>
      <c r="F36" s="290"/>
      <c r="G36" s="290">
        <f t="shared" si="17"/>
        <v>0.17457335014712072</v>
      </c>
      <c r="H36" s="290"/>
      <c r="I36" s="290">
        <f t="shared" si="18"/>
        <v>17.457335014712072</v>
      </c>
      <c r="J36" s="291">
        <f t="shared" si="19"/>
        <v>48990.519251786485</v>
      </c>
      <c r="K36" s="251"/>
      <c r="L36" s="251"/>
      <c r="M36" s="251"/>
    </row>
    <row r="37" spans="1:13" s="340" customFormat="1" x14ac:dyDescent="0.35">
      <c r="A37" s="335">
        <v>43053</v>
      </c>
      <c r="B37" s="336" t="s">
        <v>179</v>
      </c>
      <c r="C37" s="337"/>
      <c r="D37" s="337">
        <v>50</v>
      </c>
      <c r="E37" s="337">
        <f t="shared" si="16"/>
        <v>280580</v>
      </c>
      <c r="F37" s="337"/>
      <c r="G37" s="337">
        <f t="shared" si="17"/>
        <v>0.17457335014712072</v>
      </c>
      <c r="H37" s="337"/>
      <c r="I37" s="337">
        <f t="shared" si="18"/>
        <v>8.728667507356036</v>
      </c>
      <c r="J37" s="338">
        <f t="shared" si="19"/>
        <v>48981.79058427913</v>
      </c>
      <c r="K37" s="341">
        <f>SUM(I35:I37)</f>
        <v>34.914670029424144</v>
      </c>
      <c r="L37" s="339"/>
      <c r="M37" s="342">
        <v>43054</v>
      </c>
    </row>
    <row r="38" spans="1:13" s="216" customFormat="1" x14ac:dyDescent="0.35">
      <c r="A38" s="238">
        <v>43063</v>
      </c>
      <c r="B38" s="239" t="s">
        <v>180</v>
      </c>
      <c r="C38" s="236"/>
      <c r="D38" s="236">
        <v>100</v>
      </c>
      <c r="E38" s="290">
        <f t="shared" si="16"/>
        <v>280480</v>
      </c>
      <c r="F38" s="290"/>
      <c r="G38" s="290">
        <f t="shared" si="17"/>
        <v>0.17457335014712072</v>
      </c>
      <c r="H38" s="290"/>
      <c r="I38" s="290">
        <f t="shared" si="18"/>
        <v>17.457335014712072</v>
      </c>
      <c r="J38" s="291">
        <f t="shared" si="19"/>
        <v>48964.333249264419</v>
      </c>
      <c r="K38" s="251"/>
      <c r="L38" s="251"/>
      <c r="M38" s="251"/>
    </row>
    <row r="39" spans="1:13" s="296" customFormat="1" x14ac:dyDescent="0.35">
      <c r="A39" s="247">
        <v>43069</v>
      </c>
      <c r="B39" s="297" t="s">
        <v>181</v>
      </c>
      <c r="C39" s="248"/>
      <c r="D39" s="248">
        <v>3500</v>
      </c>
      <c r="E39" s="248">
        <f t="shared" si="16"/>
        <v>276980</v>
      </c>
      <c r="F39" s="248"/>
      <c r="G39" s="248">
        <f t="shared" si="17"/>
        <v>0.17457335014712072</v>
      </c>
      <c r="H39" s="248"/>
      <c r="I39" s="248">
        <f t="shared" si="18"/>
        <v>611.00672551492255</v>
      </c>
      <c r="J39" s="249">
        <f t="shared" si="19"/>
        <v>48353.326523749492</v>
      </c>
      <c r="K39" s="252">
        <f>SUM(I38:I39)</f>
        <v>628.46406052963459</v>
      </c>
      <c r="L39" s="252">
        <f>SUM(K37:K39)</f>
        <v>663.37873055905879</v>
      </c>
      <c r="M39" s="253">
        <v>43069</v>
      </c>
    </row>
    <row r="40" spans="1:13" s="216" customFormat="1" x14ac:dyDescent="0.35">
      <c r="A40" s="238">
        <v>43075</v>
      </c>
      <c r="B40" s="239" t="s">
        <v>183</v>
      </c>
      <c r="C40" s="236"/>
      <c r="D40" s="236">
        <v>50</v>
      </c>
      <c r="E40" s="290">
        <f t="shared" si="16"/>
        <v>276930</v>
      </c>
      <c r="F40" s="290"/>
      <c r="G40" s="290">
        <f t="shared" si="17"/>
        <v>0.17457335014712069</v>
      </c>
      <c r="H40" s="290"/>
      <c r="I40" s="290">
        <f t="shared" si="18"/>
        <v>8.7286675073560342</v>
      </c>
      <c r="J40" s="291">
        <f t="shared" si="19"/>
        <v>48344.597856242137</v>
      </c>
      <c r="K40" s="251"/>
      <c r="L40" s="251"/>
      <c r="M40" s="251"/>
    </row>
    <row r="41" spans="1:13" s="216" customFormat="1" x14ac:dyDescent="0.35">
      <c r="A41" s="238">
        <v>43075</v>
      </c>
      <c r="B41" s="239" t="s">
        <v>184</v>
      </c>
      <c r="C41" s="236"/>
      <c r="D41" s="236">
        <v>50</v>
      </c>
      <c r="E41" s="290">
        <f t="shared" si="16"/>
        <v>276880</v>
      </c>
      <c r="F41" s="290"/>
      <c r="G41" s="290">
        <f t="shared" si="17"/>
        <v>0.17457335014712069</v>
      </c>
      <c r="H41" s="290"/>
      <c r="I41" s="290">
        <f t="shared" si="18"/>
        <v>8.7286675073560342</v>
      </c>
      <c r="J41" s="291">
        <f t="shared" si="19"/>
        <v>48335.869188734781</v>
      </c>
      <c r="K41" s="251"/>
      <c r="L41" s="251"/>
      <c r="M41" s="251"/>
    </row>
    <row r="42" spans="1:13" s="296" customFormat="1" ht="13.25" customHeight="1" x14ac:dyDescent="0.35">
      <c r="A42" s="247">
        <v>43075</v>
      </c>
      <c r="B42" s="297" t="s">
        <v>185</v>
      </c>
      <c r="C42" s="248"/>
      <c r="D42" s="248">
        <v>450</v>
      </c>
      <c r="E42" s="248">
        <f t="shared" si="16"/>
        <v>276430</v>
      </c>
      <c r="F42" s="248"/>
      <c r="G42" s="248">
        <f t="shared" si="17"/>
        <v>0.17457335014712072</v>
      </c>
      <c r="H42" s="248"/>
      <c r="I42" s="248">
        <f t="shared" si="18"/>
        <v>78.558007566204324</v>
      </c>
      <c r="J42" s="249">
        <f t="shared" si="19"/>
        <v>48257.311181168574</v>
      </c>
      <c r="K42" s="252">
        <f>SUM(I40:I42)</f>
        <v>96.015342580916396</v>
      </c>
      <c r="L42" s="339"/>
      <c r="M42" s="253">
        <v>43084</v>
      </c>
    </row>
    <row r="43" spans="1:13" s="216" customFormat="1" x14ac:dyDescent="0.35">
      <c r="A43" s="238">
        <v>43092</v>
      </c>
      <c r="B43" s="239" t="s">
        <v>190</v>
      </c>
      <c r="C43" s="236"/>
      <c r="D43" s="236">
        <v>300</v>
      </c>
      <c r="E43" s="290">
        <f t="shared" si="16"/>
        <v>276130</v>
      </c>
      <c r="F43" s="290"/>
      <c r="G43" s="290">
        <f t="shared" si="17"/>
        <v>0.17457335014712069</v>
      </c>
      <c r="H43" s="290"/>
      <c r="I43" s="290">
        <f t="shared" si="18"/>
        <v>52.372005044136209</v>
      </c>
      <c r="J43" s="291">
        <f t="shared" si="19"/>
        <v>48204.939176124441</v>
      </c>
      <c r="K43" s="251"/>
      <c r="L43" s="251"/>
      <c r="M43" s="251"/>
    </row>
    <row r="44" spans="1:13" s="216" customFormat="1" x14ac:dyDescent="0.35">
      <c r="A44" s="238">
        <v>43092</v>
      </c>
      <c r="B44" s="239" t="s">
        <v>191</v>
      </c>
      <c r="C44" s="236"/>
      <c r="D44" s="236">
        <v>50</v>
      </c>
      <c r="E44" s="290">
        <f t="shared" si="16"/>
        <v>276080</v>
      </c>
      <c r="F44" s="290"/>
      <c r="G44" s="290">
        <f t="shared" si="17"/>
        <v>0.17457335014712069</v>
      </c>
      <c r="H44" s="290"/>
      <c r="I44" s="290">
        <f t="shared" si="18"/>
        <v>8.7286675073560342</v>
      </c>
      <c r="J44" s="291">
        <f t="shared" si="19"/>
        <v>48196.210508617085</v>
      </c>
      <c r="K44" s="251"/>
      <c r="L44" s="251"/>
      <c r="M44" s="251"/>
    </row>
    <row r="45" spans="1:13" s="296" customFormat="1" x14ac:dyDescent="0.35">
      <c r="A45" s="247">
        <v>43095</v>
      </c>
      <c r="B45" s="297" t="s">
        <v>192</v>
      </c>
      <c r="C45" s="248"/>
      <c r="D45" s="248">
        <v>300</v>
      </c>
      <c r="E45" s="248">
        <f t="shared" si="16"/>
        <v>275780</v>
      </c>
      <c r="F45" s="248"/>
      <c r="G45" s="248">
        <f t="shared" si="17"/>
        <v>0.17457335014712072</v>
      </c>
      <c r="H45" s="248"/>
      <c r="I45" s="248">
        <f t="shared" si="18"/>
        <v>52.372005044136216</v>
      </c>
      <c r="J45" s="249">
        <f t="shared" si="19"/>
        <v>48143.838503572952</v>
      </c>
      <c r="K45" s="252">
        <f>SUM(I43:I45)</f>
        <v>113.47267759562845</v>
      </c>
      <c r="L45" s="252">
        <f>SUM(K42:K45)</f>
        <v>209.48802017654486</v>
      </c>
      <c r="M45" s="253">
        <v>43099</v>
      </c>
    </row>
    <row r="46" spans="1:13" s="216" customFormat="1" ht="15" thickBot="1" x14ac:dyDescent="0.4">
      <c r="A46" s="372"/>
      <c r="B46" s="373" t="s">
        <v>138</v>
      </c>
      <c r="C46" s="374">
        <f>SUM(C9:C45)</f>
        <v>285480</v>
      </c>
      <c r="D46" s="374">
        <f>SUM(D9:D45)</f>
        <v>9700</v>
      </c>
      <c r="E46" s="375"/>
      <c r="F46" s="375"/>
      <c r="G46" s="375"/>
      <c r="H46" s="374">
        <f t="shared" ref="H46:I46" si="20">SUM(H9:H45)</f>
        <v>49837.2</v>
      </c>
      <c r="I46" s="374">
        <f t="shared" si="20"/>
        <v>1693.3614964270705</v>
      </c>
      <c r="J46" s="376"/>
      <c r="K46" s="251"/>
      <c r="L46" s="348">
        <f>SUM(L10:L45)</f>
        <v>1693.361496427071</v>
      </c>
      <c r="M46" s="251"/>
    </row>
    <row r="47" spans="1:13" x14ac:dyDescent="0.35">
      <c r="I47" s="328"/>
      <c r="L47" s="328"/>
    </row>
    <row r="48" spans="1:13" x14ac:dyDescent="0.35">
      <c r="A48" s="202" t="s">
        <v>629</v>
      </c>
      <c r="B48" s="234"/>
      <c r="C48" s="233"/>
      <c r="D48" s="233"/>
      <c r="E48" s="233"/>
      <c r="F48" s="233"/>
      <c r="G48" s="251"/>
      <c r="H48" s="251"/>
      <c r="I48" s="251"/>
      <c r="J48" s="251"/>
    </row>
    <row r="49" spans="1:10" x14ac:dyDescent="0.35">
      <c r="A49" s="202" t="s">
        <v>631</v>
      </c>
      <c r="B49" s="234"/>
      <c r="C49" s="233"/>
      <c r="D49" s="233"/>
      <c r="E49" s="233"/>
      <c r="F49" s="233"/>
      <c r="G49" s="251"/>
      <c r="H49" s="251"/>
      <c r="I49" s="251"/>
      <c r="J49" s="174">
        <f>+E45*F9</f>
        <v>48143.83850357293</v>
      </c>
    </row>
    <row r="50" spans="1:10" x14ac:dyDescent="0.35">
      <c r="A50" s="202" t="s">
        <v>630</v>
      </c>
      <c r="B50" s="234"/>
      <c r="C50" s="233"/>
      <c r="D50" s="233"/>
      <c r="E50" s="233"/>
      <c r="F50" s="233"/>
      <c r="G50" s="251"/>
      <c r="H50" s="251"/>
      <c r="I50" s="251"/>
      <c r="J50" s="203">
        <f>+J45</f>
        <v>48143.838503572952</v>
      </c>
    </row>
    <row r="51" spans="1:10" ht="15" thickBot="1" x14ac:dyDescent="0.4">
      <c r="A51" s="202"/>
      <c r="B51" s="234" t="s">
        <v>29</v>
      </c>
      <c r="C51" s="233"/>
      <c r="D51" s="233"/>
      <c r="E51" s="233"/>
      <c r="F51" s="233"/>
      <c r="G51" s="251"/>
      <c r="H51" s="251"/>
      <c r="I51" s="251"/>
      <c r="J51" s="206">
        <f>+J49-J50</f>
        <v>0</v>
      </c>
    </row>
    <row r="52" spans="1:10" ht="15" thickTop="1" x14ac:dyDescent="0.35"/>
  </sheetData>
  <mergeCells count="6">
    <mergeCell ref="D4:H4"/>
    <mergeCell ref="C7:E7"/>
    <mergeCell ref="F7:G7"/>
    <mergeCell ref="H7:J7"/>
    <mergeCell ref="D5:G5"/>
    <mergeCell ref="D6:G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9"/>
  <sheetViews>
    <sheetView workbookViewId="0">
      <selection activeCell="J19" sqref="J19"/>
    </sheetView>
  </sheetViews>
  <sheetFormatPr baseColWidth="10" defaultColWidth="11.453125" defaultRowHeight="14.5" x14ac:dyDescent="0.35"/>
  <cols>
    <col min="1" max="1" width="11.453125" style="216"/>
    <col min="2" max="2" width="49.453125" style="216" customWidth="1"/>
    <col min="3" max="16384" width="11.453125" style="216"/>
  </cols>
  <sheetData>
    <row r="1" spans="1:10" x14ac:dyDescent="0.35">
      <c r="A1" s="217" t="s">
        <v>0</v>
      </c>
      <c r="B1" s="218"/>
      <c r="C1" s="4"/>
      <c r="D1" s="4"/>
      <c r="E1" s="4"/>
      <c r="F1" s="4"/>
      <c r="G1" s="4"/>
      <c r="H1" s="5" t="s">
        <v>1</v>
      </c>
      <c r="I1" s="4"/>
      <c r="J1" s="377"/>
    </row>
    <row r="2" spans="1:10" x14ac:dyDescent="0.35">
      <c r="A2" s="219" t="s">
        <v>2</v>
      </c>
      <c r="B2" s="220"/>
      <c r="C2" s="9"/>
      <c r="D2" s="9"/>
      <c r="E2" s="9"/>
      <c r="F2" s="9"/>
      <c r="G2" s="9"/>
      <c r="H2" s="10" t="s">
        <v>65</v>
      </c>
      <c r="I2" s="9"/>
      <c r="J2" s="267"/>
    </row>
    <row r="3" spans="1:10" x14ac:dyDescent="0.35">
      <c r="A3" s="221" t="s">
        <v>3</v>
      </c>
      <c r="B3" s="222"/>
      <c r="C3" s="9"/>
      <c r="D3" s="9"/>
      <c r="E3" s="9"/>
      <c r="F3" s="9"/>
      <c r="G3" s="9"/>
      <c r="H3" s="10" t="s">
        <v>32</v>
      </c>
      <c r="I3" s="9"/>
      <c r="J3" s="267"/>
    </row>
    <row r="4" spans="1:10" ht="18" x14ac:dyDescent="0.4">
      <c r="A4" s="14"/>
      <c r="B4" s="9"/>
      <c r="C4" s="9"/>
      <c r="D4" s="415" t="s">
        <v>5</v>
      </c>
      <c r="E4" s="415"/>
      <c r="F4" s="415"/>
      <c r="G4" s="415"/>
      <c r="H4" s="415"/>
      <c r="I4" s="9"/>
      <c r="J4" s="267"/>
    </row>
    <row r="5" spans="1:10" x14ac:dyDescent="0.35">
      <c r="A5" s="14"/>
      <c r="B5" s="15"/>
      <c r="C5" s="9"/>
      <c r="D5" s="10" t="s">
        <v>60</v>
      </c>
      <c r="E5" s="15"/>
      <c r="F5" s="15"/>
      <c r="G5" s="9"/>
      <c r="H5" s="9"/>
      <c r="I5" s="9"/>
      <c r="J5" s="267"/>
    </row>
    <row r="6" spans="1:10" x14ac:dyDescent="0.35">
      <c r="A6" s="14"/>
      <c r="B6" s="15"/>
      <c r="C6" s="9"/>
      <c r="D6" s="9" t="s">
        <v>6</v>
      </c>
      <c r="E6" s="15"/>
      <c r="F6" s="15"/>
      <c r="G6" s="9"/>
      <c r="H6" s="9"/>
      <c r="I6" s="9"/>
      <c r="J6" s="267"/>
    </row>
    <row r="7" spans="1:10" x14ac:dyDescent="0.35">
      <c r="A7" s="14"/>
      <c r="B7" s="9"/>
      <c r="C7" s="9"/>
      <c r="D7" s="9"/>
      <c r="E7" s="9"/>
      <c r="F7" s="9"/>
      <c r="G7" s="9"/>
      <c r="H7" s="9"/>
      <c r="I7" s="9"/>
      <c r="J7" s="267"/>
    </row>
    <row r="8" spans="1:10" x14ac:dyDescent="0.35">
      <c r="A8" s="14"/>
      <c r="B8" s="9"/>
      <c r="C8" s="9"/>
      <c r="D8" s="9"/>
      <c r="E8" s="9"/>
      <c r="F8" s="9"/>
      <c r="G8" s="9"/>
      <c r="H8" s="9"/>
      <c r="I8" s="9"/>
      <c r="J8" s="267"/>
    </row>
    <row r="9" spans="1:10" x14ac:dyDescent="0.35">
      <c r="A9" s="268" t="s">
        <v>7</v>
      </c>
      <c r="B9" s="269" t="s">
        <v>8</v>
      </c>
      <c r="C9" s="416" t="s">
        <v>9</v>
      </c>
      <c r="D9" s="417"/>
      <c r="E9" s="418"/>
      <c r="F9" s="419" t="s">
        <v>10</v>
      </c>
      <c r="G9" s="420"/>
      <c r="H9" s="416" t="s">
        <v>11</v>
      </c>
      <c r="I9" s="417"/>
      <c r="J9" s="421"/>
    </row>
    <row r="10" spans="1:10" x14ac:dyDescent="0.35">
      <c r="A10" s="270"/>
      <c r="B10" s="271"/>
      <c r="C10" s="272" t="s">
        <v>26</v>
      </c>
      <c r="D10" s="273" t="s">
        <v>14</v>
      </c>
      <c r="E10" s="274" t="s">
        <v>20</v>
      </c>
      <c r="F10" s="273" t="s">
        <v>16</v>
      </c>
      <c r="G10" s="273" t="s">
        <v>17</v>
      </c>
      <c r="H10" s="272" t="s">
        <v>18</v>
      </c>
      <c r="I10" s="273" t="s">
        <v>19</v>
      </c>
      <c r="J10" s="275" t="s">
        <v>20</v>
      </c>
    </row>
    <row r="11" spans="1:10" x14ac:dyDescent="0.35">
      <c r="A11" s="276">
        <v>42737</v>
      </c>
      <c r="B11" s="277" t="s">
        <v>35</v>
      </c>
      <c r="C11" s="278">
        <v>416528</v>
      </c>
      <c r="D11" s="278"/>
      <c r="E11" s="278">
        <f>+C11</f>
        <v>416528</v>
      </c>
      <c r="F11" s="278">
        <f>+H11/C11</f>
        <v>5.0348235892905158E-2</v>
      </c>
      <c r="G11" s="279"/>
      <c r="H11" s="280">
        <v>20971.45</v>
      </c>
      <c r="I11" s="278"/>
      <c r="J11" s="281">
        <f>+H11</f>
        <v>20971.45</v>
      </c>
    </row>
    <row r="12" spans="1:10" x14ac:dyDescent="0.35">
      <c r="A12" s="282"/>
      <c r="B12" s="283"/>
      <c r="C12" s="284"/>
      <c r="D12" s="284"/>
      <c r="E12" s="284"/>
      <c r="F12" s="284"/>
      <c r="G12" s="284"/>
      <c r="H12" s="284"/>
      <c r="I12" s="284"/>
      <c r="J12" s="285"/>
    </row>
    <row r="13" spans="1:10" ht="15" thickBot="1" x14ac:dyDescent="0.4">
      <c r="A13" s="378"/>
      <c r="B13" s="379"/>
      <c r="C13" s="380"/>
      <c r="D13" s="380"/>
      <c r="E13" s="380"/>
      <c r="F13" s="380"/>
      <c r="G13" s="380"/>
      <c r="H13" s="380"/>
      <c r="I13" s="380"/>
      <c r="J13" s="381"/>
    </row>
    <row r="14" spans="1:10" s="9" customFormat="1" x14ac:dyDescent="0.35">
      <c r="A14" s="286"/>
      <c r="B14" s="287"/>
      <c r="C14" s="288"/>
      <c r="D14" s="288"/>
      <c r="E14" s="288"/>
      <c r="F14" s="288"/>
      <c r="G14" s="288"/>
      <c r="H14" s="288"/>
      <c r="I14" s="288"/>
      <c r="J14" s="288"/>
    </row>
    <row r="15" spans="1:10" s="9" customFormat="1" x14ac:dyDescent="0.35">
      <c r="A15" s="286"/>
      <c r="B15" s="287"/>
      <c r="C15" s="288"/>
      <c r="D15" s="288"/>
      <c r="E15" s="288"/>
      <c r="F15" s="288"/>
      <c r="G15" s="288"/>
      <c r="H15" s="288"/>
      <c r="I15" s="288"/>
      <c r="J15" s="288"/>
    </row>
    <row r="16" spans="1:10" s="9" customFormat="1" x14ac:dyDescent="0.35">
      <c r="A16" s="202" t="s">
        <v>629</v>
      </c>
      <c r="B16" s="234"/>
      <c r="C16" s="233"/>
      <c r="D16" s="233"/>
      <c r="E16" s="233"/>
      <c r="F16" s="233"/>
      <c r="G16" s="251"/>
      <c r="H16" s="251"/>
      <c r="I16" s="251"/>
      <c r="J16" s="251"/>
    </row>
    <row r="17" spans="1:10" s="9" customFormat="1" x14ac:dyDescent="0.35">
      <c r="A17" s="202" t="s">
        <v>631</v>
      </c>
      <c r="B17" s="234"/>
      <c r="C17" s="233"/>
      <c r="D17" s="233"/>
      <c r="E17" s="233"/>
      <c r="F17" s="233"/>
      <c r="G17" s="251"/>
      <c r="H17" s="251"/>
      <c r="I17" s="251"/>
      <c r="J17" s="174">
        <f>+J11</f>
        <v>20971.45</v>
      </c>
    </row>
    <row r="18" spans="1:10" s="9" customFormat="1" x14ac:dyDescent="0.35">
      <c r="A18" s="202" t="s">
        <v>630</v>
      </c>
      <c r="B18" s="234"/>
      <c r="C18" s="233"/>
      <c r="D18" s="233"/>
      <c r="E18" s="233"/>
      <c r="F18" s="233"/>
      <c r="G18" s="251"/>
      <c r="H18" s="251"/>
      <c r="I18" s="251"/>
      <c r="J18" s="203">
        <f>+J11</f>
        <v>20971.45</v>
      </c>
    </row>
    <row r="19" spans="1:10" s="9" customFormat="1" ht="15" thickBot="1" x14ac:dyDescent="0.4">
      <c r="A19" s="202"/>
      <c r="B19" s="234" t="s">
        <v>29</v>
      </c>
      <c r="C19" s="233"/>
      <c r="D19" s="233"/>
      <c r="E19" s="233"/>
      <c r="F19" s="233"/>
      <c r="G19" s="251"/>
      <c r="H19" s="251"/>
      <c r="I19" s="251"/>
      <c r="J19" s="206">
        <f>+J17-J18</f>
        <v>0</v>
      </c>
    </row>
    <row r="20" spans="1:10" s="9" customFormat="1" ht="15" thickTop="1" x14ac:dyDescent="0.35">
      <c r="A20" s="251"/>
      <c r="B20" s="251"/>
      <c r="C20" s="251"/>
      <c r="D20" s="251"/>
      <c r="E20" s="251"/>
      <c r="F20" s="251"/>
      <c r="G20" s="251"/>
      <c r="H20" s="251"/>
      <c r="I20" s="251"/>
      <c r="J20" s="251"/>
    </row>
    <row r="21" spans="1:10" s="9" customFormat="1" x14ac:dyDescent="0.35">
      <c r="A21" s="286"/>
      <c r="B21" s="287"/>
      <c r="C21" s="288"/>
      <c r="D21" s="288"/>
      <c r="E21" s="288"/>
      <c r="F21" s="288"/>
      <c r="G21" s="288"/>
      <c r="H21" s="288"/>
      <c r="I21" s="288"/>
      <c r="J21" s="288"/>
    </row>
    <row r="22" spans="1:10" s="9" customFormat="1" x14ac:dyDescent="0.35">
      <c r="A22" s="286"/>
      <c r="B22" s="287"/>
      <c r="C22" s="288"/>
      <c r="D22" s="288"/>
      <c r="E22" s="288"/>
      <c r="F22" s="288"/>
      <c r="G22" s="288"/>
      <c r="H22" s="288"/>
      <c r="I22" s="288"/>
      <c r="J22" s="288"/>
    </row>
    <row r="23" spans="1:10" s="9" customFormat="1" x14ac:dyDescent="0.35">
      <c r="A23" s="286"/>
      <c r="C23" s="288"/>
      <c r="D23" s="288"/>
      <c r="E23" s="288"/>
      <c r="F23" s="288"/>
      <c r="G23" s="288"/>
      <c r="H23" s="288"/>
      <c r="I23" s="288"/>
      <c r="J23" s="288"/>
    </row>
    <row r="24" spans="1:10" s="9" customFormat="1" x14ac:dyDescent="0.35">
      <c r="A24" s="286"/>
      <c r="C24" s="288"/>
      <c r="D24" s="288"/>
      <c r="E24" s="288"/>
      <c r="F24" s="288"/>
      <c r="G24" s="288"/>
      <c r="H24" s="288"/>
      <c r="I24" s="288"/>
      <c r="J24" s="288"/>
    </row>
    <row r="25" spans="1:10" s="9" customFormat="1" x14ac:dyDescent="0.35">
      <c r="A25" s="286"/>
      <c r="B25" s="287"/>
      <c r="C25" s="288"/>
      <c r="D25" s="288"/>
      <c r="E25" s="288"/>
      <c r="F25" s="288"/>
      <c r="G25" s="288"/>
      <c r="H25" s="288"/>
      <c r="I25" s="288"/>
      <c r="J25" s="288"/>
    </row>
    <row r="26" spans="1:10" s="9" customFormat="1" x14ac:dyDescent="0.35">
      <c r="A26" s="286"/>
      <c r="B26" s="287"/>
      <c r="C26" s="288"/>
      <c r="D26" s="288"/>
      <c r="E26" s="288"/>
      <c r="F26" s="288"/>
      <c r="G26" s="288"/>
      <c r="H26" s="288"/>
      <c r="I26" s="288"/>
      <c r="J26" s="288"/>
    </row>
    <row r="27" spans="1:10" s="9" customFormat="1" x14ac:dyDescent="0.35">
      <c r="A27" s="286"/>
      <c r="B27" s="287"/>
      <c r="C27" s="288"/>
      <c r="D27" s="288"/>
      <c r="E27" s="288"/>
      <c r="F27" s="288"/>
      <c r="G27" s="288"/>
      <c r="H27" s="288"/>
      <c r="I27" s="288"/>
      <c r="J27" s="288"/>
    </row>
    <row r="28" spans="1:10" s="9" customFormat="1" x14ac:dyDescent="0.35">
      <c r="A28" s="286"/>
      <c r="B28" s="287"/>
      <c r="C28" s="288"/>
      <c r="D28" s="288"/>
      <c r="E28" s="288"/>
      <c r="F28" s="288"/>
      <c r="G28" s="288"/>
      <c r="H28" s="288"/>
      <c r="I28" s="288"/>
      <c r="J28" s="288"/>
    </row>
    <row r="29" spans="1:10" s="9" customFormat="1" x14ac:dyDescent="0.35">
      <c r="A29" s="286"/>
      <c r="B29" s="287"/>
      <c r="C29" s="288"/>
      <c r="D29" s="288"/>
      <c r="E29" s="288"/>
      <c r="F29" s="288"/>
      <c r="G29" s="288"/>
      <c r="H29" s="288"/>
      <c r="I29" s="288"/>
      <c r="J29" s="288"/>
    </row>
    <row r="30" spans="1:10" s="9" customFormat="1" x14ac:dyDescent="0.35">
      <c r="A30" s="286"/>
      <c r="B30" s="287"/>
      <c r="C30" s="288"/>
      <c r="D30" s="288"/>
      <c r="E30" s="288"/>
      <c r="F30" s="288"/>
      <c r="G30" s="288"/>
      <c r="H30" s="288"/>
      <c r="I30" s="288"/>
      <c r="J30" s="288"/>
    </row>
    <row r="31" spans="1:10" s="9" customFormat="1" x14ac:dyDescent="0.35">
      <c r="A31" s="286"/>
      <c r="B31" s="287"/>
      <c r="C31" s="288"/>
      <c r="D31" s="288"/>
      <c r="E31" s="288"/>
      <c r="F31" s="288"/>
      <c r="G31" s="288"/>
      <c r="H31" s="288"/>
      <c r="I31" s="288"/>
      <c r="J31" s="288"/>
    </row>
    <row r="32" spans="1:10" s="9" customFormat="1" x14ac:dyDescent="0.35">
      <c r="A32" s="286"/>
      <c r="B32" s="287"/>
      <c r="C32" s="288"/>
      <c r="D32" s="288"/>
      <c r="E32" s="288"/>
      <c r="F32" s="288"/>
      <c r="G32" s="288"/>
      <c r="H32" s="288"/>
      <c r="I32" s="288"/>
      <c r="J32" s="288"/>
    </row>
    <row r="33" spans="1:10" s="9" customFormat="1" x14ac:dyDescent="0.35">
      <c r="A33" s="286"/>
      <c r="B33" s="287"/>
      <c r="C33" s="288"/>
      <c r="D33" s="288"/>
      <c r="E33" s="288"/>
      <c r="F33" s="288"/>
      <c r="G33" s="288"/>
      <c r="H33" s="288"/>
      <c r="I33" s="288"/>
      <c r="J33" s="288"/>
    </row>
    <row r="34" spans="1:10" s="9" customFormat="1" x14ac:dyDescent="0.35">
      <c r="A34" s="286"/>
      <c r="B34" s="287"/>
      <c r="C34" s="288"/>
      <c r="D34" s="288"/>
      <c r="E34" s="288"/>
      <c r="F34" s="288"/>
      <c r="G34" s="288"/>
      <c r="H34" s="288"/>
      <c r="I34" s="288"/>
      <c r="J34" s="288"/>
    </row>
    <row r="35" spans="1:10" s="9" customFormat="1" x14ac:dyDescent="0.35">
      <c r="A35" s="286"/>
      <c r="B35" s="287"/>
      <c r="C35" s="288"/>
      <c r="D35" s="288"/>
      <c r="E35" s="288"/>
      <c r="F35" s="288"/>
      <c r="G35" s="288"/>
      <c r="H35" s="288"/>
      <c r="I35" s="288"/>
      <c r="J35" s="288"/>
    </row>
    <row r="36" spans="1:10" s="9" customFormat="1" x14ac:dyDescent="0.35">
      <c r="A36" s="286"/>
      <c r="B36" s="287"/>
      <c r="C36" s="288"/>
      <c r="D36" s="288"/>
      <c r="E36" s="288"/>
      <c r="F36" s="288"/>
      <c r="G36" s="288"/>
      <c r="H36" s="288"/>
      <c r="I36" s="288"/>
      <c r="J36" s="288"/>
    </row>
    <row r="37" spans="1:10" s="9" customFormat="1" x14ac:dyDescent="0.35">
      <c r="A37" s="286"/>
      <c r="B37" s="287"/>
      <c r="C37" s="288"/>
      <c r="D37" s="288"/>
      <c r="E37" s="288"/>
      <c r="F37" s="288"/>
      <c r="G37" s="288"/>
      <c r="H37" s="288"/>
      <c r="I37" s="288"/>
      <c r="J37" s="288"/>
    </row>
    <row r="38" spans="1:10" s="9" customFormat="1" x14ac:dyDescent="0.35">
      <c r="A38" s="286"/>
      <c r="B38" s="287"/>
      <c r="C38" s="288"/>
      <c r="D38" s="288"/>
      <c r="E38" s="288"/>
      <c r="F38" s="288"/>
      <c r="G38" s="288"/>
      <c r="H38" s="288"/>
      <c r="I38" s="288"/>
      <c r="J38" s="288"/>
    </row>
    <row r="39" spans="1:10" s="9" customFormat="1" x14ac:dyDescent="0.35">
      <c r="A39" s="286"/>
      <c r="B39" s="287"/>
      <c r="C39" s="288"/>
      <c r="D39" s="288"/>
      <c r="E39" s="288"/>
      <c r="F39" s="288"/>
      <c r="G39" s="288"/>
      <c r="H39" s="288"/>
      <c r="I39" s="288"/>
      <c r="J39" s="288"/>
    </row>
    <row r="40" spans="1:10" s="9" customFormat="1" x14ac:dyDescent="0.35">
      <c r="A40" s="286"/>
      <c r="B40" s="287"/>
      <c r="C40" s="288"/>
      <c r="D40" s="288"/>
      <c r="E40" s="288"/>
      <c r="F40" s="288"/>
      <c r="G40" s="288"/>
      <c r="H40" s="288"/>
      <c r="I40" s="288"/>
      <c r="J40" s="288"/>
    </row>
    <row r="41" spans="1:10" s="9" customFormat="1" x14ac:dyDescent="0.35">
      <c r="A41" s="286"/>
      <c r="B41" s="287"/>
      <c r="C41" s="288"/>
      <c r="D41" s="288"/>
      <c r="E41" s="288"/>
      <c r="F41" s="288"/>
      <c r="G41" s="288"/>
      <c r="H41" s="288"/>
      <c r="I41" s="288"/>
      <c r="J41" s="288"/>
    </row>
    <row r="42" spans="1:10" s="9" customFormat="1" x14ac:dyDescent="0.35">
      <c r="A42" s="286"/>
      <c r="B42" s="287"/>
      <c r="C42" s="288"/>
      <c r="D42" s="288"/>
      <c r="E42" s="288"/>
      <c r="F42" s="288"/>
      <c r="G42" s="288"/>
      <c r="H42" s="288"/>
      <c r="I42" s="288"/>
      <c r="J42" s="288"/>
    </row>
    <row r="43" spans="1:10" s="9" customFormat="1" x14ac:dyDescent="0.35">
      <c r="A43" s="286"/>
      <c r="B43" s="287"/>
      <c r="C43" s="288"/>
      <c r="D43" s="288"/>
      <c r="E43" s="288"/>
      <c r="F43" s="288"/>
      <c r="G43" s="288"/>
      <c r="H43" s="288"/>
      <c r="I43" s="288"/>
      <c r="J43" s="288"/>
    </row>
    <row r="44" spans="1:10" s="9" customFormat="1" x14ac:dyDescent="0.35">
      <c r="A44" s="286"/>
      <c r="B44" s="287"/>
      <c r="C44" s="288"/>
      <c r="D44" s="288"/>
      <c r="E44" s="288"/>
      <c r="F44" s="288"/>
      <c r="G44" s="288"/>
      <c r="H44" s="288"/>
      <c r="I44" s="288"/>
      <c r="J44" s="288"/>
    </row>
    <row r="45" spans="1:10" s="9" customFormat="1" x14ac:dyDescent="0.35"/>
    <row r="46" spans="1:10" s="9" customFormat="1" x14ac:dyDescent="0.35"/>
    <row r="47" spans="1:10" s="9" customFormat="1" x14ac:dyDescent="0.35"/>
    <row r="48" spans="1:10" s="9" customFormat="1" x14ac:dyDescent="0.35"/>
    <row r="49" s="9" customFormat="1" x14ac:dyDescent="0.35"/>
  </sheetData>
  <mergeCells count="4">
    <mergeCell ref="D4:H4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workbookViewId="0">
      <selection activeCell="P7" sqref="P7"/>
    </sheetView>
  </sheetViews>
  <sheetFormatPr baseColWidth="10" defaultColWidth="11.453125" defaultRowHeight="14.5" x14ac:dyDescent="0.35"/>
  <cols>
    <col min="1" max="1" width="11.453125" style="216"/>
    <col min="2" max="2" width="30.08984375" style="216" customWidth="1"/>
    <col min="3" max="10" width="11.453125" style="216"/>
    <col min="11" max="11" width="12.36328125" style="216" customWidth="1"/>
    <col min="12" max="14" width="9.81640625" style="216" customWidth="1"/>
    <col min="15" max="16384" width="11.453125" style="216"/>
  </cols>
  <sheetData>
    <row r="1" spans="1:14" x14ac:dyDescent="0.35">
      <c r="A1" s="217" t="s">
        <v>0</v>
      </c>
      <c r="B1" s="218"/>
      <c r="C1" s="231"/>
      <c r="D1" s="231"/>
      <c r="E1" s="231"/>
      <c r="F1" s="231"/>
      <c r="G1" s="231"/>
      <c r="H1" s="232" t="s">
        <v>1</v>
      </c>
      <c r="I1" s="231"/>
      <c r="J1" s="231"/>
      <c r="K1" s="175"/>
    </row>
    <row r="2" spans="1:14" x14ac:dyDescent="0.35">
      <c r="A2" s="219" t="s">
        <v>2</v>
      </c>
      <c r="B2" s="220"/>
      <c r="C2" s="233"/>
      <c r="D2" s="233"/>
      <c r="E2" s="233"/>
      <c r="F2" s="233"/>
      <c r="G2" s="233"/>
      <c r="H2" s="362" t="s">
        <v>650</v>
      </c>
      <c r="I2" s="233"/>
      <c r="J2" s="233"/>
      <c r="K2" s="177"/>
    </row>
    <row r="3" spans="1:14" x14ac:dyDescent="0.35">
      <c r="A3" s="221" t="s">
        <v>3</v>
      </c>
      <c r="B3" s="222"/>
      <c r="C3" s="233"/>
      <c r="D3" s="233"/>
      <c r="E3" s="233"/>
      <c r="F3" s="233"/>
      <c r="G3" s="233"/>
      <c r="H3" s="234" t="s">
        <v>4</v>
      </c>
      <c r="I3" s="233"/>
      <c r="J3" s="233"/>
      <c r="K3" s="177"/>
    </row>
    <row r="4" spans="1:14" x14ac:dyDescent="0.35">
      <c r="A4" s="223"/>
      <c r="B4" s="233"/>
      <c r="C4" s="233"/>
      <c r="D4" s="382" t="s">
        <v>5</v>
      </c>
      <c r="E4" s="382"/>
      <c r="F4" s="382"/>
      <c r="G4" s="382"/>
      <c r="H4" s="382"/>
      <c r="I4" s="233"/>
      <c r="J4" s="233"/>
      <c r="K4" s="177"/>
    </row>
    <row r="5" spans="1:14" x14ac:dyDescent="0.35">
      <c r="A5" s="223"/>
      <c r="B5" s="235"/>
      <c r="C5" s="233"/>
      <c r="D5" s="234" t="s">
        <v>62</v>
      </c>
      <c r="E5" s="235"/>
      <c r="F5" s="235"/>
      <c r="G5" s="233"/>
      <c r="H5" s="233"/>
      <c r="I5" s="233"/>
      <c r="J5" s="233"/>
      <c r="K5" s="177"/>
    </row>
    <row r="6" spans="1:14" x14ac:dyDescent="0.35">
      <c r="A6" s="223"/>
      <c r="B6" s="235"/>
      <c r="C6" s="233"/>
      <c r="D6" s="233" t="s">
        <v>6</v>
      </c>
      <c r="E6" s="235"/>
      <c r="F6" s="235"/>
      <c r="G6" s="233"/>
      <c r="H6" s="233"/>
      <c r="I6" s="233"/>
      <c r="J6" s="233"/>
      <c r="K6" s="177"/>
    </row>
    <row r="7" spans="1:14" x14ac:dyDescent="0.35">
      <c r="A7" s="172" t="s">
        <v>7</v>
      </c>
      <c r="B7" s="178" t="s">
        <v>8</v>
      </c>
      <c r="C7" s="383" t="s">
        <v>9</v>
      </c>
      <c r="D7" s="383"/>
      <c r="E7" s="384"/>
      <c r="F7" s="385" t="s">
        <v>10</v>
      </c>
      <c r="G7" s="385"/>
      <c r="H7" s="386" t="s">
        <v>11</v>
      </c>
      <c r="I7" s="387"/>
      <c r="J7" s="387"/>
      <c r="K7" s="201" t="s">
        <v>12</v>
      </c>
    </row>
    <row r="8" spans="1:14" x14ac:dyDescent="0.35">
      <c r="A8" s="173"/>
      <c r="B8" s="179"/>
      <c r="C8" s="179" t="s">
        <v>13</v>
      </c>
      <c r="D8" s="180" t="s">
        <v>14</v>
      </c>
      <c r="E8" s="181" t="s">
        <v>15</v>
      </c>
      <c r="F8" s="182" t="s">
        <v>16</v>
      </c>
      <c r="G8" s="182" t="s">
        <v>17</v>
      </c>
      <c r="H8" s="180" t="s">
        <v>18</v>
      </c>
      <c r="I8" s="183" t="s">
        <v>19</v>
      </c>
      <c r="J8" s="184" t="s">
        <v>20</v>
      </c>
      <c r="K8" s="205"/>
    </row>
    <row r="9" spans="1:14" x14ac:dyDescent="0.35">
      <c r="A9" s="126">
        <v>42910</v>
      </c>
      <c r="B9" s="227" t="s">
        <v>198</v>
      </c>
      <c r="C9" s="226">
        <v>6750.24</v>
      </c>
      <c r="D9" s="66"/>
      <c r="E9" s="228">
        <f>+C9</f>
        <v>6750.24</v>
      </c>
      <c r="F9" s="185">
        <f>+H9/C9</f>
        <v>26.50340136054422</v>
      </c>
      <c r="G9" s="233"/>
      <c r="H9" s="236">
        <v>178904.32000000001</v>
      </c>
      <c r="I9" s="66"/>
      <c r="J9" s="226">
        <f>+H9</f>
        <v>178904.32000000001</v>
      </c>
      <c r="K9" s="186"/>
      <c r="L9" s="251"/>
      <c r="M9" s="251"/>
      <c r="N9" s="251"/>
    </row>
    <row r="10" spans="1:14" s="296" customFormat="1" x14ac:dyDescent="0.35">
      <c r="A10" s="309">
        <v>43048</v>
      </c>
      <c r="B10" s="227" t="s">
        <v>674</v>
      </c>
      <c r="C10" s="244"/>
      <c r="D10" s="266">
        <f>23*4.8+14*4.7+3*4.4</f>
        <v>189.39999999999998</v>
      </c>
      <c r="E10" s="332">
        <f>+E9-D10</f>
        <v>6560.84</v>
      </c>
      <c r="F10" s="166"/>
      <c r="G10" s="166">
        <f>+J9/E9</f>
        <v>26.50340136054422</v>
      </c>
      <c r="H10" s="266"/>
      <c r="I10" s="333">
        <f>+D10*G10</f>
        <v>5019.7442176870745</v>
      </c>
      <c r="J10" s="333">
        <f>+J9-I10</f>
        <v>173884.57578231292</v>
      </c>
      <c r="K10" s="250"/>
      <c r="L10" s="260"/>
      <c r="M10" s="260"/>
      <c r="N10" s="253"/>
    </row>
    <row r="11" spans="1:14" s="296" customFormat="1" x14ac:dyDescent="0.35">
      <c r="A11" s="309">
        <v>43048</v>
      </c>
      <c r="B11" s="227" t="s">
        <v>199</v>
      </c>
      <c r="C11" s="244"/>
      <c r="D11" s="266">
        <f>3*3.4</f>
        <v>10.199999999999999</v>
      </c>
      <c r="E11" s="332">
        <f t="shared" ref="E11:E20" si="0">+E10-D11</f>
        <v>6550.64</v>
      </c>
      <c r="F11" s="166"/>
      <c r="G11" s="166">
        <f t="shared" ref="G11:G20" si="1">+J10/E10</f>
        <v>26.503401360544217</v>
      </c>
      <c r="H11" s="266"/>
      <c r="I11" s="333">
        <f t="shared" ref="I11:I20" si="2">+D11*G11</f>
        <v>270.33469387755099</v>
      </c>
      <c r="J11" s="333">
        <f t="shared" ref="J11:J20" si="3">+J10-I11</f>
        <v>173614.24108843537</v>
      </c>
      <c r="K11" s="250"/>
      <c r="L11" s="260"/>
      <c r="M11" s="260"/>
      <c r="N11" s="253"/>
    </row>
    <row r="12" spans="1:14" s="296" customFormat="1" x14ac:dyDescent="0.35">
      <c r="A12" s="243">
        <v>43050</v>
      </c>
      <c r="B12" s="241" t="s">
        <v>200</v>
      </c>
      <c r="C12" s="244"/>
      <c r="D12" s="244">
        <f>30*3</f>
        <v>90</v>
      </c>
      <c r="E12" s="245">
        <f t="shared" si="0"/>
        <v>6460.64</v>
      </c>
      <c r="F12" s="246"/>
      <c r="G12" s="246">
        <f t="shared" si="1"/>
        <v>26.503401360544217</v>
      </c>
      <c r="H12" s="244"/>
      <c r="I12" s="242">
        <f t="shared" si="2"/>
        <v>2385.3061224489793</v>
      </c>
      <c r="J12" s="242">
        <f t="shared" si="3"/>
        <v>171228.93496598641</v>
      </c>
      <c r="K12" s="250"/>
      <c r="L12" s="260">
        <f>SUM(I10:I12)</f>
        <v>7675.385034013605</v>
      </c>
      <c r="M12" s="260"/>
      <c r="N12" s="253">
        <v>43054</v>
      </c>
    </row>
    <row r="13" spans="1:14" x14ac:dyDescent="0.35">
      <c r="A13" s="309">
        <v>43055</v>
      </c>
      <c r="B13" s="227" t="s">
        <v>201</v>
      </c>
      <c r="C13" s="244"/>
      <c r="D13" s="266">
        <f>18*4.7</f>
        <v>84.600000000000009</v>
      </c>
      <c r="E13" s="332">
        <f t="shared" si="0"/>
        <v>6376.04</v>
      </c>
      <c r="F13" s="166"/>
      <c r="G13" s="166">
        <f t="shared" si="1"/>
        <v>26.503401360544217</v>
      </c>
      <c r="H13" s="266"/>
      <c r="I13" s="333">
        <f t="shared" si="2"/>
        <v>2242.1877551020411</v>
      </c>
      <c r="J13" s="333">
        <f t="shared" si="3"/>
        <v>168986.74721088438</v>
      </c>
      <c r="K13" s="250"/>
      <c r="L13" s="260"/>
      <c r="M13" s="260"/>
      <c r="N13" s="253"/>
    </row>
    <row r="14" spans="1:14" s="296" customFormat="1" x14ac:dyDescent="0.35">
      <c r="A14" s="309">
        <v>43059</v>
      </c>
      <c r="B14" s="227" t="s">
        <v>202</v>
      </c>
      <c r="C14" s="244"/>
      <c r="D14" s="266">
        <f>12*5.1</f>
        <v>61.199999999999996</v>
      </c>
      <c r="E14" s="332">
        <f t="shared" si="0"/>
        <v>6314.84</v>
      </c>
      <c r="F14" s="166"/>
      <c r="G14" s="166">
        <f t="shared" si="1"/>
        <v>26.50340136054422</v>
      </c>
      <c r="H14" s="266"/>
      <c r="I14" s="333">
        <f t="shared" si="2"/>
        <v>1622.0081632653062</v>
      </c>
      <c r="J14" s="333">
        <f t="shared" si="3"/>
        <v>167364.73904761908</v>
      </c>
      <c r="K14" s="250"/>
      <c r="L14" s="260"/>
      <c r="M14" s="260"/>
      <c r="N14" s="253"/>
    </row>
    <row r="15" spans="1:14" s="296" customFormat="1" x14ac:dyDescent="0.35">
      <c r="A15" s="309">
        <v>43061</v>
      </c>
      <c r="B15" s="227" t="s">
        <v>203</v>
      </c>
      <c r="C15" s="244"/>
      <c r="D15" s="266">
        <f>4.6+3.55+3*1</f>
        <v>11.149999999999999</v>
      </c>
      <c r="E15" s="332">
        <f t="shared" si="0"/>
        <v>6303.6900000000005</v>
      </c>
      <c r="F15" s="166"/>
      <c r="G15" s="166">
        <f t="shared" si="1"/>
        <v>26.50340136054422</v>
      </c>
      <c r="H15" s="266"/>
      <c r="I15" s="333">
        <f t="shared" si="2"/>
        <v>295.512925170068</v>
      </c>
      <c r="J15" s="333">
        <f t="shared" si="3"/>
        <v>167069.22612244901</v>
      </c>
      <c r="K15" s="250"/>
      <c r="L15" s="260"/>
      <c r="M15" s="260"/>
      <c r="N15" s="253"/>
    </row>
    <row r="16" spans="1:14" s="296" customFormat="1" x14ac:dyDescent="0.35">
      <c r="A16" s="309">
        <v>43061</v>
      </c>
      <c r="B16" s="227" t="s">
        <v>204</v>
      </c>
      <c r="C16" s="244"/>
      <c r="D16" s="266">
        <f>7*4.7</f>
        <v>32.9</v>
      </c>
      <c r="E16" s="332">
        <f t="shared" si="0"/>
        <v>6270.7900000000009</v>
      </c>
      <c r="F16" s="166"/>
      <c r="G16" s="166">
        <f t="shared" si="1"/>
        <v>26.50340136054422</v>
      </c>
      <c r="H16" s="266"/>
      <c r="I16" s="333">
        <f t="shared" si="2"/>
        <v>871.96190476190486</v>
      </c>
      <c r="J16" s="333">
        <f t="shared" si="3"/>
        <v>166197.2642176871</v>
      </c>
      <c r="K16" s="250"/>
      <c r="L16" s="260"/>
      <c r="M16" s="260"/>
      <c r="N16" s="253"/>
    </row>
    <row r="17" spans="1:14" s="296" customFormat="1" x14ac:dyDescent="0.35">
      <c r="A17" s="243">
        <v>43069</v>
      </c>
      <c r="B17" s="241" t="s">
        <v>205</v>
      </c>
      <c r="C17" s="244"/>
      <c r="D17" s="244">
        <f>43*6.48+43*6.66+16*4.1+28*3.25+26+4*3.65</f>
        <v>762.22</v>
      </c>
      <c r="E17" s="245">
        <f t="shared" si="0"/>
        <v>5508.5700000000006</v>
      </c>
      <c r="F17" s="246"/>
      <c r="G17" s="246">
        <f t="shared" si="1"/>
        <v>26.503401360544217</v>
      </c>
      <c r="H17" s="244"/>
      <c r="I17" s="242">
        <f t="shared" si="2"/>
        <v>20201.422585034015</v>
      </c>
      <c r="J17" s="242">
        <f t="shared" si="3"/>
        <v>145995.84163265309</v>
      </c>
      <c r="K17" s="250"/>
      <c r="L17" s="260">
        <f>SUM(I13:I17)</f>
        <v>25233.093333333338</v>
      </c>
      <c r="M17" s="260">
        <f>SUM(L12:L17)</f>
        <v>32908.478367346943</v>
      </c>
      <c r="N17" s="253">
        <v>43069</v>
      </c>
    </row>
    <row r="18" spans="1:14" x14ac:dyDescent="0.35">
      <c r="A18" s="309">
        <v>43070</v>
      </c>
      <c r="B18" s="227" t="s">
        <v>206</v>
      </c>
      <c r="C18" s="244"/>
      <c r="D18" s="266">
        <f>3*4.6</f>
        <v>13.799999999999999</v>
      </c>
      <c r="E18" s="332">
        <f t="shared" si="0"/>
        <v>5494.77</v>
      </c>
      <c r="F18" s="166"/>
      <c r="G18" s="166">
        <f t="shared" si="1"/>
        <v>26.50340136054422</v>
      </c>
      <c r="H18" s="266"/>
      <c r="I18" s="333">
        <f t="shared" si="2"/>
        <v>365.74693877551022</v>
      </c>
      <c r="J18" s="333">
        <f t="shared" si="3"/>
        <v>145630.09469387759</v>
      </c>
      <c r="K18" s="250"/>
      <c r="L18" s="260"/>
      <c r="M18" s="260"/>
      <c r="N18" s="253"/>
    </row>
    <row r="19" spans="1:14" x14ac:dyDescent="0.35">
      <c r="A19" s="309">
        <v>43078</v>
      </c>
      <c r="B19" s="227" t="s">
        <v>207</v>
      </c>
      <c r="C19" s="244"/>
      <c r="D19" s="266">
        <v>35</v>
      </c>
      <c r="E19" s="332">
        <f t="shared" si="0"/>
        <v>5459.77</v>
      </c>
      <c r="F19" s="166"/>
      <c r="G19" s="166">
        <f t="shared" si="1"/>
        <v>26.503401360544224</v>
      </c>
      <c r="H19" s="266"/>
      <c r="I19" s="333">
        <f t="shared" si="2"/>
        <v>927.61904761904782</v>
      </c>
      <c r="J19" s="333">
        <f t="shared" si="3"/>
        <v>144702.47564625854</v>
      </c>
      <c r="K19" s="250"/>
      <c r="L19" s="260"/>
      <c r="M19" s="260"/>
      <c r="N19" s="253"/>
    </row>
    <row r="20" spans="1:14" s="296" customFormat="1" x14ac:dyDescent="0.35">
      <c r="A20" s="243">
        <v>43082</v>
      </c>
      <c r="B20" s="241" t="s">
        <v>208</v>
      </c>
      <c r="C20" s="244"/>
      <c r="D20" s="244">
        <f>2*3.6</f>
        <v>7.2</v>
      </c>
      <c r="E20" s="245">
        <f t="shared" si="0"/>
        <v>5452.5700000000006</v>
      </c>
      <c r="F20" s="246"/>
      <c r="G20" s="246">
        <f t="shared" si="1"/>
        <v>26.50340136054422</v>
      </c>
      <c r="H20" s="244"/>
      <c r="I20" s="242">
        <f t="shared" si="2"/>
        <v>190.8244897959184</v>
      </c>
      <c r="J20" s="242">
        <f t="shared" si="3"/>
        <v>144511.65115646261</v>
      </c>
      <c r="K20" s="250"/>
      <c r="L20" s="260">
        <f>SUM(I18:I20)</f>
        <v>1484.1904761904766</v>
      </c>
      <c r="M20" s="260"/>
      <c r="N20" s="253">
        <v>43084</v>
      </c>
    </row>
    <row r="21" spans="1:14" x14ac:dyDescent="0.35">
      <c r="A21" s="309">
        <v>43090</v>
      </c>
      <c r="B21" s="227" t="s">
        <v>209</v>
      </c>
      <c r="C21" s="244"/>
      <c r="D21" s="266">
        <f>2*4</f>
        <v>8</v>
      </c>
      <c r="E21" s="314">
        <f t="shared" ref="E21:E22" si="4">+E20-D21</f>
        <v>5444.5700000000006</v>
      </c>
      <c r="F21" s="187"/>
      <c r="G21" s="187">
        <f t="shared" ref="G21:G22" si="5">+J20/E20</f>
        <v>26.50340136054422</v>
      </c>
      <c r="H21" s="237"/>
      <c r="I21" s="229">
        <f t="shared" ref="I21:I22" si="6">+D21*G21</f>
        <v>212.02721088435376</v>
      </c>
      <c r="J21" s="229">
        <f t="shared" ref="J21:J22" si="7">+J20-I21</f>
        <v>144299.62394557826</v>
      </c>
      <c r="K21" s="250"/>
      <c r="L21" s="260"/>
      <c r="M21" s="260"/>
      <c r="N21" s="253"/>
    </row>
    <row r="22" spans="1:14" s="296" customFormat="1" x14ac:dyDescent="0.35">
      <c r="A22" s="243">
        <v>43099</v>
      </c>
      <c r="B22" s="241" t="s">
        <v>210</v>
      </c>
      <c r="C22" s="244"/>
      <c r="D22" s="244">
        <f>44*4.9</f>
        <v>215.60000000000002</v>
      </c>
      <c r="E22" s="245">
        <f t="shared" si="4"/>
        <v>5228.97</v>
      </c>
      <c r="F22" s="246"/>
      <c r="G22" s="246">
        <f t="shared" si="5"/>
        <v>26.50340136054422</v>
      </c>
      <c r="H22" s="244"/>
      <c r="I22" s="242">
        <f t="shared" si="6"/>
        <v>5714.1333333333341</v>
      </c>
      <c r="J22" s="242">
        <f t="shared" si="7"/>
        <v>138585.49061224493</v>
      </c>
      <c r="K22" s="250"/>
      <c r="L22" s="260">
        <f>SUM(I21:I22)</f>
        <v>5926.1605442176879</v>
      </c>
      <c r="M22" s="260">
        <f>SUM(L20:L22)</f>
        <v>7410.3510204081649</v>
      </c>
      <c r="N22" s="253">
        <v>43099</v>
      </c>
    </row>
    <row r="23" spans="1:14" x14ac:dyDescent="0.35">
      <c r="A23" s="243"/>
      <c r="B23" s="227" t="s">
        <v>138</v>
      </c>
      <c r="C23" s="242">
        <f>SUM(C9:C22)</f>
        <v>6750.24</v>
      </c>
      <c r="D23" s="242">
        <f>SUM(D9:D22)</f>
        <v>1521.27</v>
      </c>
      <c r="E23" s="245"/>
      <c r="F23" s="246"/>
      <c r="G23" s="246"/>
      <c r="H23" s="242">
        <f t="shared" ref="H23:I23" si="8">SUM(H9:H22)</f>
        <v>178904.32000000001</v>
      </c>
      <c r="I23" s="242">
        <f t="shared" si="8"/>
        <v>40318.829387755097</v>
      </c>
      <c r="J23" s="242"/>
      <c r="K23" s="250"/>
      <c r="L23" s="260"/>
      <c r="M23" s="260">
        <f>SUM(M12:M22)</f>
        <v>40318.829387755104</v>
      </c>
      <c r="N23" s="253"/>
    </row>
    <row r="25" spans="1:14" x14ac:dyDescent="0.35">
      <c r="A25" s="202" t="s">
        <v>629</v>
      </c>
      <c r="B25" s="234"/>
      <c r="C25" s="233"/>
      <c r="D25" s="233"/>
      <c r="E25" s="233"/>
      <c r="F25" s="233"/>
      <c r="G25" s="251"/>
      <c r="H25" s="251"/>
      <c r="I25" s="251"/>
      <c r="J25" s="251"/>
    </row>
    <row r="26" spans="1:14" x14ac:dyDescent="0.35">
      <c r="A26" s="202" t="s">
        <v>631</v>
      </c>
      <c r="B26" s="234"/>
      <c r="C26" s="233"/>
      <c r="D26" s="233"/>
      <c r="E26" s="233"/>
      <c r="F26" s="233"/>
      <c r="G26" s="251"/>
      <c r="H26" s="251"/>
      <c r="I26" s="251"/>
      <c r="J26" s="174">
        <f>+E22*F9</f>
        <v>138585.49061224493</v>
      </c>
    </row>
    <row r="27" spans="1:14" x14ac:dyDescent="0.35">
      <c r="A27" s="202" t="s">
        <v>630</v>
      </c>
      <c r="B27" s="234"/>
      <c r="C27" s="233"/>
      <c r="D27" s="233"/>
      <c r="E27" s="233"/>
      <c r="F27" s="233"/>
      <c r="G27" s="251"/>
      <c r="H27" s="251"/>
      <c r="I27" s="251"/>
      <c r="J27" s="203">
        <f>+J22</f>
        <v>138585.49061224493</v>
      </c>
    </row>
    <row r="28" spans="1:14" ht="15" thickBot="1" x14ac:dyDescent="0.4">
      <c r="A28" s="202"/>
      <c r="B28" s="234" t="s">
        <v>29</v>
      </c>
      <c r="C28" s="233"/>
      <c r="D28" s="233"/>
      <c r="E28" s="233"/>
      <c r="F28" s="233"/>
      <c r="G28" s="251"/>
      <c r="H28" s="251"/>
      <c r="I28" s="251"/>
      <c r="J28" s="206">
        <f>+J26-J27</f>
        <v>0</v>
      </c>
    </row>
    <row r="29" spans="1:14" ht="15" thickTop="1" x14ac:dyDescent="0.35"/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M50"/>
  <sheetViews>
    <sheetView tabSelected="1" workbookViewId="0">
      <selection activeCell="B42" sqref="B42"/>
    </sheetView>
  </sheetViews>
  <sheetFormatPr baseColWidth="10" defaultRowHeight="14.5" x14ac:dyDescent="0.35"/>
  <cols>
    <col min="2" max="2" width="26.6328125" customWidth="1"/>
  </cols>
  <sheetData>
    <row r="1" spans="1:13" x14ac:dyDescent="0.35">
      <c r="A1" s="73" t="s">
        <v>0</v>
      </c>
      <c r="B1" s="74"/>
      <c r="C1" s="80"/>
      <c r="D1" s="80"/>
      <c r="E1" s="80"/>
      <c r="F1" s="80"/>
      <c r="G1" s="80"/>
      <c r="H1" s="81" t="s">
        <v>1</v>
      </c>
      <c r="I1" s="80"/>
      <c r="J1" s="89"/>
      <c r="K1" s="88"/>
      <c r="L1" s="88"/>
      <c r="M1" s="88"/>
    </row>
    <row r="2" spans="1:13" x14ac:dyDescent="0.35">
      <c r="A2" s="75" t="s">
        <v>2</v>
      </c>
      <c r="B2" s="76"/>
      <c r="C2" s="82"/>
      <c r="D2" s="82"/>
      <c r="E2" s="82"/>
      <c r="F2" s="82"/>
      <c r="G2" s="82"/>
      <c r="H2" s="83" t="s">
        <v>23</v>
      </c>
      <c r="I2" s="82"/>
      <c r="J2" s="90"/>
      <c r="K2" s="88"/>
      <c r="L2" s="88"/>
      <c r="M2" s="88"/>
    </row>
    <row r="3" spans="1:13" x14ac:dyDescent="0.35">
      <c r="A3" s="77" t="s">
        <v>3</v>
      </c>
      <c r="B3" s="78"/>
      <c r="C3" s="82"/>
      <c r="D3" s="82"/>
      <c r="E3" s="82"/>
      <c r="F3" s="82"/>
      <c r="G3" s="82"/>
      <c r="H3" s="83" t="s">
        <v>24</v>
      </c>
      <c r="I3" s="82"/>
      <c r="J3" s="90"/>
      <c r="K3" s="88"/>
      <c r="L3" s="88"/>
      <c r="M3" s="88"/>
    </row>
    <row r="4" spans="1:13" x14ac:dyDescent="0.35">
      <c r="A4" s="79"/>
      <c r="B4" s="82"/>
      <c r="C4" s="82"/>
      <c r="D4" s="100" t="s">
        <v>5</v>
      </c>
      <c r="E4" s="100"/>
      <c r="F4" s="100"/>
      <c r="G4" s="100"/>
      <c r="H4" s="100"/>
      <c r="I4" s="82"/>
      <c r="J4" s="90"/>
      <c r="K4" s="88"/>
      <c r="L4" s="88"/>
      <c r="M4" s="88"/>
    </row>
    <row r="5" spans="1:13" x14ac:dyDescent="0.35">
      <c r="A5" s="388" t="s">
        <v>62</v>
      </c>
      <c r="B5" s="389"/>
      <c r="C5" s="389"/>
      <c r="D5" s="389"/>
      <c r="E5" s="389"/>
      <c r="F5" s="389"/>
      <c r="G5" s="389"/>
      <c r="H5" s="389"/>
      <c r="I5" s="389"/>
      <c r="J5" s="90"/>
      <c r="K5" s="88"/>
      <c r="L5" s="88"/>
      <c r="M5" s="88"/>
    </row>
    <row r="6" spans="1:13" x14ac:dyDescent="0.35">
      <c r="A6" s="390" t="s">
        <v>6</v>
      </c>
      <c r="B6" s="391"/>
      <c r="C6" s="391"/>
      <c r="D6" s="391"/>
      <c r="E6" s="391"/>
      <c r="F6" s="391"/>
      <c r="G6" s="391"/>
      <c r="H6" s="391"/>
      <c r="I6" s="391"/>
      <c r="J6" s="392"/>
      <c r="K6" s="88"/>
      <c r="L6" s="88"/>
      <c r="M6" s="88"/>
    </row>
    <row r="7" spans="1:13" x14ac:dyDescent="0.35">
      <c r="A7" s="79"/>
      <c r="B7" s="82"/>
      <c r="C7" s="82"/>
      <c r="D7" s="82" t="s">
        <v>25</v>
      </c>
      <c r="E7" s="82"/>
      <c r="F7" s="82"/>
      <c r="G7" s="82"/>
      <c r="H7" s="82"/>
      <c r="I7" s="82"/>
      <c r="J7" s="90"/>
      <c r="K7" s="88"/>
      <c r="L7" s="88"/>
      <c r="M7" s="88"/>
    </row>
    <row r="8" spans="1:13" x14ac:dyDescent="0.35">
      <c r="A8" s="79"/>
      <c r="B8" s="82"/>
      <c r="C8" s="82"/>
      <c r="D8" s="82"/>
      <c r="E8" s="82"/>
      <c r="F8" s="82"/>
      <c r="G8" s="82"/>
      <c r="H8" s="82"/>
      <c r="I8" s="82"/>
      <c r="J8" s="90"/>
      <c r="K8" s="88"/>
      <c r="L8" s="88"/>
      <c r="M8" s="88"/>
    </row>
    <row r="9" spans="1:13" x14ac:dyDescent="0.35">
      <c r="A9" s="97" t="s">
        <v>7</v>
      </c>
      <c r="B9" s="98" t="s">
        <v>8</v>
      </c>
      <c r="C9" s="393" t="s">
        <v>9</v>
      </c>
      <c r="D9" s="394"/>
      <c r="E9" s="395"/>
      <c r="F9" s="396" t="s">
        <v>10</v>
      </c>
      <c r="G9" s="396"/>
      <c r="H9" s="393" t="s">
        <v>11</v>
      </c>
      <c r="I9" s="394"/>
      <c r="J9" s="397"/>
      <c r="K9" s="88"/>
      <c r="L9" s="88"/>
      <c r="M9" s="88"/>
    </row>
    <row r="10" spans="1:13" x14ac:dyDescent="0.35">
      <c r="A10" s="91"/>
      <c r="B10" s="92"/>
      <c r="C10" s="93" t="s">
        <v>26</v>
      </c>
      <c r="D10" s="94" t="s">
        <v>14</v>
      </c>
      <c r="E10" s="95" t="s">
        <v>20</v>
      </c>
      <c r="F10" s="99" t="s">
        <v>16</v>
      </c>
      <c r="G10" s="99" t="s">
        <v>17</v>
      </c>
      <c r="H10" s="93" t="s">
        <v>18</v>
      </c>
      <c r="I10" s="94" t="s">
        <v>19</v>
      </c>
      <c r="J10" s="96" t="s">
        <v>20</v>
      </c>
      <c r="K10" s="88"/>
      <c r="L10" s="88"/>
      <c r="M10" s="88"/>
    </row>
    <row r="11" spans="1:13" x14ac:dyDescent="0.35">
      <c r="A11" s="85">
        <v>42737</v>
      </c>
      <c r="B11" s="86" t="s">
        <v>27</v>
      </c>
      <c r="C11" s="84">
        <v>66.5</v>
      </c>
      <c r="D11" s="84"/>
      <c r="E11" s="84">
        <f>+C11</f>
        <v>66.5</v>
      </c>
      <c r="F11" s="84">
        <f>+H11/C11</f>
        <v>14.479999999999999</v>
      </c>
      <c r="G11" s="84"/>
      <c r="H11" s="84">
        <f>+J11</f>
        <v>962.92</v>
      </c>
      <c r="I11" s="84"/>
      <c r="J11" s="87">
        <v>962.92</v>
      </c>
      <c r="K11" s="88"/>
      <c r="L11" s="88"/>
      <c r="M11" s="88"/>
    </row>
    <row r="12" spans="1:13" s="296" customFormat="1" x14ac:dyDescent="0.35">
      <c r="A12" s="247">
        <v>42766</v>
      </c>
      <c r="B12" s="297" t="s">
        <v>44</v>
      </c>
      <c r="C12" s="248"/>
      <c r="D12" s="248">
        <v>7</v>
      </c>
      <c r="E12" s="248">
        <f>+E11-D12</f>
        <v>59.5</v>
      </c>
      <c r="F12" s="248"/>
      <c r="G12" s="248">
        <f>+J11/E11</f>
        <v>14.479999999999999</v>
      </c>
      <c r="H12" s="248"/>
      <c r="I12" s="248">
        <f>+D12*G12</f>
        <v>101.35999999999999</v>
      </c>
      <c r="J12" s="249">
        <f>+J11-I12</f>
        <v>861.56</v>
      </c>
      <c r="K12" s="252">
        <f>SUM(I12)</f>
        <v>101.35999999999999</v>
      </c>
      <c r="L12" s="252">
        <f>SUM(K12)</f>
        <v>101.35999999999999</v>
      </c>
      <c r="M12" s="253">
        <v>42766</v>
      </c>
    </row>
    <row r="13" spans="1:13" s="296" customFormat="1" x14ac:dyDescent="0.35">
      <c r="A13" s="247">
        <v>42789</v>
      </c>
      <c r="B13" s="297" t="s">
        <v>49</v>
      </c>
      <c r="C13" s="248"/>
      <c r="D13" s="248">
        <v>2</v>
      </c>
      <c r="E13" s="248">
        <f t="shared" ref="E13" si="0">+E12-D13</f>
        <v>57.5</v>
      </c>
      <c r="F13" s="248"/>
      <c r="G13" s="248">
        <f t="shared" ref="G13" si="1">+J12/E12</f>
        <v>14.479999999999999</v>
      </c>
      <c r="H13" s="248"/>
      <c r="I13" s="248">
        <f t="shared" ref="I13" si="2">+D13*G13</f>
        <v>28.959999999999997</v>
      </c>
      <c r="J13" s="249">
        <f t="shared" ref="J13" si="3">+J12-I13</f>
        <v>832.59999999999991</v>
      </c>
      <c r="K13" s="252">
        <f>SUM(I13)</f>
        <v>28.959999999999997</v>
      </c>
      <c r="L13" s="252">
        <f>SUM(K13)</f>
        <v>28.959999999999997</v>
      </c>
      <c r="M13" s="253">
        <v>42794</v>
      </c>
    </row>
    <row r="14" spans="1:13" s="216" customFormat="1" x14ac:dyDescent="0.35">
      <c r="A14" s="289">
        <v>42811</v>
      </c>
      <c r="B14" s="239" t="s">
        <v>51</v>
      </c>
      <c r="C14" s="248"/>
      <c r="D14" s="290">
        <v>1</v>
      </c>
      <c r="E14" s="290">
        <f t="shared" ref="E14:E17" si="4">+E13-D14</f>
        <v>56.5</v>
      </c>
      <c r="F14" s="290"/>
      <c r="G14" s="290">
        <f t="shared" ref="G14:G17" si="5">+J13/E13</f>
        <v>14.479999999999999</v>
      </c>
      <c r="H14" s="290"/>
      <c r="I14" s="290">
        <f t="shared" ref="I14:I17" si="6">+D14*G14</f>
        <v>14.479999999999999</v>
      </c>
      <c r="J14" s="291">
        <f t="shared" ref="J14:J17" si="7">+J13-I14</f>
        <v>818.11999999999989</v>
      </c>
      <c r="K14" s="252"/>
      <c r="L14" s="252"/>
      <c r="M14" s="253"/>
    </row>
    <row r="15" spans="1:13" s="216" customFormat="1" x14ac:dyDescent="0.35">
      <c r="A15" s="289">
        <v>42811</v>
      </c>
      <c r="B15" s="239" t="s">
        <v>52</v>
      </c>
      <c r="C15" s="248"/>
      <c r="D15" s="290">
        <v>1</v>
      </c>
      <c r="E15" s="290">
        <f t="shared" si="4"/>
        <v>55.5</v>
      </c>
      <c r="F15" s="290"/>
      <c r="G15" s="290">
        <f t="shared" si="5"/>
        <v>14.479999999999999</v>
      </c>
      <c r="H15" s="290"/>
      <c r="I15" s="290">
        <f t="shared" si="6"/>
        <v>14.479999999999999</v>
      </c>
      <c r="J15" s="291">
        <f t="shared" si="7"/>
        <v>803.63999999999987</v>
      </c>
      <c r="K15" s="252"/>
      <c r="L15" s="252"/>
      <c r="M15" s="253"/>
    </row>
    <row r="16" spans="1:13" s="216" customFormat="1" x14ac:dyDescent="0.35">
      <c r="A16" s="289">
        <v>42811</v>
      </c>
      <c r="B16" s="239" t="s">
        <v>54</v>
      </c>
      <c r="C16" s="248"/>
      <c r="D16" s="290">
        <v>3</v>
      </c>
      <c r="E16" s="290">
        <f t="shared" si="4"/>
        <v>52.5</v>
      </c>
      <c r="F16" s="290"/>
      <c r="G16" s="290">
        <f t="shared" si="5"/>
        <v>14.479999999999997</v>
      </c>
      <c r="H16" s="290"/>
      <c r="I16" s="290">
        <f t="shared" si="6"/>
        <v>43.439999999999991</v>
      </c>
      <c r="J16" s="291">
        <f t="shared" si="7"/>
        <v>760.19999999999993</v>
      </c>
      <c r="K16" s="252"/>
      <c r="L16" s="252"/>
      <c r="M16" s="253"/>
    </row>
    <row r="17" spans="1:13" s="216" customFormat="1" x14ac:dyDescent="0.35">
      <c r="A17" s="289">
        <v>42814</v>
      </c>
      <c r="B17" s="239" t="s">
        <v>67</v>
      </c>
      <c r="C17" s="248"/>
      <c r="D17" s="290">
        <v>0.5</v>
      </c>
      <c r="E17" s="290">
        <f t="shared" si="4"/>
        <v>52</v>
      </c>
      <c r="F17" s="290"/>
      <c r="G17" s="290">
        <f t="shared" si="5"/>
        <v>14.479999999999999</v>
      </c>
      <c r="H17" s="290"/>
      <c r="I17" s="290">
        <f t="shared" si="6"/>
        <v>7.2399999999999993</v>
      </c>
      <c r="J17" s="291">
        <f t="shared" si="7"/>
        <v>752.95999999999992</v>
      </c>
      <c r="K17" s="252"/>
      <c r="L17" s="252"/>
      <c r="M17" s="253"/>
    </row>
    <row r="18" spans="1:13" s="216" customFormat="1" x14ac:dyDescent="0.35">
      <c r="A18" s="289">
        <v>42814</v>
      </c>
      <c r="B18" s="239" t="s">
        <v>68</v>
      </c>
      <c r="C18" s="248"/>
      <c r="D18" s="290">
        <v>4</v>
      </c>
      <c r="E18" s="290">
        <f t="shared" ref="E18:E32" si="8">+E17-D18</f>
        <v>48</v>
      </c>
      <c r="F18" s="290"/>
      <c r="G18" s="290">
        <f t="shared" ref="G18:G32" si="9">+J17/E17</f>
        <v>14.479999999999999</v>
      </c>
      <c r="H18" s="290"/>
      <c r="I18" s="290">
        <f t="shared" ref="I18:I32" si="10">+D18*G18</f>
        <v>57.919999999999995</v>
      </c>
      <c r="J18" s="291">
        <f t="shared" ref="J18:J32" si="11">+J17-I18</f>
        <v>695.04</v>
      </c>
      <c r="K18" s="252"/>
      <c r="L18" s="252"/>
      <c r="M18" s="253"/>
    </row>
    <row r="19" spans="1:13" s="216" customFormat="1" x14ac:dyDescent="0.35">
      <c r="A19" s="289">
        <v>42814</v>
      </c>
      <c r="B19" s="239" t="s">
        <v>56</v>
      </c>
      <c r="C19" s="248"/>
      <c r="D19" s="290">
        <v>0.5</v>
      </c>
      <c r="E19" s="290">
        <f t="shared" si="8"/>
        <v>47.5</v>
      </c>
      <c r="F19" s="290"/>
      <c r="G19" s="290">
        <f t="shared" si="9"/>
        <v>14.479999999999999</v>
      </c>
      <c r="H19" s="290"/>
      <c r="I19" s="290">
        <f t="shared" si="10"/>
        <v>7.2399999999999993</v>
      </c>
      <c r="J19" s="291">
        <f t="shared" si="11"/>
        <v>687.8</v>
      </c>
      <c r="K19" s="252"/>
      <c r="L19" s="252"/>
      <c r="M19" s="253"/>
    </row>
    <row r="20" spans="1:13" s="216" customFormat="1" x14ac:dyDescent="0.35">
      <c r="A20" s="289">
        <v>42819</v>
      </c>
      <c r="B20" s="239" t="s">
        <v>59</v>
      </c>
      <c r="C20" s="248"/>
      <c r="D20" s="290">
        <v>3</v>
      </c>
      <c r="E20" s="290">
        <f t="shared" si="8"/>
        <v>44.5</v>
      </c>
      <c r="F20" s="290"/>
      <c r="G20" s="290">
        <f t="shared" si="9"/>
        <v>14.479999999999999</v>
      </c>
      <c r="H20" s="290"/>
      <c r="I20" s="290">
        <f t="shared" si="10"/>
        <v>43.44</v>
      </c>
      <c r="J20" s="291">
        <f t="shared" si="11"/>
        <v>644.3599999999999</v>
      </c>
      <c r="K20" s="252"/>
      <c r="L20" s="252"/>
      <c r="M20" s="253"/>
    </row>
    <row r="21" spans="1:13" s="296" customFormat="1" x14ac:dyDescent="0.35">
      <c r="A21" s="247">
        <v>42822</v>
      </c>
      <c r="B21" s="297" t="s">
        <v>70</v>
      </c>
      <c r="C21" s="248"/>
      <c r="D21" s="248">
        <v>2</v>
      </c>
      <c r="E21" s="248">
        <f t="shared" si="8"/>
        <v>42.5</v>
      </c>
      <c r="F21" s="248"/>
      <c r="G21" s="248">
        <f t="shared" si="9"/>
        <v>14.479999999999997</v>
      </c>
      <c r="H21" s="248"/>
      <c r="I21" s="248">
        <f t="shared" si="10"/>
        <v>28.959999999999994</v>
      </c>
      <c r="J21" s="249">
        <f t="shared" si="11"/>
        <v>615.39999999999986</v>
      </c>
      <c r="K21" s="252">
        <f>SUM(I14:I21)</f>
        <v>217.2</v>
      </c>
      <c r="L21" s="252">
        <f>SUM(K21)</f>
        <v>217.2</v>
      </c>
      <c r="M21" s="253">
        <v>42825</v>
      </c>
    </row>
    <row r="22" spans="1:13" s="216" customFormat="1" x14ac:dyDescent="0.35">
      <c r="A22" s="289">
        <v>42828</v>
      </c>
      <c r="B22" s="239" t="s">
        <v>73</v>
      </c>
      <c r="C22" s="248"/>
      <c r="D22" s="290">
        <v>1</v>
      </c>
      <c r="E22" s="290">
        <f t="shared" si="8"/>
        <v>41.5</v>
      </c>
      <c r="F22" s="290"/>
      <c r="G22" s="290">
        <f t="shared" si="9"/>
        <v>14.479999999999997</v>
      </c>
      <c r="H22" s="290"/>
      <c r="I22" s="290">
        <f t="shared" si="10"/>
        <v>14.479999999999997</v>
      </c>
      <c r="J22" s="291">
        <f t="shared" si="11"/>
        <v>600.91999999999985</v>
      </c>
      <c r="K22" s="252"/>
      <c r="L22" s="252"/>
      <c r="M22" s="253"/>
    </row>
    <row r="23" spans="1:13" s="216" customFormat="1" x14ac:dyDescent="0.35">
      <c r="A23" s="289">
        <v>42830</v>
      </c>
      <c r="B23" s="239" t="s">
        <v>74</v>
      </c>
      <c r="C23" s="248"/>
      <c r="D23" s="290">
        <v>5</v>
      </c>
      <c r="E23" s="290">
        <f t="shared" si="8"/>
        <v>36.5</v>
      </c>
      <c r="F23" s="290"/>
      <c r="G23" s="290">
        <f t="shared" si="9"/>
        <v>14.479999999999997</v>
      </c>
      <c r="H23" s="290"/>
      <c r="I23" s="290">
        <f t="shared" si="10"/>
        <v>72.399999999999977</v>
      </c>
      <c r="J23" s="291">
        <f t="shared" si="11"/>
        <v>528.51999999999987</v>
      </c>
      <c r="K23" s="252"/>
      <c r="L23" s="252"/>
      <c r="M23" s="253"/>
    </row>
    <row r="24" spans="1:13" s="216" customFormat="1" x14ac:dyDescent="0.35">
      <c r="A24" s="289">
        <v>42830</v>
      </c>
      <c r="B24" s="239" t="s">
        <v>76</v>
      </c>
      <c r="C24" s="248"/>
      <c r="D24" s="290">
        <v>2</v>
      </c>
      <c r="E24" s="290">
        <f t="shared" si="8"/>
        <v>34.5</v>
      </c>
      <c r="F24" s="290"/>
      <c r="G24" s="290">
        <f t="shared" si="9"/>
        <v>14.479999999999997</v>
      </c>
      <c r="H24" s="290"/>
      <c r="I24" s="290">
        <f t="shared" si="10"/>
        <v>28.959999999999994</v>
      </c>
      <c r="J24" s="291">
        <f t="shared" si="11"/>
        <v>499.55999999999989</v>
      </c>
      <c r="K24" s="252"/>
      <c r="L24" s="252"/>
      <c r="M24" s="253"/>
    </row>
    <row r="25" spans="1:13" s="296" customFormat="1" x14ac:dyDescent="0.35">
      <c r="A25" s="247">
        <v>42838</v>
      </c>
      <c r="B25" s="297" t="s">
        <v>81</v>
      </c>
      <c r="C25" s="248"/>
      <c r="D25" s="248">
        <v>1</v>
      </c>
      <c r="E25" s="248">
        <f t="shared" si="8"/>
        <v>33.5</v>
      </c>
      <c r="F25" s="248"/>
      <c r="G25" s="248">
        <f t="shared" si="9"/>
        <v>14.479999999999997</v>
      </c>
      <c r="H25" s="248"/>
      <c r="I25" s="248">
        <f t="shared" si="10"/>
        <v>14.479999999999997</v>
      </c>
      <c r="J25" s="249">
        <f t="shared" si="11"/>
        <v>485.07999999999987</v>
      </c>
      <c r="K25" s="252">
        <f>SUM(I22:I25)</f>
        <v>130.31999999999996</v>
      </c>
      <c r="L25" s="252"/>
      <c r="M25" s="253">
        <v>42840</v>
      </c>
    </row>
    <row r="26" spans="1:13" s="216" customFormat="1" x14ac:dyDescent="0.35">
      <c r="A26" s="238">
        <v>42844</v>
      </c>
      <c r="B26" s="239" t="s">
        <v>88</v>
      </c>
      <c r="C26" s="236"/>
      <c r="D26" s="236">
        <v>5</v>
      </c>
      <c r="E26" s="290">
        <f t="shared" si="8"/>
        <v>28.5</v>
      </c>
      <c r="F26" s="290"/>
      <c r="G26" s="290">
        <f t="shared" si="9"/>
        <v>14.479999999999997</v>
      </c>
      <c r="H26" s="290"/>
      <c r="I26" s="290">
        <f t="shared" si="10"/>
        <v>72.399999999999977</v>
      </c>
      <c r="J26" s="291">
        <f t="shared" si="11"/>
        <v>412.67999999999989</v>
      </c>
      <c r="K26" s="252"/>
      <c r="L26" s="252"/>
      <c r="M26" s="253"/>
    </row>
    <row r="27" spans="1:13" s="216" customFormat="1" x14ac:dyDescent="0.35">
      <c r="A27" s="238">
        <v>42844</v>
      </c>
      <c r="B27" s="239" t="s">
        <v>89</v>
      </c>
      <c r="C27" s="236"/>
      <c r="D27" s="236">
        <v>1</v>
      </c>
      <c r="E27" s="290">
        <f t="shared" si="8"/>
        <v>27.5</v>
      </c>
      <c r="F27" s="290"/>
      <c r="G27" s="290">
        <f t="shared" si="9"/>
        <v>14.479999999999997</v>
      </c>
      <c r="H27" s="290"/>
      <c r="I27" s="290">
        <f t="shared" si="10"/>
        <v>14.479999999999997</v>
      </c>
      <c r="J27" s="291">
        <f t="shared" si="11"/>
        <v>398.19999999999987</v>
      </c>
      <c r="K27" s="252"/>
      <c r="L27" s="252"/>
      <c r="M27" s="253"/>
    </row>
    <row r="28" spans="1:13" s="216" customFormat="1" x14ac:dyDescent="0.35">
      <c r="A28" s="238">
        <v>42846</v>
      </c>
      <c r="B28" s="239" t="s">
        <v>94</v>
      </c>
      <c r="C28" s="236"/>
      <c r="D28" s="236">
        <v>2</v>
      </c>
      <c r="E28" s="290">
        <f t="shared" si="8"/>
        <v>25.5</v>
      </c>
      <c r="F28" s="290"/>
      <c r="G28" s="290">
        <f t="shared" si="9"/>
        <v>14.479999999999995</v>
      </c>
      <c r="H28" s="290"/>
      <c r="I28" s="290">
        <f t="shared" si="10"/>
        <v>28.95999999999999</v>
      </c>
      <c r="J28" s="291">
        <f t="shared" si="11"/>
        <v>369.2399999999999</v>
      </c>
      <c r="K28" s="252"/>
      <c r="L28" s="252"/>
      <c r="M28" s="253"/>
    </row>
    <row r="29" spans="1:13" s="216" customFormat="1" x14ac:dyDescent="0.35">
      <c r="A29" s="238">
        <v>42847</v>
      </c>
      <c r="B29" s="239" t="s">
        <v>95</v>
      </c>
      <c r="C29" s="236"/>
      <c r="D29" s="236">
        <v>1</v>
      </c>
      <c r="E29" s="290">
        <f t="shared" si="8"/>
        <v>24.5</v>
      </c>
      <c r="F29" s="290"/>
      <c r="G29" s="290">
        <f t="shared" si="9"/>
        <v>14.479999999999995</v>
      </c>
      <c r="H29" s="290"/>
      <c r="I29" s="290">
        <f t="shared" si="10"/>
        <v>14.479999999999995</v>
      </c>
      <c r="J29" s="291">
        <f t="shared" si="11"/>
        <v>354.75999999999988</v>
      </c>
      <c r="K29" s="252"/>
      <c r="L29" s="252"/>
      <c r="M29" s="253"/>
    </row>
    <row r="30" spans="1:13" s="296" customFormat="1" x14ac:dyDescent="0.35">
      <c r="A30" s="247">
        <v>42852</v>
      </c>
      <c r="B30" s="297" t="s">
        <v>98</v>
      </c>
      <c r="C30" s="248"/>
      <c r="D30" s="248">
        <v>2</v>
      </c>
      <c r="E30" s="248">
        <f t="shared" si="8"/>
        <v>22.5</v>
      </c>
      <c r="F30" s="248"/>
      <c r="G30" s="248">
        <f t="shared" si="9"/>
        <v>14.479999999999995</v>
      </c>
      <c r="H30" s="248"/>
      <c r="I30" s="248">
        <f t="shared" si="10"/>
        <v>28.95999999999999</v>
      </c>
      <c r="J30" s="249">
        <f t="shared" si="11"/>
        <v>325.7999999999999</v>
      </c>
      <c r="K30" s="252">
        <f>SUM(I26:I30)</f>
        <v>159.27999999999994</v>
      </c>
      <c r="L30" s="252">
        <f>SUM(K25:K30)</f>
        <v>289.59999999999991</v>
      </c>
      <c r="M30" s="253">
        <v>42855</v>
      </c>
    </row>
    <row r="31" spans="1:13" s="216" customFormat="1" x14ac:dyDescent="0.35">
      <c r="A31" s="238">
        <v>42857</v>
      </c>
      <c r="B31" s="239" t="s">
        <v>101</v>
      </c>
      <c r="C31" s="236"/>
      <c r="D31" s="236">
        <v>2</v>
      </c>
      <c r="E31" s="290">
        <f t="shared" si="8"/>
        <v>20.5</v>
      </c>
      <c r="F31" s="290"/>
      <c r="G31" s="290">
        <f t="shared" si="9"/>
        <v>14.479999999999995</v>
      </c>
      <c r="H31" s="290"/>
      <c r="I31" s="290">
        <f t="shared" si="10"/>
        <v>28.95999999999999</v>
      </c>
      <c r="J31" s="291">
        <f t="shared" si="11"/>
        <v>296.83999999999992</v>
      </c>
      <c r="K31" s="252"/>
      <c r="L31" s="252"/>
      <c r="M31" s="253"/>
    </row>
    <row r="32" spans="1:13" s="216" customFormat="1" x14ac:dyDescent="0.35">
      <c r="A32" s="238">
        <v>42860</v>
      </c>
      <c r="B32" s="239" t="s">
        <v>103</v>
      </c>
      <c r="C32" s="236"/>
      <c r="D32" s="236">
        <v>0.5</v>
      </c>
      <c r="E32" s="290">
        <f t="shared" si="8"/>
        <v>20</v>
      </c>
      <c r="F32" s="290"/>
      <c r="G32" s="290">
        <f t="shared" si="9"/>
        <v>14.479999999999997</v>
      </c>
      <c r="H32" s="290"/>
      <c r="I32" s="290">
        <f t="shared" si="10"/>
        <v>7.2399999999999984</v>
      </c>
      <c r="J32" s="291">
        <f t="shared" si="11"/>
        <v>289.59999999999991</v>
      </c>
      <c r="K32" s="252"/>
      <c r="L32" s="252"/>
      <c r="M32" s="253"/>
    </row>
    <row r="33" spans="1:13" s="216" customFormat="1" x14ac:dyDescent="0.35">
      <c r="A33" s="238">
        <v>42861</v>
      </c>
      <c r="B33" s="239" t="s">
        <v>104</v>
      </c>
      <c r="C33" s="236"/>
      <c r="D33" s="236">
        <v>2</v>
      </c>
      <c r="E33" s="290">
        <f t="shared" ref="E33:E42" si="12">+E32-D33</f>
        <v>18</v>
      </c>
      <c r="F33" s="290"/>
      <c r="G33" s="290">
        <f t="shared" ref="G33:G42" si="13">+J32/E32</f>
        <v>14.479999999999995</v>
      </c>
      <c r="H33" s="290"/>
      <c r="I33" s="290">
        <f t="shared" ref="I33:I42" si="14">+D33*G33</f>
        <v>28.95999999999999</v>
      </c>
      <c r="J33" s="291">
        <f t="shared" ref="J33:J42" si="15">+J32-I33</f>
        <v>260.63999999999993</v>
      </c>
      <c r="K33" s="252"/>
      <c r="L33" s="252"/>
      <c r="M33" s="253"/>
    </row>
    <row r="34" spans="1:13" s="216" customFormat="1" x14ac:dyDescent="0.35">
      <c r="A34" s="289">
        <v>42864</v>
      </c>
      <c r="B34" s="239" t="s">
        <v>107</v>
      </c>
      <c r="C34" s="248"/>
      <c r="D34" s="290">
        <v>5</v>
      </c>
      <c r="E34" s="290">
        <f t="shared" si="12"/>
        <v>13</v>
      </c>
      <c r="F34" s="290"/>
      <c r="G34" s="290">
        <f t="shared" si="13"/>
        <v>14.479999999999997</v>
      </c>
      <c r="H34" s="290"/>
      <c r="I34" s="290">
        <f t="shared" si="14"/>
        <v>72.399999999999977</v>
      </c>
      <c r="J34" s="291">
        <f t="shared" si="15"/>
        <v>188.23999999999995</v>
      </c>
      <c r="K34" s="252"/>
      <c r="L34" s="252"/>
      <c r="M34" s="253"/>
    </row>
    <row r="35" spans="1:13" s="216" customFormat="1" x14ac:dyDescent="0.35">
      <c r="A35" s="289">
        <v>42864</v>
      </c>
      <c r="B35" s="239" t="s">
        <v>108</v>
      </c>
      <c r="C35" s="248"/>
      <c r="D35" s="290">
        <v>2</v>
      </c>
      <c r="E35" s="290">
        <f t="shared" si="12"/>
        <v>11</v>
      </c>
      <c r="F35" s="290"/>
      <c r="G35" s="290">
        <f t="shared" si="13"/>
        <v>14.479999999999997</v>
      </c>
      <c r="H35" s="290"/>
      <c r="I35" s="290">
        <f t="shared" si="14"/>
        <v>28.959999999999994</v>
      </c>
      <c r="J35" s="291">
        <f t="shared" si="15"/>
        <v>159.27999999999997</v>
      </c>
      <c r="K35" s="252"/>
      <c r="L35" s="252"/>
      <c r="M35" s="253"/>
    </row>
    <row r="36" spans="1:13" s="216" customFormat="1" x14ac:dyDescent="0.35">
      <c r="A36" s="289">
        <v>42866</v>
      </c>
      <c r="B36" s="239" t="s">
        <v>109</v>
      </c>
      <c r="C36" s="248"/>
      <c r="D36" s="290">
        <v>2</v>
      </c>
      <c r="E36" s="290">
        <f t="shared" si="12"/>
        <v>9</v>
      </c>
      <c r="F36" s="290"/>
      <c r="G36" s="290">
        <f t="shared" si="13"/>
        <v>14.479999999999997</v>
      </c>
      <c r="H36" s="290"/>
      <c r="I36" s="290">
        <f t="shared" si="14"/>
        <v>28.959999999999994</v>
      </c>
      <c r="J36" s="291">
        <f t="shared" si="15"/>
        <v>130.32</v>
      </c>
      <c r="K36" s="252"/>
      <c r="L36" s="252"/>
      <c r="M36" s="253"/>
    </row>
    <row r="37" spans="1:13" s="216" customFormat="1" x14ac:dyDescent="0.35">
      <c r="A37" s="289">
        <v>42866</v>
      </c>
      <c r="B37" s="239" t="s">
        <v>110</v>
      </c>
      <c r="C37" s="248"/>
      <c r="D37" s="290">
        <v>0.5</v>
      </c>
      <c r="E37" s="290">
        <f t="shared" si="12"/>
        <v>8.5</v>
      </c>
      <c r="F37" s="290"/>
      <c r="G37" s="290">
        <f t="shared" si="13"/>
        <v>14.479999999999999</v>
      </c>
      <c r="H37" s="290"/>
      <c r="I37" s="290">
        <f t="shared" si="14"/>
        <v>7.2399999999999993</v>
      </c>
      <c r="J37" s="291">
        <f t="shared" si="15"/>
        <v>123.08</v>
      </c>
      <c r="K37" s="252"/>
      <c r="L37" s="252"/>
      <c r="M37" s="253"/>
    </row>
    <row r="38" spans="1:13" s="296" customFormat="1" x14ac:dyDescent="0.35">
      <c r="A38" s="247">
        <v>42868</v>
      </c>
      <c r="B38" s="297" t="s">
        <v>111</v>
      </c>
      <c r="C38" s="248"/>
      <c r="D38" s="248">
        <v>2</v>
      </c>
      <c r="E38" s="248">
        <f t="shared" si="12"/>
        <v>6.5</v>
      </c>
      <c r="F38" s="248"/>
      <c r="G38" s="248">
        <f t="shared" si="13"/>
        <v>14.48</v>
      </c>
      <c r="H38" s="248"/>
      <c r="I38" s="248">
        <f t="shared" si="14"/>
        <v>28.96</v>
      </c>
      <c r="J38" s="249">
        <f t="shared" si="15"/>
        <v>94.12</v>
      </c>
      <c r="K38" s="252">
        <f>SUM(I31:I38)</f>
        <v>231.67999999999992</v>
      </c>
      <c r="L38" s="252"/>
      <c r="M38" s="253">
        <v>42870</v>
      </c>
    </row>
    <row r="39" spans="1:13" s="296" customFormat="1" x14ac:dyDescent="0.35">
      <c r="A39" s="247">
        <v>42873</v>
      </c>
      <c r="B39" s="297" t="s">
        <v>112</v>
      </c>
      <c r="C39" s="248"/>
      <c r="D39" s="248">
        <v>2</v>
      </c>
      <c r="E39" s="248">
        <f t="shared" si="12"/>
        <v>4.5</v>
      </c>
      <c r="F39" s="248"/>
      <c r="G39" s="248">
        <f t="shared" si="13"/>
        <v>14.48</v>
      </c>
      <c r="H39" s="248"/>
      <c r="I39" s="248">
        <f t="shared" si="14"/>
        <v>28.96</v>
      </c>
      <c r="J39" s="249">
        <f t="shared" si="15"/>
        <v>65.16</v>
      </c>
      <c r="K39" s="252">
        <f>SUM(I39)</f>
        <v>28.96</v>
      </c>
      <c r="L39" s="252">
        <f>SUM(K38:K39)</f>
        <v>260.63999999999993</v>
      </c>
      <c r="M39" s="253">
        <v>42886</v>
      </c>
    </row>
    <row r="40" spans="1:13" s="216" customFormat="1" x14ac:dyDescent="0.35">
      <c r="A40" s="247">
        <v>42937</v>
      </c>
      <c r="B40" s="239" t="s">
        <v>141</v>
      </c>
      <c r="C40" s="248"/>
      <c r="D40" s="248">
        <v>1</v>
      </c>
      <c r="E40" s="290">
        <f t="shared" si="12"/>
        <v>3.5</v>
      </c>
      <c r="F40" s="290"/>
      <c r="G40" s="290">
        <f t="shared" si="13"/>
        <v>14.479999999999999</v>
      </c>
      <c r="H40" s="290"/>
      <c r="I40" s="290">
        <f t="shared" si="14"/>
        <v>14.479999999999999</v>
      </c>
      <c r="J40" s="291">
        <f t="shared" si="15"/>
        <v>50.68</v>
      </c>
      <c r="K40" s="252"/>
      <c r="L40" s="252"/>
      <c r="M40" s="253"/>
    </row>
    <row r="41" spans="1:13" s="216" customFormat="1" x14ac:dyDescent="0.35">
      <c r="A41" s="247">
        <v>42942</v>
      </c>
      <c r="B41" s="239" t="s">
        <v>142</v>
      </c>
      <c r="C41" s="248"/>
      <c r="D41" s="248">
        <v>3</v>
      </c>
      <c r="E41" s="290">
        <f t="shared" si="12"/>
        <v>0.5</v>
      </c>
      <c r="F41" s="290"/>
      <c r="G41" s="290">
        <f t="shared" si="13"/>
        <v>14.48</v>
      </c>
      <c r="H41" s="290"/>
      <c r="I41" s="290">
        <f t="shared" si="14"/>
        <v>43.44</v>
      </c>
      <c r="J41" s="291">
        <f t="shared" si="15"/>
        <v>7.240000000000002</v>
      </c>
      <c r="K41" s="252"/>
      <c r="L41" s="252"/>
      <c r="M41" s="253"/>
    </row>
    <row r="42" spans="1:13" s="296" customFormat="1" x14ac:dyDescent="0.35">
      <c r="A42" s="247">
        <v>42945</v>
      </c>
      <c r="B42" s="297" t="s">
        <v>144</v>
      </c>
      <c r="C42" s="248"/>
      <c r="D42" s="248">
        <v>0.5</v>
      </c>
      <c r="E42" s="248">
        <f t="shared" si="12"/>
        <v>0</v>
      </c>
      <c r="F42" s="248"/>
      <c r="G42" s="248">
        <f t="shared" si="13"/>
        <v>14.480000000000004</v>
      </c>
      <c r="H42" s="248"/>
      <c r="I42" s="248">
        <f t="shared" si="14"/>
        <v>7.240000000000002</v>
      </c>
      <c r="J42" s="249">
        <f t="shared" si="15"/>
        <v>0</v>
      </c>
      <c r="K42" s="252">
        <f>SUM(I40:I42)</f>
        <v>65.16</v>
      </c>
      <c r="L42" s="347">
        <f>SUM(K42)</f>
        <v>65.16</v>
      </c>
      <c r="M42" s="253">
        <v>42947</v>
      </c>
    </row>
    <row r="43" spans="1:13" s="216" customFormat="1" ht="15" thickBot="1" x14ac:dyDescent="0.4">
      <c r="A43" s="247"/>
      <c r="B43" s="239" t="s">
        <v>138</v>
      </c>
      <c r="C43" s="248">
        <f>SUM(C11:C42)</f>
        <v>66.5</v>
      </c>
      <c r="D43" s="248">
        <f>SUM(D11:D42)</f>
        <v>66.5</v>
      </c>
      <c r="E43" s="290"/>
      <c r="F43" s="290"/>
      <c r="G43" s="290"/>
      <c r="H43" s="248">
        <f t="shared" ref="H43:I43" si="16">SUM(H11:H42)</f>
        <v>962.92</v>
      </c>
      <c r="I43" s="248">
        <f t="shared" si="16"/>
        <v>962.9200000000003</v>
      </c>
      <c r="J43" s="291"/>
      <c r="K43" s="252"/>
      <c r="L43" s="346">
        <f>SUM(L12:L42)</f>
        <v>962.91999999999973</v>
      </c>
      <c r="M43" s="253"/>
    </row>
    <row r="44" spans="1:13" ht="15" thickTop="1" x14ac:dyDescent="0.35"/>
    <row r="46" spans="1:13" x14ac:dyDescent="0.35">
      <c r="A46" s="202" t="s">
        <v>629</v>
      </c>
      <c r="B46" s="234"/>
      <c r="C46" s="233"/>
      <c r="D46" s="233"/>
      <c r="E46" s="233"/>
      <c r="F46" s="233"/>
      <c r="G46" s="251"/>
      <c r="H46" s="251"/>
      <c r="I46" s="251"/>
      <c r="J46" s="251"/>
    </row>
    <row r="47" spans="1:13" x14ac:dyDescent="0.35">
      <c r="A47" s="202" t="s">
        <v>631</v>
      </c>
      <c r="B47" s="234"/>
      <c r="C47" s="233"/>
      <c r="D47" s="233"/>
      <c r="E47" s="233"/>
      <c r="F47" s="233"/>
      <c r="G47" s="251"/>
      <c r="H47" s="251"/>
      <c r="I47" s="251"/>
      <c r="J47" s="174">
        <f>+E42*F11</f>
        <v>0</v>
      </c>
    </row>
    <row r="48" spans="1:13" x14ac:dyDescent="0.35">
      <c r="A48" s="202" t="s">
        <v>630</v>
      </c>
      <c r="B48" s="234"/>
      <c r="C48" s="233"/>
      <c r="D48" s="233"/>
      <c r="E48" s="233"/>
      <c r="F48" s="233"/>
      <c r="G48" s="251"/>
      <c r="H48" s="251"/>
      <c r="I48" s="251"/>
      <c r="J48" s="203">
        <f>+J42</f>
        <v>0</v>
      </c>
    </row>
    <row r="49" spans="1:10" ht="15" thickBot="1" x14ac:dyDescent="0.4">
      <c r="A49" s="202"/>
      <c r="B49" s="234" t="s">
        <v>29</v>
      </c>
      <c r="C49" s="233"/>
      <c r="D49" s="233"/>
      <c r="E49" s="233"/>
      <c r="F49" s="233"/>
      <c r="G49" s="251"/>
      <c r="H49" s="251"/>
      <c r="I49" s="251"/>
      <c r="J49" s="206">
        <f>+J47-J48</f>
        <v>0</v>
      </c>
    </row>
    <row r="50" spans="1:10" ht="15" thickTop="1" x14ac:dyDescent="0.35"/>
  </sheetData>
  <mergeCells count="5">
    <mergeCell ref="A5:I5"/>
    <mergeCell ref="A6:J6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A9E0-A033-4F1D-BC17-AD5B96605A58}">
  <dimension ref="A1:M130"/>
  <sheetViews>
    <sheetView topLeftCell="A43" workbookViewId="0">
      <selection activeCell="E18" sqref="E18"/>
    </sheetView>
  </sheetViews>
  <sheetFormatPr baseColWidth="10" defaultRowHeight="14.5" x14ac:dyDescent="0.35"/>
  <sheetData>
    <row r="1" spans="1:13" x14ac:dyDescent="0.35">
      <c r="A1" s="217" t="s">
        <v>676</v>
      </c>
      <c r="B1" s="218"/>
      <c r="C1" s="231"/>
      <c r="D1" s="231"/>
      <c r="E1" s="231"/>
      <c r="F1" s="231"/>
      <c r="G1" s="231"/>
      <c r="H1" s="231"/>
      <c r="I1" s="231"/>
      <c r="J1" s="254"/>
      <c r="K1" s="251"/>
      <c r="L1" s="251"/>
      <c r="M1" s="251"/>
    </row>
    <row r="2" spans="1:13" x14ac:dyDescent="0.35">
      <c r="A2" s="219" t="s">
        <v>677</v>
      </c>
      <c r="B2" s="422"/>
      <c r="C2" s="251"/>
      <c r="D2" s="251"/>
      <c r="E2" s="251"/>
      <c r="F2" s="251"/>
      <c r="G2" s="251"/>
      <c r="H2" s="423" t="s">
        <v>1</v>
      </c>
      <c r="I2" s="251"/>
      <c r="J2" s="255"/>
      <c r="K2" s="251"/>
      <c r="L2" s="251"/>
      <c r="M2" s="251"/>
    </row>
    <row r="3" spans="1:13" x14ac:dyDescent="0.35">
      <c r="A3" s="221" t="s">
        <v>3</v>
      </c>
      <c r="B3" s="424"/>
      <c r="C3" s="251"/>
      <c r="D3" s="251"/>
      <c r="E3" s="251"/>
      <c r="F3" s="251"/>
      <c r="G3" s="251"/>
      <c r="H3" s="423" t="s">
        <v>678</v>
      </c>
      <c r="I3" s="251"/>
      <c r="J3" s="255"/>
      <c r="K3" s="251"/>
      <c r="L3" s="251"/>
      <c r="M3" s="251"/>
    </row>
    <row r="4" spans="1:13" x14ac:dyDescent="0.35">
      <c r="A4" s="223"/>
      <c r="B4" s="251"/>
      <c r="C4" s="251"/>
      <c r="D4" s="424" t="s">
        <v>5</v>
      </c>
      <c r="E4" s="424"/>
      <c r="F4" s="424"/>
      <c r="G4" s="424"/>
      <c r="H4" s="251" t="s">
        <v>25</v>
      </c>
      <c r="I4" s="251"/>
      <c r="J4" s="255"/>
      <c r="K4" s="251"/>
      <c r="L4" s="251"/>
      <c r="M4" s="251"/>
    </row>
    <row r="5" spans="1:13" x14ac:dyDescent="0.35">
      <c r="A5" s="388" t="s">
        <v>62</v>
      </c>
      <c r="B5" s="425"/>
      <c r="C5" s="425"/>
      <c r="D5" s="425"/>
      <c r="E5" s="425"/>
      <c r="F5" s="425"/>
      <c r="G5" s="425"/>
      <c r="H5" s="425"/>
      <c r="I5" s="425"/>
      <c r="J5" s="255"/>
      <c r="K5" s="251"/>
      <c r="L5" s="251"/>
      <c r="M5" s="251"/>
    </row>
    <row r="6" spans="1:13" x14ac:dyDescent="0.35">
      <c r="A6" s="390" t="s">
        <v>6</v>
      </c>
      <c r="B6" s="426"/>
      <c r="C6" s="426"/>
      <c r="D6" s="426"/>
      <c r="E6" s="426"/>
      <c r="F6" s="426"/>
      <c r="G6" s="426"/>
      <c r="H6" s="426"/>
      <c r="I6" s="426"/>
      <c r="J6" s="392"/>
      <c r="K6" s="251"/>
      <c r="L6" s="251"/>
      <c r="M6" s="251"/>
    </row>
    <row r="7" spans="1:13" x14ac:dyDescent="0.35">
      <c r="A7" s="223"/>
      <c r="B7" s="251"/>
      <c r="C7" s="251"/>
      <c r="D7" s="251"/>
      <c r="E7" s="251"/>
      <c r="F7" s="251"/>
      <c r="G7" s="251"/>
      <c r="H7" s="251"/>
      <c r="I7" s="251"/>
      <c r="J7" s="255"/>
      <c r="K7" s="251"/>
      <c r="L7" s="251"/>
      <c r="M7" s="251"/>
    </row>
    <row r="8" spans="1:13" x14ac:dyDescent="0.35">
      <c r="A8" s="223"/>
      <c r="B8" s="251"/>
      <c r="C8" s="251"/>
      <c r="D8" s="251"/>
      <c r="E8" s="251"/>
      <c r="F8" s="251"/>
      <c r="G8" s="251"/>
      <c r="H8" s="251"/>
      <c r="I8" s="251"/>
      <c r="J8" s="255"/>
      <c r="K8" s="251"/>
      <c r="L8" s="251"/>
      <c r="M8" s="251"/>
    </row>
    <row r="9" spans="1:13" x14ac:dyDescent="0.35">
      <c r="A9" s="262" t="s">
        <v>7</v>
      </c>
      <c r="B9" s="263" t="s">
        <v>8</v>
      </c>
      <c r="C9" s="393" t="s">
        <v>9</v>
      </c>
      <c r="D9" s="394"/>
      <c r="E9" s="395"/>
      <c r="F9" s="413" t="s">
        <v>10</v>
      </c>
      <c r="G9" s="414"/>
      <c r="H9" s="393" t="s">
        <v>11</v>
      </c>
      <c r="I9" s="394"/>
      <c r="J9" s="397"/>
      <c r="K9" s="251"/>
      <c r="L9" s="251"/>
      <c r="M9" s="251"/>
    </row>
    <row r="10" spans="1:13" x14ac:dyDescent="0.35">
      <c r="A10" s="256"/>
      <c r="B10" s="257"/>
      <c r="C10" s="427" t="s">
        <v>26</v>
      </c>
      <c r="D10" s="428" t="s">
        <v>14</v>
      </c>
      <c r="E10" s="429" t="s">
        <v>20</v>
      </c>
      <c r="F10" s="428" t="s">
        <v>16</v>
      </c>
      <c r="G10" s="428" t="s">
        <v>17</v>
      </c>
      <c r="H10" s="427" t="s">
        <v>18</v>
      </c>
      <c r="I10" s="428" t="s">
        <v>19</v>
      </c>
      <c r="J10" s="430" t="s">
        <v>20</v>
      </c>
      <c r="K10" s="251"/>
      <c r="L10" s="251"/>
      <c r="M10" s="251"/>
    </row>
    <row r="11" spans="1:13" x14ac:dyDescent="0.35">
      <c r="A11" s="238">
        <v>42737</v>
      </c>
      <c r="B11" s="239" t="s">
        <v>33</v>
      </c>
      <c r="C11" s="431">
        <v>397</v>
      </c>
      <c r="D11" s="431"/>
      <c r="E11" s="431">
        <v>397</v>
      </c>
      <c r="F11" s="290">
        <f>+H11/C11</f>
        <v>12.149924433249371</v>
      </c>
      <c r="G11" s="290"/>
      <c r="H11" s="290">
        <v>4823.5200000000004</v>
      </c>
      <c r="I11" s="290"/>
      <c r="J11" s="240">
        <f>+H11</f>
        <v>4823.5200000000004</v>
      </c>
      <c r="K11" s="252"/>
      <c r="L11" s="251"/>
      <c r="M11" s="251"/>
    </row>
    <row r="12" spans="1:13" x14ac:dyDescent="0.35">
      <c r="A12" s="238">
        <v>42754</v>
      </c>
      <c r="B12" s="239" t="s">
        <v>679</v>
      </c>
      <c r="C12" s="239"/>
      <c r="D12" s="239">
        <v>1</v>
      </c>
      <c r="E12" s="239">
        <f>+E11-D12</f>
        <v>396</v>
      </c>
      <c r="F12" s="236"/>
      <c r="G12" s="236">
        <f>+J11/E11</f>
        <v>12.149924433249371</v>
      </c>
      <c r="H12" s="236"/>
      <c r="I12" s="236">
        <f>+G12*D12</f>
        <v>12.149924433249371</v>
      </c>
      <c r="J12" s="240">
        <f>+J11-I12</f>
        <v>4811.3700755667514</v>
      </c>
      <c r="K12" s="252"/>
      <c r="L12" s="251"/>
      <c r="M12" s="251"/>
    </row>
    <row r="13" spans="1:13" x14ac:dyDescent="0.35">
      <c r="A13" s="238">
        <v>42754</v>
      </c>
      <c r="B13" s="239" t="s">
        <v>680</v>
      </c>
      <c r="C13" s="239"/>
      <c r="D13" s="239">
        <v>3</v>
      </c>
      <c r="E13" s="239">
        <f t="shared" ref="E13:E16" si="0">+E12-D13</f>
        <v>393</v>
      </c>
      <c r="F13" s="236"/>
      <c r="G13" s="236">
        <f t="shared" ref="G13:G16" si="1">+J12/E12</f>
        <v>12.149924433249373</v>
      </c>
      <c r="H13" s="236"/>
      <c r="I13" s="236">
        <f t="shared" ref="I13:I16" si="2">+G13*D13</f>
        <v>36.449773299748117</v>
      </c>
      <c r="J13" s="240">
        <f t="shared" ref="J13:J16" si="3">+J12-I13</f>
        <v>4774.9203022670035</v>
      </c>
      <c r="K13" s="252"/>
      <c r="L13" s="251"/>
      <c r="M13" s="251"/>
    </row>
    <row r="14" spans="1:13" x14ac:dyDescent="0.35">
      <c r="A14" s="238">
        <v>42756</v>
      </c>
      <c r="B14" s="239" t="s">
        <v>681</v>
      </c>
      <c r="C14" s="239"/>
      <c r="D14" s="239">
        <v>1</v>
      </c>
      <c r="E14" s="239">
        <f t="shared" si="0"/>
        <v>392</v>
      </c>
      <c r="F14" s="236"/>
      <c r="G14" s="236">
        <f t="shared" si="1"/>
        <v>12.149924433249373</v>
      </c>
      <c r="H14" s="236"/>
      <c r="I14" s="236">
        <f t="shared" si="2"/>
        <v>12.149924433249373</v>
      </c>
      <c r="J14" s="240">
        <f t="shared" si="3"/>
        <v>4762.7703778337545</v>
      </c>
      <c r="K14" s="252"/>
      <c r="L14" s="251"/>
      <c r="M14" s="251"/>
    </row>
    <row r="15" spans="1:13" x14ac:dyDescent="0.35">
      <c r="A15" s="238">
        <v>42759</v>
      </c>
      <c r="B15" s="239" t="s">
        <v>44</v>
      </c>
      <c r="C15" s="239"/>
      <c r="D15" s="239">
        <v>2</v>
      </c>
      <c r="E15" s="239">
        <f t="shared" si="0"/>
        <v>390</v>
      </c>
      <c r="F15" s="236"/>
      <c r="G15" s="236">
        <f t="shared" si="1"/>
        <v>12.149924433249375</v>
      </c>
      <c r="H15" s="236"/>
      <c r="I15" s="236">
        <f t="shared" si="2"/>
        <v>24.299848866498749</v>
      </c>
      <c r="J15" s="240">
        <f t="shared" si="3"/>
        <v>4738.4705289672556</v>
      </c>
      <c r="K15" s="252"/>
      <c r="L15" s="251"/>
      <c r="M15" s="251"/>
    </row>
    <row r="16" spans="1:13" x14ac:dyDescent="0.35">
      <c r="A16" s="238">
        <v>42759</v>
      </c>
      <c r="B16" s="239" t="s">
        <v>682</v>
      </c>
      <c r="C16" s="239"/>
      <c r="D16" s="239">
        <v>3</v>
      </c>
      <c r="E16" s="239">
        <f t="shared" si="0"/>
        <v>387</v>
      </c>
      <c r="F16" s="236"/>
      <c r="G16" s="236">
        <f t="shared" si="1"/>
        <v>12.149924433249373</v>
      </c>
      <c r="H16" s="236"/>
      <c r="I16" s="236">
        <f t="shared" si="2"/>
        <v>36.449773299748117</v>
      </c>
      <c r="J16" s="240">
        <f t="shared" si="3"/>
        <v>4702.0207556675077</v>
      </c>
      <c r="K16" s="252"/>
      <c r="L16" s="251"/>
      <c r="M16" s="251"/>
    </row>
    <row r="17" spans="1:13" x14ac:dyDescent="0.35">
      <c r="A17" s="247">
        <v>42759</v>
      </c>
      <c r="B17" s="297" t="s">
        <v>683</v>
      </c>
      <c r="C17" s="297">
        <v>92</v>
      </c>
      <c r="D17" s="297"/>
      <c r="E17" s="297">
        <f>+E16+C17</f>
        <v>479</v>
      </c>
      <c r="F17" s="248">
        <f>+H17/C17</f>
        <v>12.149928260869565</v>
      </c>
      <c r="G17" s="248"/>
      <c r="H17" s="248">
        <f>1284.82*0.87</f>
        <v>1117.7934</v>
      </c>
      <c r="I17" s="248"/>
      <c r="J17" s="249">
        <f>+J16+H17</f>
        <v>5819.8141556675073</v>
      </c>
      <c r="K17" s="252">
        <f>SUM(I12:I16)</f>
        <v>121.49924433249372</v>
      </c>
      <c r="L17" s="252">
        <f>SUM(K17)</f>
        <v>121.49924433249372</v>
      </c>
      <c r="M17" s="253">
        <v>42766</v>
      </c>
    </row>
    <row r="18" spans="1:13" x14ac:dyDescent="0.35">
      <c r="A18" s="238">
        <v>42775</v>
      </c>
      <c r="B18" s="239" t="s">
        <v>684</v>
      </c>
      <c r="C18" s="239"/>
      <c r="D18" s="239">
        <v>2</v>
      </c>
      <c r="E18" s="239">
        <f>+E17-D18</f>
        <v>477</v>
      </c>
      <c r="F18" s="236"/>
      <c r="G18" s="236">
        <f>+J17/E17</f>
        <v>12.149925168408156</v>
      </c>
      <c r="H18" s="236"/>
      <c r="I18" s="236">
        <f>+D18*G18</f>
        <v>24.299850336816313</v>
      </c>
      <c r="J18" s="240">
        <f>+J17-I18</f>
        <v>5795.5143053306911</v>
      </c>
      <c r="K18" s="252"/>
      <c r="L18" s="251"/>
      <c r="M18" s="251"/>
    </row>
    <row r="19" spans="1:13" x14ac:dyDescent="0.35">
      <c r="A19" s="247">
        <v>42779</v>
      </c>
      <c r="B19" s="297" t="s">
        <v>685</v>
      </c>
      <c r="C19" s="297"/>
      <c r="D19" s="297">
        <v>1</v>
      </c>
      <c r="E19" s="297">
        <f t="shared" ref="E19:E36" si="4">+E18-D19</f>
        <v>476</v>
      </c>
      <c r="F19" s="248"/>
      <c r="G19" s="248">
        <f t="shared" ref="G19:G36" si="5">+J18/E18</f>
        <v>12.149925168408158</v>
      </c>
      <c r="H19" s="248"/>
      <c r="I19" s="248">
        <f t="shared" ref="I19:I36" si="6">+D19*G19</f>
        <v>12.149925168408158</v>
      </c>
      <c r="J19" s="249">
        <f t="shared" ref="J19:J36" si="7">+J18-I19</f>
        <v>5783.3643801622829</v>
      </c>
      <c r="K19" s="252">
        <f>SUM(I18:I19)</f>
        <v>36.449775505224473</v>
      </c>
      <c r="L19" s="200"/>
      <c r="M19" s="253">
        <v>42781</v>
      </c>
    </row>
    <row r="20" spans="1:13" x14ac:dyDescent="0.35">
      <c r="A20" s="238">
        <v>42790</v>
      </c>
      <c r="B20" s="239" t="s">
        <v>686</v>
      </c>
      <c r="C20" s="239"/>
      <c r="D20" s="239">
        <v>1</v>
      </c>
      <c r="E20" s="239">
        <f t="shared" si="4"/>
        <v>475</v>
      </c>
      <c r="F20" s="236"/>
      <c r="G20" s="236">
        <f t="shared" si="5"/>
        <v>12.149925168408158</v>
      </c>
      <c r="H20" s="236"/>
      <c r="I20" s="236">
        <f t="shared" si="6"/>
        <v>12.149925168408158</v>
      </c>
      <c r="J20" s="240">
        <f t="shared" si="7"/>
        <v>5771.2144549938748</v>
      </c>
      <c r="K20" s="252"/>
      <c r="L20" s="251"/>
      <c r="M20" s="251"/>
    </row>
    <row r="21" spans="1:13" x14ac:dyDescent="0.35">
      <c r="A21" s="247">
        <v>42790</v>
      </c>
      <c r="B21" s="297" t="s">
        <v>687</v>
      </c>
      <c r="C21" s="297"/>
      <c r="D21" s="297">
        <v>12</v>
      </c>
      <c r="E21" s="297">
        <f t="shared" si="4"/>
        <v>463</v>
      </c>
      <c r="F21" s="248"/>
      <c r="G21" s="248">
        <f t="shared" si="5"/>
        <v>12.149925168408158</v>
      </c>
      <c r="H21" s="248"/>
      <c r="I21" s="248">
        <f t="shared" si="6"/>
        <v>145.79910202089789</v>
      </c>
      <c r="J21" s="249">
        <f t="shared" si="7"/>
        <v>5625.4153529729765</v>
      </c>
      <c r="K21" s="252">
        <f>SUM(I20:I21)</f>
        <v>157.94902718930604</v>
      </c>
      <c r="L21" s="252">
        <f>SUM(K19:K21)</f>
        <v>194.3988026945305</v>
      </c>
      <c r="M21" s="253">
        <v>42794</v>
      </c>
    </row>
    <row r="22" spans="1:13" x14ac:dyDescent="0.35">
      <c r="A22" s="238">
        <v>42797</v>
      </c>
      <c r="B22" s="239" t="s">
        <v>688</v>
      </c>
      <c r="C22" s="239"/>
      <c r="D22" s="239">
        <v>1</v>
      </c>
      <c r="E22" s="239">
        <f t="shared" si="4"/>
        <v>462</v>
      </c>
      <c r="F22" s="236"/>
      <c r="G22" s="236">
        <f t="shared" si="5"/>
        <v>12.149925168408156</v>
      </c>
      <c r="H22" s="236"/>
      <c r="I22" s="236">
        <f t="shared" si="6"/>
        <v>12.149925168408156</v>
      </c>
      <c r="J22" s="240">
        <f t="shared" si="7"/>
        <v>5613.2654278045684</v>
      </c>
      <c r="K22" s="252"/>
      <c r="L22" s="251"/>
      <c r="M22" s="251"/>
    </row>
    <row r="23" spans="1:13" x14ac:dyDescent="0.35">
      <c r="A23" s="238">
        <v>42798</v>
      </c>
      <c r="B23" s="239" t="s">
        <v>689</v>
      </c>
      <c r="C23" s="239"/>
      <c r="D23" s="239">
        <v>5</v>
      </c>
      <c r="E23" s="239">
        <f t="shared" si="4"/>
        <v>457</v>
      </c>
      <c r="F23" s="236"/>
      <c r="G23" s="236">
        <f t="shared" si="5"/>
        <v>12.149925168408156</v>
      </c>
      <c r="H23" s="236"/>
      <c r="I23" s="236">
        <f t="shared" si="6"/>
        <v>60.749625842040786</v>
      </c>
      <c r="J23" s="240">
        <f t="shared" si="7"/>
        <v>5552.5158019625278</v>
      </c>
      <c r="K23" s="252"/>
      <c r="L23" s="251"/>
      <c r="M23" s="251"/>
    </row>
    <row r="24" spans="1:13" x14ac:dyDescent="0.35">
      <c r="A24" s="238">
        <v>42801</v>
      </c>
      <c r="B24" s="239" t="s">
        <v>73</v>
      </c>
      <c r="C24" s="239"/>
      <c r="D24" s="239">
        <v>2</v>
      </c>
      <c r="E24" s="239">
        <f t="shared" si="4"/>
        <v>455</v>
      </c>
      <c r="F24" s="236"/>
      <c r="G24" s="236">
        <f t="shared" si="5"/>
        <v>12.149925168408156</v>
      </c>
      <c r="H24" s="236"/>
      <c r="I24" s="236">
        <f t="shared" si="6"/>
        <v>24.299850336816313</v>
      </c>
      <c r="J24" s="240">
        <f t="shared" si="7"/>
        <v>5528.2159516257116</v>
      </c>
      <c r="K24" s="252"/>
      <c r="L24" s="251"/>
      <c r="M24" s="251"/>
    </row>
    <row r="25" spans="1:13" x14ac:dyDescent="0.35">
      <c r="A25" s="247">
        <v>42802</v>
      </c>
      <c r="B25" s="297" t="s">
        <v>690</v>
      </c>
      <c r="C25" s="297"/>
      <c r="D25" s="297">
        <v>2</v>
      </c>
      <c r="E25" s="297">
        <f t="shared" si="4"/>
        <v>453</v>
      </c>
      <c r="F25" s="248"/>
      <c r="G25" s="248">
        <f t="shared" si="5"/>
        <v>12.149925168408158</v>
      </c>
      <c r="H25" s="248"/>
      <c r="I25" s="248">
        <f t="shared" si="6"/>
        <v>24.299850336816316</v>
      </c>
      <c r="J25" s="249">
        <f t="shared" si="7"/>
        <v>5503.9161012888953</v>
      </c>
      <c r="K25" s="252">
        <f>SUM(I22:I25)</f>
        <v>121.49925168408157</v>
      </c>
      <c r="L25" s="200"/>
      <c r="M25" s="253">
        <v>42809</v>
      </c>
    </row>
    <row r="26" spans="1:13" x14ac:dyDescent="0.35">
      <c r="A26" s="247">
        <v>42811</v>
      </c>
      <c r="B26" s="297" t="s">
        <v>691</v>
      </c>
      <c r="C26" s="297"/>
      <c r="D26" s="297">
        <v>5</v>
      </c>
      <c r="E26" s="297">
        <f t="shared" si="4"/>
        <v>448</v>
      </c>
      <c r="F26" s="248"/>
      <c r="G26" s="248">
        <f t="shared" si="5"/>
        <v>12.149925168408158</v>
      </c>
      <c r="H26" s="248"/>
      <c r="I26" s="248">
        <f t="shared" si="6"/>
        <v>60.749625842040793</v>
      </c>
      <c r="J26" s="249">
        <f t="shared" si="7"/>
        <v>5443.1664754468547</v>
      </c>
      <c r="K26" s="252">
        <f>SUM(I26)</f>
        <v>60.749625842040793</v>
      </c>
      <c r="L26" s="252">
        <f>SUM(K25:K26)</f>
        <v>182.24887752612236</v>
      </c>
      <c r="M26" s="253">
        <v>42825</v>
      </c>
    </row>
    <row r="27" spans="1:13" x14ac:dyDescent="0.35">
      <c r="A27" s="238">
        <v>42829</v>
      </c>
      <c r="B27" s="239" t="s">
        <v>692</v>
      </c>
      <c r="C27" s="239">
        <v>92</v>
      </c>
      <c r="D27" s="239"/>
      <c r="E27" s="239">
        <f>+E26+C27</f>
        <v>540</v>
      </c>
      <c r="F27" s="236">
        <f>+H27/C27</f>
        <v>12.149928260869565</v>
      </c>
      <c r="G27" s="236"/>
      <c r="H27" s="236">
        <f>1284.82*0.87</f>
        <v>1117.7934</v>
      </c>
      <c r="I27" s="236"/>
      <c r="J27" s="240">
        <f>+J26+H27</f>
        <v>6560.9598754468552</v>
      </c>
      <c r="K27" s="252"/>
      <c r="L27" s="251"/>
      <c r="M27" s="251"/>
    </row>
    <row r="28" spans="1:13" x14ac:dyDescent="0.35">
      <c r="A28" s="238">
        <v>42842</v>
      </c>
      <c r="B28" s="239" t="s">
        <v>693</v>
      </c>
      <c r="C28" s="239"/>
      <c r="D28" s="239">
        <v>5</v>
      </c>
      <c r="E28" s="239">
        <f>+E27-D28</f>
        <v>535</v>
      </c>
      <c r="F28" s="236"/>
      <c r="G28" s="236">
        <f>+J26/E26</f>
        <v>12.149925168408158</v>
      </c>
      <c r="H28" s="236"/>
      <c r="I28" s="236">
        <f t="shared" si="6"/>
        <v>60.749625842040793</v>
      </c>
      <c r="J28" s="240">
        <f>+J27-I28</f>
        <v>6500.2102496048146</v>
      </c>
      <c r="K28" s="252"/>
      <c r="L28" s="251"/>
      <c r="M28" s="251"/>
    </row>
    <row r="29" spans="1:13" x14ac:dyDescent="0.35">
      <c r="A29" s="238">
        <v>42844</v>
      </c>
      <c r="B29" s="239" t="s">
        <v>694</v>
      </c>
      <c r="C29" s="239"/>
      <c r="D29" s="239">
        <v>2</v>
      </c>
      <c r="E29" s="239">
        <f t="shared" si="4"/>
        <v>533</v>
      </c>
      <c r="F29" s="236"/>
      <c r="G29" s="236">
        <f t="shared" si="5"/>
        <v>12.149925700195915</v>
      </c>
      <c r="H29" s="236"/>
      <c r="I29" s="236">
        <f t="shared" si="6"/>
        <v>24.29985140039183</v>
      </c>
      <c r="J29" s="240">
        <f t="shared" si="7"/>
        <v>6475.9103982044226</v>
      </c>
      <c r="K29" s="252"/>
      <c r="L29" s="251"/>
      <c r="M29" s="251"/>
    </row>
    <row r="30" spans="1:13" x14ac:dyDescent="0.35">
      <c r="A30" s="247">
        <v>42847</v>
      </c>
      <c r="B30" s="297" t="s">
        <v>695</v>
      </c>
      <c r="C30" s="297"/>
      <c r="D30" s="297">
        <v>4</v>
      </c>
      <c r="E30" s="297">
        <f t="shared" si="4"/>
        <v>529</v>
      </c>
      <c r="F30" s="248"/>
      <c r="G30" s="248">
        <f t="shared" si="5"/>
        <v>12.149925700195915</v>
      </c>
      <c r="H30" s="248"/>
      <c r="I30" s="248">
        <f t="shared" si="6"/>
        <v>48.59970280078366</v>
      </c>
      <c r="J30" s="249">
        <f t="shared" si="7"/>
        <v>6427.3106954036393</v>
      </c>
      <c r="K30" s="252">
        <f>SUM(I28:I30)</f>
        <v>133.64918004321629</v>
      </c>
      <c r="L30" s="252">
        <f>SUM(K30)</f>
        <v>133.64918004321629</v>
      </c>
      <c r="M30" s="253">
        <v>42855</v>
      </c>
    </row>
    <row r="31" spans="1:13" x14ac:dyDescent="0.35">
      <c r="A31" s="238">
        <v>42872</v>
      </c>
      <c r="B31" s="239" t="s">
        <v>696</v>
      </c>
      <c r="C31" s="239"/>
      <c r="D31" s="239">
        <v>1</v>
      </c>
      <c r="E31" s="239">
        <f t="shared" si="4"/>
        <v>528</v>
      </c>
      <c r="F31" s="236"/>
      <c r="G31" s="236">
        <f t="shared" si="5"/>
        <v>12.149925700195915</v>
      </c>
      <c r="H31" s="236"/>
      <c r="I31" s="236">
        <f t="shared" si="6"/>
        <v>12.149925700195915</v>
      </c>
      <c r="J31" s="240">
        <f t="shared" si="7"/>
        <v>6415.1607697034433</v>
      </c>
      <c r="K31" s="252"/>
      <c r="L31" s="251"/>
      <c r="M31" s="251"/>
    </row>
    <row r="32" spans="1:13" x14ac:dyDescent="0.35">
      <c r="A32" s="238">
        <v>42877</v>
      </c>
      <c r="B32" s="239" t="s">
        <v>697</v>
      </c>
      <c r="C32" s="239"/>
      <c r="D32" s="239">
        <v>2</v>
      </c>
      <c r="E32" s="239">
        <f t="shared" si="4"/>
        <v>526</v>
      </c>
      <c r="F32" s="236"/>
      <c r="G32" s="236">
        <f t="shared" si="5"/>
        <v>12.149925700195915</v>
      </c>
      <c r="H32" s="236"/>
      <c r="I32" s="236">
        <f t="shared" si="6"/>
        <v>24.29985140039183</v>
      </c>
      <c r="J32" s="240">
        <f t="shared" si="7"/>
        <v>6390.8609183030512</v>
      </c>
      <c r="K32" s="252"/>
      <c r="L32" s="251"/>
      <c r="M32" s="251"/>
    </row>
    <row r="33" spans="1:13" x14ac:dyDescent="0.35">
      <c r="A33" s="247">
        <v>42881</v>
      </c>
      <c r="B33" s="297" t="s">
        <v>103</v>
      </c>
      <c r="C33" s="297"/>
      <c r="D33" s="297">
        <v>2</v>
      </c>
      <c r="E33" s="297">
        <f t="shared" si="4"/>
        <v>524</v>
      </c>
      <c r="F33" s="248"/>
      <c r="G33" s="248">
        <f t="shared" si="5"/>
        <v>12.149925700195915</v>
      </c>
      <c r="H33" s="248"/>
      <c r="I33" s="248">
        <f t="shared" si="6"/>
        <v>24.29985140039183</v>
      </c>
      <c r="J33" s="249">
        <f t="shared" si="7"/>
        <v>6366.5610669026591</v>
      </c>
      <c r="K33" s="252">
        <f>SUM(I31:I33)</f>
        <v>60.749628500979576</v>
      </c>
      <c r="L33" s="252">
        <f>SUM(K33)</f>
        <v>60.749628500979576</v>
      </c>
      <c r="M33" s="253">
        <v>42886</v>
      </c>
    </row>
    <row r="34" spans="1:13" x14ac:dyDescent="0.35">
      <c r="A34" s="238">
        <v>42887</v>
      </c>
      <c r="B34" s="239" t="s">
        <v>698</v>
      </c>
      <c r="C34" s="239"/>
      <c r="D34" s="239">
        <v>1</v>
      </c>
      <c r="E34" s="239">
        <f t="shared" si="4"/>
        <v>523</v>
      </c>
      <c r="F34" s="236"/>
      <c r="G34" s="236">
        <f t="shared" si="5"/>
        <v>12.149925700195915</v>
      </c>
      <c r="H34" s="236"/>
      <c r="I34" s="236">
        <f t="shared" si="6"/>
        <v>12.149925700195915</v>
      </c>
      <c r="J34" s="240">
        <f t="shared" si="7"/>
        <v>6354.4111412024631</v>
      </c>
      <c r="K34" s="252"/>
      <c r="L34" s="251"/>
      <c r="M34" s="251"/>
    </row>
    <row r="35" spans="1:13" x14ac:dyDescent="0.35">
      <c r="A35" s="238">
        <v>42892</v>
      </c>
      <c r="B35" s="239" t="s">
        <v>699</v>
      </c>
      <c r="C35" s="239"/>
      <c r="D35" s="239">
        <v>1</v>
      </c>
      <c r="E35" s="239">
        <f t="shared" si="4"/>
        <v>522</v>
      </c>
      <c r="F35" s="236"/>
      <c r="G35" s="236">
        <f t="shared" si="5"/>
        <v>12.149925700195913</v>
      </c>
      <c r="H35" s="236"/>
      <c r="I35" s="236">
        <f t="shared" si="6"/>
        <v>12.149925700195913</v>
      </c>
      <c r="J35" s="240">
        <f t="shared" si="7"/>
        <v>6342.2612155022671</v>
      </c>
      <c r="K35" s="252"/>
      <c r="L35" s="251"/>
      <c r="M35" s="251"/>
    </row>
    <row r="36" spans="1:13" x14ac:dyDescent="0.35">
      <c r="A36" s="238">
        <v>42893</v>
      </c>
      <c r="B36" s="239" t="s">
        <v>700</v>
      </c>
      <c r="C36" s="239"/>
      <c r="D36" s="239">
        <v>1</v>
      </c>
      <c r="E36" s="239">
        <f t="shared" si="4"/>
        <v>521</v>
      </c>
      <c r="F36" s="236"/>
      <c r="G36" s="236">
        <f t="shared" si="5"/>
        <v>12.149925700195913</v>
      </c>
      <c r="H36" s="236"/>
      <c r="I36" s="236">
        <f t="shared" si="6"/>
        <v>12.149925700195913</v>
      </c>
      <c r="J36" s="240">
        <f t="shared" si="7"/>
        <v>6330.111289802071</v>
      </c>
      <c r="K36" s="252"/>
      <c r="L36" s="251"/>
      <c r="M36" s="251"/>
    </row>
    <row r="37" spans="1:13" x14ac:dyDescent="0.35">
      <c r="A37" s="238">
        <v>42893</v>
      </c>
      <c r="B37" s="239" t="s">
        <v>701</v>
      </c>
      <c r="C37" s="239">
        <v>92</v>
      </c>
      <c r="D37" s="239"/>
      <c r="E37" s="239">
        <f>+E36+C37</f>
        <v>613</v>
      </c>
      <c r="F37" s="236">
        <f>+H37/C37</f>
        <v>12.018293478260869</v>
      </c>
      <c r="G37" s="236"/>
      <c r="H37" s="236">
        <f>1270.9*0.87</f>
        <v>1105.683</v>
      </c>
      <c r="I37" s="236"/>
      <c r="J37" s="240">
        <f>+J36+H37</f>
        <v>7435.794289802071</v>
      </c>
      <c r="K37" s="252"/>
      <c r="L37" s="251"/>
      <c r="M37" s="251"/>
    </row>
    <row r="38" spans="1:13" x14ac:dyDescent="0.35">
      <c r="A38" s="238">
        <v>42895</v>
      </c>
      <c r="B38" s="239" t="s">
        <v>110</v>
      </c>
      <c r="C38" s="239"/>
      <c r="D38" s="239">
        <v>2</v>
      </c>
      <c r="E38" s="239">
        <f>+E37-D38</f>
        <v>611</v>
      </c>
      <c r="F38" s="236"/>
      <c r="G38" s="236">
        <f>+J37/E37</f>
        <v>12.130170130182824</v>
      </c>
      <c r="H38" s="236"/>
      <c r="I38" s="236">
        <f t="shared" ref="I38:I101" si="8">+D38*G38</f>
        <v>24.260340260365648</v>
      </c>
      <c r="J38" s="240">
        <f>+J37-I38</f>
        <v>7411.5339495417056</v>
      </c>
      <c r="K38" s="252"/>
      <c r="L38" s="251"/>
      <c r="M38" s="251"/>
    </row>
    <row r="39" spans="1:13" x14ac:dyDescent="0.35">
      <c r="A39" s="238">
        <v>42895</v>
      </c>
      <c r="B39" s="239" t="s">
        <v>702</v>
      </c>
      <c r="C39" s="239"/>
      <c r="D39" s="239">
        <v>3</v>
      </c>
      <c r="E39" s="239">
        <f t="shared" ref="E39:E102" si="9">+E38-D39</f>
        <v>608</v>
      </c>
      <c r="F39" s="236"/>
      <c r="G39" s="236">
        <f t="shared" ref="G39:G102" si="10">+J38/E38</f>
        <v>12.130170130182824</v>
      </c>
      <c r="H39" s="236"/>
      <c r="I39" s="236">
        <f t="shared" si="8"/>
        <v>36.390510390548471</v>
      </c>
      <c r="J39" s="240">
        <f t="shared" ref="J39:J102" si="11">+J38-I39</f>
        <v>7375.1434391511575</v>
      </c>
      <c r="K39" s="252"/>
      <c r="L39" s="251"/>
      <c r="M39" s="251"/>
    </row>
    <row r="40" spans="1:13" x14ac:dyDescent="0.35">
      <c r="A40" s="247">
        <v>42900</v>
      </c>
      <c r="B40" s="297" t="s">
        <v>703</v>
      </c>
      <c r="C40" s="297"/>
      <c r="D40" s="297">
        <v>1</v>
      </c>
      <c r="E40" s="297">
        <f t="shared" si="9"/>
        <v>607</v>
      </c>
      <c r="F40" s="248"/>
      <c r="G40" s="248">
        <f t="shared" si="10"/>
        <v>12.130170130182824</v>
      </c>
      <c r="H40" s="248"/>
      <c r="I40" s="248">
        <f t="shared" si="8"/>
        <v>12.130170130182824</v>
      </c>
      <c r="J40" s="249">
        <f t="shared" si="11"/>
        <v>7363.0132690209748</v>
      </c>
      <c r="K40" s="252">
        <f>SUM(I34:I40)</f>
        <v>109.23079788168468</v>
      </c>
      <c r="L40" s="200"/>
      <c r="M40" s="253">
        <v>42901</v>
      </c>
    </row>
    <row r="41" spans="1:13" x14ac:dyDescent="0.35">
      <c r="A41" s="238">
        <v>42902</v>
      </c>
      <c r="B41" s="239" t="s">
        <v>704</v>
      </c>
      <c r="C41" s="239"/>
      <c r="D41" s="239">
        <v>3</v>
      </c>
      <c r="E41" s="239">
        <f t="shared" si="9"/>
        <v>604</v>
      </c>
      <c r="F41" s="236"/>
      <c r="G41" s="236">
        <f t="shared" si="10"/>
        <v>12.130170130182824</v>
      </c>
      <c r="H41" s="236"/>
      <c r="I41" s="236">
        <f t="shared" si="8"/>
        <v>36.390510390548471</v>
      </c>
      <c r="J41" s="240">
        <f t="shared" si="11"/>
        <v>7326.6227586304267</v>
      </c>
      <c r="K41" s="252"/>
      <c r="L41" s="251"/>
      <c r="M41" s="251"/>
    </row>
    <row r="42" spans="1:13" x14ac:dyDescent="0.35">
      <c r="A42" s="238">
        <v>42905</v>
      </c>
      <c r="B42" s="239" t="s">
        <v>705</v>
      </c>
      <c r="C42" s="239"/>
      <c r="D42" s="239">
        <v>4</v>
      </c>
      <c r="E42" s="239">
        <f t="shared" si="9"/>
        <v>600</v>
      </c>
      <c r="F42" s="236"/>
      <c r="G42" s="236">
        <f t="shared" si="10"/>
        <v>12.130170130182826</v>
      </c>
      <c r="H42" s="236"/>
      <c r="I42" s="236">
        <f t="shared" si="8"/>
        <v>48.520680520731304</v>
      </c>
      <c r="J42" s="240">
        <f t="shared" si="11"/>
        <v>7278.102078109695</v>
      </c>
      <c r="K42" s="252"/>
      <c r="L42" s="251"/>
      <c r="M42" s="251"/>
    </row>
    <row r="43" spans="1:13" x14ac:dyDescent="0.35">
      <c r="A43" s="238">
        <v>42906</v>
      </c>
      <c r="B43" s="239" t="s">
        <v>706</v>
      </c>
      <c r="C43" s="239"/>
      <c r="D43" s="239">
        <v>2</v>
      </c>
      <c r="E43" s="239">
        <f t="shared" si="9"/>
        <v>598</v>
      </c>
      <c r="F43" s="236"/>
      <c r="G43" s="236">
        <f t="shared" si="10"/>
        <v>12.130170130182824</v>
      </c>
      <c r="H43" s="236"/>
      <c r="I43" s="236">
        <f t="shared" si="8"/>
        <v>24.260340260365648</v>
      </c>
      <c r="J43" s="240">
        <f t="shared" si="11"/>
        <v>7253.8417378493295</v>
      </c>
      <c r="K43" s="252"/>
      <c r="L43" s="251"/>
      <c r="M43" s="251"/>
    </row>
    <row r="44" spans="1:13" x14ac:dyDescent="0.35">
      <c r="A44" s="238">
        <v>42908</v>
      </c>
      <c r="B44" s="239" t="s">
        <v>707</v>
      </c>
      <c r="C44" s="239"/>
      <c r="D44" s="239">
        <v>2</v>
      </c>
      <c r="E44" s="239">
        <f t="shared" si="9"/>
        <v>596</v>
      </c>
      <c r="F44" s="236"/>
      <c r="G44" s="236">
        <f t="shared" si="10"/>
        <v>12.130170130182826</v>
      </c>
      <c r="H44" s="236"/>
      <c r="I44" s="236">
        <f t="shared" si="8"/>
        <v>24.260340260365652</v>
      </c>
      <c r="J44" s="240">
        <f t="shared" si="11"/>
        <v>7229.5813975889641</v>
      </c>
      <c r="K44" s="252"/>
      <c r="L44" s="251"/>
      <c r="M44" s="251"/>
    </row>
    <row r="45" spans="1:13" x14ac:dyDescent="0.35">
      <c r="A45" s="238">
        <v>42908</v>
      </c>
      <c r="B45" s="239" t="s">
        <v>708</v>
      </c>
      <c r="C45" s="239"/>
      <c r="D45" s="239">
        <v>1</v>
      </c>
      <c r="E45" s="239">
        <f t="shared" si="9"/>
        <v>595</v>
      </c>
      <c r="F45" s="236"/>
      <c r="G45" s="236">
        <f t="shared" si="10"/>
        <v>12.130170130182826</v>
      </c>
      <c r="H45" s="236"/>
      <c r="I45" s="236">
        <f t="shared" si="8"/>
        <v>12.130170130182826</v>
      </c>
      <c r="J45" s="240">
        <f t="shared" si="11"/>
        <v>7217.4512274587814</v>
      </c>
      <c r="K45" s="252"/>
      <c r="L45" s="251"/>
      <c r="M45" s="251"/>
    </row>
    <row r="46" spans="1:13" x14ac:dyDescent="0.35">
      <c r="A46" s="238">
        <v>42908</v>
      </c>
      <c r="B46" s="239" t="s">
        <v>709</v>
      </c>
      <c r="C46" s="239"/>
      <c r="D46" s="239">
        <v>5</v>
      </c>
      <c r="E46" s="239">
        <f t="shared" si="9"/>
        <v>590</v>
      </c>
      <c r="F46" s="236"/>
      <c r="G46" s="236">
        <f t="shared" si="10"/>
        <v>12.130170130182826</v>
      </c>
      <c r="H46" s="236"/>
      <c r="I46" s="236">
        <f t="shared" si="8"/>
        <v>60.65085065091413</v>
      </c>
      <c r="J46" s="240">
        <f t="shared" si="11"/>
        <v>7156.800376807867</v>
      </c>
      <c r="K46" s="252"/>
      <c r="L46" s="251"/>
      <c r="M46" s="251"/>
    </row>
    <row r="47" spans="1:13" x14ac:dyDescent="0.35">
      <c r="A47" s="238">
        <v>42909</v>
      </c>
      <c r="B47" s="239" t="s">
        <v>710</v>
      </c>
      <c r="C47" s="239"/>
      <c r="D47" s="239">
        <v>3</v>
      </c>
      <c r="E47" s="239">
        <f t="shared" si="9"/>
        <v>587</v>
      </c>
      <c r="F47" s="236"/>
      <c r="G47" s="236">
        <f t="shared" si="10"/>
        <v>12.130170130182826</v>
      </c>
      <c r="H47" s="236"/>
      <c r="I47" s="236">
        <f t="shared" si="8"/>
        <v>36.390510390548478</v>
      </c>
      <c r="J47" s="240">
        <f t="shared" si="11"/>
        <v>7120.4098664173189</v>
      </c>
      <c r="K47" s="252"/>
      <c r="L47" s="251"/>
      <c r="M47" s="251"/>
    </row>
    <row r="48" spans="1:13" x14ac:dyDescent="0.35">
      <c r="A48" s="238">
        <v>42912</v>
      </c>
      <c r="B48" s="239" t="s">
        <v>711</v>
      </c>
      <c r="C48" s="239"/>
      <c r="D48" s="239">
        <v>2</v>
      </c>
      <c r="E48" s="239">
        <f t="shared" si="9"/>
        <v>585</v>
      </c>
      <c r="F48" s="236"/>
      <c r="G48" s="236">
        <f t="shared" si="10"/>
        <v>12.130170130182826</v>
      </c>
      <c r="H48" s="236"/>
      <c r="I48" s="236">
        <f t="shared" si="8"/>
        <v>24.260340260365652</v>
      </c>
      <c r="J48" s="240">
        <f t="shared" si="11"/>
        <v>7096.1495261569535</v>
      </c>
      <c r="K48" s="252"/>
      <c r="L48" s="251"/>
      <c r="M48" s="251"/>
    </row>
    <row r="49" spans="1:13" x14ac:dyDescent="0.35">
      <c r="A49" s="238">
        <v>42912</v>
      </c>
      <c r="B49" s="239" t="s">
        <v>712</v>
      </c>
      <c r="C49" s="239"/>
      <c r="D49" s="239">
        <v>6</v>
      </c>
      <c r="E49" s="239">
        <f t="shared" si="9"/>
        <v>579</v>
      </c>
      <c r="F49" s="236"/>
      <c r="G49" s="236">
        <f t="shared" si="10"/>
        <v>12.130170130182826</v>
      </c>
      <c r="H49" s="236"/>
      <c r="I49" s="236">
        <f t="shared" si="8"/>
        <v>72.781020781096956</v>
      </c>
      <c r="J49" s="240">
        <f t="shared" si="11"/>
        <v>7023.3685053758563</v>
      </c>
      <c r="K49" s="252"/>
      <c r="L49" s="251"/>
      <c r="M49" s="251"/>
    </row>
    <row r="50" spans="1:13" x14ac:dyDescent="0.35">
      <c r="A50" s="247">
        <v>42914</v>
      </c>
      <c r="B50" s="297" t="s">
        <v>713</v>
      </c>
      <c r="C50" s="297"/>
      <c r="D50" s="297">
        <v>1</v>
      </c>
      <c r="E50" s="297">
        <f t="shared" si="9"/>
        <v>578</v>
      </c>
      <c r="F50" s="248"/>
      <c r="G50" s="248">
        <f t="shared" si="10"/>
        <v>12.130170130182826</v>
      </c>
      <c r="H50" s="248"/>
      <c r="I50" s="248">
        <f t="shared" si="8"/>
        <v>12.130170130182826</v>
      </c>
      <c r="J50" s="249">
        <f t="shared" si="11"/>
        <v>7011.2383352456736</v>
      </c>
      <c r="K50" s="252">
        <f>SUM(I41:I50)</f>
        <v>351.77493377530192</v>
      </c>
      <c r="L50" s="252">
        <f>SUM(K40:K50)</f>
        <v>461.0057316569866</v>
      </c>
      <c r="M50" s="253">
        <v>42916</v>
      </c>
    </row>
    <row r="51" spans="1:13" x14ac:dyDescent="0.35">
      <c r="A51" s="238">
        <v>42917</v>
      </c>
      <c r="B51" s="239" t="s">
        <v>714</v>
      </c>
      <c r="C51" s="239"/>
      <c r="D51" s="239">
        <v>2</v>
      </c>
      <c r="E51" s="239">
        <f t="shared" si="9"/>
        <v>576</v>
      </c>
      <c r="F51" s="236"/>
      <c r="G51" s="236">
        <f t="shared" si="10"/>
        <v>12.130170130182826</v>
      </c>
      <c r="H51" s="236"/>
      <c r="I51" s="236">
        <f t="shared" si="8"/>
        <v>24.260340260365652</v>
      </c>
      <c r="J51" s="240">
        <f t="shared" si="11"/>
        <v>6986.9779949853082</v>
      </c>
      <c r="K51" s="252"/>
      <c r="L51" s="251"/>
      <c r="M51" s="251"/>
    </row>
    <row r="52" spans="1:13" x14ac:dyDescent="0.35">
      <c r="A52" s="238">
        <v>42923</v>
      </c>
      <c r="B52" s="239" t="s">
        <v>715</v>
      </c>
      <c r="C52" s="239"/>
      <c r="D52" s="239">
        <v>1</v>
      </c>
      <c r="E52" s="239">
        <f t="shared" si="9"/>
        <v>575</v>
      </c>
      <c r="F52" s="236"/>
      <c r="G52" s="236">
        <f t="shared" si="10"/>
        <v>12.130170130182826</v>
      </c>
      <c r="H52" s="236"/>
      <c r="I52" s="236">
        <f t="shared" si="8"/>
        <v>12.130170130182826</v>
      </c>
      <c r="J52" s="240">
        <f t="shared" si="11"/>
        <v>6974.8478248551255</v>
      </c>
      <c r="K52" s="251"/>
      <c r="L52" s="251"/>
      <c r="M52" s="251"/>
    </row>
    <row r="53" spans="1:13" x14ac:dyDescent="0.35">
      <c r="A53" s="238">
        <v>42926</v>
      </c>
      <c r="B53" s="239" t="s">
        <v>716</v>
      </c>
      <c r="C53" s="239"/>
      <c r="D53" s="239">
        <v>2</v>
      </c>
      <c r="E53" s="239">
        <f t="shared" si="9"/>
        <v>573</v>
      </c>
      <c r="F53" s="236"/>
      <c r="G53" s="236">
        <f t="shared" si="10"/>
        <v>12.130170130182828</v>
      </c>
      <c r="H53" s="236"/>
      <c r="I53" s="236">
        <f t="shared" si="8"/>
        <v>24.260340260365655</v>
      </c>
      <c r="J53" s="240">
        <f t="shared" si="11"/>
        <v>6950.5874845947601</v>
      </c>
      <c r="K53" s="251"/>
      <c r="L53" s="251"/>
      <c r="M53" s="251"/>
    </row>
    <row r="54" spans="1:13" x14ac:dyDescent="0.35">
      <c r="A54" s="238">
        <v>42929</v>
      </c>
      <c r="B54" s="239" t="s">
        <v>717</v>
      </c>
      <c r="C54" s="239"/>
      <c r="D54" s="239">
        <v>4</v>
      </c>
      <c r="E54" s="239">
        <f t="shared" si="9"/>
        <v>569</v>
      </c>
      <c r="F54" s="236"/>
      <c r="G54" s="236">
        <f t="shared" si="10"/>
        <v>12.130170130182828</v>
      </c>
      <c r="H54" s="236"/>
      <c r="I54" s="236">
        <f t="shared" si="8"/>
        <v>48.520680520731311</v>
      </c>
      <c r="J54" s="240">
        <f t="shared" si="11"/>
        <v>6902.0668040740284</v>
      </c>
      <c r="K54" s="251"/>
      <c r="L54" s="251"/>
      <c r="M54" s="251"/>
    </row>
    <row r="55" spans="1:13" x14ac:dyDescent="0.35">
      <c r="A55" s="247">
        <v>42931</v>
      </c>
      <c r="B55" s="297" t="s">
        <v>718</v>
      </c>
      <c r="C55" s="297"/>
      <c r="D55" s="297">
        <v>2</v>
      </c>
      <c r="E55" s="297">
        <f t="shared" si="9"/>
        <v>567</v>
      </c>
      <c r="F55" s="248"/>
      <c r="G55" s="248">
        <f t="shared" si="10"/>
        <v>12.130170130182826</v>
      </c>
      <c r="H55" s="248"/>
      <c r="I55" s="248">
        <f t="shared" si="8"/>
        <v>24.260340260365652</v>
      </c>
      <c r="J55" s="249">
        <f t="shared" si="11"/>
        <v>6877.806463813663</v>
      </c>
      <c r="K55" s="252">
        <f>SUM(I51:I55)</f>
        <v>133.43187143201112</v>
      </c>
      <c r="L55" s="200"/>
      <c r="M55" s="253">
        <v>42931</v>
      </c>
    </row>
    <row r="56" spans="1:13" x14ac:dyDescent="0.35">
      <c r="A56" s="238">
        <v>42933</v>
      </c>
      <c r="B56" s="239" t="s">
        <v>719</v>
      </c>
      <c r="C56" s="239"/>
      <c r="D56" s="239">
        <v>2</v>
      </c>
      <c r="E56" s="239">
        <f t="shared" si="9"/>
        <v>565</v>
      </c>
      <c r="F56" s="236"/>
      <c r="G56" s="236">
        <f t="shared" si="10"/>
        <v>12.130170130182828</v>
      </c>
      <c r="H56" s="236"/>
      <c r="I56" s="236">
        <f t="shared" si="8"/>
        <v>24.260340260365655</v>
      </c>
      <c r="J56" s="240">
        <f t="shared" si="11"/>
        <v>6853.5461235532975</v>
      </c>
      <c r="K56" s="251"/>
      <c r="L56" s="251"/>
      <c r="M56" s="251"/>
    </row>
    <row r="57" spans="1:13" x14ac:dyDescent="0.35">
      <c r="A57" s="238">
        <v>42934</v>
      </c>
      <c r="B57" s="239" t="s">
        <v>720</v>
      </c>
      <c r="C57" s="239"/>
      <c r="D57" s="239">
        <v>1</v>
      </c>
      <c r="E57" s="239">
        <f t="shared" si="9"/>
        <v>564</v>
      </c>
      <c r="F57" s="236"/>
      <c r="G57" s="236">
        <f t="shared" si="10"/>
        <v>12.130170130182828</v>
      </c>
      <c r="H57" s="236"/>
      <c r="I57" s="236">
        <f t="shared" si="8"/>
        <v>12.130170130182828</v>
      </c>
      <c r="J57" s="240">
        <f t="shared" si="11"/>
        <v>6841.4159534231148</v>
      </c>
      <c r="K57" s="251"/>
      <c r="L57" s="251"/>
      <c r="M57" s="251"/>
    </row>
    <row r="58" spans="1:13" x14ac:dyDescent="0.35">
      <c r="A58" s="238">
        <v>42941</v>
      </c>
      <c r="B58" s="239" t="s">
        <v>721</v>
      </c>
      <c r="C58" s="239"/>
      <c r="D58" s="239">
        <v>2</v>
      </c>
      <c r="E58" s="239">
        <f t="shared" si="9"/>
        <v>562</v>
      </c>
      <c r="F58" s="236"/>
      <c r="G58" s="236">
        <f t="shared" si="10"/>
        <v>12.130170130182828</v>
      </c>
      <c r="H58" s="236"/>
      <c r="I58" s="236">
        <f t="shared" si="8"/>
        <v>24.260340260365655</v>
      </c>
      <c r="J58" s="240">
        <f t="shared" si="11"/>
        <v>6817.1556131627494</v>
      </c>
      <c r="K58" s="251"/>
      <c r="L58" s="251"/>
      <c r="M58" s="251"/>
    </row>
    <row r="59" spans="1:13" x14ac:dyDescent="0.35">
      <c r="A59" s="238">
        <v>42943</v>
      </c>
      <c r="B59" s="239" t="s">
        <v>722</v>
      </c>
      <c r="C59" s="239"/>
      <c r="D59" s="239">
        <v>1</v>
      </c>
      <c r="E59" s="239">
        <f t="shared" si="9"/>
        <v>561</v>
      </c>
      <c r="F59" s="236"/>
      <c r="G59" s="236">
        <f t="shared" si="10"/>
        <v>12.130170130182828</v>
      </c>
      <c r="H59" s="236"/>
      <c r="I59" s="236">
        <f t="shared" si="8"/>
        <v>12.130170130182828</v>
      </c>
      <c r="J59" s="240">
        <f t="shared" si="11"/>
        <v>6805.0254430325667</v>
      </c>
      <c r="K59" s="251"/>
      <c r="L59" s="251"/>
      <c r="M59" s="251"/>
    </row>
    <row r="60" spans="1:13" x14ac:dyDescent="0.35">
      <c r="A60" s="238">
        <v>42943</v>
      </c>
      <c r="B60" s="239" t="s">
        <v>723</v>
      </c>
      <c r="C60" s="239"/>
      <c r="D60" s="239">
        <v>2</v>
      </c>
      <c r="E60" s="239">
        <f t="shared" si="9"/>
        <v>559</v>
      </c>
      <c r="F60" s="236"/>
      <c r="G60" s="236">
        <f t="shared" si="10"/>
        <v>12.130170130182828</v>
      </c>
      <c r="H60" s="236"/>
      <c r="I60" s="236">
        <f t="shared" si="8"/>
        <v>24.260340260365655</v>
      </c>
      <c r="J60" s="240">
        <f t="shared" si="11"/>
        <v>6780.7651027722013</v>
      </c>
      <c r="K60" s="251"/>
      <c r="L60" s="251"/>
      <c r="M60" s="251"/>
    </row>
    <row r="61" spans="1:13" x14ac:dyDescent="0.35">
      <c r="A61" s="238">
        <v>42943</v>
      </c>
      <c r="B61" s="239" t="s">
        <v>724</v>
      </c>
      <c r="C61" s="239"/>
      <c r="D61" s="239">
        <v>5</v>
      </c>
      <c r="E61" s="239">
        <f t="shared" si="9"/>
        <v>554</v>
      </c>
      <c r="F61" s="236"/>
      <c r="G61" s="236">
        <f t="shared" si="10"/>
        <v>12.13017013018283</v>
      </c>
      <c r="H61" s="236"/>
      <c r="I61" s="236">
        <f t="shared" si="8"/>
        <v>60.650850650914151</v>
      </c>
      <c r="J61" s="240">
        <f t="shared" si="11"/>
        <v>6720.1142521212869</v>
      </c>
      <c r="K61" s="251"/>
      <c r="L61" s="251"/>
      <c r="M61" s="251"/>
    </row>
    <row r="62" spans="1:13" x14ac:dyDescent="0.35">
      <c r="A62" s="238">
        <v>42947</v>
      </c>
      <c r="B62" s="239" t="s">
        <v>725</v>
      </c>
      <c r="C62" s="239"/>
      <c r="D62" s="239">
        <v>4</v>
      </c>
      <c r="E62" s="239">
        <f t="shared" si="9"/>
        <v>550</v>
      </c>
      <c r="F62" s="236"/>
      <c r="G62" s="236">
        <f t="shared" si="10"/>
        <v>12.130170130182828</v>
      </c>
      <c r="H62" s="236"/>
      <c r="I62" s="236">
        <f t="shared" si="8"/>
        <v>48.520680520731311</v>
      </c>
      <c r="J62" s="240">
        <f t="shared" si="11"/>
        <v>6671.5935716005552</v>
      </c>
      <c r="K62" s="251"/>
      <c r="L62" s="251"/>
      <c r="M62" s="251"/>
    </row>
    <row r="63" spans="1:13" x14ac:dyDescent="0.35">
      <c r="A63" s="238">
        <v>42947</v>
      </c>
      <c r="B63" s="239" t="s">
        <v>726</v>
      </c>
      <c r="C63" s="239"/>
      <c r="D63" s="239">
        <v>1</v>
      </c>
      <c r="E63" s="239">
        <f t="shared" si="9"/>
        <v>549</v>
      </c>
      <c r="F63" s="236"/>
      <c r="G63" s="236">
        <f t="shared" si="10"/>
        <v>12.130170130182828</v>
      </c>
      <c r="H63" s="236"/>
      <c r="I63" s="236">
        <f t="shared" si="8"/>
        <v>12.130170130182828</v>
      </c>
      <c r="J63" s="240">
        <f t="shared" si="11"/>
        <v>6659.4634014703724</v>
      </c>
      <c r="K63" s="251"/>
      <c r="L63" s="251"/>
      <c r="M63" s="251"/>
    </row>
    <row r="64" spans="1:13" x14ac:dyDescent="0.35">
      <c r="A64" s="247">
        <v>42947</v>
      </c>
      <c r="B64" s="297" t="s">
        <v>727</v>
      </c>
      <c r="C64" s="297"/>
      <c r="D64" s="297">
        <v>1</v>
      </c>
      <c r="E64" s="297">
        <f t="shared" si="9"/>
        <v>548</v>
      </c>
      <c r="F64" s="248"/>
      <c r="G64" s="248">
        <f t="shared" si="10"/>
        <v>12.130170130182828</v>
      </c>
      <c r="H64" s="248"/>
      <c r="I64" s="248">
        <f t="shared" si="8"/>
        <v>12.130170130182828</v>
      </c>
      <c r="J64" s="249">
        <f t="shared" si="11"/>
        <v>6647.3332313401897</v>
      </c>
      <c r="K64" s="252">
        <f>SUM(I56:I64)</f>
        <v>230.4732324734737</v>
      </c>
      <c r="L64" s="252">
        <f>SUM(K55:K64)</f>
        <v>363.90510390548479</v>
      </c>
      <c r="M64" s="253">
        <v>42947</v>
      </c>
    </row>
    <row r="65" spans="1:13" x14ac:dyDescent="0.35">
      <c r="A65" s="238">
        <v>42949</v>
      </c>
      <c r="B65" s="239" t="s">
        <v>728</v>
      </c>
      <c r="C65" s="239"/>
      <c r="D65" s="239">
        <v>1</v>
      </c>
      <c r="E65" s="239">
        <f t="shared" si="9"/>
        <v>547</v>
      </c>
      <c r="F65" s="236"/>
      <c r="G65" s="236">
        <f t="shared" si="10"/>
        <v>12.130170130182828</v>
      </c>
      <c r="H65" s="236"/>
      <c r="I65" s="236">
        <f t="shared" si="8"/>
        <v>12.130170130182828</v>
      </c>
      <c r="J65" s="240">
        <f t="shared" si="11"/>
        <v>6635.203061210007</v>
      </c>
      <c r="K65" s="251"/>
      <c r="L65" s="251"/>
      <c r="M65" s="251"/>
    </row>
    <row r="66" spans="1:13" x14ac:dyDescent="0.35">
      <c r="A66" s="238">
        <v>42949</v>
      </c>
      <c r="B66" s="239" t="s">
        <v>729</v>
      </c>
      <c r="C66" s="239"/>
      <c r="D66" s="236">
        <v>0.5</v>
      </c>
      <c r="E66" s="239">
        <f t="shared" si="9"/>
        <v>546.5</v>
      </c>
      <c r="F66" s="236"/>
      <c r="G66" s="236">
        <f t="shared" si="10"/>
        <v>12.130170130182828</v>
      </c>
      <c r="H66" s="236"/>
      <c r="I66" s="236">
        <f t="shared" si="8"/>
        <v>6.0650850650914139</v>
      </c>
      <c r="J66" s="240">
        <f t="shared" si="11"/>
        <v>6629.1379761449152</v>
      </c>
      <c r="K66" s="251"/>
      <c r="L66" s="251"/>
      <c r="M66" s="251"/>
    </row>
    <row r="67" spans="1:13" x14ac:dyDescent="0.35">
      <c r="A67" s="238">
        <v>42955</v>
      </c>
      <c r="B67" s="239" t="s">
        <v>730</v>
      </c>
      <c r="C67" s="239"/>
      <c r="D67" s="239">
        <v>1</v>
      </c>
      <c r="E67" s="239">
        <f t="shared" si="9"/>
        <v>545.5</v>
      </c>
      <c r="F67" s="236"/>
      <c r="G67" s="236">
        <f t="shared" si="10"/>
        <v>12.130170130182828</v>
      </c>
      <c r="H67" s="236"/>
      <c r="I67" s="236">
        <f t="shared" si="8"/>
        <v>12.130170130182828</v>
      </c>
      <c r="J67" s="240">
        <f t="shared" si="11"/>
        <v>6617.0078060147325</v>
      </c>
      <c r="K67" s="251"/>
      <c r="L67" s="251"/>
      <c r="M67" s="251"/>
    </row>
    <row r="68" spans="1:13" x14ac:dyDescent="0.35">
      <c r="A68" s="317">
        <v>42956</v>
      </c>
      <c r="B68" s="297" t="s">
        <v>731</v>
      </c>
      <c r="C68" s="297"/>
      <c r="D68" s="297">
        <v>1</v>
      </c>
      <c r="E68" s="297">
        <f t="shared" si="9"/>
        <v>544.5</v>
      </c>
      <c r="F68" s="248"/>
      <c r="G68" s="248">
        <f t="shared" si="10"/>
        <v>12.130170130182828</v>
      </c>
      <c r="H68" s="248"/>
      <c r="I68" s="248">
        <f t="shared" si="8"/>
        <v>12.130170130182828</v>
      </c>
      <c r="J68" s="248">
        <f t="shared" si="11"/>
        <v>6604.8776358845498</v>
      </c>
      <c r="K68" s="252">
        <f>SUM(I65:I68)</f>
        <v>42.455595455639894</v>
      </c>
      <c r="L68" s="200"/>
      <c r="M68" s="253">
        <v>42962</v>
      </c>
    </row>
    <row r="69" spans="1:13" x14ac:dyDescent="0.35">
      <c r="A69" s="316">
        <v>42963</v>
      </c>
      <c r="B69" s="239" t="s">
        <v>732</v>
      </c>
      <c r="C69" s="239"/>
      <c r="D69" s="239">
        <v>3</v>
      </c>
      <c r="E69" s="239">
        <f t="shared" si="9"/>
        <v>541.5</v>
      </c>
      <c r="F69" s="236"/>
      <c r="G69" s="236">
        <f t="shared" si="10"/>
        <v>12.130170130182828</v>
      </c>
      <c r="H69" s="236"/>
      <c r="I69" s="236">
        <f t="shared" si="8"/>
        <v>36.390510390548485</v>
      </c>
      <c r="J69" s="236">
        <f t="shared" si="11"/>
        <v>6568.4871254940017</v>
      </c>
      <c r="K69" s="251"/>
      <c r="L69" s="251"/>
      <c r="M69" s="251"/>
    </row>
    <row r="70" spans="1:13" x14ac:dyDescent="0.35">
      <c r="A70" s="316">
        <v>42968</v>
      </c>
      <c r="B70" s="239" t="s">
        <v>733</v>
      </c>
      <c r="C70" s="239"/>
      <c r="D70" s="239">
        <v>3</v>
      </c>
      <c r="E70" s="239">
        <f t="shared" si="9"/>
        <v>538.5</v>
      </c>
      <c r="F70" s="236"/>
      <c r="G70" s="236">
        <f t="shared" si="10"/>
        <v>12.130170130182828</v>
      </c>
      <c r="H70" s="236"/>
      <c r="I70" s="236">
        <f t="shared" si="8"/>
        <v>36.390510390548485</v>
      </c>
      <c r="J70" s="236">
        <f t="shared" si="11"/>
        <v>6532.0966151034536</v>
      </c>
      <c r="K70" s="251"/>
      <c r="L70" s="251"/>
      <c r="M70" s="251"/>
    </row>
    <row r="71" spans="1:13" x14ac:dyDescent="0.35">
      <c r="A71" s="316">
        <v>42971</v>
      </c>
      <c r="B71" s="239" t="s">
        <v>734</v>
      </c>
      <c r="C71" s="239"/>
      <c r="D71" s="239">
        <v>3</v>
      </c>
      <c r="E71" s="239">
        <f t="shared" si="9"/>
        <v>535.5</v>
      </c>
      <c r="F71" s="236"/>
      <c r="G71" s="236">
        <f t="shared" si="10"/>
        <v>12.13017013018283</v>
      </c>
      <c r="H71" s="236"/>
      <c r="I71" s="236">
        <f t="shared" si="8"/>
        <v>36.390510390548485</v>
      </c>
      <c r="J71" s="236">
        <f t="shared" si="11"/>
        <v>6495.7061047129055</v>
      </c>
      <c r="K71" s="251"/>
      <c r="L71" s="251"/>
      <c r="M71" s="251"/>
    </row>
    <row r="72" spans="1:13" x14ac:dyDescent="0.35">
      <c r="A72" s="316">
        <v>42971</v>
      </c>
      <c r="B72" s="239" t="s">
        <v>735</v>
      </c>
      <c r="C72" s="239"/>
      <c r="D72" s="239">
        <v>1</v>
      </c>
      <c r="E72" s="239">
        <f t="shared" si="9"/>
        <v>534.5</v>
      </c>
      <c r="F72" s="236"/>
      <c r="G72" s="236">
        <f t="shared" si="10"/>
        <v>12.13017013018283</v>
      </c>
      <c r="H72" s="236"/>
      <c r="I72" s="236">
        <f t="shared" si="8"/>
        <v>12.13017013018283</v>
      </c>
      <c r="J72" s="240">
        <f t="shared" si="11"/>
        <v>6483.5759345827228</v>
      </c>
      <c r="K72" s="251"/>
      <c r="L72" s="251"/>
      <c r="M72" s="251"/>
    </row>
    <row r="73" spans="1:13" x14ac:dyDescent="0.35">
      <c r="A73" s="238">
        <v>42971</v>
      </c>
      <c r="B73" s="239" t="s">
        <v>736</v>
      </c>
      <c r="C73" s="239"/>
      <c r="D73" s="239">
        <v>2</v>
      </c>
      <c r="E73" s="239">
        <f t="shared" si="9"/>
        <v>532.5</v>
      </c>
      <c r="F73" s="236"/>
      <c r="G73" s="236">
        <f t="shared" si="10"/>
        <v>12.13017013018283</v>
      </c>
      <c r="H73" s="236"/>
      <c r="I73" s="236">
        <f t="shared" si="8"/>
        <v>24.260340260365659</v>
      </c>
      <c r="J73" s="240">
        <f t="shared" si="11"/>
        <v>6459.3155943223574</v>
      </c>
      <c r="K73" s="251"/>
      <c r="L73" s="251"/>
      <c r="M73" s="251"/>
    </row>
    <row r="74" spans="1:13" x14ac:dyDescent="0.35">
      <c r="A74" s="238">
        <v>42971</v>
      </c>
      <c r="B74" s="239" t="s">
        <v>737</v>
      </c>
      <c r="C74" s="239"/>
      <c r="D74" s="239">
        <v>3</v>
      </c>
      <c r="E74" s="239">
        <f t="shared" si="9"/>
        <v>529.5</v>
      </c>
      <c r="F74" s="236"/>
      <c r="G74" s="236">
        <f t="shared" si="10"/>
        <v>12.130170130182831</v>
      </c>
      <c r="H74" s="236"/>
      <c r="I74" s="236">
        <f t="shared" si="8"/>
        <v>36.390510390548492</v>
      </c>
      <c r="J74" s="240">
        <f t="shared" si="11"/>
        <v>6422.9250839318092</v>
      </c>
      <c r="K74" s="251"/>
      <c r="L74" s="251"/>
      <c r="M74" s="251"/>
    </row>
    <row r="75" spans="1:13" x14ac:dyDescent="0.35">
      <c r="A75" s="238">
        <v>42975</v>
      </c>
      <c r="B75" s="239" t="s">
        <v>738</v>
      </c>
      <c r="C75" s="239"/>
      <c r="D75" s="239">
        <v>2</v>
      </c>
      <c r="E75" s="239">
        <f t="shared" si="9"/>
        <v>527.5</v>
      </c>
      <c r="F75" s="236"/>
      <c r="G75" s="236">
        <f t="shared" si="10"/>
        <v>12.130170130182831</v>
      </c>
      <c r="H75" s="236"/>
      <c r="I75" s="236">
        <f t="shared" si="8"/>
        <v>24.260340260365663</v>
      </c>
      <c r="J75" s="240">
        <f t="shared" si="11"/>
        <v>6398.6647436714438</v>
      </c>
      <c r="K75" s="251"/>
      <c r="L75" s="251"/>
      <c r="M75" s="251"/>
    </row>
    <row r="76" spans="1:13" x14ac:dyDescent="0.35">
      <c r="A76" s="238">
        <v>42978</v>
      </c>
      <c r="B76" s="239" t="s">
        <v>739</v>
      </c>
      <c r="C76" s="239"/>
      <c r="D76" s="239">
        <v>7</v>
      </c>
      <c r="E76" s="239">
        <f t="shared" si="9"/>
        <v>520.5</v>
      </c>
      <c r="F76" s="236"/>
      <c r="G76" s="236">
        <f t="shared" si="10"/>
        <v>12.130170130182831</v>
      </c>
      <c r="H76" s="236"/>
      <c r="I76" s="236">
        <f t="shared" si="8"/>
        <v>84.911190911279817</v>
      </c>
      <c r="J76" s="240">
        <f t="shared" si="11"/>
        <v>6313.753552760164</v>
      </c>
      <c r="K76" s="251"/>
      <c r="L76" s="251"/>
      <c r="M76" s="251"/>
    </row>
    <row r="77" spans="1:13" x14ac:dyDescent="0.35">
      <c r="A77" s="247">
        <v>42978</v>
      </c>
      <c r="B77" s="297" t="s">
        <v>740</v>
      </c>
      <c r="C77" s="297"/>
      <c r="D77" s="297">
        <v>4</v>
      </c>
      <c r="E77" s="297">
        <f t="shared" si="9"/>
        <v>516.5</v>
      </c>
      <c r="F77" s="248"/>
      <c r="G77" s="248">
        <f t="shared" si="10"/>
        <v>12.130170130182831</v>
      </c>
      <c r="H77" s="248"/>
      <c r="I77" s="248">
        <f t="shared" si="8"/>
        <v>48.520680520731325</v>
      </c>
      <c r="J77" s="249">
        <f t="shared" si="11"/>
        <v>6265.2328722394323</v>
      </c>
      <c r="K77" s="252">
        <f>SUM(I69:I77)</f>
        <v>339.64476364511921</v>
      </c>
      <c r="L77" s="252">
        <f>SUM(K68:K77)</f>
        <v>382.10035910075908</v>
      </c>
      <c r="M77" s="253">
        <v>42978</v>
      </c>
    </row>
    <row r="78" spans="1:13" x14ac:dyDescent="0.35">
      <c r="A78" s="238">
        <v>42979</v>
      </c>
      <c r="B78" s="239" t="s">
        <v>741</v>
      </c>
      <c r="C78" s="239"/>
      <c r="D78" s="239">
        <v>2</v>
      </c>
      <c r="E78" s="239">
        <f t="shared" si="9"/>
        <v>514.5</v>
      </c>
      <c r="F78" s="236"/>
      <c r="G78" s="236">
        <f t="shared" si="10"/>
        <v>12.130170130182831</v>
      </c>
      <c r="H78" s="236"/>
      <c r="I78" s="236">
        <f t="shared" si="8"/>
        <v>24.260340260365663</v>
      </c>
      <c r="J78" s="240">
        <f t="shared" si="11"/>
        <v>6240.9725319790668</v>
      </c>
      <c r="K78" s="251"/>
      <c r="L78" s="251"/>
      <c r="M78" s="251"/>
    </row>
    <row r="79" spans="1:13" x14ac:dyDescent="0.35">
      <c r="A79" s="238">
        <v>42984</v>
      </c>
      <c r="B79" s="239" t="s">
        <v>742</v>
      </c>
      <c r="C79" s="239"/>
      <c r="D79" s="239">
        <v>10</v>
      </c>
      <c r="E79" s="239">
        <f t="shared" si="9"/>
        <v>504.5</v>
      </c>
      <c r="F79" s="236"/>
      <c r="G79" s="236">
        <f t="shared" si="10"/>
        <v>12.130170130182831</v>
      </c>
      <c r="H79" s="236"/>
      <c r="I79" s="236">
        <f t="shared" si="8"/>
        <v>121.30170130182832</v>
      </c>
      <c r="J79" s="240">
        <f t="shared" si="11"/>
        <v>6119.6708306772389</v>
      </c>
      <c r="K79" s="251"/>
      <c r="L79" s="251"/>
      <c r="M79" s="251"/>
    </row>
    <row r="80" spans="1:13" x14ac:dyDescent="0.35">
      <c r="A80" s="238">
        <v>42986</v>
      </c>
      <c r="B80" s="239" t="s">
        <v>743</v>
      </c>
      <c r="C80" s="239"/>
      <c r="D80" s="239">
        <v>1</v>
      </c>
      <c r="E80" s="239">
        <f t="shared" si="9"/>
        <v>503.5</v>
      </c>
      <c r="F80" s="236"/>
      <c r="G80" s="236">
        <f t="shared" si="10"/>
        <v>12.130170130182833</v>
      </c>
      <c r="H80" s="236"/>
      <c r="I80" s="236">
        <f t="shared" si="8"/>
        <v>12.130170130182833</v>
      </c>
      <c r="J80" s="240">
        <f t="shared" si="11"/>
        <v>6107.5406605470562</v>
      </c>
      <c r="K80" s="251"/>
      <c r="L80" s="251"/>
      <c r="M80" s="251"/>
    </row>
    <row r="81" spans="1:13" x14ac:dyDescent="0.35">
      <c r="A81" s="238">
        <v>42991</v>
      </c>
      <c r="B81" s="239" t="s">
        <v>744</v>
      </c>
      <c r="C81" s="239"/>
      <c r="D81" s="239">
        <v>1</v>
      </c>
      <c r="E81" s="239">
        <f t="shared" si="9"/>
        <v>502.5</v>
      </c>
      <c r="F81" s="236"/>
      <c r="G81" s="236">
        <f t="shared" si="10"/>
        <v>12.130170130182833</v>
      </c>
      <c r="H81" s="236"/>
      <c r="I81" s="236">
        <f t="shared" si="8"/>
        <v>12.130170130182833</v>
      </c>
      <c r="J81" s="240">
        <f t="shared" si="11"/>
        <v>6095.4104904168735</v>
      </c>
      <c r="K81" s="251"/>
      <c r="L81" s="251"/>
      <c r="M81" s="251"/>
    </row>
    <row r="82" spans="1:13" x14ac:dyDescent="0.35">
      <c r="A82" s="238">
        <v>42991</v>
      </c>
      <c r="B82" s="239" t="s">
        <v>745</v>
      </c>
      <c r="C82" s="239"/>
      <c r="D82" s="239">
        <v>1</v>
      </c>
      <c r="E82" s="239">
        <f t="shared" si="9"/>
        <v>501.5</v>
      </c>
      <c r="F82" s="236"/>
      <c r="G82" s="236">
        <f t="shared" si="10"/>
        <v>12.130170130182833</v>
      </c>
      <c r="H82" s="236"/>
      <c r="I82" s="236">
        <f t="shared" si="8"/>
        <v>12.130170130182833</v>
      </c>
      <c r="J82" s="240">
        <f t="shared" si="11"/>
        <v>6083.2803202866908</v>
      </c>
      <c r="K82" s="251"/>
      <c r="L82" s="251"/>
      <c r="M82" s="251"/>
    </row>
    <row r="83" spans="1:13" x14ac:dyDescent="0.35">
      <c r="A83" s="238">
        <v>42991</v>
      </c>
      <c r="B83" s="239" t="s">
        <v>746</v>
      </c>
      <c r="C83" s="239"/>
      <c r="D83" s="239">
        <v>1</v>
      </c>
      <c r="E83" s="239">
        <f t="shared" si="9"/>
        <v>500.5</v>
      </c>
      <c r="F83" s="236"/>
      <c r="G83" s="236">
        <f t="shared" si="10"/>
        <v>12.130170130182833</v>
      </c>
      <c r="H83" s="236"/>
      <c r="I83" s="236">
        <f t="shared" si="8"/>
        <v>12.130170130182833</v>
      </c>
      <c r="J83" s="240">
        <f t="shared" si="11"/>
        <v>6071.1501501565081</v>
      </c>
      <c r="K83" s="251"/>
      <c r="L83" s="251"/>
      <c r="M83" s="251"/>
    </row>
    <row r="84" spans="1:13" x14ac:dyDescent="0.35">
      <c r="A84" s="238">
        <v>42993</v>
      </c>
      <c r="B84" s="239" t="s">
        <v>747</v>
      </c>
      <c r="C84" s="239"/>
      <c r="D84" s="239">
        <v>1</v>
      </c>
      <c r="E84" s="239">
        <f t="shared" si="9"/>
        <v>499.5</v>
      </c>
      <c r="F84" s="236"/>
      <c r="G84" s="236">
        <f t="shared" si="10"/>
        <v>12.130170130182833</v>
      </c>
      <c r="H84" s="236"/>
      <c r="I84" s="236">
        <f t="shared" si="8"/>
        <v>12.130170130182833</v>
      </c>
      <c r="J84" s="240">
        <f t="shared" si="11"/>
        <v>6059.0199800263254</v>
      </c>
      <c r="K84" s="251"/>
      <c r="L84" s="251"/>
      <c r="M84" s="251"/>
    </row>
    <row r="85" spans="1:13" x14ac:dyDescent="0.35">
      <c r="A85" s="238">
        <v>42993</v>
      </c>
      <c r="B85" s="239" t="s">
        <v>748</v>
      </c>
      <c r="C85" s="239"/>
      <c r="D85" s="239">
        <v>0</v>
      </c>
      <c r="E85" s="239">
        <f t="shared" si="9"/>
        <v>499.5</v>
      </c>
      <c r="F85" s="236"/>
      <c r="G85" s="236">
        <f t="shared" si="10"/>
        <v>12.130170130182833</v>
      </c>
      <c r="H85" s="236"/>
      <c r="I85" s="236">
        <f t="shared" si="8"/>
        <v>0</v>
      </c>
      <c r="J85" s="240">
        <f t="shared" si="11"/>
        <v>6059.0199800263254</v>
      </c>
      <c r="K85" s="251"/>
      <c r="L85" s="251"/>
      <c r="M85" s="251"/>
    </row>
    <row r="86" spans="1:13" x14ac:dyDescent="0.35">
      <c r="A86" s="238">
        <v>42993</v>
      </c>
      <c r="B86" s="239" t="s">
        <v>749</v>
      </c>
      <c r="C86" s="239"/>
      <c r="D86" s="239">
        <v>3</v>
      </c>
      <c r="E86" s="239">
        <f t="shared" si="9"/>
        <v>496.5</v>
      </c>
      <c r="F86" s="236"/>
      <c r="G86" s="236">
        <f t="shared" si="10"/>
        <v>12.130170130182833</v>
      </c>
      <c r="H86" s="236"/>
      <c r="I86" s="236">
        <f t="shared" si="8"/>
        <v>36.390510390548499</v>
      </c>
      <c r="J86" s="240">
        <f t="shared" si="11"/>
        <v>6022.6294696357772</v>
      </c>
      <c r="K86" s="251"/>
      <c r="L86" s="251"/>
      <c r="M86" s="251"/>
    </row>
    <row r="87" spans="1:13" x14ac:dyDescent="0.35">
      <c r="A87" s="238">
        <v>42993</v>
      </c>
      <c r="B87" s="239" t="s">
        <v>750</v>
      </c>
      <c r="C87" s="239"/>
      <c r="D87" s="239">
        <v>4</v>
      </c>
      <c r="E87" s="239">
        <f t="shared" si="9"/>
        <v>492.5</v>
      </c>
      <c r="F87" s="236"/>
      <c r="G87" s="236">
        <f t="shared" si="10"/>
        <v>12.130170130182835</v>
      </c>
      <c r="H87" s="236"/>
      <c r="I87" s="236">
        <f t="shared" si="8"/>
        <v>48.520680520731339</v>
      </c>
      <c r="J87" s="240">
        <f t="shared" si="11"/>
        <v>5974.1087891150455</v>
      </c>
      <c r="K87" s="251"/>
      <c r="L87" s="251"/>
      <c r="M87" s="251"/>
    </row>
    <row r="88" spans="1:13" x14ac:dyDescent="0.35">
      <c r="A88" s="238">
        <v>42993</v>
      </c>
      <c r="B88" s="239" t="s">
        <v>751</v>
      </c>
      <c r="C88" s="239"/>
      <c r="D88" s="239">
        <v>3</v>
      </c>
      <c r="E88" s="239">
        <f t="shared" si="9"/>
        <v>489.5</v>
      </c>
      <c r="F88" s="236"/>
      <c r="G88" s="236">
        <f t="shared" si="10"/>
        <v>12.130170130182833</v>
      </c>
      <c r="H88" s="236"/>
      <c r="I88" s="236">
        <f t="shared" si="8"/>
        <v>36.390510390548499</v>
      </c>
      <c r="J88" s="240">
        <f t="shared" si="11"/>
        <v>5937.7182787244974</v>
      </c>
      <c r="K88" s="251"/>
      <c r="L88" s="251"/>
      <c r="M88" s="251"/>
    </row>
    <row r="89" spans="1:13" x14ac:dyDescent="0.35">
      <c r="A89" s="247">
        <v>42993</v>
      </c>
      <c r="B89" s="297" t="s">
        <v>752</v>
      </c>
      <c r="C89" s="297"/>
      <c r="D89" s="297">
        <v>2</v>
      </c>
      <c r="E89" s="297">
        <f t="shared" si="9"/>
        <v>487.5</v>
      </c>
      <c r="F89" s="248"/>
      <c r="G89" s="248">
        <f t="shared" si="10"/>
        <v>12.130170130182835</v>
      </c>
      <c r="H89" s="248"/>
      <c r="I89" s="248">
        <f t="shared" si="8"/>
        <v>24.26034026036567</v>
      </c>
      <c r="J89" s="249">
        <f t="shared" si="11"/>
        <v>5913.457938464132</v>
      </c>
      <c r="K89" s="252">
        <f>SUM(I78:I89)</f>
        <v>351.77493377530215</v>
      </c>
      <c r="L89" s="200"/>
      <c r="M89" s="253">
        <v>42993</v>
      </c>
    </row>
    <row r="90" spans="1:13" x14ac:dyDescent="0.35">
      <c r="A90" s="238">
        <v>43001</v>
      </c>
      <c r="B90" s="239" t="s">
        <v>753</v>
      </c>
      <c r="C90" s="239"/>
      <c r="D90" s="239">
        <v>0.5</v>
      </c>
      <c r="E90" s="239">
        <f t="shared" si="9"/>
        <v>487</v>
      </c>
      <c r="F90" s="236"/>
      <c r="G90" s="236">
        <f t="shared" si="10"/>
        <v>12.130170130182835</v>
      </c>
      <c r="H90" s="236"/>
      <c r="I90" s="236">
        <f t="shared" si="8"/>
        <v>6.0650850650914174</v>
      </c>
      <c r="J90" s="240">
        <f t="shared" si="11"/>
        <v>5907.3928533990402</v>
      </c>
      <c r="K90" s="251"/>
      <c r="L90" s="251"/>
      <c r="M90" s="251"/>
    </row>
    <row r="91" spans="1:13" x14ac:dyDescent="0.35">
      <c r="A91" s="238">
        <v>43005</v>
      </c>
      <c r="B91" s="239" t="s">
        <v>754</v>
      </c>
      <c r="C91" s="239"/>
      <c r="D91" s="239">
        <v>7</v>
      </c>
      <c r="E91" s="239">
        <f t="shared" si="9"/>
        <v>480</v>
      </c>
      <c r="F91" s="236"/>
      <c r="G91" s="236">
        <f t="shared" si="10"/>
        <v>12.130170130182835</v>
      </c>
      <c r="H91" s="236"/>
      <c r="I91" s="236">
        <f t="shared" si="8"/>
        <v>84.911190911279846</v>
      </c>
      <c r="J91" s="240">
        <f t="shared" si="11"/>
        <v>5822.4816624877603</v>
      </c>
      <c r="K91" s="251"/>
      <c r="L91" s="251"/>
      <c r="M91" s="251"/>
    </row>
    <row r="92" spans="1:13" x14ac:dyDescent="0.35">
      <c r="A92" s="238">
        <v>43005</v>
      </c>
      <c r="B92" s="239" t="s">
        <v>755</v>
      </c>
      <c r="C92" s="239"/>
      <c r="D92" s="239">
        <v>1</v>
      </c>
      <c r="E92" s="239">
        <f t="shared" si="9"/>
        <v>479</v>
      </c>
      <c r="F92" s="236"/>
      <c r="G92" s="236">
        <f t="shared" si="10"/>
        <v>12.130170130182835</v>
      </c>
      <c r="H92" s="236"/>
      <c r="I92" s="236">
        <f t="shared" si="8"/>
        <v>12.130170130182835</v>
      </c>
      <c r="J92" s="240">
        <f t="shared" si="11"/>
        <v>5810.3514923575776</v>
      </c>
      <c r="K92" s="251"/>
      <c r="L92" s="251"/>
      <c r="M92" s="251"/>
    </row>
    <row r="93" spans="1:13" x14ac:dyDescent="0.35">
      <c r="A93" s="238">
        <v>43006</v>
      </c>
      <c r="B93" s="239" t="s">
        <v>756</v>
      </c>
      <c r="C93" s="239"/>
      <c r="D93" s="239">
        <v>15</v>
      </c>
      <c r="E93" s="239">
        <f t="shared" si="9"/>
        <v>464</v>
      </c>
      <c r="F93" s="236"/>
      <c r="G93" s="236">
        <f t="shared" si="10"/>
        <v>12.130170130182835</v>
      </c>
      <c r="H93" s="236"/>
      <c r="I93" s="236">
        <f t="shared" si="8"/>
        <v>181.95255195274251</v>
      </c>
      <c r="J93" s="240">
        <f t="shared" si="11"/>
        <v>5628.3989404048352</v>
      </c>
      <c r="K93" s="251"/>
      <c r="L93" s="251"/>
      <c r="M93" s="251"/>
    </row>
    <row r="94" spans="1:13" x14ac:dyDescent="0.35">
      <c r="A94" s="247">
        <v>43008</v>
      </c>
      <c r="B94" s="297" t="s">
        <v>757</v>
      </c>
      <c r="C94" s="297"/>
      <c r="D94" s="297">
        <v>1</v>
      </c>
      <c r="E94" s="297">
        <f t="shared" si="9"/>
        <v>463</v>
      </c>
      <c r="F94" s="248"/>
      <c r="G94" s="248">
        <f t="shared" si="10"/>
        <v>12.130170130182835</v>
      </c>
      <c r="H94" s="248"/>
      <c r="I94" s="248">
        <f t="shared" si="8"/>
        <v>12.130170130182835</v>
      </c>
      <c r="J94" s="249">
        <f t="shared" si="11"/>
        <v>5616.2687702746525</v>
      </c>
      <c r="K94" s="252">
        <f>SUM(I90:I94)</f>
        <v>297.18916818947946</v>
      </c>
      <c r="L94" s="252">
        <f>SUM(K89:K94)</f>
        <v>648.96410196478155</v>
      </c>
      <c r="M94" s="253">
        <v>43008</v>
      </c>
    </row>
    <row r="95" spans="1:13" x14ac:dyDescent="0.35">
      <c r="A95" s="238">
        <v>43015</v>
      </c>
      <c r="B95" s="239" t="s">
        <v>758</v>
      </c>
      <c r="C95" s="239"/>
      <c r="D95" s="239">
        <v>5</v>
      </c>
      <c r="E95" s="239">
        <f t="shared" si="9"/>
        <v>458</v>
      </c>
      <c r="F95" s="236"/>
      <c r="G95" s="236">
        <f t="shared" si="10"/>
        <v>12.130170130182835</v>
      </c>
      <c r="H95" s="236"/>
      <c r="I95" s="236">
        <f t="shared" si="8"/>
        <v>60.650850650914172</v>
      </c>
      <c r="J95" s="240">
        <f t="shared" si="11"/>
        <v>5555.6179196237381</v>
      </c>
      <c r="K95" s="251"/>
      <c r="L95" s="251"/>
      <c r="M95" s="251"/>
    </row>
    <row r="96" spans="1:13" x14ac:dyDescent="0.35">
      <c r="A96" s="238">
        <v>43017</v>
      </c>
      <c r="B96" s="239" t="s">
        <v>759</v>
      </c>
      <c r="C96" s="239"/>
      <c r="D96" s="239">
        <v>2</v>
      </c>
      <c r="E96" s="239">
        <f t="shared" si="9"/>
        <v>456</v>
      </c>
      <c r="F96" s="236"/>
      <c r="G96" s="236">
        <f t="shared" si="10"/>
        <v>12.130170130182835</v>
      </c>
      <c r="H96" s="236"/>
      <c r="I96" s="236">
        <f t="shared" si="8"/>
        <v>24.26034026036567</v>
      </c>
      <c r="J96" s="240">
        <f t="shared" si="11"/>
        <v>5531.3575793633727</v>
      </c>
      <c r="K96" s="251"/>
      <c r="L96" s="251"/>
      <c r="M96" s="251"/>
    </row>
    <row r="97" spans="1:13" x14ac:dyDescent="0.35">
      <c r="A97" s="238">
        <v>43018</v>
      </c>
      <c r="B97" s="239" t="s">
        <v>760</v>
      </c>
      <c r="C97" s="239"/>
      <c r="D97" s="239">
        <v>4</v>
      </c>
      <c r="E97" s="239">
        <f t="shared" si="9"/>
        <v>452</v>
      </c>
      <c r="F97" s="236"/>
      <c r="G97" s="236">
        <f t="shared" si="10"/>
        <v>12.130170130182835</v>
      </c>
      <c r="H97" s="236"/>
      <c r="I97" s="236">
        <f t="shared" si="8"/>
        <v>48.520680520731339</v>
      </c>
      <c r="J97" s="240">
        <f t="shared" si="11"/>
        <v>5482.8368988426409</v>
      </c>
      <c r="K97" s="251"/>
      <c r="L97" s="251"/>
      <c r="M97" s="251"/>
    </row>
    <row r="98" spans="1:13" x14ac:dyDescent="0.35">
      <c r="A98" s="238">
        <v>43019</v>
      </c>
      <c r="B98" s="239" t="s">
        <v>761</v>
      </c>
      <c r="C98" s="239"/>
      <c r="D98" s="239">
        <v>4</v>
      </c>
      <c r="E98" s="239">
        <f t="shared" si="9"/>
        <v>448</v>
      </c>
      <c r="F98" s="236"/>
      <c r="G98" s="236">
        <f t="shared" si="10"/>
        <v>12.130170130182833</v>
      </c>
      <c r="H98" s="236"/>
      <c r="I98" s="236">
        <f t="shared" si="8"/>
        <v>48.520680520731332</v>
      </c>
      <c r="J98" s="240">
        <f t="shared" si="11"/>
        <v>5434.3162183219092</v>
      </c>
      <c r="K98" s="251"/>
      <c r="L98" s="251"/>
      <c r="M98" s="251"/>
    </row>
    <row r="99" spans="1:13" x14ac:dyDescent="0.35">
      <c r="A99" s="238">
        <v>43020</v>
      </c>
      <c r="B99" s="239" t="s">
        <v>762</v>
      </c>
      <c r="C99" s="239"/>
      <c r="D99" s="239">
        <v>6</v>
      </c>
      <c r="E99" s="239">
        <f t="shared" si="9"/>
        <v>442</v>
      </c>
      <c r="F99" s="236"/>
      <c r="G99" s="236">
        <f t="shared" si="10"/>
        <v>12.130170130182833</v>
      </c>
      <c r="H99" s="236"/>
      <c r="I99" s="236">
        <f t="shared" si="8"/>
        <v>72.781020781096998</v>
      </c>
      <c r="J99" s="240">
        <f t="shared" si="11"/>
        <v>5361.5351975408121</v>
      </c>
      <c r="K99" s="251"/>
      <c r="L99" s="251"/>
      <c r="M99" s="251"/>
    </row>
    <row r="100" spans="1:13" x14ac:dyDescent="0.35">
      <c r="A100" s="247">
        <v>43022</v>
      </c>
      <c r="B100" s="297" t="s">
        <v>763</v>
      </c>
      <c r="C100" s="297"/>
      <c r="D100" s="297">
        <v>3</v>
      </c>
      <c r="E100" s="297">
        <f t="shared" si="9"/>
        <v>439</v>
      </c>
      <c r="F100" s="248"/>
      <c r="G100" s="248">
        <f t="shared" si="10"/>
        <v>12.130170130182833</v>
      </c>
      <c r="H100" s="248"/>
      <c r="I100" s="248">
        <f t="shared" si="8"/>
        <v>36.390510390548499</v>
      </c>
      <c r="J100" s="249">
        <f t="shared" si="11"/>
        <v>5325.144687150264</v>
      </c>
      <c r="K100" s="252">
        <f>SUM(I95:I100)</f>
        <v>291.12408312438799</v>
      </c>
      <c r="L100" s="200"/>
      <c r="M100" s="253">
        <v>43023</v>
      </c>
    </row>
    <row r="101" spans="1:13" x14ac:dyDescent="0.35">
      <c r="A101" s="238">
        <v>43024</v>
      </c>
      <c r="B101" s="239" t="s">
        <v>764</v>
      </c>
      <c r="C101" s="239"/>
      <c r="D101" s="239">
        <v>4</v>
      </c>
      <c r="E101" s="239">
        <f t="shared" si="9"/>
        <v>435</v>
      </c>
      <c r="F101" s="236"/>
      <c r="G101" s="236">
        <f t="shared" si="10"/>
        <v>12.130170130182833</v>
      </c>
      <c r="H101" s="236"/>
      <c r="I101" s="236">
        <f t="shared" si="8"/>
        <v>48.520680520731332</v>
      </c>
      <c r="J101" s="240">
        <f t="shared" si="11"/>
        <v>5276.6240066295322</v>
      </c>
      <c r="K101" s="251"/>
      <c r="L101" s="251"/>
      <c r="M101" s="251"/>
    </row>
    <row r="102" spans="1:13" x14ac:dyDescent="0.35">
      <c r="A102" s="238">
        <v>43024</v>
      </c>
      <c r="B102" s="239" t="s">
        <v>765</v>
      </c>
      <c r="C102" s="239"/>
      <c r="D102" s="239">
        <v>1</v>
      </c>
      <c r="E102" s="239">
        <f t="shared" si="9"/>
        <v>434</v>
      </c>
      <c r="F102" s="236"/>
      <c r="G102" s="236">
        <f t="shared" si="10"/>
        <v>12.130170130182833</v>
      </c>
      <c r="H102" s="236"/>
      <c r="I102" s="236">
        <f t="shared" ref="I102:I121" si="12">+D102*G102</f>
        <v>12.130170130182833</v>
      </c>
      <c r="J102" s="240">
        <f t="shared" si="11"/>
        <v>5264.4938364993495</v>
      </c>
      <c r="K102" s="251"/>
      <c r="L102" s="251"/>
      <c r="M102" s="251"/>
    </row>
    <row r="103" spans="1:13" x14ac:dyDescent="0.35">
      <c r="A103" s="238">
        <v>43025</v>
      </c>
      <c r="B103" s="239" t="s">
        <v>766</v>
      </c>
      <c r="C103" s="239"/>
      <c r="D103" s="239">
        <v>2</v>
      </c>
      <c r="E103" s="239">
        <f t="shared" ref="E103:E121" si="13">+E102-D103</f>
        <v>432</v>
      </c>
      <c r="F103" s="236"/>
      <c r="G103" s="236">
        <f t="shared" ref="G103:G122" si="14">+J102/E102</f>
        <v>12.130170130182833</v>
      </c>
      <c r="H103" s="236"/>
      <c r="I103" s="236">
        <f t="shared" si="12"/>
        <v>24.260340260365666</v>
      </c>
      <c r="J103" s="240">
        <f t="shared" ref="J103:J121" si="15">+J102-I103</f>
        <v>5240.2334962389841</v>
      </c>
      <c r="K103" s="251"/>
      <c r="L103" s="251"/>
      <c r="M103" s="251"/>
    </row>
    <row r="104" spans="1:13" x14ac:dyDescent="0.35">
      <c r="A104" s="238">
        <v>43026</v>
      </c>
      <c r="B104" s="239" t="s">
        <v>767</v>
      </c>
      <c r="C104" s="239"/>
      <c r="D104" s="239">
        <v>2</v>
      </c>
      <c r="E104" s="239">
        <f t="shared" si="13"/>
        <v>430</v>
      </c>
      <c r="F104" s="236"/>
      <c r="G104" s="236">
        <f t="shared" si="14"/>
        <v>12.130170130182833</v>
      </c>
      <c r="H104" s="236"/>
      <c r="I104" s="236">
        <f t="shared" si="12"/>
        <v>24.260340260365666</v>
      </c>
      <c r="J104" s="240">
        <f t="shared" si="15"/>
        <v>5215.9731559786187</v>
      </c>
      <c r="K104" s="251"/>
      <c r="L104" s="251"/>
      <c r="M104" s="251"/>
    </row>
    <row r="105" spans="1:13" x14ac:dyDescent="0.35">
      <c r="A105" s="238">
        <v>43027</v>
      </c>
      <c r="B105" s="239" t="s">
        <v>768</v>
      </c>
      <c r="C105" s="239"/>
      <c r="D105" s="239">
        <v>5</v>
      </c>
      <c r="E105" s="239">
        <f t="shared" si="13"/>
        <v>425</v>
      </c>
      <c r="F105" s="236"/>
      <c r="G105" s="236">
        <f t="shared" si="14"/>
        <v>12.130170130182835</v>
      </c>
      <c r="H105" s="236"/>
      <c r="I105" s="236">
        <f t="shared" si="12"/>
        <v>60.650850650914172</v>
      </c>
      <c r="J105" s="240">
        <f t="shared" si="15"/>
        <v>5155.3223053277043</v>
      </c>
      <c r="K105" s="251"/>
      <c r="L105" s="251"/>
      <c r="M105" s="251"/>
    </row>
    <row r="106" spans="1:13" x14ac:dyDescent="0.35">
      <c r="A106" s="247">
        <v>43028</v>
      </c>
      <c r="B106" s="297" t="s">
        <v>769</v>
      </c>
      <c r="C106" s="297"/>
      <c r="D106" s="297">
        <v>7</v>
      </c>
      <c r="E106" s="297">
        <f t="shared" si="13"/>
        <v>418</v>
      </c>
      <c r="F106" s="248"/>
      <c r="G106" s="248">
        <f t="shared" si="14"/>
        <v>12.130170130182833</v>
      </c>
      <c r="H106" s="248"/>
      <c r="I106" s="248">
        <f t="shared" si="12"/>
        <v>84.911190911279832</v>
      </c>
      <c r="J106" s="249">
        <f t="shared" si="15"/>
        <v>5070.4111144164244</v>
      </c>
      <c r="K106" s="252">
        <f>SUM(I101:I106)</f>
        <v>254.73357273383948</v>
      </c>
      <c r="L106" s="252">
        <f>SUM(K100:K106)</f>
        <v>545.85765585822742</v>
      </c>
      <c r="M106" s="253">
        <v>43039</v>
      </c>
    </row>
    <row r="107" spans="1:13" x14ac:dyDescent="0.35">
      <c r="A107" s="238">
        <v>43045</v>
      </c>
      <c r="B107" s="239" t="s">
        <v>770</v>
      </c>
      <c r="C107" s="239"/>
      <c r="D107" s="239">
        <v>9</v>
      </c>
      <c r="E107" s="239">
        <f t="shared" si="13"/>
        <v>409</v>
      </c>
      <c r="F107" s="236"/>
      <c r="G107" s="236">
        <f t="shared" si="14"/>
        <v>12.130170130182833</v>
      </c>
      <c r="H107" s="236"/>
      <c r="I107" s="236">
        <f t="shared" si="12"/>
        <v>109.1715311716455</v>
      </c>
      <c r="J107" s="240">
        <f t="shared" si="15"/>
        <v>4961.2395832447792</v>
      </c>
      <c r="K107" s="251"/>
      <c r="L107" s="251"/>
      <c r="M107" s="251"/>
    </row>
    <row r="108" spans="1:13" x14ac:dyDescent="0.35">
      <c r="A108" s="247">
        <v>43048</v>
      </c>
      <c r="B108" s="297" t="s">
        <v>771</v>
      </c>
      <c r="C108" s="297"/>
      <c r="D108" s="297">
        <v>6</v>
      </c>
      <c r="E108" s="297">
        <f t="shared" si="13"/>
        <v>403</v>
      </c>
      <c r="F108" s="248"/>
      <c r="G108" s="248">
        <f t="shared" si="14"/>
        <v>12.130170130182835</v>
      </c>
      <c r="H108" s="248"/>
      <c r="I108" s="248">
        <f t="shared" si="12"/>
        <v>72.781020781097013</v>
      </c>
      <c r="J108" s="249">
        <f t="shared" si="15"/>
        <v>4888.458562463682</v>
      </c>
      <c r="K108" s="252">
        <f>SUM(I107:I108)</f>
        <v>181.95255195274251</v>
      </c>
      <c r="L108" s="200"/>
      <c r="M108" s="253">
        <v>43054</v>
      </c>
    </row>
    <row r="109" spans="1:13" x14ac:dyDescent="0.35">
      <c r="A109" s="238">
        <v>43055</v>
      </c>
      <c r="B109" s="239" t="s">
        <v>772</v>
      </c>
      <c r="C109" s="239"/>
      <c r="D109" s="239">
        <v>3</v>
      </c>
      <c r="E109" s="239">
        <f t="shared" si="13"/>
        <v>400</v>
      </c>
      <c r="F109" s="236"/>
      <c r="G109" s="236">
        <f t="shared" si="14"/>
        <v>12.130170130182833</v>
      </c>
      <c r="H109" s="236"/>
      <c r="I109" s="236">
        <f t="shared" si="12"/>
        <v>36.390510390548499</v>
      </c>
      <c r="J109" s="240">
        <f t="shared" si="15"/>
        <v>4852.0680520731339</v>
      </c>
      <c r="K109" s="251"/>
      <c r="L109" s="251"/>
      <c r="M109" s="251"/>
    </row>
    <row r="110" spans="1:13" x14ac:dyDescent="0.35">
      <c r="A110" s="238">
        <v>43056</v>
      </c>
      <c r="B110" s="239" t="s">
        <v>773</v>
      </c>
      <c r="C110" s="239"/>
      <c r="D110" s="239">
        <v>6</v>
      </c>
      <c r="E110" s="239">
        <f t="shared" si="13"/>
        <v>394</v>
      </c>
      <c r="F110" s="236"/>
      <c r="G110" s="236">
        <f t="shared" si="14"/>
        <v>12.130170130182835</v>
      </c>
      <c r="H110" s="236"/>
      <c r="I110" s="236">
        <f t="shared" si="12"/>
        <v>72.781020781097013</v>
      </c>
      <c r="J110" s="240">
        <f t="shared" si="15"/>
        <v>4779.2870312920368</v>
      </c>
      <c r="K110" s="251"/>
      <c r="L110" s="251"/>
      <c r="M110" s="251"/>
    </row>
    <row r="111" spans="1:13" x14ac:dyDescent="0.35">
      <c r="A111" s="238">
        <v>43061</v>
      </c>
      <c r="B111" s="239" t="s">
        <v>774</v>
      </c>
      <c r="C111" s="239"/>
      <c r="D111" s="239">
        <v>1</v>
      </c>
      <c r="E111" s="239">
        <f t="shared" si="13"/>
        <v>393</v>
      </c>
      <c r="F111" s="236"/>
      <c r="G111" s="236">
        <f t="shared" si="14"/>
        <v>12.130170130182835</v>
      </c>
      <c r="H111" s="236"/>
      <c r="I111" s="236">
        <f t="shared" si="12"/>
        <v>12.130170130182835</v>
      </c>
      <c r="J111" s="240">
        <f t="shared" si="15"/>
        <v>4767.1568611618541</v>
      </c>
      <c r="K111" s="251"/>
      <c r="L111" s="251"/>
      <c r="M111" s="251"/>
    </row>
    <row r="112" spans="1:13" x14ac:dyDescent="0.35">
      <c r="A112" s="238">
        <v>43061</v>
      </c>
      <c r="B112" s="239" t="s">
        <v>775</v>
      </c>
      <c r="C112" s="239"/>
      <c r="D112" s="239">
        <v>2</v>
      </c>
      <c r="E112" s="239">
        <f t="shared" si="13"/>
        <v>391</v>
      </c>
      <c r="F112" s="236"/>
      <c r="G112" s="236">
        <f t="shared" si="14"/>
        <v>12.130170130182835</v>
      </c>
      <c r="H112" s="236"/>
      <c r="I112" s="236">
        <f t="shared" si="12"/>
        <v>24.26034026036567</v>
      </c>
      <c r="J112" s="240">
        <f t="shared" si="15"/>
        <v>4742.8965209014887</v>
      </c>
      <c r="K112" s="251"/>
      <c r="L112" s="251"/>
      <c r="M112" s="251"/>
    </row>
    <row r="113" spans="1:13" x14ac:dyDescent="0.35">
      <c r="A113" s="238">
        <v>43063</v>
      </c>
      <c r="B113" s="239" t="s">
        <v>776</v>
      </c>
      <c r="C113" s="239"/>
      <c r="D113" s="239">
        <v>1</v>
      </c>
      <c r="E113" s="239">
        <f t="shared" si="13"/>
        <v>390</v>
      </c>
      <c r="F113" s="236"/>
      <c r="G113" s="236">
        <f t="shared" si="14"/>
        <v>12.130170130182835</v>
      </c>
      <c r="H113" s="236"/>
      <c r="I113" s="236">
        <f t="shared" si="12"/>
        <v>12.130170130182835</v>
      </c>
      <c r="J113" s="240">
        <f t="shared" si="15"/>
        <v>4730.766350771306</v>
      </c>
      <c r="K113" s="251"/>
      <c r="L113" s="251"/>
      <c r="M113" s="251"/>
    </row>
    <row r="114" spans="1:13" x14ac:dyDescent="0.35">
      <c r="A114" s="238">
        <v>43066</v>
      </c>
      <c r="B114" s="239" t="s">
        <v>777</v>
      </c>
      <c r="C114" s="239"/>
      <c r="D114" s="239">
        <v>6</v>
      </c>
      <c r="E114" s="239">
        <f t="shared" si="13"/>
        <v>384</v>
      </c>
      <c r="F114" s="236"/>
      <c r="G114" s="236">
        <f t="shared" si="14"/>
        <v>12.130170130182837</v>
      </c>
      <c r="H114" s="236"/>
      <c r="I114" s="236">
        <f t="shared" si="12"/>
        <v>72.781020781097027</v>
      </c>
      <c r="J114" s="240">
        <f t="shared" si="15"/>
        <v>4657.9853299902088</v>
      </c>
      <c r="K114" s="251"/>
      <c r="L114" s="251"/>
      <c r="M114" s="251"/>
    </row>
    <row r="115" spans="1:13" x14ac:dyDescent="0.35">
      <c r="A115" s="238">
        <v>43068</v>
      </c>
      <c r="B115" s="239" t="s">
        <v>778</v>
      </c>
      <c r="C115" s="239"/>
      <c r="D115" s="239">
        <v>1</v>
      </c>
      <c r="E115" s="239">
        <f t="shared" si="13"/>
        <v>383</v>
      </c>
      <c r="F115" s="236"/>
      <c r="G115" s="236">
        <f t="shared" si="14"/>
        <v>12.130170130182835</v>
      </c>
      <c r="H115" s="236"/>
      <c r="I115" s="236">
        <f t="shared" si="12"/>
        <v>12.130170130182835</v>
      </c>
      <c r="J115" s="240">
        <f t="shared" si="15"/>
        <v>4645.8551598600261</v>
      </c>
      <c r="K115" s="251"/>
      <c r="L115" s="251"/>
      <c r="M115" s="251"/>
    </row>
    <row r="116" spans="1:13" x14ac:dyDescent="0.35">
      <c r="A116" s="247">
        <v>43068</v>
      </c>
      <c r="B116" s="297" t="s">
        <v>779</v>
      </c>
      <c r="C116" s="297"/>
      <c r="D116" s="297">
        <v>5</v>
      </c>
      <c r="E116" s="297">
        <f t="shared" si="13"/>
        <v>378</v>
      </c>
      <c r="F116" s="248"/>
      <c r="G116" s="248">
        <f t="shared" si="14"/>
        <v>12.130170130182837</v>
      </c>
      <c r="H116" s="248"/>
      <c r="I116" s="248">
        <f t="shared" si="12"/>
        <v>60.65085065091418</v>
      </c>
      <c r="J116" s="249">
        <f t="shared" si="15"/>
        <v>4585.2043092091117</v>
      </c>
      <c r="K116" s="252">
        <f>SUM(I109:I116)</f>
        <v>303.25425325457093</v>
      </c>
      <c r="L116" s="252">
        <f>SUM(K108:K116)</f>
        <v>485.20680520731344</v>
      </c>
      <c r="M116" s="253">
        <v>43069</v>
      </c>
    </row>
    <row r="117" spans="1:13" x14ac:dyDescent="0.35">
      <c r="A117" s="238">
        <v>43074</v>
      </c>
      <c r="B117" s="239" t="s">
        <v>780</v>
      </c>
      <c r="C117" s="239"/>
      <c r="D117" s="239">
        <v>1</v>
      </c>
      <c r="E117" s="239">
        <f t="shared" si="13"/>
        <v>377</v>
      </c>
      <c r="F117" s="236"/>
      <c r="G117" s="236">
        <f t="shared" si="14"/>
        <v>12.130170130182835</v>
      </c>
      <c r="H117" s="236"/>
      <c r="I117" s="236">
        <f t="shared" si="12"/>
        <v>12.130170130182835</v>
      </c>
      <c r="J117" s="240">
        <f t="shared" si="15"/>
        <v>4573.074139078929</v>
      </c>
      <c r="K117" s="251"/>
      <c r="L117" s="251"/>
      <c r="M117" s="251"/>
    </row>
    <row r="118" spans="1:13" x14ac:dyDescent="0.35">
      <c r="A118" s="238">
        <v>43080</v>
      </c>
      <c r="B118" s="239" t="s">
        <v>781</v>
      </c>
      <c r="C118" s="239"/>
      <c r="D118" s="239">
        <v>5</v>
      </c>
      <c r="E118" s="239">
        <f t="shared" si="13"/>
        <v>372</v>
      </c>
      <c r="F118" s="236"/>
      <c r="G118" s="236">
        <f t="shared" si="14"/>
        <v>12.130170130182835</v>
      </c>
      <c r="H118" s="236"/>
      <c r="I118" s="236">
        <f t="shared" si="12"/>
        <v>60.650850650914172</v>
      </c>
      <c r="J118" s="240">
        <f t="shared" si="15"/>
        <v>4512.4232884280145</v>
      </c>
      <c r="K118" s="251"/>
      <c r="L118" s="251"/>
      <c r="M118" s="251"/>
    </row>
    <row r="119" spans="1:13" x14ac:dyDescent="0.35">
      <c r="A119" s="247">
        <v>43081</v>
      </c>
      <c r="B119" s="297" t="s">
        <v>782</v>
      </c>
      <c r="C119" s="297"/>
      <c r="D119" s="297">
        <v>3</v>
      </c>
      <c r="E119" s="297">
        <f t="shared" si="13"/>
        <v>369</v>
      </c>
      <c r="F119" s="248"/>
      <c r="G119" s="248">
        <f t="shared" si="14"/>
        <v>12.130170130182835</v>
      </c>
      <c r="H119" s="248"/>
      <c r="I119" s="248">
        <f t="shared" si="12"/>
        <v>36.390510390548506</v>
      </c>
      <c r="J119" s="249">
        <f t="shared" si="15"/>
        <v>4476.0327780374664</v>
      </c>
      <c r="K119" s="252">
        <f>SUM(I117:I119)</f>
        <v>109.17153117164551</v>
      </c>
      <c r="L119" s="252"/>
      <c r="M119" s="253">
        <v>43084</v>
      </c>
    </row>
    <row r="120" spans="1:13" x14ac:dyDescent="0.35">
      <c r="A120" s="238">
        <v>43095</v>
      </c>
      <c r="B120" s="239" t="s">
        <v>783</v>
      </c>
      <c r="C120" s="239"/>
      <c r="D120" s="239">
        <v>1</v>
      </c>
      <c r="E120" s="239">
        <f t="shared" si="13"/>
        <v>368</v>
      </c>
      <c r="F120" s="236"/>
      <c r="G120" s="236">
        <f t="shared" si="14"/>
        <v>12.130170130182837</v>
      </c>
      <c r="H120" s="236"/>
      <c r="I120" s="236">
        <f t="shared" si="12"/>
        <v>12.130170130182837</v>
      </c>
      <c r="J120" s="240">
        <f t="shared" si="15"/>
        <v>4463.9026079072837</v>
      </c>
      <c r="K120" s="251"/>
      <c r="L120" s="251"/>
      <c r="M120" s="251"/>
    </row>
    <row r="121" spans="1:13" x14ac:dyDescent="0.35">
      <c r="A121" s="247">
        <v>43098</v>
      </c>
      <c r="B121" s="297" t="s">
        <v>784</v>
      </c>
      <c r="C121" s="297"/>
      <c r="D121" s="297">
        <v>1</v>
      </c>
      <c r="E121" s="297">
        <f t="shared" si="13"/>
        <v>367</v>
      </c>
      <c r="F121" s="248"/>
      <c r="G121" s="248">
        <f t="shared" si="14"/>
        <v>12.130170130182837</v>
      </c>
      <c r="H121" s="248"/>
      <c r="I121" s="248">
        <f t="shared" si="12"/>
        <v>12.130170130182837</v>
      </c>
      <c r="J121" s="249">
        <f t="shared" si="15"/>
        <v>4451.772437777101</v>
      </c>
      <c r="K121" s="252">
        <f>SUM(I120:I121)</f>
        <v>24.260340260365673</v>
      </c>
      <c r="L121" s="347">
        <f>SUM(K119:K121)</f>
        <v>133.43187143201118</v>
      </c>
      <c r="M121" s="253">
        <v>43100</v>
      </c>
    </row>
    <row r="122" spans="1:13" ht="15" thickBot="1" x14ac:dyDescent="0.4">
      <c r="A122" s="238"/>
      <c r="B122" s="239" t="s">
        <v>138</v>
      </c>
      <c r="C122" s="239">
        <f>SUM(C11:C121)</f>
        <v>673</v>
      </c>
      <c r="D122" s="239">
        <f>SUM(D11:D121)</f>
        <v>306</v>
      </c>
      <c r="E122" s="239"/>
      <c r="F122" s="236"/>
      <c r="G122" s="236"/>
      <c r="H122" s="236">
        <f>SUM(H11:H121)</f>
        <v>8164.7898000000014</v>
      </c>
      <c r="I122" s="236">
        <f>SUM(I11:I121)</f>
        <v>3713.0173622229072</v>
      </c>
      <c r="J122" s="240"/>
      <c r="K122" s="251"/>
      <c r="L122" s="348">
        <f>SUM(L17:L121)</f>
        <v>3713.0173622229063</v>
      </c>
      <c r="M122" s="251"/>
    </row>
    <row r="123" spans="1:13" ht="15" thickTop="1" x14ac:dyDescent="0.35">
      <c r="A123" s="216"/>
      <c r="B123" s="216"/>
      <c r="C123" s="216"/>
      <c r="D123" s="216"/>
      <c r="E123" s="216"/>
      <c r="F123" s="216"/>
      <c r="G123" s="216"/>
      <c r="H123" s="216"/>
      <c r="I123" s="216"/>
      <c r="J123" s="216"/>
      <c r="K123" s="216"/>
      <c r="L123" s="328"/>
      <c r="M123" s="216"/>
    </row>
    <row r="124" spans="1:13" x14ac:dyDescent="0.35">
      <c r="A124" s="216"/>
      <c r="B124" s="216"/>
      <c r="C124" s="216"/>
      <c r="D124" s="216"/>
      <c r="E124" s="216"/>
      <c r="F124" s="216"/>
      <c r="G124" s="216"/>
      <c r="H124" s="216"/>
      <c r="I124" s="216"/>
      <c r="J124" s="216"/>
      <c r="K124" s="216"/>
      <c r="L124" s="216"/>
      <c r="M124" s="216"/>
    </row>
    <row r="125" spans="1:13" x14ac:dyDescent="0.35">
      <c r="A125" s="432" t="s">
        <v>785</v>
      </c>
      <c r="B125" s="423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</row>
    <row r="126" spans="1:13" x14ac:dyDescent="0.35">
      <c r="A126" s="432"/>
      <c r="B126" s="423"/>
      <c r="C126" s="216"/>
      <c r="D126" s="216"/>
      <c r="E126" s="216"/>
      <c r="F126" s="216"/>
      <c r="G126" s="216"/>
      <c r="H126" s="216"/>
      <c r="I126" s="216"/>
      <c r="J126" s="216"/>
      <c r="K126" s="216"/>
      <c r="L126" s="216"/>
      <c r="M126" s="216"/>
    </row>
    <row r="127" spans="1:13" x14ac:dyDescent="0.35">
      <c r="A127" s="432" t="s">
        <v>631</v>
      </c>
      <c r="B127" s="423"/>
      <c r="C127" s="216"/>
      <c r="D127" s="216"/>
      <c r="E127" s="216"/>
      <c r="F127" s="216"/>
      <c r="G127" s="216"/>
      <c r="H127" s="216"/>
      <c r="I127" s="216"/>
      <c r="J127" s="326">
        <f>+E121*F37</f>
        <v>4410.7137065217394</v>
      </c>
      <c r="K127" s="216"/>
      <c r="L127" s="216"/>
      <c r="M127" s="216"/>
    </row>
    <row r="128" spans="1:13" x14ac:dyDescent="0.35">
      <c r="A128" s="432" t="s">
        <v>630</v>
      </c>
      <c r="B128" s="423"/>
      <c r="C128" s="216"/>
      <c r="D128" s="216"/>
      <c r="E128" s="216"/>
      <c r="F128" s="216"/>
      <c r="G128" s="216"/>
      <c r="H128" s="216"/>
      <c r="I128" s="216"/>
      <c r="J128" s="433">
        <f>+J121</f>
        <v>4451.772437777101</v>
      </c>
      <c r="K128" s="216"/>
      <c r="L128" s="216"/>
      <c r="M128" s="216"/>
    </row>
    <row r="129" spans="1:13" ht="15" thickBot="1" x14ac:dyDescent="0.4">
      <c r="A129" s="432"/>
      <c r="B129" s="423" t="s">
        <v>29</v>
      </c>
      <c r="C129" s="216"/>
      <c r="D129" s="216"/>
      <c r="E129" s="216"/>
      <c r="F129" s="216"/>
      <c r="G129" s="216"/>
      <c r="H129" s="216"/>
      <c r="I129" s="216"/>
      <c r="J129" s="360">
        <f>+J127-J128</f>
        <v>-41.058731255361636</v>
      </c>
      <c r="K129" s="216"/>
      <c r="L129" s="216"/>
      <c r="M129" s="216"/>
    </row>
    <row r="130" spans="1:13" ht="15" thickTop="1" x14ac:dyDescent="0.35"/>
  </sheetData>
  <mergeCells count="5">
    <mergeCell ref="A5:I5"/>
    <mergeCell ref="A6:J6"/>
    <mergeCell ref="C9:E9"/>
    <mergeCell ref="F9:G9"/>
    <mergeCell ref="H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XFD88"/>
  <sheetViews>
    <sheetView workbookViewId="0">
      <selection activeCell="I85" sqref="I85"/>
    </sheetView>
  </sheetViews>
  <sheetFormatPr baseColWidth="10" defaultRowHeight="14.5" x14ac:dyDescent="0.35"/>
  <cols>
    <col min="2" max="2" width="31.36328125" customWidth="1"/>
  </cols>
  <sheetData>
    <row r="1" spans="1:14" x14ac:dyDescent="0.35">
      <c r="A1" s="101" t="s">
        <v>0</v>
      </c>
      <c r="B1" s="102"/>
      <c r="C1" s="112"/>
      <c r="D1" s="112"/>
      <c r="E1" s="112"/>
      <c r="F1" s="112"/>
      <c r="G1" s="112"/>
      <c r="H1" s="113" t="s">
        <v>1</v>
      </c>
      <c r="I1" s="112"/>
      <c r="J1" s="112"/>
      <c r="K1" s="114"/>
      <c r="L1" s="140"/>
      <c r="M1" s="140"/>
      <c r="N1" s="140"/>
    </row>
    <row r="2" spans="1:14" x14ac:dyDescent="0.35">
      <c r="A2" s="103" t="s">
        <v>2</v>
      </c>
      <c r="B2" s="104"/>
      <c r="C2" s="115"/>
      <c r="D2" s="141"/>
      <c r="E2" s="141"/>
      <c r="F2" s="141"/>
      <c r="G2" s="115"/>
      <c r="H2" s="116" t="s">
        <v>651</v>
      </c>
      <c r="I2" s="115"/>
      <c r="J2" s="115"/>
      <c r="K2" s="117"/>
      <c r="L2" s="140"/>
      <c r="M2" s="140"/>
      <c r="N2" s="140"/>
    </row>
    <row r="3" spans="1:14" x14ac:dyDescent="0.35">
      <c r="A3" s="105" t="s">
        <v>3</v>
      </c>
      <c r="B3" s="106"/>
      <c r="C3" s="115"/>
      <c r="D3" s="141"/>
      <c r="E3" s="141"/>
      <c r="F3" s="141"/>
      <c r="G3" s="115"/>
      <c r="H3" s="116" t="s">
        <v>4</v>
      </c>
      <c r="I3" s="115"/>
      <c r="J3" s="115"/>
      <c r="K3" s="117"/>
      <c r="L3" s="140"/>
      <c r="M3" s="140"/>
      <c r="N3" s="140"/>
    </row>
    <row r="4" spans="1:14" x14ac:dyDescent="0.35">
      <c r="A4" s="107"/>
      <c r="B4" s="115"/>
      <c r="C4" s="115"/>
      <c r="D4" s="382" t="s">
        <v>5</v>
      </c>
      <c r="E4" s="382"/>
      <c r="F4" s="382"/>
      <c r="G4" s="382"/>
      <c r="H4" s="382"/>
      <c r="I4" s="115"/>
      <c r="J4" s="115"/>
      <c r="K4" s="117"/>
      <c r="L4" s="140"/>
      <c r="M4" s="140"/>
      <c r="N4" s="140"/>
    </row>
    <row r="5" spans="1:14" x14ac:dyDescent="0.35">
      <c r="A5" s="107"/>
      <c r="B5" s="118"/>
      <c r="C5" s="115"/>
      <c r="D5" s="389" t="s">
        <v>61</v>
      </c>
      <c r="E5" s="389"/>
      <c r="F5" s="389"/>
      <c r="G5" s="389"/>
      <c r="H5" s="115"/>
      <c r="I5" s="115"/>
      <c r="J5" s="115"/>
      <c r="K5" s="117"/>
      <c r="L5" s="140"/>
      <c r="M5" s="140"/>
      <c r="N5" s="140"/>
    </row>
    <row r="6" spans="1:14" x14ac:dyDescent="0.35">
      <c r="A6" s="107"/>
      <c r="B6" s="118"/>
      <c r="C6" s="115"/>
      <c r="D6" s="398" t="s">
        <v>6</v>
      </c>
      <c r="E6" s="398"/>
      <c r="F6" s="398"/>
      <c r="G6" s="398"/>
      <c r="H6" s="115"/>
      <c r="I6" s="115"/>
      <c r="J6" s="115"/>
      <c r="K6" s="117"/>
      <c r="L6" s="140"/>
      <c r="M6" s="140"/>
      <c r="N6" s="140"/>
    </row>
    <row r="7" spans="1:14" x14ac:dyDescent="0.35">
      <c r="A7" s="108" t="s">
        <v>7</v>
      </c>
      <c r="B7" s="119" t="s">
        <v>8</v>
      </c>
      <c r="C7" s="383" t="s">
        <v>9</v>
      </c>
      <c r="D7" s="383"/>
      <c r="E7" s="384"/>
      <c r="F7" s="385" t="s">
        <v>10</v>
      </c>
      <c r="G7" s="385"/>
      <c r="H7" s="386" t="s">
        <v>11</v>
      </c>
      <c r="I7" s="387"/>
      <c r="J7" s="387"/>
      <c r="K7" s="142" t="s">
        <v>12</v>
      </c>
      <c r="L7" s="140"/>
      <c r="M7" s="140"/>
      <c r="N7" s="140"/>
    </row>
    <row r="8" spans="1:14" x14ac:dyDescent="0.35">
      <c r="A8" s="109"/>
      <c r="B8" s="120"/>
      <c r="C8" s="120" t="s">
        <v>13</v>
      </c>
      <c r="D8" s="121" t="s">
        <v>14</v>
      </c>
      <c r="E8" s="122" t="s">
        <v>15</v>
      </c>
      <c r="F8" s="123" t="s">
        <v>16</v>
      </c>
      <c r="G8" s="123" t="s">
        <v>17</v>
      </c>
      <c r="H8" s="121" t="s">
        <v>18</v>
      </c>
      <c r="I8" s="124" t="s">
        <v>19</v>
      </c>
      <c r="J8" s="125" t="s">
        <v>20</v>
      </c>
      <c r="K8" s="143"/>
      <c r="L8" s="140"/>
      <c r="M8" s="140"/>
      <c r="N8" s="140"/>
    </row>
    <row r="9" spans="1:14" x14ac:dyDescent="0.35">
      <c r="A9" s="110">
        <v>42371</v>
      </c>
      <c r="B9" s="132" t="s">
        <v>28</v>
      </c>
      <c r="C9" s="130">
        <v>860.43</v>
      </c>
      <c r="D9" s="133"/>
      <c r="E9" s="134">
        <f>+C9</f>
        <v>860.43</v>
      </c>
      <c r="F9" s="127">
        <f>+H9/C9</f>
        <v>25.858198807572958</v>
      </c>
      <c r="G9" s="127"/>
      <c r="H9" s="128">
        <f>+J9</f>
        <v>22249.17</v>
      </c>
      <c r="I9" s="135"/>
      <c r="J9" s="135">
        <v>22249.17</v>
      </c>
      <c r="K9" s="136"/>
      <c r="L9" s="140"/>
      <c r="M9" s="140"/>
      <c r="N9" s="140"/>
    </row>
    <row r="10" spans="1:14" s="216" customFormat="1" x14ac:dyDescent="0.35">
      <c r="A10" s="224">
        <v>42738</v>
      </c>
      <c r="B10" s="191" t="s">
        <v>91</v>
      </c>
      <c r="C10" s="188">
        <v>30381.3</v>
      </c>
      <c r="D10" s="133"/>
      <c r="E10" s="134">
        <f>+E9+C10</f>
        <v>31241.73</v>
      </c>
      <c r="F10" s="185">
        <f>+H10/C10</f>
        <v>20.206212374059042</v>
      </c>
      <c r="G10" s="185"/>
      <c r="H10" s="236">
        <v>613891</v>
      </c>
      <c r="I10" s="135"/>
      <c r="J10" s="135">
        <f>+J9+H10</f>
        <v>636140.17000000004</v>
      </c>
      <c r="K10" s="136"/>
      <c r="L10" s="251"/>
      <c r="M10" s="251"/>
      <c r="N10" s="251"/>
    </row>
    <row r="11" spans="1:14" x14ac:dyDescent="0.35">
      <c r="A11" s="126">
        <v>42811</v>
      </c>
      <c r="B11" s="111" t="s">
        <v>211</v>
      </c>
      <c r="C11" s="131"/>
      <c r="D11" s="137">
        <f>(14*3+26*3.5)*1.05</f>
        <v>139.65</v>
      </c>
      <c r="E11" s="138">
        <f>+E10-D11</f>
        <v>31102.079999999998</v>
      </c>
      <c r="F11" s="129"/>
      <c r="G11" s="127">
        <f>+J10/E10</f>
        <v>20.36187400633704</v>
      </c>
      <c r="H11" s="129"/>
      <c r="I11" s="133">
        <f>+D11*G11</f>
        <v>2843.5357049849677</v>
      </c>
      <c r="J11" s="135">
        <f>+J10-I11</f>
        <v>633296.63429501513</v>
      </c>
      <c r="K11" s="139"/>
      <c r="L11" s="140"/>
      <c r="M11" s="140"/>
      <c r="N11" s="140"/>
    </row>
    <row r="12" spans="1:14" s="216" customFormat="1" x14ac:dyDescent="0.35">
      <c r="A12" s="126">
        <v>42811</v>
      </c>
      <c r="B12" s="227" t="s">
        <v>212</v>
      </c>
      <c r="C12" s="190"/>
      <c r="D12" s="137">
        <f>(3*3.75)*1.05</f>
        <v>11.8125</v>
      </c>
      <c r="E12" s="138">
        <f t="shared" ref="E12:E74" si="0">+E11-D12</f>
        <v>31090.267499999998</v>
      </c>
      <c r="F12" s="187"/>
      <c r="G12" s="185">
        <f t="shared" ref="G12:G22" si="1">+J11/E11</f>
        <v>20.361874006337043</v>
      </c>
      <c r="H12" s="187"/>
      <c r="I12" s="133">
        <f t="shared" ref="I12:I22" si="2">+D12*G12</f>
        <v>240.52463669985633</v>
      </c>
      <c r="J12" s="135">
        <f t="shared" ref="J12:J74" si="3">+J11-I12</f>
        <v>633056.10965831531</v>
      </c>
      <c r="K12" s="139"/>
      <c r="L12" s="251"/>
      <c r="M12" s="251"/>
      <c r="N12" s="251"/>
    </row>
    <row r="13" spans="1:14" s="216" customFormat="1" x14ac:dyDescent="0.35">
      <c r="A13" s="126">
        <v>42811</v>
      </c>
      <c r="B13" s="227" t="s">
        <v>213</v>
      </c>
      <c r="C13" s="190"/>
      <c r="D13" s="137">
        <f>(2*1+4*3+2*2.25+2.5+2*2+6*5.5)*1.05</f>
        <v>60.900000000000006</v>
      </c>
      <c r="E13" s="138">
        <f t="shared" si="0"/>
        <v>31029.367499999997</v>
      </c>
      <c r="F13" s="187"/>
      <c r="G13" s="185">
        <f t="shared" si="1"/>
        <v>20.361874006337043</v>
      </c>
      <c r="H13" s="187"/>
      <c r="I13" s="133">
        <f t="shared" si="2"/>
        <v>1240.0381269859261</v>
      </c>
      <c r="J13" s="135">
        <f t="shared" si="3"/>
        <v>631816.07153132942</v>
      </c>
      <c r="K13" s="139"/>
      <c r="L13" s="251"/>
      <c r="M13" s="251"/>
      <c r="N13" s="251"/>
    </row>
    <row r="14" spans="1:14" s="216" customFormat="1" x14ac:dyDescent="0.35">
      <c r="A14" s="126">
        <v>42812</v>
      </c>
      <c r="B14" s="227" t="s">
        <v>214</v>
      </c>
      <c r="C14" s="190"/>
      <c r="D14" s="137">
        <f>(14*3)*1.05</f>
        <v>44.1</v>
      </c>
      <c r="E14" s="138">
        <f t="shared" si="0"/>
        <v>30985.267499999998</v>
      </c>
      <c r="F14" s="187"/>
      <c r="G14" s="185">
        <f t="shared" si="1"/>
        <v>20.361874006337043</v>
      </c>
      <c r="H14" s="187"/>
      <c r="I14" s="133">
        <f t="shared" si="2"/>
        <v>897.95864367946365</v>
      </c>
      <c r="J14" s="135">
        <f t="shared" si="3"/>
        <v>630918.11288764991</v>
      </c>
      <c r="K14" s="139"/>
      <c r="L14" s="251"/>
      <c r="M14" s="251"/>
      <c r="N14" s="251"/>
    </row>
    <row r="15" spans="1:14" s="216" customFormat="1" x14ac:dyDescent="0.35">
      <c r="A15" s="126">
        <v>42812</v>
      </c>
      <c r="B15" s="227" t="s">
        <v>215</v>
      </c>
      <c r="C15" s="190"/>
      <c r="D15" s="137">
        <v>2</v>
      </c>
      <c r="E15" s="138">
        <f t="shared" si="0"/>
        <v>30983.267499999998</v>
      </c>
      <c r="F15" s="187"/>
      <c r="G15" s="185">
        <f t="shared" si="1"/>
        <v>20.361874006337043</v>
      </c>
      <c r="H15" s="187"/>
      <c r="I15" s="133">
        <f t="shared" si="2"/>
        <v>40.723748012674086</v>
      </c>
      <c r="J15" s="135">
        <f t="shared" si="3"/>
        <v>630877.38913963723</v>
      </c>
      <c r="K15" s="139"/>
      <c r="L15" s="251"/>
      <c r="M15" s="251"/>
      <c r="N15" s="251"/>
    </row>
    <row r="16" spans="1:14" s="216" customFormat="1" x14ac:dyDescent="0.35">
      <c r="A16" s="126">
        <v>42814</v>
      </c>
      <c r="B16" s="227" t="s">
        <v>216</v>
      </c>
      <c r="C16" s="190"/>
      <c r="D16" s="137">
        <f>(9*3.75+6*5)*1.05</f>
        <v>66.9375</v>
      </c>
      <c r="E16" s="138">
        <f t="shared" si="0"/>
        <v>30916.329999999998</v>
      </c>
      <c r="F16" s="187"/>
      <c r="G16" s="185">
        <f t="shared" si="1"/>
        <v>20.361874006337043</v>
      </c>
      <c r="H16" s="187"/>
      <c r="I16" s="133">
        <f t="shared" si="2"/>
        <v>1362.9729412991858</v>
      </c>
      <c r="J16" s="135">
        <f t="shared" si="3"/>
        <v>629514.41619833803</v>
      </c>
      <c r="K16" s="139"/>
      <c r="L16" s="251"/>
      <c r="M16" s="251"/>
      <c r="N16" s="251"/>
    </row>
    <row r="17" spans="1:14" s="216" customFormat="1" x14ac:dyDescent="0.35">
      <c r="A17" s="126">
        <v>42815</v>
      </c>
      <c r="B17" s="227" t="s">
        <v>217</v>
      </c>
      <c r="C17" s="190"/>
      <c r="D17" s="137">
        <f>(6*0.5+2*0.75)*1.05</f>
        <v>4.7250000000000005</v>
      </c>
      <c r="E17" s="138">
        <f t="shared" si="0"/>
        <v>30911.605</v>
      </c>
      <c r="F17" s="187"/>
      <c r="G17" s="185">
        <f t="shared" si="1"/>
        <v>20.361874006337043</v>
      </c>
      <c r="H17" s="187"/>
      <c r="I17" s="133">
        <f t="shared" si="2"/>
        <v>96.209854679942538</v>
      </c>
      <c r="J17" s="135">
        <f t="shared" si="3"/>
        <v>629418.20634365804</v>
      </c>
      <c r="K17" s="139"/>
      <c r="L17" s="251"/>
      <c r="M17" s="251"/>
      <c r="N17" s="251"/>
    </row>
    <row r="18" spans="1:14" s="216" customFormat="1" x14ac:dyDescent="0.35">
      <c r="A18" s="126">
        <v>42815</v>
      </c>
      <c r="B18" s="227" t="s">
        <v>218</v>
      </c>
      <c r="C18" s="190"/>
      <c r="D18" s="137">
        <f>(5)*1.05</f>
        <v>5.25</v>
      </c>
      <c r="E18" s="138">
        <f t="shared" si="0"/>
        <v>30906.355</v>
      </c>
      <c r="F18" s="187"/>
      <c r="G18" s="185">
        <f t="shared" si="1"/>
        <v>20.36187400633704</v>
      </c>
      <c r="H18" s="187"/>
      <c r="I18" s="133">
        <f t="shared" si="2"/>
        <v>106.89983853326946</v>
      </c>
      <c r="J18" s="135">
        <f t="shared" si="3"/>
        <v>629311.30650512478</v>
      </c>
      <c r="K18" s="139"/>
      <c r="L18" s="251"/>
      <c r="M18" s="251"/>
      <c r="N18" s="251"/>
    </row>
    <row r="19" spans="1:14" s="216" customFormat="1" x14ac:dyDescent="0.35">
      <c r="A19" s="126">
        <v>42817</v>
      </c>
      <c r="B19" s="227" t="s">
        <v>219</v>
      </c>
      <c r="C19" s="190"/>
      <c r="D19" s="137">
        <f>(6*5.75+4*2.25+6*1.5)*1.05+1</f>
        <v>56.125</v>
      </c>
      <c r="E19" s="138">
        <f t="shared" si="0"/>
        <v>30850.23</v>
      </c>
      <c r="F19" s="187"/>
      <c r="G19" s="185">
        <f t="shared" si="1"/>
        <v>20.36187400633704</v>
      </c>
      <c r="H19" s="187"/>
      <c r="I19" s="133">
        <f t="shared" si="2"/>
        <v>1142.8101786056664</v>
      </c>
      <c r="J19" s="135">
        <f t="shared" si="3"/>
        <v>628168.49632651906</v>
      </c>
      <c r="K19" s="139"/>
      <c r="L19" s="251"/>
      <c r="M19" s="251"/>
      <c r="N19" s="251"/>
    </row>
    <row r="20" spans="1:14" s="216" customFormat="1" x14ac:dyDescent="0.35">
      <c r="A20" s="126">
        <v>42818</v>
      </c>
      <c r="B20" s="227" t="s">
        <v>220</v>
      </c>
      <c r="C20" s="190"/>
      <c r="D20" s="137">
        <f>(2*1.75+4*1.5+2*1+10*2+3*2.5+2*2.25+4*0.75)*1.05+8</f>
        <v>56.825000000000003</v>
      </c>
      <c r="E20" s="138">
        <f t="shared" si="0"/>
        <v>30793.404999999999</v>
      </c>
      <c r="F20" s="187"/>
      <c r="G20" s="185">
        <f t="shared" si="1"/>
        <v>20.361874006337036</v>
      </c>
      <c r="H20" s="187"/>
      <c r="I20" s="133">
        <f t="shared" si="2"/>
        <v>1157.0634904101021</v>
      </c>
      <c r="J20" s="135">
        <f t="shared" si="3"/>
        <v>627011.43283610896</v>
      </c>
      <c r="K20" s="139"/>
      <c r="L20" s="251"/>
      <c r="M20" s="251"/>
      <c r="N20" s="251"/>
    </row>
    <row r="21" spans="1:14" s="216" customFormat="1" x14ac:dyDescent="0.35">
      <c r="A21" s="126">
        <v>42818</v>
      </c>
      <c r="B21" s="227" t="s">
        <v>221</v>
      </c>
      <c r="C21" s="190"/>
      <c r="D21" s="137">
        <f>(4*2.5)*1.05</f>
        <v>10.5</v>
      </c>
      <c r="E21" s="138">
        <f t="shared" si="0"/>
        <v>30782.904999999999</v>
      </c>
      <c r="F21" s="187"/>
      <c r="G21" s="185">
        <f t="shared" si="1"/>
        <v>20.36187400633704</v>
      </c>
      <c r="H21" s="187"/>
      <c r="I21" s="133">
        <f t="shared" si="2"/>
        <v>213.79967706653892</v>
      </c>
      <c r="J21" s="135">
        <f t="shared" si="3"/>
        <v>626797.63315904245</v>
      </c>
      <c r="K21" s="139"/>
      <c r="L21" s="251"/>
      <c r="M21" s="251"/>
      <c r="N21" s="251"/>
    </row>
    <row r="22" spans="1:14" s="216" customFormat="1" x14ac:dyDescent="0.35">
      <c r="A22" s="126">
        <v>42818</v>
      </c>
      <c r="B22" s="227" t="s">
        <v>222</v>
      </c>
      <c r="C22" s="190"/>
      <c r="D22" s="137">
        <f>(21*5.5)*1.05</f>
        <v>121.27500000000001</v>
      </c>
      <c r="E22" s="138">
        <f t="shared" si="0"/>
        <v>30661.629999999997</v>
      </c>
      <c r="F22" s="187"/>
      <c r="G22" s="185">
        <f t="shared" si="1"/>
        <v>20.36187400633704</v>
      </c>
      <c r="H22" s="187"/>
      <c r="I22" s="133">
        <f t="shared" si="2"/>
        <v>2469.3862701185244</v>
      </c>
      <c r="J22" s="135">
        <f t="shared" si="3"/>
        <v>624328.24688892392</v>
      </c>
      <c r="K22" s="139"/>
      <c r="L22" s="251"/>
      <c r="M22" s="251"/>
      <c r="N22" s="251"/>
    </row>
    <row r="23" spans="1:14" s="216" customFormat="1" x14ac:dyDescent="0.35">
      <c r="A23" s="126">
        <v>42821</v>
      </c>
      <c r="B23" s="227" t="s">
        <v>223</v>
      </c>
      <c r="C23" s="190"/>
      <c r="D23" s="137">
        <f>+(8*2+3*3.75)*1.05+1.5</f>
        <v>30.112500000000001</v>
      </c>
      <c r="E23" s="138">
        <f t="shared" si="0"/>
        <v>30631.517499999998</v>
      </c>
      <c r="F23" s="187"/>
      <c r="G23" s="185">
        <f t="shared" ref="G23:G44" si="4">+J22/E22</f>
        <v>20.36187400633704</v>
      </c>
      <c r="H23" s="187"/>
      <c r="I23" s="133">
        <f t="shared" ref="I23:I44" si="5">+D23*G23</f>
        <v>613.14693101582407</v>
      </c>
      <c r="J23" s="135">
        <f t="shared" si="3"/>
        <v>623715.09995790815</v>
      </c>
      <c r="K23" s="139"/>
      <c r="L23" s="251"/>
      <c r="M23" s="251"/>
      <c r="N23" s="251"/>
    </row>
    <row r="24" spans="1:14" s="216" customFormat="1" x14ac:dyDescent="0.35">
      <c r="A24" s="126">
        <v>42821</v>
      </c>
      <c r="B24" s="227" t="s">
        <v>69</v>
      </c>
      <c r="C24" s="190"/>
      <c r="D24" s="137">
        <v>0</v>
      </c>
      <c r="E24" s="138">
        <f t="shared" si="0"/>
        <v>30631.517499999998</v>
      </c>
      <c r="F24" s="187"/>
      <c r="G24" s="185">
        <f t="shared" si="4"/>
        <v>20.36187400633704</v>
      </c>
      <c r="H24" s="187"/>
      <c r="I24" s="133">
        <f t="shared" si="5"/>
        <v>0</v>
      </c>
      <c r="J24" s="135">
        <f t="shared" si="3"/>
        <v>623715.09995790815</v>
      </c>
      <c r="K24" s="139"/>
      <c r="L24" s="251"/>
      <c r="M24" s="251"/>
      <c r="N24" s="251"/>
    </row>
    <row r="25" spans="1:14" s="216" customFormat="1" x14ac:dyDescent="0.35">
      <c r="A25" s="126">
        <v>42821</v>
      </c>
      <c r="B25" s="227" t="s">
        <v>224</v>
      </c>
      <c r="C25" s="190"/>
      <c r="D25" s="137">
        <f>+(12*5.5+7*5)*1.05</f>
        <v>106.05000000000001</v>
      </c>
      <c r="E25" s="138">
        <f t="shared" si="0"/>
        <v>30525.467499999999</v>
      </c>
      <c r="F25" s="187"/>
      <c r="G25" s="185">
        <f t="shared" si="4"/>
        <v>20.36187400633704</v>
      </c>
      <c r="H25" s="187"/>
      <c r="I25" s="133">
        <f t="shared" si="5"/>
        <v>2159.3767383720433</v>
      </c>
      <c r="J25" s="135">
        <f t="shared" si="3"/>
        <v>621555.72321953613</v>
      </c>
      <c r="K25" s="139"/>
      <c r="L25" s="251"/>
      <c r="M25" s="251"/>
      <c r="N25" s="251"/>
    </row>
    <row r="26" spans="1:14" s="216" customFormat="1" x14ac:dyDescent="0.35">
      <c r="A26" s="126">
        <v>42822</v>
      </c>
      <c r="B26" s="227" t="s">
        <v>225</v>
      </c>
      <c r="C26" s="190"/>
      <c r="D26" s="137">
        <f>+(16*3.5+25*2+16*4)*1.05+2</f>
        <v>180.5</v>
      </c>
      <c r="E26" s="138">
        <f t="shared" si="0"/>
        <v>30344.967499999999</v>
      </c>
      <c r="F26" s="187"/>
      <c r="G26" s="185">
        <f t="shared" si="4"/>
        <v>20.361874006337043</v>
      </c>
      <c r="H26" s="187"/>
      <c r="I26" s="133">
        <f t="shared" si="5"/>
        <v>3675.3182581438364</v>
      </c>
      <c r="J26" s="135">
        <f t="shared" si="3"/>
        <v>617880.40496139228</v>
      </c>
      <c r="K26" s="139"/>
      <c r="L26" s="251"/>
      <c r="M26" s="251"/>
      <c r="N26" s="251"/>
    </row>
    <row r="27" spans="1:14" s="216" customFormat="1" x14ac:dyDescent="0.35">
      <c r="A27" s="126">
        <v>42824</v>
      </c>
      <c r="B27" s="227" t="s">
        <v>226</v>
      </c>
      <c r="C27" s="190"/>
      <c r="D27" s="137">
        <f>+(8*4.5+15*2.25+8*4)*1.05+2</f>
        <v>108.83750000000001</v>
      </c>
      <c r="E27" s="138">
        <f t="shared" ref="E27" si="6">+E26-D27</f>
        <v>30236.129999999997</v>
      </c>
      <c r="F27" s="187"/>
      <c r="G27" s="185">
        <f t="shared" ref="G27" si="7">+J26/E26</f>
        <v>20.36187400633704</v>
      </c>
      <c r="H27" s="187"/>
      <c r="I27" s="133">
        <f t="shared" ref="I27" si="8">+D27*G27</f>
        <v>2216.1354621647079</v>
      </c>
      <c r="J27" s="135">
        <f t="shared" ref="J27" si="9">+J26-I27</f>
        <v>615664.26949922752</v>
      </c>
      <c r="K27" s="139"/>
      <c r="L27" s="251"/>
      <c r="M27" s="251"/>
      <c r="N27" s="251"/>
    </row>
    <row r="28" spans="1:14" s="296" customFormat="1" x14ac:dyDescent="0.35">
      <c r="A28" s="298">
        <v>42825</v>
      </c>
      <c r="B28" s="241" t="s">
        <v>227</v>
      </c>
      <c r="C28" s="195"/>
      <c r="D28" s="299">
        <f>+(5*2.75)*1.05</f>
        <v>14.4375</v>
      </c>
      <c r="E28" s="300">
        <f t="shared" si="0"/>
        <v>30221.692499999997</v>
      </c>
      <c r="F28" s="246"/>
      <c r="G28" s="195">
        <f t="shared" si="4"/>
        <v>20.36187400633704</v>
      </c>
      <c r="H28" s="246"/>
      <c r="I28" s="301">
        <f t="shared" si="5"/>
        <v>293.97455596649098</v>
      </c>
      <c r="J28" s="301">
        <f t="shared" si="3"/>
        <v>615370.29494326108</v>
      </c>
      <c r="K28" s="302"/>
      <c r="L28" s="252">
        <f>SUM(I11:I28)</f>
        <v>20769.875056739023</v>
      </c>
      <c r="M28" s="252">
        <f>SUM(L28)</f>
        <v>20769.875056739023</v>
      </c>
      <c r="N28" s="253">
        <v>42825</v>
      </c>
    </row>
    <row r="29" spans="1:14" s="216" customFormat="1" x14ac:dyDescent="0.35">
      <c r="A29" s="126">
        <v>42826</v>
      </c>
      <c r="B29" s="227" t="s">
        <v>228</v>
      </c>
      <c r="C29" s="190"/>
      <c r="D29" s="137">
        <f>+(4+2*2.5)*1.05</f>
        <v>9.4500000000000011</v>
      </c>
      <c r="E29" s="138">
        <f t="shared" si="0"/>
        <v>30212.242499999997</v>
      </c>
      <c r="F29" s="187"/>
      <c r="G29" s="185">
        <f t="shared" si="4"/>
        <v>20.361874006337043</v>
      </c>
      <c r="H29" s="187"/>
      <c r="I29" s="133">
        <f t="shared" si="5"/>
        <v>192.41970935988508</v>
      </c>
      <c r="J29" s="135">
        <f t="shared" si="3"/>
        <v>615177.8752339012</v>
      </c>
      <c r="K29" s="139"/>
      <c r="L29" s="251"/>
      <c r="M29" s="251"/>
      <c r="N29" s="251"/>
    </row>
    <row r="30" spans="1:14" s="216" customFormat="1" x14ac:dyDescent="0.35">
      <c r="A30" s="126">
        <v>42826</v>
      </c>
      <c r="B30" s="227" t="s">
        <v>229</v>
      </c>
      <c r="C30" s="190"/>
      <c r="D30" s="137">
        <v>1.3</v>
      </c>
      <c r="E30" s="138">
        <f t="shared" si="0"/>
        <v>30210.942499999997</v>
      </c>
      <c r="F30" s="187"/>
      <c r="G30" s="185">
        <f t="shared" si="4"/>
        <v>20.361874006337043</v>
      </c>
      <c r="H30" s="187"/>
      <c r="I30" s="133">
        <f t="shared" si="5"/>
        <v>26.470436208238159</v>
      </c>
      <c r="J30" s="135">
        <f t="shared" si="3"/>
        <v>615151.40479769302</v>
      </c>
      <c r="K30" s="139"/>
      <c r="L30" s="251"/>
      <c r="M30" s="251"/>
      <c r="N30" s="251"/>
    </row>
    <row r="31" spans="1:14" s="216" customFormat="1" x14ac:dyDescent="0.35">
      <c r="A31" s="126">
        <v>42826</v>
      </c>
      <c r="B31" s="227" t="s">
        <v>230</v>
      </c>
      <c r="C31" s="190"/>
      <c r="D31" s="137">
        <f>+(12*3.75+6*6.5+2*2.5+2+2*1)*1.05+6</f>
        <v>103.65</v>
      </c>
      <c r="E31" s="138">
        <f t="shared" si="0"/>
        <v>30107.292499999996</v>
      </c>
      <c r="F31" s="187"/>
      <c r="G31" s="185">
        <f t="shared" si="4"/>
        <v>20.361874006337043</v>
      </c>
      <c r="H31" s="187"/>
      <c r="I31" s="133">
        <f t="shared" si="5"/>
        <v>2110.5082407568348</v>
      </c>
      <c r="J31" s="135">
        <f t="shared" si="3"/>
        <v>613040.8965569362</v>
      </c>
      <c r="K31" s="139"/>
      <c r="L31" s="251"/>
      <c r="M31" s="251"/>
      <c r="N31" s="251"/>
    </row>
    <row r="32" spans="1:14" s="216" customFormat="1" x14ac:dyDescent="0.35">
      <c r="A32" s="126">
        <v>42828</v>
      </c>
      <c r="B32" s="227" t="s">
        <v>231</v>
      </c>
      <c r="C32" s="190"/>
      <c r="D32" s="137">
        <v>0.73</v>
      </c>
      <c r="E32" s="138">
        <f t="shared" si="0"/>
        <v>30106.562499999996</v>
      </c>
      <c r="F32" s="187"/>
      <c r="G32" s="185">
        <f t="shared" si="4"/>
        <v>20.361874006337047</v>
      </c>
      <c r="H32" s="187"/>
      <c r="I32" s="133">
        <f t="shared" si="5"/>
        <v>14.864168024626045</v>
      </c>
      <c r="J32" s="135">
        <f t="shared" si="3"/>
        <v>613026.03238891158</v>
      </c>
      <c r="K32" s="139"/>
      <c r="L32" s="251"/>
      <c r="M32" s="251"/>
      <c r="N32" s="251"/>
    </row>
    <row r="33" spans="1:14" s="216" customFormat="1" x14ac:dyDescent="0.35">
      <c r="A33" s="126">
        <v>42828</v>
      </c>
      <c r="B33" s="227" t="s">
        <v>232</v>
      </c>
      <c r="C33" s="190"/>
      <c r="D33" s="137">
        <f>+(15*5.5)*1.05</f>
        <v>86.625</v>
      </c>
      <c r="E33" s="138">
        <f t="shared" si="0"/>
        <v>30019.937499999996</v>
      </c>
      <c r="F33" s="187"/>
      <c r="G33" s="185">
        <f t="shared" si="4"/>
        <v>20.361874006337047</v>
      </c>
      <c r="H33" s="187"/>
      <c r="I33" s="133">
        <f t="shared" si="5"/>
        <v>1763.8473357989467</v>
      </c>
      <c r="J33" s="135">
        <f t="shared" si="3"/>
        <v>611262.18505311268</v>
      </c>
      <c r="K33" s="139"/>
      <c r="L33" s="251"/>
      <c r="M33" s="251"/>
      <c r="N33" s="251"/>
    </row>
    <row r="34" spans="1:14" s="216" customFormat="1" x14ac:dyDescent="0.35">
      <c r="A34" s="126">
        <v>42829</v>
      </c>
      <c r="B34" s="227" t="s">
        <v>233</v>
      </c>
      <c r="C34" s="190"/>
      <c r="D34" s="137">
        <f>+(44*2+25*1.75)*1.05+13</f>
        <v>151.33750000000001</v>
      </c>
      <c r="E34" s="138">
        <f t="shared" si="0"/>
        <v>29868.599999999995</v>
      </c>
      <c r="F34" s="187"/>
      <c r="G34" s="185">
        <f t="shared" si="4"/>
        <v>20.361874006337047</v>
      </c>
      <c r="H34" s="187"/>
      <c r="I34" s="133">
        <f t="shared" si="5"/>
        <v>3081.5151074340329</v>
      </c>
      <c r="J34" s="135">
        <f t="shared" si="3"/>
        <v>608180.66994567867</v>
      </c>
      <c r="K34" s="139"/>
      <c r="L34" s="251"/>
      <c r="M34" s="251"/>
      <c r="N34" s="251"/>
    </row>
    <row r="35" spans="1:14" s="216" customFormat="1" x14ac:dyDescent="0.35">
      <c r="A35" s="126">
        <v>42830</v>
      </c>
      <c r="B35" s="227" t="s">
        <v>234</v>
      </c>
      <c r="C35" s="190"/>
      <c r="D35" s="137">
        <f>+(8*3.75)*1.05</f>
        <v>31.5</v>
      </c>
      <c r="E35" s="138">
        <f t="shared" si="0"/>
        <v>29837.099999999995</v>
      </c>
      <c r="F35" s="187"/>
      <c r="G35" s="185">
        <f t="shared" si="4"/>
        <v>20.36187400633705</v>
      </c>
      <c r="H35" s="187"/>
      <c r="I35" s="133">
        <f t="shared" si="5"/>
        <v>641.39903119961707</v>
      </c>
      <c r="J35" s="135">
        <f t="shared" si="3"/>
        <v>607539.27091447904</v>
      </c>
      <c r="K35" s="139"/>
      <c r="L35" s="251"/>
      <c r="M35" s="251"/>
      <c r="N35" s="251"/>
    </row>
    <row r="36" spans="1:14" s="216" customFormat="1" x14ac:dyDescent="0.35">
      <c r="A36" s="126">
        <v>42830</v>
      </c>
      <c r="B36" s="227" t="s">
        <v>235</v>
      </c>
      <c r="C36" s="190"/>
      <c r="D36" s="137">
        <f>+(14*4.75)*1.05</f>
        <v>69.825000000000003</v>
      </c>
      <c r="E36" s="138">
        <f t="shared" si="0"/>
        <v>29767.274999999994</v>
      </c>
      <c r="F36" s="187"/>
      <c r="G36" s="185">
        <f t="shared" si="4"/>
        <v>20.361874006337047</v>
      </c>
      <c r="H36" s="187"/>
      <c r="I36" s="133">
        <f t="shared" si="5"/>
        <v>1421.7678524924843</v>
      </c>
      <c r="J36" s="135">
        <f t="shared" si="3"/>
        <v>606117.50306198653</v>
      </c>
      <c r="K36" s="139"/>
      <c r="L36" s="251"/>
      <c r="M36" s="251"/>
      <c r="N36" s="251"/>
    </row>
    <row r="37" spans="1:14" s="216" customFormat="1" x14ac:dyDescent="0.35">
      <c r="A37" s="126">
        <v>42830</v>
      </c>
      <c r="B37" s="227" t="s">
        <v>236</v>
      </c>
      <c r="C37" s="190"/>
      <c r="D37" s="137">
        <f>+(13*5.25+2*4.5+3.25+8+4*0.75+8*0.5)*1.05+4</f>
        <v>104.27500000000001</v>
      </c>
      <c r="E37" s="138">
        <f t="shared" si="0"/>
        <v>29662.999999999993</v>
      </c>
      <c r="F37" s="187"/>
      <c r="G37" s="185">
        <f t="shared" si="4"/>
        <v>20.361874006337047</v>
      </c>
      <c r="H37" s="187"/>
      <c r="I37" s="133">
        <f t="shared" si="5"/>
        <v>2123.2344120107955</v>
      </c>
      <c r="J37" s="135">
        <f t="shared" si="3"/>
        <v>603994.26864997577</v>
      </c>
      <c r="K37" s="139"/>
      <c r="L37" s="251"/>
      <c r="M37" s="251"/>
      <c r="N37" s="251"/>
    </row>
    <row r="38" spans="1:14" s="216" customFormat="1" x14ac:dyDescent="0.35">
      <c r="A38" s="126">
        <v>42831</v>
      </c>
      <c r="B38" s="227" t="s">
        <v>237</v>
      </c>
      <c r="C38" s="190"/>
      <c r="D38" s="137">
        <f>(3.75)*1.05</f>
        <v>3.9375</v>
      </c>
      <c r="E38" s="138">
        <f t="shared" si="0"/>
        <v>29659.062499999993</v>
      </c>
      <c r="F38" s="187"/>
      <c r="G38" s="185">
        <f t="shared" si="4"/>
        <v>20.36187400633705</v>
      </c>
      <c r="H38" s="187"/>
      <c r="I38" s="133">
        <f t="shared" si="5"/>
        <v>80.174878899952134</v>
      </c>
      <c r="J38" s="135">
        <f t="shared" si="3"/>
        <v>603914.09377107583</v>
      </c>
      <c r="K38" s="139"/>
      <c r="L38" s="251"/>
      <c r="M38" s="251"/>
      <c r="N38" s="251"/>
    </row>
    <row r="39" spans="1:14" s="216" customFormat="1" x14ac:dyDescent="0.35">
      <c r="A39" s="126">
        <v>42831</v>
      </c>
      <c r="B39" s="227" t="s">
        <v>238</v>
      </c>
      <c r="C39" s="190"/>
      <c r="D39" s="137">
        <f>+(4*1.75)*1.05</f>
        <v>7.3500000000000005</v>
      </c>
      <c r="E39" s="138">
        <f t="shared" si="0"/>
        <v>29651.712499999994</v>
      </c>
      <c r="F39" s="187"/>
      <c r="G39" s="185">
        <f t="shared" si="4"/>
        <v>20.36187400633705</v>
      </c>
      <c r="H39" s="187"/>
      <c r="I39" s="133">
        <f t="shared" si="5"/>
        <v>149.65977394657733</v>
      </c>
      <c r="J39" s="135">
        <f t="shared" si="3"/>
        <v>603764.43399712921</v>
      </c>
      <c r="K39" s="139"/>
      <c r="L39" s="251"/>
      <c r="M39" s="251"/>
      <c r="N39" s="251"/>
    </row>
    <row r="40" spans="1:14" s="216" customFormat="1" x14ac:dyDescent="0.35">
      <c r="A40" s="126">
        <v>42836</v>
      </c>
      <c r="B40" s="227" t="s">
        <v>239</v>
      </c>
      <c r="C40" s="190"/>
      <c r="D40" s="137">
        <f>+(10*6.25+6*5+12*5.25+4*3+2*3.75+4.5+3.25+6*2+6*1.5+6+6*0.75)*1.05+15</f>
        <v>239.96250000000001</v>
      </c>
      <c r="E40" s="138">
        <f t="shared" si="0"/>
        <v>29411.749999999993</v>
      </c>
      <c r="F40" s="187"/>
      <c r="G40" s="185">
        <f t="shared" si="4"/>
        <v>20.361874006337047</v>
      </c>
      <c r="H40" s="187"/>
      <c r="I40" s="133">
        <f t="shared" si="5"/>
        <v>4886.0861912456539</v>
      </c>
      <c r="J40" s="135">
        <f t="shared" si="3"/>
        <v>598878.3478058835</v>
      </c>
      <c r="K40" s="139"/>
      <c r="L40" s="251"/>
      <c r="M40" s="251"/>
      <c r="N40" s="251"/>
    </row>
    <row r="41" spans="1:14" s="216" customFormat="1" x14ac:dyDescent="0.35">
      <c r="A41" s="126">
        <v>42837</v>
      </c>
      <c r="B41" s="227" t="s">
        <v>240</v>
      </c>
      <c r="C41" s="190"/>
      <c r="D41" s="137">
        <f>+(26*4.75+4+2)*1.05</f>
        <v>135.97499999999999</v>
      </c>
      <c r="E41" s="138">
        <f t="shared" si="0"/>
        <v>29275.774999999994</v>
      </c>
      <c r="F41" s="187"/>
      <c r="G41" s="185">
        <f t="shared" si="4"/>
        <v>20.361874006337047</v>
      </c>
      <c r="H41" s="187"/>
      <c r="I41" s="133">
        <f t="shared" si="5"/>
        <v>2768.7058180116796</v>
      </c>
      <c r="J41" s="135">
        <f t="shared" si="3"/>
        <v>596109.64198787184</v>
      </c>
      <c r="K41" s="139"/>
      <c r="L41" s="251"/>
      <c r="M41" s="251"/>
      <c r="N41" s="251"/>
    </row>
    <row r="42" spans="1:14" s="296" customFormat="1" x14ac:dyDescent="0.35">
      <c r="A42" s="298">
        <v>42838</v>
      </c>
      <c r="B42" s="241" t="s">
        <v>241</v>
      </c>
      <c r="C42" s="195"/>
      <c r="D42" s="299">
        <f>+(2*5.5+2*4.75+2*4+4*3.25+2*2.5+2*1.75+2+2*6+2*5+2*4.25+2*2.25+2*1.25)*1.05+8</f>
        <v>101.97500000000001</v>
      </c>
      <c r="E42" s="300">
        <f t="shared" si="0"/>
        <v>29173.799999999996</v>
      </c>
      <c r="F42" s="246"/>
      <c r="G42" s="195">
        <f t="shared" si="4"/>
        <v>20.361874006337047</v>
      </c>
      <c r="H42" s="246"/>
      <c r="I42" s="301">
        <f t="shared" si="5"/>
        <v>2076.4021017962204</v>
      </c>
      <c r="J42" s="301">
        <f t="shared" si="3"/>
        <v>594033.23988607561</v>
      </c>
      <c r="K42" s="302"/>
      <c r="L42" s="252">
        <f>SUM(I29:I42)</f>
        <v>21337.055057185542</v>
      </c>
      <c r="M42" s="200"/>
      <c r="N42" s="253">
        <v>42840</v>
      </c>
    </row>
    <row r="43" spans="1:14" s="216" customFormat="1" x14ac:dyDescent="0.35">
      <c r="A43" s="126">
        <v>42842</v>
      </c>
      <c r="B43" s="227" t="s">
        <v>242</v>
      </c>
      <c r="C43" s="190"/>
      <c r="D43" s="137">
        <f>(11*6.5)*1.05</f>
        <v>75.075000000000003</v>
      </c>
      <c r="E43" s="138">
        <f t="shared" si="0"/>
        <v>29098.724999999995</v>
      </c>
      <c r="F43" s="187"/>
      <c r="G43" s="185">
        <f t="shared" si="4"/>
        <v>20.361874006337047</v>
      </c>
      <c r="H43" s="187"/>
      <c r="I43" s="133">
        <f t="shared" si="5"/>
        <v>1528.6676910257538</v>
      </c>
      <c r="J43" s="135">
        <f t="shared" si="3"/>
        <v>592504.57219504984</v>
      </c>
      <c r="K43" s="139"/>
      <c r="L43" s="251"/>
      <c r="M43" s="251"/>
      <c r="N43" s="251"/>
    </row>
    <row r="44" spans="1:14" s="216" customFormat="1" x14ac:dyDescent="0.35">
      <c r="A44" s="126">
        <v>42843</v>
      </c>
      <c r="B44" s="227" t="s">
        <v>243</v>
      </c>
      <c r="C44" s="190"/>
      <c r="D44" s="137">
        <v>1</v>
      </c>
      <c r="E44" s="138">
        <f t="shared" si="0"/>
        <v>29097.724999999995</v>
      </c>
      <c r="F44" s="187"/>
      <c r="G44" s="185">
        <f t="shared" si="4"/>
        <v>20.361874006337047</v>
      </c>
      <c r="H44" s="187"/>
      <c r="I44" s="133">
        <f t="shared" si="5"/>
        <v>20.361874006337047</v>
      </c>
      <c r="J44" s="135">
        <f t="shared" si="3"/>
        <v>592484.2103210435</v>
      </c>
      <c r="K44" s="139"/>
      <c r="L44" s="251"/>
      <c r="M44" s="251"/>
      <c r="N44" s="251"/>
    </row>
    <row r="45" spans="1:14" x14ac:dyDescent="0.35">
      <c r="A45" s="126">
        <v>42844</v>
      </c>
      <c r="B45" s="227" t="s">
        <v>244</v>
      </c>
      <c r="C45" s="190"/>
      <c r="D45" s="137">
        <f>(2*6)*1.05</f>
        <v>12.600000000000001</v>
      </c>
      <c r="E45" s="138">
        <f t="shared" si="0"/>
        <v>29085.124999999996</v>
      </c>
      <c r="F45" s="187"/>
      <c r="G45" s="185">
        <f t="shared" ref="G45:G80" si="10">+J44/E44</f>
        <v>20.361874006337047</v>
      </c>
      <c r="H45" s="187"/>
      <c r="I45" s="133">
        <f t="shared" ref="I45:I79" si="11">+D45*G45</f>
        <v>256.55961247984681</v>
      </c>
      <c r="J45" s="135">
        <f t="shared" si="3"/>
        <v>592227.65070856363</v>
      </c>
      <c r="K45" s="139"/>
    </row>
    <row r="46" spans="1:14" x14ac:dyDescent="0.35">
      <c r="A46" s="126">
        <v>42844</v>
      </c>
      <c r="B46" s="227" t="s">
        <v>245</v>
      </c>
      <c r="C46" s="190"/>
      <c r="D46" s="137">
        <f>(6*1.25)*1.05</f>
        <v>7.875</v>
      </c>
      <c r="E46" s="138">
        <f t="shared" si="0"/>
        <v>29077.249999999996</v>
      </c>
      <c r="F46" s="187"/>
      <c r="G46" s="185">
        <f t="shared" si="10"/>
        <v>20.361874006337043</v>
      </c>
      <c r="H46" s="187"/>
      <c r="I46" s="133">
        <f t="shared" si="11"/>
        <v>160.34975779990421</v>
      </c>
      <c r="J46" s="135">
        <f t="shared" si="3"/>
        <v>592067.30095076375</v>
      </c>
      <c r="K46" s="139"/>
    </row>
    <row r="47" spans="1:14" x14ac:dyDescent="0.35">
      <c r="A47" s="126">
        <v>42844</v>
      </c>
      <c r="B47" s="227" t="s">
        <v>246</v>
      </c>
      <c r="C47" s="190"/>
      <c r="D47" s="137">
        <f>(80*2+17*1.25+30*1.75+10*1.5)*1.05+20</f>
        <v>281.1875</v>
      </c>
      <c r="E47" s="138">
        <f t="shared" si="0"/>
        <v>28796.062499999996</v>
      </c>
      <c r="F47" s="187"/>
      <c r="G47" s="185">
        <f t="shared" si="10"/>
        <v>20.361874006337043</v>
      </c>
      <c r="H47" s="187"/>
      <c r="I47" s="133">
        <f t="shared" si="11"/>
        <v>5725.5044471568972</v>
      </c>
      <c r="J47" s="135">
        <f t="shared" si="3"/>
        <v>586341.79650360683</v>
      </c>
      <c r="K47" s="139"/>
    </row>
    <row r="48" spans="1:14" x14ac:dyDescent="0.35">
      <c r="A48" s="126">
        <v>42844</v>
      </c>
      <c r="B48" s="227" t="s">
        <v>247</v>
      </c>
      <c r="C48" s="190"/>
      <c r="D48" s="137">
        <f>7*4.95+7*5.37+9*5.27+2*5.4+2*4+2*3.6+2*2.7+2*1.9+2*1.4</f>
        <v>157.67000000000002</v>
      </c>
      <c r="E48" s="138">
        <f t="shared" si="0"/>
        <v>28638.392499999998</v>
      </c>
      <c r="F48" s="187"/>
      <c r="G48" s="185">
        <f t="shared" si="10"/>
        <v>20.361874006337043</v>
      </c>
      <c r="H48" s="187"/>
      <c r="I48" s="133">
        <f t="shared" si="11"/>
        <v>3210.4566745791617</v>
      </c>
      <c r="J48" s="135">
        <f t="shared" si="3"/>
        <v>583131.33982902765</v>
      </c>
      <c r="K48" s="139"/>
    </row>
    <row r="49" spans="1:14 16384:16384" x14ac:dyDescent="0.35">
      <c r="A49" s="126">
        <v>42845</v>
      </c>
      <c r="B49" s="227" t="s">
        <v>248</v>
      </c>
      <c r="C49" s="190"/>
      <c r="D49" s="137">
        <f>(3*3)*1.05</f>
        <v>9.4500000000000011</v>
      </c>
      <c r="E49" s="138">
        <f t="shared" si="0"/>
        <v>28628.942499999997</v>
      </c>
      <c r="F49" s="187"/>
      <c r="G49" s="185">
        <f t="shared" si="10"/>
        <v>20.361874006337043</v>
      </c>
      <c r="H49" s="187"/>
      <c r="I49" s="133">
        <f t="shared" si="11"/>
        <v>192.41970935988508</v>
      </c>
      <c r="J49" s="135">
        <f t="shared" si="3"/>
        <v>582938.92011966777</v>
      </c>
      <c r="K49" s="139"/>
    </row>
    <row r="50" spans="1:14 16384:16384" x14ac:dyDescent="0.35">
      <c r="A50" s="126">
        <v>42845</v>
      </c>
      <c r="B50" s="227" t="s">
        <v>249</v>
      </c>
      <c r="C50" s="190"/>
      <c r="D50" s="137">
        <f>(11*0.5)*1.05</f>
        <v>5.7750000000000004</v>
      </c>
      <c r="E50" s="138">
        <f t="shared" si="0"/>
        <v>28623.167499999996</v>
      </c>
      <c r="F50" s="187"/>
      <c r="G50" s="185">
        <f t="shared" si="10"/>
        <v>20.361874006337043</v>
      </c>
      <c r="H50" s="187"/>
      <c r="I50" s="133">
        <f t="shared" si="11"/>
        <v>117.58982238659644</v>
      </c>
      <c r="J50" s="135">
        <f t="shared" si="3"/>
        <v>582821.33029728115</v>
      </c>
      <c r="K50" s="139"/>
    </row>
    <row r="51" spans="1:14 16384:16384" x14ac:dyDescent="0.35">
      <c r="A51" s="126">
        <v>42845</v>
      </c>
      <c r="B51" s="227" t="s">
        <v>250</v>
      </c>
      <c r="C51" s="190"/>
      <c r="D51" s="137">
        <f>(9*7.5+15*4+15*3)*1.05+8.9</f>
        <v>190.02500000000001</v>
      </c>
      <c r="E51" s="138">
        <f t="shared" si="0"/>
        <v>28433.142499999994</v>
      </c>
      <c r="F51" s="187"/>
      <c r="G51" s="185">
        <f t="shared" si="10"/>
        <v>20.361874006337043</v>
      </c>
      <c r="H51" s="187"/>
      <c r="I51" s="133">
        <f t="shared" si="11"/>
        <v>3869.2651080541968</v>
      </c>
      <c r="J51" s="135">
        <f t="shared" si="3"/>
        <v>578952.065189227</v>
      </c>
      <c r="K51" s="139"/>
    </row>
    <row r="52" spans="1:14 16384:16384" x14ac:dyDescent="0.35">
      <c r="A52" s="126">
        <v>42847</v>
      </c>
      <c r="B52" s="227" t="s">
        <v>251</v>
      </c>
      <c r="C52" s="190"/>
      <c r="D52" s="137">
        <f>(10*2.75)*1.05</f>
        <v>28.875</v>
      </c>
      <c r="E52" s="138">
        <f t="shared" si="0"/>
        <v>28404.267499999994</v>
      </c>
      <c r="F52" s="187"/>
      <c r="G52" s="185">
        <f t="shared" si="10"/>
        <v>20.361874006337047</v>
      </c>
      <c r="H52" s="187"/>
      <c r="I52" s="133">
        <f t="shared" si="11"/>
        <v>587.94911193298219</v>
      </c>
      <c r="J52" s="135">
        <f t="shared" si="3"/>
        <v>578364.11607729399</v>
      </c>
      <c r="K52" s="139"/>
    </row>
    <row r="53" spans="1:14 16384:16384" x14ac:dyDescent="0.35">
      <c r="A53" s="126">
        <v>42847</v>
      </c>
      <c r="B53" s="227" t="s">
        <v>252</v>
      </c>
      <c r="C53" s="190"/>
      <c r="D53" s="137">
        <f>(7*5)*1.05</f>
        <v>36.75</v>
      </c>
      <c r="E53" s="138">
        <f t="shared" si="0"/>
        <v>28367.517499999994</v>
      </c>
      <c r="F53" s="187"/>
      <c r="G53" s="185">
        <f t="shared" si="10"/>
        <v>20.361874006337043</v>
      </c>
      <c r="H53" s="187"/>
      <c r="I53" s="133">
        <f t="shared" si="11"/>
        <v>748.29886973288637</v>
      </c>
      <c r="J53" s="135">
        <f t="shared" si="3"/>
        <v>577615.81720756111</v>
      </c>
      <c r="K53" s="139"/>
    </row>
    <row r="54" spans="1:14 16384:16384" x14ac:dyDescent="0.35">
      <c r="A54" s="126">
        <v>42827</v>
      </c>
      <c r="B54" s="227" t="s">
        <v>253</v>
      </c>
      <c r="C54" s="190"/>
      <c r="D54" s="137">
        <f>(23*5.25)*1.05</f>
        <v>126.78750000000001</v>
      </c>
      <c r="E54" s="138">
        <f t="shared" si="0"/>
        <v>28240.729999999996</v>
      </c>
      <c r="F54" s="187"/>
      <c r="G54" s="185">
        <f t="shared" si="10"/>
        <v>20.361874006337043</v>
      </c>
      <c r="H54" s="187"/>
      <c r="I54" s="133">
        <f t="shared" si="11"/>
        <v>2581.6311005784582</v>
      </c>
      <c r="J54" s="135">
        <f t="shared" si="3"/>
        <v>575034.18610698264</v>
      </c>
      <c r="K54" s="139"/>
    </row>
    <row r="55" spans="1:14 16384:16384" s="296" customFormat="1" x14ac:dyDescent="0.35">
      <c r="A55" s="298">
        <v>42852</v>
      </c>
      <c r="B55" s="241" t="s">
        <v>254</v>
      </c>
      <c r="C55" s="195"/>
      <c r="D55" s="299">
        <f>(1)*1.05</f>
        <v>1.05</v>
      </c>
      <c r="E55" s="300">
        <f t="shared" si="0"/>
        <v>28239.679999999997</v>
      </c>
      <c r="F55" s="246"/>
      <c r="G55" s="195">
        <f t="shared" si="10"/>
        <v>20.361874006337043</v>
      </c>
      <c r="H55" s="246"/>
      <c r="I55" s="301">
        <f t="shared" si="11"/>
        <v>21.379967706653897</v>
      </c>
      <c r="J55" s="301">
        <f t="shared" si="3"/>
        <v>575012.80613927601</v>
      </c>
      <c r="K55" s="302"/>
      <c r="L55" s="252">
        <f>SUM(I43:I55)</f>
        <v>19020.433746799557</v>
      </c>
      <c r="M55" s="252">
        <f>SUM(L42:L55)</f>
        <v>40357.488803985099</v>
      </c>
      <c r="N55" s="303" t="s">
        <v>99</v>
      </c>
    </row>
    <row r="56" spans="1:14 16384:16384" x14ac:dyDescent="0.35">
      <c r="A56" s="126">
        <v>42861</v>
      </c>
      <c r="B56" s="227" t="s">
        <v>255</v>
      </c>
      <c r="C56" s="190"/>
      <c r="D56" s="137">
        <f>(8*4.5+5*3.5+3*2.75+9*2+8*1.25+4+2*3.25+6*2.5+7*1.75+5*1+2*3.75+2*4.25+3*3+12*1.5+4*0.75+4*0.5+7*2.25)*1.05</f>
        <v>206.0625</v>
      </c>
      <c r="E56" s="138">
        <f t="shared" si="0"/>
        <v>28033.617499999997</v>
      </c>
      <c r="F56" s="187"/>
      <c r="G56" s="185">
        <f t="shared" si="10"/>
        <v>20.361874006337043</v>
      </c>
      <c r="H56" s="187"/>
      <c r="I56" s="133">
        <f t="shared" si="11"/>
        <v>4195.8186624308273</v>
      </c>
      <c r="J56" s="135">
        <f t="shared" si="3"/>
        <v>570816.98747684516</v>
      </c>
      <c r="K56" s="139"/>
    </row>
    <row r="57" spans="1:14 16384:16384" x14ac:dyDescent="0.35">
      <c r="A57" s="126">
        <v>42861</v>
      </c>
      <c r="B57" s="227" t="s">
        <v>256</v>
      </c>
      <c r="C57" s="190"/>
      <c r="D57" s="137">
        <f>(2*5.5+2*5+2*4.25+3*3.75+3*3+4*2.25+3*1.75+5*1+5*6.5+2*5.75+4.75+3*2+4+2.5+1.25+4*1.5)*1.05</f>
        <v>144.375</v>
      </c>
      <c r="E57" s="138">
        <f t="shared" si="0"/>
        <v>27889.242499999997</v>
      </c>
      <c r="F57" s="187"/>
      <c r="G57" s="185">
        <f t="shared" si="10"/>
        <v>20.361874006337043</v>
      </c>
      <c r="H57" s="187"/>
      <c r="I57" s="133">
        <f t="shared" si="11"/>
        <v>2939.7455596649106</v>
      </c>
      <c r="J57" s="135">
        <f t="shared" si="3"/>
        <v>567877.24191718025</v>
      </c>
      <c r="K57" s="139"/>
    </row>
    <row r="58" spans="1:14 16384:16384" x14ac:dyDescent="0.35">
      <c r="A58" s="126">
        <v>42861</v>
      </c>
      <c r="B58" s="227" t="s">
        <v>257</v>
      </c>
      <c r="C58" s="190"/>
      <c r="D58" s="137">
        <f>(3*5+7*4.25+4*3.25+5*2.5+3*1.75+3*0.75+4+3*1+2*4.5+2*3.75+2*2.75+3*2+3+2*2.25+1.5+3*1.25+0.5)*1.05</f>
        <v>132.30000000000001</v>
      </c>
      <c r="E58" s="138">
        <f t="shared" si="0"/>
        <v>27756.942499999997</v>
      </c>
      <c r="F58" s="187"/>
      <c r="G58" s="185">
        <f t="shared" si="10"/>
        <v>20.361874006337043</v>
      </c>
      <c r="H58" s="187"/>
      <c r="I58" s="133">
        <f t="shared" si="11"/>
        <v>2693.8759310383912</v>
      </c>
      <c r="J58" s="135">
        <f t="shared" si="3"/>
        <v>565183.36598614184</v>
      </c>
      <c r="K58" s="139"/>
    </row>
    <row r="59" spans="1:14 16384:16384" x14ac:dyDescent="0.35">
      <c r="A59" s="126">
        <v>42861</v>
      </c>
      <c r="B59" s="227" t="s">
        <v>258</v>
      </c>
      <c r="C59" s="190"/>
      <c r="D59" s="137">
        <f>(24*1.25+4*1+8*0.5+7*0.75+25*2)*1.05+59</f>
        <v>156.91250000000002</v>
      </c>
      <c r="E59" s="138">
        <f t="shared" si="0"/>
        <v>27600.03</v>
      </c>
      <c r="F59" s="187"/>
      <c r="G59" s="185">
        <f t="shared" si="10"/>
        <v>20.361874006337043</v>
      </c>
      <c r="H59" s="187"/>
      <c r="I59" s="133">
        <f t="shared" si="11"/>
        <v>3195.0325550193616</v>
      </c>
      <c r="J59" s="135">
        <f t="shared" si="3"/>
        <v>561988.33343112248</v>
      </c>
      <c r="K59" s="139"/>
    </row>
    <row r="60" spans="1:14 16384:16384" x14ac:dyDescent="0.35">
      <c r="A60" s="126">
        <v>42863</v>
      </c>
      <c r="B60" s="227" t="s">
        <v>259</v>
      </c>
      <c r="C60" s="190"/>
      <c r="D60" s="137">
        <f>(6*3.5)*1.05</f>
        <v>22.05</v>
      </c>
      <c r="E60" s="138">
        <f t="shared" si="0"/>
        <v>27577.98</v>
      </c>
      <c r="F60" s="187"/>
      <c r="G60" s="185">
        <f t="shared" si="10"/>
        <v>20.36187400633704</v>
      </c>
      <c r="H60" s="187"/>
      <c r="I60" s="133">
        <f t="shared" si="11"/>
        <v>448.97932183973171</v>
      </c>
      <c r="J60" s="135">
        <f t="shared" si="3"/>
        <v>561539.35410928272</v>
      </c>
      <c r="K60" s="139"/>
    </row>
    <row r="61" spans="1:14 16384:16384" x14ac:dyDescent="0.35">
      <c r="A61" s="126">
        <v>42866</v>
      </c>
      <c r="B61" s="227" t="s">
        <v>260</v>
      </c>
      <c r="C61" s="190"/>
      <c r="D61" s="137">
        <f>(2*2)*1.05</f>
        <v>4.2</v>
      </c>
      <c r="E61" s="138">
        <f t="shared" si="0"/>
        <v>27573.78</v>
      </c>
      <c r="F61" s="187"/>
      <c r="G61" s="185">
        <f t="shared" si="10"/>
        <v>20.36187400633704</v>
      </c>
      <c r="H61" s="187"/>
      <c r="I61" s="133">
        <f t="shared" si="11"/>
        <v>85.519870826615573</v>
      </c>
      <c r="J61" s="135">
        <f t="shared" si="3"/>
        <v>561453.8342384561</v>
      </c>
      <c r="K61" s="139"/>
    </row>
    <row r="62" spans="1:14 16384:16384" x14ac:dyDescent="0.35">
      <c r="A62" s="126">
        <v>42866</v>
      </c>
      <c r="B62" s="227" t="s">
        <v>261</v>
      </c>
      <c r="C62" s="190"/>
      <c r="D62" s="137">
        <f>(2*2)*1.05</f>
        <v>4.2</v>
      </c>
      <c r="E62" s="138">
        <f t="shared" si="0"/>
        <v>27569.579999999998</v>
      </c>
      <c r="F62" s="187"/>
      <c r="G62" s="185">
        <f t="shared" si="10"/>
        <v>20.36187400633704</v>
      </c>
      <c r="H62" s="187"/>
      <c r="I62" s="133">
        <f t="shared" si="11"/>
        <v>85.519870826615573</v>
      </c>
      <c r="J62" s="135">
        <f t="shared" si="3"/>
        <v>561368.31436762947</v>
      </c>
      <c r="K62" s="139"/>
    </row>
    <row r="63" spans="1:14 16384:16384" x14ac:dyDescent="0.35">
      <c r="A63" s="126">
        <v>42867</v>
      </c>
      <c r="B63" s="227" t="s">
        <v>262</v>
      </c>
      <c r="C63" s="190"/>
      <c r="D63" s="137">
        <f>(15*4+15*3.5)*1.05+4</f>
        <v>122.125</v>
      </c>
      <c r="E63" s="138">
        <f t="shared" si="0"/>
        <v>27447.454999999998</v>
      </c>
      <c r="F63" s="187"/>
      <c r="G63" s="185">
        <f t="shared" si="10"/>
        <v>20.36187400633704</v>
      </c>
      <c r="H63" s="187"/>
      <c r="I63" s="133">
        <f t="shared" si="11"/>
        <v>2486.693863023911</v>
      </c>
      <c r="J63" s="135">
        <f t="shared" si="3"/>
        <v>558881.62050460558</v>
      </c>
      <c r="K63" s="139"/>
    </row>
    <row r="64" spans="1:14 16384:16384" s="296" customFormat="1" x14ac:dyDescent="0.35">
      <c r="A64" s="298">
        <v>42868</v>
      </c>
      <c r="B64" s="241" t="s">
        <v>263</v>
      </c>
      <c r="C64" s="195"/>
      <c r="D64" s="299">
        <f>(15*5.75+3.25+2.75+2.25+1.75)*1.05</f>
        <v>101.0625</v>
      </c>
      <c r="E64" s="300">
        <f t="shared" si="0"/>
        <v>27346.392499999998</v>
      </c>
      <c r="F64" s="246"/>
      <c r="G64" s="195">
        <f t="shared" si="10"/>
        <v>20.36187400633704</v>
      </c>
      <c r="H64" s="246"/>
      <c r="I64" s="301">
        <f t="shared" si="11"/>
        <v>2057.8218917654372</v>
      </c>
      <c r="J64" s="301">
        <f t="shared" si="3"/>
        <v>556823.79861284012</v>
      </c>
      <c r="K64" s="302"/>
      <c r="L64" s="252">
        <f>SUM(I56:I64)</f>
        <v>18189.007526435802</v>
      </c>
      <c r="N64" s="253">
        <v>42870</v>
      </c>
      <c r="XFD64" s="310">
        <f>SUM(D64:XFC64)</f>
        <v>647408.44490504765</v>
      </c>
    </row>
    <row r="65" spans="1:14" x14ac:dyDescent="0.35">
      <c r="A65" s="126">
        <v>42871</v>
      </c>
      <c r="B65" s="227" t="s">
        <v>264</v>
      </c>
      <c r="C65" s="190"/>
      <c r="D65" s="137">
        <f>4*3.9+7*4.31+5*4.2+18*3.25+2.66</f>
        <v>127.92999999999999</v>
      </c>
      <c r="E65" s="138">
        <f t="shared" si="0"/>
        <v>27218.462499999998</v>
      </c>
      <c r="F65" s="187"/>
      <c r="G65" s="185">
        <f t="shared" si="10"/>
        <v>20.36187400633704</v>
      </c>
      <c r="H65" s="187"/>
      <c r="I65" s="133">
        <f t="shared" si="11"/>
        <v>2604.8945416306974</v>
      </c>
      <c r="J65" s="135">
        <f t="shared" si="3"/>
        <v>554218.90407120937</v>
      </c>
      <c r="K65" s="139"/>
    </row>
    <row r="66" spans="1:14" x14ac:dyDescent="0.35">
      <c r="A66" s="126">
        <v>42871</v>
      </c>
      <c r="B66" s="227" t="s">
        <v>265</v>
      </c>
      <c r="C66" s="190"/>
      <c r="D66" s="137">
        <v>3.68</v>
      </c>
      <c r="E66" s="138">
        <f t="shared" si="0"/>
        <v>27214.782499999998</v>
      </c>
      <c r="F66" s="187"/>
      <c r="G66" s="185">
        <f t="shared" si="10"/>
        <v>20.361874006337036</v>
      </c>
      <c r="H66" s="187"/>
      <c r="I66" s="133">
        <f t="shared" si="11"/>
        <v>74.931696343320297</v>
      </c>
      <c r="J66" s="135">
        <f t="shared" si="3"/>
        <v>554143.97237486602</v>
      </c>
      <c r="K66" s="139"/>
    </row>
    <row r="67" spans="1:14" s="296" customFormat="1" x14ac:dyDescent="0.35">
      <c r="A67" s="298">
        <v>42873</v>
      </c>
      <c r="B67" s="241" t="s">
        <v>266</v>
      </c>
      <c r="C67" s="195"/>
      <c r="D67" s="299">
        <f>6.73</f>
        <v>6.73</v>
      </c>
      <c r="E67" s="300">
        <f t="shared" si="0"/>
        <v>27208.052499999998</v>
      </c>
      <c r="F67" s="246"/>
      <c r="G67" s="195">
        <f t="shared" si="10"/>
        <v>20.361874006337036</v>
      </c>
      <c r="H67" s="246"/>
      <c r="I67" s="301">
        <f t="shared" si="11"/>
        <v>137.03541206264825</v>
      </c>
      <c r="J67" s="301">
        <f t="shared" si="3"/>
        <v>554006.93696280336</v>
      </c>
      <c r="K67" s="302"/>
      <c r="L67" s="252">
        <f>SUM(I65:I67)</f>
        <v>2816.8616500366661</v>
      </c>
      <c r="M67" s="252">
        <f>SUM(L64:L67)</f>
        <v>21005.869176472468</v>
      </c>
      <c r="N67" s="253">
        <v>42886</v>
      </c>
    </row>
    <row r="68" spans="1:14" x14ac:dyDescent="0.35">
      <c r="A68" s="126">
        <v>42896</v>
      </c>
      <c r="B68" s="227" t="s">
        <v>267</v>
      </c>
      <c r="C68" s="190"/>
      <c r="D68" s="137">
        <f>+(68*5)*1.05+12</f>
        <v>369</v>
      </c>
      <c r="E68" s="138">
        <f t="shared" si="0"/>
        <v>26839.052499999998</v>
      </c>
      <c r="F68" s="187"/>
      <c r="G68" s="185">
        <f t="shared" si="10"/>
        <v>20.361874006337036</v>
      </c>
      <c r="H68" s="187"/>
      <c r="I68" s="133">
        <f t="shared" si="11"/>
        <v>7513.5315083383666</v>
      </c>
      <c r="J68" s="135">
        <f t="shared" si="3"/>
        <v>546493.40545446496</v>
      </c>
      <c r="K68" s="139"/>
    </row>
    <row r="69" spans="1:14" s="296" customFormat="1" x14ac:dyDescent="0.35">
      <c r="A69" s="298">
        <v>42898</v>
      </c>
      <c r="B69" s="241" t="s">
        <v>268</v>
      </c>
      <c r="C69" s="195"/>
      <c r="D69" s="299">
        <f>+(6*5)*1.05</f>
        <v>31.5</v>
      </c>
      <c r="E69" s="300">
        <f t="shared" si="0"/>
        <v>26807.552499999998</v>
      </c>
      <c r="F69" s="246"/>
      <c r="G69" s="195">
        <f t="shared" si="10"/>
        <v>20.361874006337036</v>
      </c>
      <c r="H69" s="246"/>
      <c r="I69" s="301">
        <f t="shared" si="11"/>
        <v>641.39903119961662</v>
      </c>
      <c r="J69" s="301">
        <f t="shared" si="3"/>
        <v>545852.00642326532</v>
      </c>
      <c r="K69" s="302"/>
      <c r="L69" s="252">
        <f>SUM(I68:I69)</f>
        <v>8154.9305395379833</v>
      </c>
      <c r="M69" s="200"/>
      <c r="N69" s="253">
        <v>42901</v>
      </c>
    </row>
    <row r="70" spans="1:14" x14ac:dyDescent="0.35">
      <c r="A70" s="126">
        <v>42902</v>
      </c>
      <c r="B70" s="227" t="s">
        <v>269</v>
      </c>
      <c r="C70" s="190"/>
      <c r="D70" s="137">
        <f>3*2.25</f>
        <v>6.75</v>
      </c>
      <c r="E70" s="138">
        <f t="shared" si="0"/>
        <v>26800.802499999998</v>
      </c>
      <c r="F70" s="187"/>
      <c r="G70" s="185">
        <f t="shared" si="10"/>
        <v>20.361874006337032</v>
      </c>
      <c r="H70" s="187"/>
      <c r="I70" s="133">
        <f t="shared" si="11"/>
        <v>137.44264954277497</v>
      </c>
      <c r="J70" s="135">
        <f t="shared" si="3"/>
        <v>545714.5637737225</v>
      </c>
      <c r="K70" s="139"/>
      <c r="L70" s="251"/>
      <c r="M70" s="251"/>
      <c r="N70" s="251"/>
    </row>
    <row r="71" spans="1:14" x14ac:dyDescent="0.35">
      <c r="A71" s="126">
        <v>42902</v>
      </c>
      <c r="B71" s="227" t="s">
        <v>270</v>
      </c>
      <c r="C71" s="190"/>
      <c r="D71" s="137">
        <v>1.1499999999999999</v>
      </c>
      <c r="E71" s="138">
        <f t="shared" si="0"/>
        <v>26799.652499999997</v>
      </c>
      <c r="F71" s="187"/>
      <c r="G71" s="185">
        <f t="shared" si="10"/>
        <v>20.361874006337032</v>
      </c>
      <c r="H71" s="187"/>
      <c r="I71" s="133">
        <f t="shared" si="11"/>
        <v>23.416155107287587</v>
      </c>
      <c r="J71" s="135">
        <f t="shared" si="3"/>
        <v>545691.14761861518</v>
      </c>
      <c r="K71" s="139"/>
      <c r="L71" s="251"/>
      <c r="M71" s="251"/>
      <c r="N71" s="251"/>
    </row>
    <row r="72" spans="1:14" x14ac:dyDescent="0.35">
      <c r="A72" s="126">
        <v>42902</v>
      </c>
      <c r="B72" s="227" t="s">
        <v>271</v>
      </c>
      <c r="C72" s="190"/>
      <c r="D72" s="137">
        <f>+(70*7)*1.05+14</f>
        <v>528.5</v>
      </c>
      <c r="E72" s="138">
        <f t="shared" si="0"/>
        <v>26271.152499999997</v>
      </c>
      <c r="F72" s="187"/>
      <c r="G72" s="185">
        <f t="shared" si="10"/>
        <v>20.361874006337032</v>
      </c>
      <c r="H72" s="187"/>
      <c r="I72" s="133">
        <f t="shared" si="11"/>
        <v>10761.250412349122</v>
      </c>
      <c r="J72" s="135">
        <f t="shared" si="3"/>
        <v>534929.89720626606</v>
      </c>
      <c r="K72" s="139"/>
      <c r="L72" s="251"/>
      <c r="M72" s="251"/>
      <c r="N72" s="251"/>
    </row>
    <row r="73" spans="1:14" x14ac:dyDescent="0.35">
      <c r="A73" s="126">
        <v>42903</v>
      </c>
      <c r="B73" s="227" t="s">
        <v>272</v>
      </c>
      <c r="C73" s="190"/>
      <c r="D73" s="137">
        <f>+(2*1.75+35*5.5+2.5+3*4.5)*1.05+10</f>
        <v>232.60000000000002</v>
      </c>
      <c r="E73" s="138">
        <f t="shared" si="0"/>
        <v>26038.552499999998</v>
      </c>
      <c r="F73" s="187"/>
      <c r="G73" s="185">
        <f t="shared" si="10"/>
        <v>20.361874006337032</v>
      </c>
      <c r="H73" s="187"/>
      <c r="I73" s="133">
        <f t="shared" si="11"/>
        <v>4736.1718938739941</v>
      </c>
      <c r="J73" s="135">
        <f t="shared" si="3"/>
        <v>530193.72531239211</v>
      </c>
      <c r="K73" s="139"/>
      <c r="L73" s="251"/>
      <c r="M73" s="251"/>
      <c r="N73" s="251"/>
    </row>
    <row r="74" spans="1:14" x14ac:dyDescent="0.35">
      <c r="A74" s="126">
        <v>42905</v>
      </c>
      <c r="B74" s="227" t="s">
        <v>273</v>
      </c>
      <c r="C74" s="190"/>
      <c r="D74" s="137">
        <f>8*2.8</f>
        <v>22.4</v>
      </c>
      <c r="E74" s="138">
        <f t="shared" si="0"/>
        <v>26016.152499999997</v>
      </c>
      <c r="F74" s="187"/>
      <c r="G74" s="185">
        <f t="shared" si="10"/>
        <v>20.361874006337032</v>
      </c>
      <c r="H74" s="187"/>
      <c r="I74" s="133">
        <f t="shared" si="11"/>
        <v>456.10597774194952</v>
      </c>
      <c r="J74" s="135">
        <f t="shared" si="3"/>
        <v>529737.61933465011</v>
      </c>
      <c r="K74" s="139"/>
      <c r="L74" s="251"/>
      <c r="M74" s="251"/>
      <c r="N74" s="251"/>
    </row>
    <row r="75" spans="1:14" x14ac:dyDescent="0.35">
      <c r="A75" s="126">
        <v>42908</v>
      </c>
      <c r="B75" s="227" t="s">
        <v>274</v>
      </c>
      <c r="C75" s="190"/>
      <c r="D75" s="137">
        <f>+(14*5)*1.05</f>
        <v>73.5</v>
      </c>
      <c r="E75" s="138">
        <f t="shared" ref="E75:E79" si="12">+E74-D75</f>
        <v>25942.652499999997</v>
      </c>
      <c r="F75" s="187"/>
      <c r="G75" s="185">
        <f t="shared" si="10"/>
        <v>20.361874006337032</v>
      </c>
      <c r="H75" s="187"/>
      <c r="I75" s="133">
        <f t="shared" si="11"/>
        <v>1496.5977394657718</v>
      </c>
      <c r="J75" s="135">
        <f t="shared" ref="J75:J79" si="13">+J74-I75</f>
        <v>528241.02159518434</v>
      </c>
      <c r="K75" s="139"/>
      <c r="L75" s="251"/>
      <c r="M75" s="251"/>
      <c r="N75" s="251"/>
    </row>
    <row r="76" spans="1:14" x14ac:dyDescent="0.35">
      <c r="A76" s="126">
        <v>42908</v>
      </c>
      <c r="B76" s="227" t="s">
        <v>275</v>
      </c>
      <c r="C76" s="190"/>
      <c r="D76" s="137">
        <f>+(13*5.3)</f>
        <v>68.899999999999991</v>
      </c>
      <c r="E76" s="138">
        <f t="shared" si="12"/>
        <v>25873.752499999995</v>
      </c>
      <c r="F76" s="187"/>
      <c r="G76" s="185">
        <f t="shared" si="10"/>
        <v>20.361874006337032</v>
      </c>
      <c r="H76" s="187"/>
      <c r="I76" s="133">
        <f t="shared" si="11"/>
        <v>1402.9331190366213</v>
      </c>
      <c r="J76" s="135">
        <f t="shared" si="13"/>
        <v>526838.08847614774</v>
      </c>
      <c r="K76" s="139"/>
      <c r="L76" s="251"/>
      <c r="M76" s="251"/>
      <c r="N76" s="251"/>
    </row>
    <row r="77" spans="1:14" x14ac:dyDescent="0.35">
      <c r="A77" s="126">
        <v>42908</v>
      </c>
      <c r="B77" s="227" t="s">
        <v>276</v>
      </c>
      <c r="C77" s="190"/>
      <c r="D77" s="137">
        <f>2.8</f>
        <v>2.8</v>
      </c>
      <c r="E77" s="138">
        <f t="shared" si="12"/>
        <v>25870.952499999996</v>
      </c>
      <c r="F77" s="187"/>
      <c r="G77" s="185">
        <f t="shared" si="10"/>
        <v>20.361874006337032</v>
      </c>
      <c r="H77" s="187"/>
      <c r="I77" s="133">
        <f t="shared" si="11"/>
        <v>57.01324721774369</v>
      </c>
      <c r="J77" s="135">
        <f t="shared" si="13"/>
        <v>526781.07522892999</v>
      </c>
      <c r="K77" s="139"/>
      <c r="L77" s="251"/>
      <c r="M77" s="251"/>
      <c r="N77" s="251"/>
    </row>
    <row r="78" spans="1:14" s="296" customFormat="1" x14ac:dyDescent="0.35">
      <c r="A78" s="298">
        <v>42910</v>
      </c>
      <c r="B78" s="241" t="s">
        <v>277</v>
      </c>
      <c r="C78" s="195"/>
      <c r="D78" s="299">
        <f>6*1.05</f>
        <v>6.3000000000000007</v>
      </c>
      <c r="E78" s="300">
        <f t="shared" si="12"/>
        <v>25864.652499999997</v>
      </c>
      <c r="F78" s="246"/>
      <c r="G78" s="195">
        <f t="shared" si="10"/>
        <v>20.361874006337032</v>
      </c>
      <c r="H78" s="246"/>
      <c r="I78" s="301">
        <f t="shared" si="11"/>
        <v>128.27980623992332</v>
      </c>
      <c r="J78" s="301">
        <f t="shared" si="13"/>
        <v>526652.79542269011</v>
      </c>
      <c r="K78" s="302"/>
      <c r="L78" s="252">
        <f>SUM(I70:I78)</f>
        <v>19199.211000575186</v>
      </c>
      <c r="M78" s="252">
        <f>SUM(L69:L78)</f>
        <v>27354.141540113167</v>
      </c>
      <c r="N78" s="253">
        <v>42916</v>
      </c>
    </row>
    <row r="79" spans="1:14" s="296" customFormat="1" x14ac:dyDescent="0.35">
      <c r="A79" s="298">
        <v>43099</v>
      </c>
      <c r="B79" s="241" t="s">
        <v>278</v>
      </c>
      <c r="C79" s="195"/>
      <c r="D79" s="299">
        <v>11</v>
      </c>
      <c r="E79" s="300">
        <f t="shared" si="12"/>
        <v>25853.652499999997</v>
      </c>
      <c r="F79" s="246"/>
      <c r="G79" s="195">
        <f t="shared" si="10"/>
        <v>20.361874006337032</v>
      </c>
      <c r="H79" s="246"/>
      <c r="I79" s="301">
        <f t="shared" si="11"/>
        <v>223.98061406970737</v>
      </c>
      <c r="J79" s="301">
        <f t="shared" si="13"/>
        <v>526428.81480862037</v>
      </c>
      <c r="K79" s="302"/>
      <c r="L79" s="252">
        <f>SUM(I79)</f>
        <v>223.98061406970737</v>
      </c>
      <c r="M79" s="347">
        <f>SUM(L79)</f>
        <v>223.98061406970737</v>
      </c>
      <c r="N79" s="253">
        <v>43099</v>
      </c>
    </row>
    <row r="80" spans="1:14" ht="15" thickBot="1" x14ac:dyDescent="0.4">
      <c r="A80" s="126"/>
      <c r="B80" s="227" t="s">
        <v>138</v>
      </c>
      <c r="C80" s="190">
        <f>SUM(C9:C79)</f>
        <v>31241.73</v>
      </c>
      <c r="D80" s="190">
        <f>SUM(D9:D79)</f>
        <v>5388.0774999999994</v>
      </c>
      <c r="E80" s="138"/>
      <c r="F80" s="187"/>
      <c r="G80" s="185">
        <f t="shared" si="10"/>
        <v>20.361874006337032</v>
      </c>
      <c r="H80" s="190">
        <f t="shared" ref="H80:I80" si="14">SUM(H9:H79)</f>
        <v>636140.17000000004</v>
      </c>
      <c r="I80" s="190">
        <f t="shared" si="14"/>
        <v>109711.35519137945</v>
      </c>
      <c r="J80" s="135"/>
      <c r="K80" s="139"/>
      <c r="L80" s="251"/>
      <c r="M80" s="348">
        <f>SUM(M28:M79)</f>
        <v>109711.35519137947</v>
      </c>
      <c r="N80" s="251"/>
    </row>
    <row r="81" spans="1:13" ht="15" thickTop="1" x14ac:dyDescent="0.35">
      <c r="I81" s="328"/>
      <c r="M81" s="328"/>
    </row>
    <row r="84" spans="1:13" x14ac:dyDescent="0.35">
      <c r="A84" s="202" t="s">
        <v>629</v>
      </c>
      <c r="B84" s="234"/>
      <c r="C84" s="233"/>
      <c r="D84" s="233"/>
      <c r="E84" s="233"/>
      <c r="F84" s="233"/>
      <c r="G84" s="251"/>
      <c r="H84" s="251"/>
      <c r="I84" s="251"/>
      <c r="J84" s="251"/>
    </row>
    <row r="85" spans="1:13" x14ac:dyDescent="0.35">
      <c r="A85" s="202" t="s">
        <v>631</v>
      </c>
      <c r="B85" s="234"/>
      <c r="C85" s="233"/>
      <c r="D85" s="233"/>
      <c r="E85" s="233"/>
      <c r="F85" s="233"/>
      <c r="G85" s="251"/>
      <c r="H85" s="251"/>
      <c r="I85" s="251"/>
      <c r="J85" s="174">
        <f>+E79*F10</f>
        <v>522404.39306012244</v>
      </c>
    </row>
    <row r="86" spans="1:13" x14ac:dyDescent="0.35">
      <c r="A86" s="202" t="s">
        <v>630</v>
      </c>
      <c r="B86" s="234"/>
      <c r="C86" s="233"/>
      <c r="D86" s="233"/>
      <c r="E86" s="233"/>
      <c r="F86" s="233"/>
      <c r="G86" s="251"/>
      <c r="H86" s="251"/>
      <c r="I86" s="251"/>
      <c r="J86" s="203">
        <f>+J79</f>
        <v>526428.81480862037</v>
      </c>
    </row>
    <row r="87" spans="1:13" ht="15" thickBot="1" x14ac:dyDescent="0.4">
      <c r="A87" s="202"/>
      <c r="B87" s="234" t="s">
        <v>29</v>
      </c>
      <c r="C87" s="233"/>
      <c r="D87" s="233"/>
      <c r="E87" s="233"/>
      <c r="F87" s="233"/>
      <c r="G87" s="251"/>
      <c r="H87" s="251"/>
      <c r="I87" s="251"/>
      <c r="J87" s="206">
        <f>+J85-J86</f>
        <v>-4024.4217484979308</v>
      </c>
    </row>
    <row r="88" spans="1:13" ht="15" thickTop="1" x14ac:dyDescent="0.35"/>
  </sheetData>
  <mergeCells count="6">
    <mergeCell ref="D4:H4"/>
    <mergeCell ref="C7:E7"/>
    <mergeCell ref="F7:G7"/>
    <mergeCell ref="H7:J7"/>
    <mergeCell ref="D5:G5"/>
    <mergeCell ref="D6:G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N372"/>
  <sheetViews>
    <sheetView topLeftCell="A343" workbookViewId="0">
      <selection activeCell="N260" sqref="N260"/>
    </sheetView>
  </sheetViews>
  <sheetFormatPr baseColWidth="10" defaultRowHeight="14.5" x14ac:dyDescent="0.35"/>
  <cols>
    <col min="2" max="2" width="25.90625" customWidth="1"/>
  </cols>
  <sheetData>
    <row r="1" spans="1:14" x14ac:dyDescent="0.35">
      <c r="A1" s="2" t="s">
        <v>0</v>
      </c>
      <c r="B1" s="3"/>
      <c r="C1" s="4"/>
      <c r="D1" s="4"/>
      <c r="E1" s="4"/>
      <c r="F1" s="4"/>
      <c r="G1" s="4"/>
      <c r="H1" s="5" t="s">
        <v>1</v>
      </c>
      <c r="I1" s="4"/>
      <c r="J1" s="4"/>
      <c r="K1" s="6"/>
      <c r="L1" s="1"/>
      <c r="M1" s="1"/>
      <c r="N1" s="1"/>
    </row>
    <row r="2" spans="1:14" x14ac:dyDescent="0.35">
      <c r="A2" s="7" t="s">
        <v>2</v>
      </c>
      <c r="B2" s="8"/>
      <c r="C2" s="9"/>
      <c r="D2" s="9"/>
      <c r="E2" s="9"/>
      <c r="F2" s="9"/>
      <c r="G2" s="9"/>
      <c r="H2" s="10" t="s">
        <v>63</v>
      </c>
      <c r="I2" s="9"/>
      <c r="J2" s="9"/>
      <c r="K2" s="11"/>
      <c r="L2" s="1"/>
      <c r="M2" s="1"/>
      <c r="N2" s="1"/>
    </row>
    <row r="3" spans="1:14" x14ac:dyDescent="0.35">
      <c r="A3" s="12" t="s">
        <v>3</v>
      </c>
      <c r="B3" s="13"/>
      <c r="C3" s="9"/>
      <c r="D3" s="9"/>
      <c r="E3" s="9"/>
      <c r="F3" s="9"/>
      <c r="G3" s="9"/>
      <c r="H3" s="10" t="s">
        <v>4</v>
      </c>
      <c r="I3" s="9"/>
      <c r="J3" s="9"/>
      <c r="K3" s="11"/>
      <c r="L3" s="1"/>
      <c r="M3" s="1"/>
      <c r="N3" s="1"/>
    </row>
    <row r="4" spans="1:14" ht="18" x14ac:dyDescent="0.4">
      <c r="A4" s="14"/>
      <c r="B4" s="9"/>
      <c r="C4" s="9"/>
      <c r="D4" s="292" t="s">
        <v>5</v>
      </c>
      <c r="E4" s="292"/>
      <c r="F4" s="292"/>
      <c r="G4" s="292"/>
      <c r="H4" s="292"/>
      <c r="I4" s="9"/>
      <c r="J4" s="9"/>
      <c r="K4" s="11"/>
      <c r="L4" s="1"/>
      <c r="M4" s="1"/>
      <c r="N4" s="1"/>
    </row>
    <row r="5" spans="1:14" x14ac:dyDescent="0.35">
      <c r="A5" s="404" t="s">
        <v>61</v>
      </c>
      <c r="B5" s="405"/>
      <c r="C5" s="405"/>
      <c r="D5" s="405"/>
      <c r="E5" s="405"/>
      <c r="F5" s="405"/>
      <c r="G5" s="405"/>
      <c r="H5" s="405"/>
      <c r="I5" s="405"/>
      <c r="J5" s="405"/>
      <c r="K5" s="406"/>
      <c r="L5" s="1"/>
      <c r="M5" s="1"/>
      <c r="N5" s="1"/>
    </row>
    <row r="6" spans="1:14" x14ac:dyDescent="0.35">
      <c r="A6" s="407" t="s">
        <v>6</v>
      </c>
      <c r="B6" s="408"/>
      <c r="C6" s="408"/>
      <c r="D6" s="408"/>
      <c r="E6" s="408"/>
      <c r="F6" s="408"/>
      <c r="G6" s="408"/>
      <c r="H6" s="408"/>
      <c r="I6" s="408"/>
      <c r="J6" s="408"/>
      <c r="K6" s="409"/>
      <c r="L6" s="1"/>
      <c r="M6" s="1"/>
      <c r="N6" s="1"/>
    </row>
    <row r="7" spans="1:14" x14ac:dyDescent="0.35">
      <c r="A7" s="16" t="s">
        <v>7</v>
      </c>
      <c r="B7" s="17" t="s">
        <v>8</v>
      </c>
      <c r="C7" s="399" t="s">
        <v>9</v>
      </c>
      <c r="D7" s="399"/>
      <c r="E7" s="400"/>
      <c r="F7" s="401" t="s">
        <v>10</v>
      </c>
      <c r="G7" s="401"/>
      <c r="H7" s="402" t="s">
        <v>11</v>
      </c>
      <c r="I7" s="403"/>
      <c r="J7" s="403"/>
      <c r="K7" s="35" t="s">
        <v>12</v>
      </c>
      <c r="L7" s="251"/>
      <c r="M7" s="251"/>
      <c r="N7" s="251"/>
    </row>
    <row r="8" spans="1:14" x14ac:dyDescent="0.35">
      <c r="A8" s="18"/>
      <c r="B8" s="19"/>
      <c r="C8" s="19" t="s">
        <v>13</v>
      </c>
      <c r="D8" s="20" t="s">
        <v>14</v>
      </c>
      <c r="E8" s="21" t="s">
        <v>15</v>
      </c>
      <c r="F8" s="22" t="s">
        <v>16</v>
      </c>
      <c r="G8" s="22" t="s">
        <v>17</v>
      </c>
      <c r="H8" s="20" t="s">
        <v>18</v>
      </c>
      <c r="I8" s="23" t="s">
        <v>19</v>
      </c>
      <c r="J8" s="24" t="s">
        <v>20</v>
      </c>
      <c r="K8" s="36"/>
      <c r="L8" s="251"/>
      <c r="M8" s="251"/>
      <c r="N8" s="251"/>
    </row>
    <row r="9" spans="1:14" x14ac:dyDescent="0.35">
      <c r="A9" s="25">
        <v>42371</v>
      </c>
      <c r="B9" s="34" t="s">
        <v>21</v>
      </c>
      <c r="C9" s="26">
        <v>24101.84</v>
      </c>
      <c r="D9" s="27"/>
      <c r="E9" s="29">
        <f>+C9</f>
        <v>24101.84</v>
      </c>
      <c r="F9" s="27">
        <f>+H9/C9</f>
        <v>16.506194962708239</v>
      </c>
      <c r="G9" s="37"/>
      <c r="H9" s="28">
        <v>397829.67</v>
      </c>
      <c r="I9" s="29"/>
      <c r="J9" s="29">
        <f>+H9</f>
        <v>397829.67</v>
      </c>
      <c r="K9" s="33"/>
      <c r="L9" s="251"/>
      <c r="M9" s="251"/>
      <c r="N9" s="251"/>
    </row>
    <row r="10" spans="1:14" x14ac:dyDescent="0.35">
      <c r="A10" s="25">
        <v>42738</v>
      </c>
      <c r="B10" s="227" t="s">
        <v>279</v>
      </c>
      <c r="C10" s="29"/>
      <c r="D10" s="29">
        <f>15*0.4</f>
        <v>6</v>
      </c>
      <c r="E10" s="30">
        <f>+E9-D10</f>
        <v>24095.84</v>
      </c>
      <c r="F10" s="31"/>
      <c r="G10" s="27">
        <f>+J9/E9</f>
        <v>16.506194962708239</v>
      </c>
      <c r="H10" s="31"/>
      <c r="I10" s="27">
        <f>+D10*G10</f>
        <v>99.037169776249442</v>
      </c>
      <c r="J10" s="29">
        <f>+J9-I10</f>
        <v>397730.63283022371</v>
      </c>
      <c r="K10" s="32"/>
      <c r="L10" s="251"/>
      <c r="M10" s="251"/>
      <c r="N10" s="251"/>
    </row>
    <row r="11" spans="1:14" s="216" customFormat="1" x14ac:dyDescent="0.35">
      <c r="A11" s="224">
        <v>42738</v>
      </c>
      <c r="B11" s="227" t="s">
        <v>280</v>
      </c>
      <c r="C11" s="226"/>
      <c r="D11" s="226">
        <f>5*5</f>
        <v>25</v>
      </c>
      <c r="E11" s="228">
        <f t="shared" ref="E11:E13" si="0">+E10-D11</f>
        <v>24070.84</v>
      </c>
      <c r="F11" s="229"/>
      <c r="G11" s="225">
        <f t="shared" ref="G11:G13" si="1">+J10/E10</f>
        <v>16.506194962708239</v>
      </c>
      <c r="H11" s="229"/>
      <c r="I11" s="225">
        <f t="shared" ref="I11:I75" si="2">+D11*G11</f>
        <v>412.65487406770598</v>
      </c>
      <c r="J11" s="226">
        <f t="shared" ref="J11:J13" si="3">+J10-I11</f>
        <v>397317.97795615601</v>
      </c>
      <c r="K11" s="230"/>
      <c r="L11" s="251"/>
      <c r="M11" s="251"/>
      <c r="N11" s="251"/>
    </row>
    <row r="12" spans="1:14" s="216" customFormat="1" x14ac:dyDescent="0.35">
      <c r="A12" s="224">
        <v>42738</v>
      </c>
      <c r="B12" s="227" t="s">
        <v>281</v>
      </c>
      <c r="C12" s="226"/>
      <c r="D12" s="226">
        <f>18*1.4</f>
        <v>25.2</v>
      </c>
      <c r="E12" s="228">
        <f t="shared" si="0"/>
        <v>24045.64</v>
      </c>
      <c r="F12" s="229"/>
      <c r="G12" s="225">
        <f t="shared" si="1"/>
        <v>16.506194962708239</v>
      </c>
      <c r="H12" s="229"/>
      <c r="I12" s="225">
        <f t="shared" si="2"/>
        <v>415.95611306024762</v>
      </c>
      <c r="J12" s="226">
        <f t="shared" si="3"/>
        <v>396902.02184309578</v>
      </c>
      <c r="K12" s="230"/>
      <c r="L12" s="251"/>
      <c r="M12" s="251"/>
      <c r="N12" s="251"/>
    </row>
    <row r="13" spans="1:14" s="216" customFormat="1" x14ac:dyDescent="0.35">
      <c r="A13" s="224">
        <v>42738</v>
      </c>
      <c r="B13" s="227" t="s">
        <v>282</v>
      </c>
      <c r="C13" s="226"/>
      <c r="D13" s="226">
        <f>4+2</f>
        <v>6</v>
      </c>
      <c r="E13" s="228">
        <f t="shared" si="0"/>
        <v>24039.64</v>
      </c>
      <c r="F13" s="229"/>
      <c r="G13" s="225">
        <f t="shared" si="1"/>
        <v>16.506194962708239</v>
      </c>
      <c r="H13" s="229"/>
      <c r="I13" s="225">
        <f t="shared" si="2"/>
        <v>99.037169776249442</v>
      </c>
      <c r="J13" s="226">
        <f t="shared" si="3"/>
        <v>396802.9846733195</v>
      </c>
      <c r="K13" s="230"/>
      <c r="L13" s="251"/>
      <c r="M13" s="251"/>
      <c r="N13" s="251"/>
    </row>
    <row r="14" spans="1:14" s="216" customFormat="1" x14ac:dyDescent="0.35">
      <c r="A14" s="224">
        <v>42738</v>
      </c>
      <c r="B14" s="227" t="s">
        <v>90</v>
      </c>
      <c r="C14" s="226">
        <v>11153.28</v>
      </c>
      <c r="D14" s="226"/>
      <c r="E14" s="228">
        <f>+E13+C14</f>
        <v>35192.92</v>
      </c>
      <c r="F14" s="229">
        <f>+H14/C14</f>
        <v>25.258014682676308</v>
      </c>
      <c r="G14" s="225"/>
      <c r="H14" s="229">
        <v>281709.71000000002</v>
      </c>
      <c r="I14" s="225"/>
      <c r="J14" s="226">
        <f>+J13+H14</f>
        <v>678512.69467331958</v>
      </c>
      <c r="K14" s="230"/>
      <c r="L14" s="251"/>
      <c r="M14" s="251"/>
      <c r="N14" s="251"/>
    </row>
    <row r="15" spans="1:14" s="216" customFormat="1" x14ac:dyDescent="0.35">
      <c r="A15" s="224">
        <v>42739</v>
      </c>
      <c r="B15" s="227" t="s">
        <v>283</v>
      </c>
      <c r="C15" s="226"/>
      <c r="D15" s="226">
        <f>5*3</f>
        <v>15</v>
      </c>
      <c r="E15" s="228">
        <f>+E14-D15</f>
        <v>35177.919999999998</v>
      </c>
      <c r="F15" s="229"/>
      <c r="G15" s="225">
        <f>+J14/E14</f>
        <v>19.279806696157056</v>
      </c>
      <c r="H15" s="229"/>
      <c r="I15" s="225">
        <f t="shared" si="2"/>
        <v>289.19710044235586</v>
      </c>
      <c r="J15" s="226">
        <f>+J14-I15</f>
        <v>678223.49757287721</v>
      </c>
      <c r="K15" s="230"/>
      <c r="L15" s="251"/>
      <c r="M15" s="251"/>
      <c r="N15" s="251"/>
    </row>
    <row r="16" spans="1:14" s="216" customFormat="1" x14ac:dyDescent="0.35">
      <c r="A16" s="224">
        <v>42745</v>
      </c>
      <c r="B16" s="227" t="s">
        <v>284</v>
      </c>
      <c r="C16" s="226"/>
      <c r="D16" s="226">
        <f>5*5</f>
        <v>25</v>
      </c>
      <c r="E16" s="228">
        <f t="shared" ref="E16:E75" si="4">+E15-D16</f>
        <v>35152.92</v>
      </c>
      <c r="F16" s="229"/>
      <c r="G16" s="225">
        <f t="shared" ref="G16:G75" si="5">+J15/E15</f>
        <v>19.279806696157056</v>
      </c>
      <c r="H16" s="229"/>
      <c r="I16" s="225">
        <f t="shared" si="2"/>
        <v>481.99516740392642</v>
      </c>
      <c r="J16" s="226">
        <f t="shared" ref="J16:J75" si="6">+J15-I16</f>
        <v>677741.50240547326</v>
      </c>
      <c r="K16" s="230"/>
      <c r="L16" s="251"/>
      <c r="M16" s="251"/>
      <c r="N16" s="251"/>
    </row>
    <row r="17" spans="1:14" s="296" customFormat="1" x14ac:dyDescent="0.35">
      <c r="A17" s="293">
        <v>42749</v>
      </c>
      <c r="B17" s="241" t="s">
        <v>285</v>
      </c>
      <c r="C17" s="294"/>
      <c r="D17" s="294">
        <f>12*1.71+2.7</f>
        <v>23.22</v>
      </c>
      <c r="E17" s="295">
        <f t="shared" si="4"/>
        <v>35129.699999999997</v>
      </c>
      <c r="F17" s="242"/>
      <c r="G17" s="294">
        <f t="shared" si="5"/>
        <v>19.279806696157056</v>
      </c>
      <c r="H17" s="242"/>
      <c r="I17" s="294">
        <f t="shared" si="2"/>
        <v>447.67711148476684</v>
      </c>
      <c r="J17" s="294">
        <f t="shared" si="6"/>
        <v>677293.82529398846</v>
      </c>
      <c r="K17" s="193"/>
      <c r="L17" s="260">
        <f>SUM(I10:I17)</f>
        <v>2245.5547060115014</v>
      </c>
      <c r="M17" s="200"/>
      <c r="N17" s="253">
        <v>42750</v>
      </c>
    </row>
    <row r="18" spans="1:14" s="216" customFormat="1" x14ac:dyDescent="0.35">
      <c r="A18" s="224">
        <v>42756</v>
      </c>
      <c r="B18" s="227" t="s">
        <v>286</v>
      </c>
      <c r="C18" s="226"/>
      <c r="D18" s="226">
        <f>15*0.4</f>
        <v>6</v>
      </c>
      <c r="E18" s="228">
        <f t="shared" si="4"/>
        <v>35123.699999999997</v>
      </c>
      <c r="F18" s="229"/>
      <c r="G18" s="225">
        <f t="shared" si="5"/>
        <v>19.279806696157056</v>
      </c>
      <c r="H18" s="229"/>
      <c r="I18" s="225">
        <f t="shared" si="2"/>
        <v>115.67884017694234</v>
      </c>
      <c r="J18" s="226">
        <f t="shared" si="6"/>
        <v>677178.14645381155</v>
      </c>
      <c r="K18" s="230"/>
      <c r="L18" s="251"/>
      <c r="M18" s="251"/>
      <c r="N18" s="251"/>
    </row>
    <row r="19" spans="1:14" s="296" customFormat="1" x14ac:dyDescent="0.35">
      <c r="A19" s="293">
        <v>42766</v>
      </c>
      <c r="B19" s="241" t="s">
        <v>287</v>
      </c>
      <c r="C19" s="294"/>
      <c r="D19" s="294">
        <f>8*6</f>
        <v>48</v>
      </c>
      <c r="E19" s="295">
        <f t="shared" si="4"/>
        <v>35075.699999999997</v>
      </c>
      <c r="F19" s="242"/>
      <c r="G19" s="294">
        <f t="shared" si="5"/>
        <v>19.279806696157056</v>
      </c>
      <c r="H19" s="242"/>
      <c r="I19" s="294">
        <f t="shared" si="2"/>
        <v>925.43072141553876</v>
      </c>
      <c r="J19" s="294">
        <f t="shared" si="6"/>
        <v>676252.715732396</v>
      </c>
      <c r="K19" s="193"/>
      <c r="L19" s="260">
        <f>SUM(I18:I19)</f>
        <v>1041.109561592481</v>
      </c>
      <c r="M19" s="260">
        <f>SUM(L17:L19)</f>
        <v>3286.6642676039824</v>
      </c>
      <c r="N19" s="253">
        <v>42766</v>
      </c>
    </row>
    <row r="20" spans="1:14" s="216" customFormat="1" x14ac:dyDescent="0.35">
      <c r="A20" s="224">
        <v>42783</v>
      </c>
      <c r="B20" s="227" t="s">
        <v>288</v>
      </c>
      <c r="C20" s="226"/>
      <c r="D20" s="226">
        <f>7*4.9+7*5.1</f>
        <v>70</v>
      </c>
      <c r="E20" s="228">
        <f t="shared" si="4"/>
        <v>35005.699999999997</v>
      </c>
      <c r="F20" s="229"/>
      <c r="G20" s="225">
        <f t="shared" si="5"/>
        <v>19.279806696157056</v>
      </c>
      <c r="H20" s="229"/>
      <c r="I20" s="225">
        <f t="shared" si="2"/>
        <v>1349.5864687309938</v>
      </c>
      <c r="J20" s="226">
        <f t="shared" si="6"/>
        <v>674903.12926366506</v>
      </c>
      <c r="K20" s="230"/>
      <c r="L20" s="251"/>
      <c r="M20" s="251"/>
      <c r="N20" s="251"/>
    </row>
    <row r="21" spans="1:14" s="216" customFormat="1" x14ac:dyDescent="0.35">
      <c r="A21" s="224">
        <v>42783</v>
      </c>
      <c r="B21" s="227" t="s">
        <v>289</v>
      </c>
      <c r="C21" s="226"/>
      <c r="D21" s="226">
        <f>3*1.8</f>
        <v>5.4</v>
      </c>
      <c r="E21" s="228">
        <f t="shared" si="4"/>
        <v>35000.299999999996</v>
      </c>
      <c r="F21" s="229"/>
      <c r="G21" s="225">
        <f t="shared" si="5"/>
        <v>19.279806696157056</v>
      </c>
      <c r="H21" s="229"/>
      <c r="I21" s="225">
        <f t="shared" si="2"/>
        <v>104.1109561592481</v>
      </c>
      <c r="J21" s="226">
        <f t="shared" si="6"/>
        <v>674799.01830750576</v>
      </c>
      <c r="K21" s="230"/>
      <c r="L21" s="251"/>
      <c r="M21" s="251"/>
      <c r="N21" s="251"/>
    </row>
    <row r="22" spans="1:14" s="216" customFormat="1" x14ac:dyDescent="0.35">
      <c r="A22" s="224">
        <v>42789</v>
      </c>
      <c r="B22" s="227" t="s">
        <v>290</v>
      </c>
      <c r="C22" s="226"/>
      <c r="D22" s="226">
        <f>6*6</f>
        <v>36</v>
      </c>
      <c r="E22" s="228">
        <f t="shared" si="4"/>
        <v>34964.299999999996</v>
      </c>
      <c r="F22" s="229"/>
      <c r="G22" s="225">
        <f t="shared" si="5"/>
        <v>19.279806696157056</v>
      </c>
      <c r="H22" s="229"/>
      <c r="I22" s="225">
        <f t="shared" si="2"/>
        <v>694.07304106165407</v>
      </c>
      <c r="J22" s="226">
        <f t="shared" si="6"/>
        <v>674104.94526644412</v>
      </c>
      <c r="K22" s="230"/>
      <c r="L22" s="251"/>
      <c r="M22" s="251"/>
      <c r="N22" s="251"/>
    </row>
    <row r="23" spans="1:14" s="296" customFormat="1" x14ac:dyDescent="0.35">
      <c r="A23" s="293">
        <v>42790</v>
      </c>
      <c r="B23" s="241" t="s">
        <v>291</v>
      </c>
      <c r="C23" s="294"/>
      <c r="D23" s="294">
        <f>16*10.5</f>
        <v>168</v>
      </c>
      <c r="E23" s="295">
        <f t="shared" si="4"/>
        <v>34796.299999999996</v>
      </c>
      <c r="F23" s="242"/>
      <c r="G23" s="294">
        <f t="shared" si="5"/>
        <v>19.279806696157056</v>
      </c>
      <c r="H23" s="242"/>
      <c r="I23" s="294">
        <f t="shared" si="2"/>
        <v>3239.0075249543856</v>
      </c>
      <c r="J23" s="294">
        <f t="shared" si="6"/>
        <v>670865.93774148973</v>
      </c>
      <c r="K23" s="193"/>
      <c r="L23" s="260">
        <f>SUM(I20:I23)</f>
        <v>5386.777990906281</v>
      </c>
      <c r="M23" s="260">
        <f>SUM(L23)</f>
        <v>5386.777990906281</v>
      </c>
      <c r="N23" s="253">
        <v>42794</v>
      </c>
    </row>
    <row r="24" spans="1:14" s="296" customFormat="1" x14ac:dyDescent="0.35">
      <c r="A24" s="293">
        <v>42802</v>
      </c>
      <c r="B24" s="241" t="s">
        <v>292</v>
      </c>
      <c r="C24" s="294"/>
      <c r="D24" s="294">
        <f>5*0.2</f>
        <v>1</v>
      </c>
      <c r="E24" s="295">
        <f t="shared" si="4"/>
        <v>34795.299999999996</v>
      </c>
      <c r="F24" s="242"/>
      <c r="G24" s="294">
        <f t="shared" si="5"/>
        <v>19.279806696157056</v>
      </c>
      <c r="H24" s="242"/>
      <c r="I24" s="294">
        <f t="shared" si="2"/>
        <v>19.279806696157056</v>
      </c>
      <c r="J24" s="294">
        <f t="shared" si="6"/>
        <v>670846.65793479362</v>
      </c>
      <c r="K24" s="193"/>
      <c r="L24" s="260">
        <f>SUM(I24)</f>
        <v>19.279806696157056</v>
      </c>
      <c r="M24" s="200"/>
      <c r="N24" s="253">
        <v>42809</v>
      </c>
    </row>
    <row r="25" spans="1:14" s="216" customFormat="1" x14ac:dyDescent="0.35">
      <c r="A25" s="224">
        <v>42811</v>
      </c>
      <c r="B25" s="227" t="s">
        <v>293</v>
      </c>
      <c r="C25" s="226"/>
      <c r="D25" s="226">
        <f>7*5.2</f>
        <v>36.4</v>
      </c>
      <c r="E25" s="228">
        <f t="shared" si="4"/>
        <v>34758.899999999994</v>
      </c>
      <c r="F25" s="229"/>
      <c r="G25" s="225">
        <f t="shared" si="5"/>
        <v>19.27980669615706</v>
      </c>
      <c r="H25" s="229"/>
      <c r="I25" s="225">
        <f t="shared" si="2"/>
        <v>701.78496374011695</v>
      </c>
      <c r="J25" s="226">
        <f t="shared" si="6"/>
        <v>670144.87297105347</v>
      </c>
      <c r="K25" s="230"/>
      <c r="L25" s="251"/>
      <c r="M25" s="251"/>
      <c r="N25" s="251"/>
    </row>
    <row r="26" spans="1:14" s="216" customFormat="1" x14ac:dyDescent="0.35">
      <c r="A26" s="224">
        <v>42811</v>
      </c>
      <c r="B26" s="227" t="s">
        <v>294</v>
      </c>
      <c r="C26" s="226"/>
      <c r="D26" s="226">
        <f>7*4</f>
        <v>28</v>
      </c>
      <c r="E26" s="228">
        <f t="shared" si="4"/>
        <v>34730.899999999994</v>
      </c>
      <c r="F26" s="229"/>
      <c r="G26" s="225">
        <f t="shared" si="5"/>
        <v>19.27980669615706</v>
      </c>
      <c r="H26" s="229"/>
      <c r="I26" s="225">
        <f t="shared" si="2"/>
        <v>539.83458749239765</v>
      </c>
      <c r="J26" s="226">
        <f t="shared" si="6"/>
        <v>669605.03838356107</v>
      </c>
      <c r="K26" s="230"/>
      <c r="L26" s="251"/>
      <c r="M26" s="251"/>
      <c r="N26" s="251"/>
    </row>
    <row r="27" spans="1:14" s="216" customFormat="1" x14ac:dyDescent="0.35">
      <c r="A27" s="224">
        <v>42811</v>
      </c>
      <c r="B27" s="227" t="s">
        <v>295</v>
      </c>
      <c r="C27" s="226"/>
      <c r="D27" s="226">
        <f>2*4.5</f>
        <v>9</v>
      </c>
      <c r="E27" s="228">
        <f t="shared" si="4"/>
        <v>34721.899999999994</v>
      </c>
      <c r="F27" s="229"/>
      <c r="G27" s="225">
        <f t="shared" si="5"/>
        <v>19.27980669615706</v>
      </c>
      <c r="H27" s="229"/>
      <c r="I27" s="225">
        <f t="shared" si="2"/>
        <v>173.51826026541355</v>
      </c>
      <c r="J27" s="226">
        <f t="shared" si="6"/>
        <v>669431.5201232956</v>
      </c>
      <c r="K27" s="230"/>
      <c r="L27" s="251"/>
      <c r="M27" s="251"/>
      <c r="N27" s="251"/>
    </row>
    <row r="28" spans="1:14" s="216" customFormat="1" x14ac:dyDescent="0.35">
      <c r="A28" s="224">
        <v>42811</v>
      </c>
      <c r="B28" s="227" t="s">
        <v>296</v>
      </c>
      <c r="C28" s="226"/>
      <c r="D28" s="226">
        <f>26*2.7</f>
        <v>70.2</v>
      </c>
      <c r="E28" s="228">
        <f t="shared" si="4"/>
        <v>34651.699999999997</v>
      </c>
      <c r="F28" s="229"/>
      <c r="G28" s="225">
        <f t="shared" si="5"/>
        <v>19.279806696157056</v>
      </c>
      <c r="H28" s="229"/>
      <c r="I28" s="225">
        <f t="shared" si="2"/>
        <v>1353.4424300702253</v>
      </c>
      <c r="J28" s="226">
        <f t="shared" si="6"/>
        <v>668078.07769322535</v>
      </c>
      <c r="K28" s="230"/>
      <c r="L28" s="251"/>
      <c r="M28" s="251"/>
      <c r="N28" s="251"/>
    </row>
    <row r="29" spans="1:14" s="216" customFormat="1" x14ac:dyDescent="0.35">
      <c r="A29" s="224">
        <v>42811</v>
      </c>
      <c r="B29" s="227" t="s">
        <v>297</v>
      </c>
      <c r="C29" s="226"/>
      <c r="D29" s="226">
        <f>4*4</f>
        <v>16</v>
      </c>
      <c r="E29" s="228">
        <f t="shared" si="4"/>
        <v>34635.699999999997</v>
      </c>
      <c r="F29" s="229"/>
      <c r="G29" s="225">
        <f t="shared" si="5"/>
        <v>19.279806696157056</v>
      </c>
      <c r="H29" s="229"/>
      <c r="I29" s="225">
        <f t="shared" si="2"/>
        <v>308.4769071385129</v>
      </c>
      <c r="J29" s="226">
        <f t="shared" si="6"/>
        <v>667769.60078608687</v>
      </c>
      <c r="K29" s="230"/>
      <c r="L29" s="251"/>
      <c r="M29" s="251"/>
      <c r="N29" s="251"/>
    </row>
    <row r="30" spans="1:14" s="216" customFormat="1" x14ac:dyDescent="0.35">
      <c r="A30" s="224">
        <v>42814</v>
      </c>
      <c r="B30" s="227" t="s">
        <v>298</v>
      </c>
      <c r="C30" s="226"/>
      <c r="D30" s="226">
        <f>13*5.6+5*5.35</f>
        <v>99.55</v>
      </c>
      <c r="E30" s="228">
        <f t="shared" si="4"/>
        <v>34536.149999999994</v>
      </c>
      <c r="F30" s="229"/>
      <c r="G30" s="225">
        <f t="shared" si="5"/>
        <v>19.279806696157056</v>
      </c>
      <c r="H30" s="229"/>
      <c r="I30" s="225">
        <f t="shared" si="2"/>
        <v>1919.304756602435</v>
      </c>
      <c r="J30" s="226">
        <f t="shared" si="6"/>
        <v>665850.29602948448</v>
      </c>
      <c r="K30" s="230"/>
      <c r="L30" s="251"/>
      <c r="M30" s="251"/>
      <c r="N30" s="251"/>
    </row>
    <row r="31" spans="1:14" s="216" customFormat="1" x14ac:dyDescent="0.35">
      <c r="A31" s="224">
        <v>42814</v>
      </c>
      <c r="B31" s="227" t="s">
        <v>299</v>
      </c>
      <c r="C31" s="226"/>
      <c r="D31" s="226">
        <f>+(4*3.5+12*5.85+5*5.49)</f>
        <v>111.64999999999999</v>
      </c>
      <c r="E31" s="228">
        <f t="shared" si="4"/>
        <v>34424.499999999993</v>
      </c>
      <c r="F31" s="229"/>
      <c r="G31" s="225">
        <f t="shared" si="5"/>
        <v>19.27980669615706</v>
      </c>
      <c r="H31" s="229"/>
      <c r="I31" s="225">
        <f t="shared" si="2"/>
        <v>2152.5904176259355</v>
      </c>
      <c r="J31" s="226">
        <f t="shared" si="6"/>
        <v>663697.70561185852</v>
      </c>
      <c r="K31" s="230"/>
      <c r="L31" s="251"/>
      <c r="M31" s="251"/>
      <c r="N31" s="251"/>
    </row>
    <row r="32" spans="1:14" s="216" customFormat="1" x14ac:dyDescent="0.35">
      <c r="A32" s="224">
        <v>42814</v>
      </c>
      <c r="B32" s="227" t="s">
        <v>300</v>
      </c>
      <c r="C32" s="226"/>
      <c r="D32" s="226">
        <f>27*3+2</f>
        <v>83</v>
      </c>
      <c r="E32" s="228">
        <f t="shared" si="4"/>
        <v>34341.499999999993</v>
      </c>
      <c r="F32" s="229"/>
      <c r="G32" s="225">
        <f t="shared" si="5"/>
        <v>19.27980669615706</v>
      </c>
      <c r="H32" s="229"/>
      <c r="I32" s="225">
        <f t="shared" si="2"/>
        <v>1600.223955781036</v>
      </c>
      <c r="J32" s="226">
        <f t="shared" si="6"/>
        <v>662097.48165607743</v>
      </c>
      <c r="K32" s="230"/>
      <c r="L32" s="251"/>
      <c r="M32" s="251"/>
      <c r="N32" s="251"/>
    </row>
    <row r="33" spans="1:14" s="216" customFormat="1" x14ac:dyDescent="0.35">
      <c r="A33" s="224">
        <v>42814</v>
      </c>
      <c r="B33" s="227" t="s">
        <v>301</v>
      </c>
      <c r="C33" s="226"/>
      <c r="D33" s="226">
        <f>4*3.5</f>
        <v>14</v>
      </c>
      <c r="E33" s="228">
        <f t="shared" si="4"/>
        <v>34327.499999999993</v>
      </c>
      <c r="F33" s="229"/>
      <c r="G33" s="225">
        <f t="shared" si="5"/>
        <v>19.279806696157056</v>
      </c>
      <c r="H33" s="229"/>
      <c r="I33" s="225">
        <f t="shared" si="2"/>
        <v>269.91729374619877</v>
      </c>
      <c r="J33" s="226">
        <f t="shared" si="6"/>
        <v>661827.56436233129</v>
      </c>
      <c r="K33" s="230"/>
      <c r="L33" s="251"/>
      <c r="M33" s="251"/>
      <c r="N33" s="251"/>
    </row>
    <row r="34" spans="1:14" s="216" customFormat="1" x14ac:dyDescent="0.35">
      <c r="A34" s="224">
        <v>42815</v>
      </c>
      <c r="B34" s="227" t="s">
        <v>302</v>
      </c>
      <c r="C34" s="226"/>
      <c r="D34" s="226">
        <f>12*4.8</f>
        <v>57.599999999999994</v>
      </c>
      <c r="E34" s="228">
        <f t="shared" si="4"/>
        <v>34269.899999999994</v>
      </c>
      <c r="F34" s="229"/>
      <c r="G34" s="225">
        <f t="shared" si="5"/>
        <v>19.27980669615706</v>
      </c>
      <c r="H34" s="229"/>
      <c r="I34" s="225">
        <f t="shared" si="2"/>
        <v>1110.5168656986466</v>
      </c>
      <c r="J34" s="226">
        <f t="shared" si="6"/>
        <v>660717.04749663267</v>
      </c>
      <c r="K34" s="230"/>
      <c r="L34" s="251"/>
      <c r="M34" s="251"/>
      <c r="N34" s="251"/>
    </row>
    <row r="35" spans="1:14" s="216" customFormat="1" x14ac:dyDescent="0.35">
      <c r="A35" s="224">
        <v>42816</v>
      </c>
      <c r="B35" s="227" t="s">
        <v>303</v>
      </c>
      <c r="C35" s="226"/>
      <c r="D35" s="226">
        <f>7*3.5</f>
        <v>24.5</v>
      </c>
      <c r="E35" s="228">
        <f t="shared" si="4"/>
        <v>34245.399999999994</v>
      </c>
      <c r="F35" s="229"/>
      <c r="G35" s="225">
        <f t="shared" si="5"/>
        <v>19.27980669615706</v>
      </c>
      <c r="H35" s="229"/>
      <c r="I35" s="225">
        <f t="shared" si="2"/>
        <v>472.35526405584795</v>
      </c>
      <c r="J35" s="226">
        <f t="shared" si="6"/>
        <v>660244.69223257678</v>
      </c>
      <c r="K35" s="230"/>
      <c r="L35" s="251"/>
      <c r="M35" s="251"/>
      <c r="N35" s="251"/>
    </row>
    <row r="36" spans="1:14" s="216" customFormat="1" x14ac:dyDescent="0.35">
      <c r="A36" s="224">
        <v>42819</v>
      </c>
      <c r="B36" s="227" t="s">
        <v>304</v>
      </c>
      <c r="C36" s="226"/>
      <c r="D36" s="226">
        <f>9*4.2+4*6.6</f>
        <v>64.2</v>
      </c>
      <c r="E36" s="228">
        <f t="shared" si="4"/>
        <v>34181.199999999997</v>
      </c>
      <c r="F36" s="229"/>
      <c r="G36" s="225">
        <f t="shared" si="5"/>
        <v>19.279806696157056</v>
      </c>
      <c r="H36" s="229"/>
      <c r="I36" s="225">
        <f t="shared" si="2"/>
        <v>1237.7635898932831</v>
      </c>
      <c r="J36" s="226">
        <f t="shared" si="6"/>
        <v>659006.92864268355</v>
      </c>
      <c r="K36" s="230"/>
      <c r="L36" s="251"/>
      <c r="M36" s="251"/>
      <c r="N36" s="251"/>
    </row>
    <row r="37" spans="1:14" s="216" customFormat="1" x14ac:dyDescent="0.35">
      <c r="A37" s="224">
        <v>42819</v>
      </c>
      <c r="B37" s="227" t="s">
        <v>305</v>
      </c>
      <c r="C37" s="226"/>
      <c r="D37" s="226">
        <f>4*0.6</f>
        <v>2.4</v>
      </c>
      <c r="E37" s="228">
        <f t="shared" si="4"/>
        <v>34178.799999999996</v>
      </c>
      <c r="F37" s="229"/>
      <c r="G37" s="225">
        <f t="shared" si="5"/>
        <v>19.279806696157056</v>
      </c>
      <c r="H37" s="229"/>
      <c r="I37" s="225">
        <f t="shared" si="2"/>
        <v>46.271536070776932</v>
      </c>
      <c r="J37" s="226">
        <f t="shared" si="6"/>
        <v>658960.65710661281</v>
      </c>
      <c r="K37" s="230"/>
      <c r="L37" s="251"/>
      <c r="M37" s="251"/>
      <c r="N37" s="251"/>
    </row>
    <row r="38" spans="1:14" s="216" customFormat="1" x14ac:dyDescent="0.35">
      <c r="A38" s="224">
        <v>42821</v>
      </c>
      <c r="B38" s="227" t="s">
        <v>306</v>
      </c>
      <c r="C38" s="226"/>
      <c r="D38" s="226">
        <v>4.0999999999999996</v>
      </c>
      <c r="E38" s="228">
        <f t="shared" si="4"/>
        <v>34174.699999999997</v>
      </c>
      <c r="F38" s="229"/>
      <c r="G38" s="225">
        <f t="shared" si="5"/>
        <v>19.27980669615706</v>
      </c>
      <c r="H38" s="229"/>
      <c r="I38" s="225">
        <f t="shared" si="2"/>
        <v>79.047207454243932</v>
      </c>
      <c r="J38" s="226">
        <f t="shared" si="6"/>
        <v>658881.60989915859</v>
      </c>
      <c r="K38" s="230"/>
      <c r="L38" s="251"/>
      <c r="M38" s="251"/>
      <c r="N38" s="251"/>
    </row>
    <row r="39" spans="1:14" s="216" customFormat="1" x14ac:dyDescent="0.35">
      <c r="A39" s="224">
        <v>42822</v>
      </c>
      <c r="B39" s="227" t="s">
        <v>307</v>
      </c>
      <c r="C39" s="226"/>
      <c r="D39" s="226">
        <f>10*3+17*6</f>
        <v>132</v>
      </c>
      <c r="E39" s="228">
        <f t="shared" si="4"/>
        <v>34042.699999999997</v>
      </c>
      <c r="F39" s="229"/>
      <c r="G39" s="225">
        <f t="shared" si="5"/>
        <v>19.27980669615706</v>
      </c>
      <c r="H39" s="229"/>
      <c r="I39" s="225">
        <f t="shared" si="2"/>
        <v>2544.9344838927318</v>
      </c>
      <c r="J39" s="226">
        <f t="shared" si="6"/>
        <v>656336.67541526584</v>
      </c>
      <c r="K39" s="230"/>
      <c r="L39" s="251"/>
      <c r="M39" s="251"/>
      <c r="N39" s="251"/>
    </row>
    <row r="40" spans="1:14" s="216" customFormat="1" x14ac:dyDescent="0.35">
      <c r="A40" s="224">
        <v>42822</v>
      </c>
      <c r="B40" s="227" t="s">
        <v>308</v>
      </c>
      <c r="C40" s="226"/>
      <c r="D40" s="226">
        <f>4*2.5</f>
        <v>10</v>
      </c>
      <c r="E40" s="228">
        <f>+E39-D40</f>
        <v>34032.699999999997</v>
      </c>
      <c r="F40" s="229"/>
      <c r="G40" s="225">
        <f t="shared" ref="G40:G42" si="7">+J39/E39</f>
        <v>19.27980669615706</v>
      </c>
      <c r="H40" s="229"/>
      <c r="I40" s="225">
        <f t="shared" ref="I40:I42" si="8">+D40*G40</f>
        <v>192.79806696157061</v>
      </c>
      <c r="J40" s="226">
        <f t="shared" ref="J40:J42" si="9">+J39-I40</f>
        <v>656143.87734830426</v>
      </c>
      <c r="K40" s="230"/>
      <c r="L40" s="251"/>
      <c r="M40" s="251"/>
      <c r="N40" s="251"/>
    </row>
    <row r="41" spans="1:14" s="216" customFormat="1" x14ac:dyDescent="0.35">
      <c r="A41" s="224">
        <v>42822</v>
      </c>
      <c r="B41" s="227" t="s">
        <v>309</v>
      </c>
      <c r="C41" s="226"/>
      <c r="D41" s="226">
        <f>21*5.25+21*4.6+9</f>
        <v>215.85</v>
      </c>
      <c r="E41" s="228">
        <f t="shared" ref="E41:E44" si="10">+E40-D41</f>
        <v>33816.85</v>
      </c>
      <c r="F41" s="229"/>
      <c r="G41" s="225">
        <f t="shared" si="7"/>
        <v>19.27980669615706</v>
      </c>
      <c r="H41" s="229"/>
      <c r="I41" s="225">
        <f t="shared" si="8"/>
        <v>4161.5462753655011</v>
      </c>
      <c r="J41" s="226">
        <f t="shared" si="9"/>
        <v>651982.33107293874</v>
      </c>
      <c r="K41" s="230"/>
      <c r="L41" s="251"/>
      <c r="M41" s="251"/>
      <c r="N41" s="251"/>
    </row>
    <row r="42" spans="1:14" s="216" customFormat="1" x14ac:dyDescent="0.35">
      <c r="A42" s="224">
        <v>42822</v>
      </c>
      <c r="B42" s="227" t="s">
        <v>310</v>
      </c>
      <c r="C42" s="226"/>
      <c r="D42" s="226">
        <f>13*5.2</f>
        <v>67.600000000000009</v>
      </c>
      <c r="E42" s="228">
        <f t="shared" si="10"/>
        <v>33749.25</v>
      </c>
      <c r="F42" s="229"/>
      <c r="G42" s="225">
        <f t="shared" si="7"/>
        <v>19.279806696157056</v>
      </c>
      <c r="H42" s="229"/>
      <c r="I42" s="225">
        <f t="shared" si="8"/>
        <v>1303.3149326602172</v>
      </c>
      <c r="J42" s="226">
        <f t="shared" si="9"/>
        <v>650679.01614027855</v>
      </c>
      <c r="K42" s="230"/>
      <c r="L42" s="251"/>
      <c r="M42" s="251"/>
      <c r="N42" s="251"/>
    </row>
    <row r="43" spans="1:14" s="216" customFormat="1" x14ac:dyDescent="0.35">
      <c r="A43" s="224">
        <v>42823</v>
      </c>
      <c r="B43" s="227" t="s">
        <v>311</v>
      </c>
      <c r="C43" s="226"/>
      <c r="D43" s="226">
        <f>3*3</f>
        <v>9</v>
      </c>
      <c r="E43" s="228">
        <f t="shared" si="10"/>
        <v>33740.25</v>
      </c>
      <c r="F43" s="229"/>
      <c r="G43" s="225">
        <f t="shared" si="5"/>
        <v>19.279806696157056</v>
      </c>
      <c r="H43" s="229"/>
      <c r="I43" s="225">
        <f t="shared" si="2"/>
        <v>173.51826026541352</v>
      </c>
      <c r="J43" s="226">
        <f t="shared" si="6"/>
        <v>650505.49788001308</v>
      </c>
      <c r="K43" s="230"/>
      <c r="L43" s="251"/>
      <c r="M43" s="251"/>
      <c r="N43" s="251"/>
    </row>
    <row r="44" spans="1:14" s="216" customFormat="1" x14ac:dyDescent="0.35">
      <c r="A44" s="224">
        <v>42823</v>
      </c>
      <c r="B44" s="227" t="s">
        <v>312</v>
      </c>
      <c r="C44" s="226"/>
      <c r="D44" s="226">
        <f>2*2</f>
        <v>4</v>
      </c>
      <c r="E44" s="228">
        <f t="shared" si="10"/>
        <v>33736.25</v>
      </c>
      <c r="F44" s="229"/>
      <c r="G44" s="225">
        <f t="shared" si="5"/>
        <v>19.279806696157056</v>
      </c>
      <c r="H44" s="229"/>
      <c r="I44" s="225">
        <f t="shared" si="2"/>
        <v>77.119226784628225</v>
      </c>
      <c r="J44" s="226">
        <f t="shared" si="6"/>
        <v>650428.3786532284</v>
      </c>
      <c r="K44" s="230"/>
      <c r="L44" s="251"/>
      <c r="M44" s="251"/>
      <c r="N44" s="251"/>
    </row>
    <row r="45" spans="1:14" s="216" customFormat="1" x14ac:dyDescent="0.35">
      <c r="A45" s="224">
        <v>42823</v>
      </c>
      <c r="B45" s="227" t="s">
        <v>313</v>
      </c>
      <c r="C45" s="226"/>
      <c r="D45" s="226">
        <v>4.5</v>
      </c>
      <c r="E45" s="228">
        <f t="shared" si="4"/>
        <v>33731.75</v>
      </c>
      <c r="F45" s="229"/>
      <c r="G45" s="225">
        <f t="shared" si="5"/>
        <v>19.279806696157053</v>
      </c>
      <c r="H45" s="229"/>
      <c r="I45" s="225">
        <f t="shared" si="2"/>
        <v>86.75913013270673</v>
      </c>
      <c r="J45" s="226">
        <f t="shared" si="6"/>
        <v>650341.61952309567</v>
      </c>
      <c r="K45" s="230"/>
      <c r="L45" s="251"/>
      <c r="M45" s="251"/>
      <c r="N45" s="251"/>
    </row>
    <row r="46" spans="1:14" s="296" customFormat="1" x14ac:dyDescent="0.35">
      <c r="A46" s="293">
        <v>42824</v>
      </c>
      <c r="B46" s="241" t="s">
        <v>314</v>
      </c>
      <c r="C46" s="294"/>
      <c r="D46" s="294">
        <f>20*3.5+7*2.35+2*1.4</f>
        <v>89.25</v>
      </c>
      <c r="E46" s="295">
        <f t="shared" si="4"/>
        <v>33642.5</v>
      </c>
      <c r="F46" s="242"/>
      <c r="G46" s="294">
        <f t="shared" si="5"/>
        <v>19.279806696157053</v>
      </c>
      <c r="H46" s="242"/>
      <c r="I46" s="294">
        <f t="shared" si="2"/>
        <v>1720.722747632017</v>
      </c>
      <c r="J46" s="294">
        <f t="shared" si="6"/>
        <v>648620.8967754636</v>
      </c>
      <c r="K46" s="193"/>
      <c r="L46" s="260">
        <f>SUM(I25:I46)</f>
        <v>22225.761159329857</v>
      </c>
      <c r="M46" s="260">
        <f>SUM(L24:L46)</f>
        <v>22245.040966026016</v>
      </c>
      <c r="N46" s="253">
        <v>42825</v>
      </c>
    </row>
    <row r="47" spans="1:14" s="216" customFormat="1" x14ac:dyDescent="0.35">
      <c r="A47" s="224">
        <v>42826</v>
      </c>
      <c r="B47" s="227" t="s">
        <v>315</v>
      </c>
      <c r="C47" s="226"/>
      <c r="D47" s="226">
        <f>5*0.65</f>
        <v>3.25</v>
      </c>
      <c r="E47" s="228">
        <f t="shared" si="4"/>
        <v>33639.25</v>
      </c>
      <c r="F47" s="229"/>
      <c r="G47" s="225">
        <f t="shared" si="5"/>
        <v>19.279806696157053</v>
      </c>
      <c r="H47" s="229"/>
      <c r="I47" s="225">
        <f t="shared" si="2"/>
        <v>62.659371762510418</v>
      </c>
      <c r="J47" s="226">
        <f t="shared" si="6"/>
        <v>648558.23740370106</v>
      </c>
      <c r="K47" s="230"/>
      <c r="L47" s="251"/>
      <c r="M47" s="251"/>
      <c r="N47" s="251"/>
    </row>
    <row r="48" spans="1:14" s="216" customFormat="1" x14ac:dyDescent="0.35">
      <c r="A48" s="224">
        <v>42828</v>
      </c>
      <c r="B48" s="227" t="s">
        <v>316</v>
      </c>
      <c r="C48" s="226"/>
      <c r="D48" s="226">
        <f>3*5.5+4*2</f>
        <v>24.5</v>
      </c>
      <c r="E48" s="228">
        <f t="shared" si="4"/>
        <v>33614.75</v>
      </c>
      <c r="F48" s="229"/>
      <c r="G48" s="225">
        <f t="shared" si="5"/>
        <v>19.279806696157049</v>
      </c>
      <c r="H48" s="229"/>
      <c r="I48" s="225">
        <f t="shared" si="2"/>
        <v>472.35526405584773</v>
      </c>
      <c r="J48" s="226">
        <f t="shared" si="6"/>
        <v>648085.88213964517</v>
      </c>
      <c r="K48" s="230"/>
      <c r="L48" s="251"/>
      <c r="M48" s="251"/>
      <c r="N48" s="251"/>
    </row>
    <row r="49" spans="1:14" s="216" customFormat="1" x14ac:dyDescent="0.35">
      <c r="A49" s="224">
        <v>42828</v>
      </c>
      <c r="B49" s="227" t="s">
        <v>317</v>
      </c>
      <c r="C49" s="226"/>
      <c r="D49" s="226">
        <f>4*4.4</f>
        <v>17.600000000000001</v>
      </c>
      <c r="E49" s="228">
        <f t="shared" si="4"/>
        <v>33597.15</v>
      </c>
      <c r="F49" s="229"/>
      <c r="G49" s="225">
        <f t="shared" si="5"/>
        <v>19.279806696157049</v>
      </c>
      <c r="H49" s="229"/>
      <c r="I49" s="225">
        <f t="shared" si="2"/>
        <v>339.32459785236409</v>
      </c>
      <c r="J49" s="226">
        <f t="shared" si="6"/>
        <v>647746.55754179275</v>
      </c>
      <c r="K49" s="230"/>
      <c r="L49" s="251"/>
      <c r="M49" s="251"/>
      <c r="N49" s="251"/>
    </row>
    <row r="50" spans="1:14" x14ac:dyDescent="0.35">
      <c r="A50" s="224">
        <v>42830</v>
      </c>
      <c r="B50" s="227" t="s">
        <v>318</v>
      </c>
      <c r="C50" s="226"/>
      <c r="D50" s="226">
        <f>13*4.8</f>
        <v>62.4</v>
      </c>
      <c r="E50" s="228">
        <f t="shared" si="4"/>
        <v>33534.75</v>
      </c>
      <c r="F50" s="229"/>
      <c r="G50" s="225">
        <f t="shared" si="5"/>
        <v>19.279806696157046</v>
      </c>
      <c r="H50" s="229"/>
      <c r="I50" s="225">
        <f t="shared" si="2"/>
        <v>1203.0599378401996</v>
      </c>
      <c r="J50" s="226">
        <f t="shared" si="6"/>
        <v>646543.49760395254</v>
      </c>
      <c r="K50" s="230"/>
      <c r="L50" s="251"/>
      <c r="M50" s="251"/>
      <c r="N50" s="251"/>
    </row>
    <row r="51" spans="1:14" x14ac:dyDescent="0.35">
      <c r="A51" s="224">
        <v>42830</v>
      </c>
      <c r="B51" s="227" t="s">
        <v>319</v>
      </c>
      <c r="C51" s="226"/>
      <c r="D51" s="226">
        <f>3*3.05</f>
        <v>9.1499999999999986</v>
      </c>
      <c r="E51" s="228">
        <f t="shared" si="4"/>
        <v>33525.599999999999</v>
      </c>
      <c r="F51" s="229"/>
      <c r="G51" s="225">
        <f t="shared" si="5"/>
        <v>19.279806696157046</v>
      </c>
      <c r="H51" s="229"/>
      <c r="I51" s="225">
        <f t="shared" si="2"/>
        <v>176.41023126983694</v>
      </c>
      <c r="J51" s="226">
        <f t="shared" si="6"/>
        <v>646367.08737268276</v>
      </c>
      <c r="K51" s="230"/>
      <c r="L51" s="251"/>
      <c r="M51" s="251"/>
      <c r="N51" s="251"/>
    </row>
    <row r="52" spans="1:14" x14ac:dyDescent="0.35">
      <c r="A52" s="224">
        <v>42836</v>
      </c>
      <c r="B52" s="227" t="s">
        <v>320</v>
      </c>
      <c r="C52" s="226"/>
      <c r="D52" s="226">
        <f>4*2.4</f>
        <v>9.6</v>
      </c>
      <c r="E52" s="228">
        <f t="shared" si="4"/>
        <v>33516</v>
      </c>
      <c r="F52" s="229"/>
      <c r="G52" s="225">
        <f t="shared" si="5"/>
        <v>19.279806696157049</v>
      </c>
      <c r="H52" s="229"/>
      <c r="I52" s="225">
        <f t="shared" si="2"/>
        <v>185.08614428310767</v>
      </c>
      <c r="J52" s="226">
        <f t="shared" si="6"/>
        <v>646182.00122839969</v>
      </c>
      <c r="K52" s="230"/>
      <c r="L52" s="251"/>
      <c r="M52" s="251"/>
      <c r="N52" s="251"/>
    </row>
    <row r="53" spans="1:14" x14ac:dyDescent="0.35">
      <c r="A53" s="224">
        <v>42837</v>
      </c>
      <c r="B53" s="227" t="s">
        <v>321</v>
      </c>
      <c r="C53" s="226"/>
      <c r="D53" s="226">
        <v>4</v>
      </c>
      <c r="E53" s="228">
        <f t="shared" si="4"/>
        <v>33512</v>
      </c>
      <c r="F53" s="229"/>
      <c r="G53" s="225">
        <f t="shared" si="5"/>
        <v>19.279806696157049</v>
      </c>
      <c r="H53" s="229"/>
      <c r="I53" s="225">
        <f t="shared" si="2"/>
        <v>77.119226784628196</v>
      </c>
      <c r="J53" s="226">
        <f t="shared" si="6"/>
        <v>646104.88200161501</v>
      </c>
      <c r="K53" s="230"/>
      <c r="L53" s="251"/>
      <c r="M53" s="251"/>
      <c r="N53" s="251"/>
    </row>
    <row r="54" spans="1:14" x14ac:dyDescent="0.35">
      <c r="A54" s="224">
        <v>42838</v>
      </c>
      <c r="B54" s="227" t="s">
        <v>322</v>
      </c>
      <c r="C54" s="226"/>
      <c r="D54" s="226">
        <f>3*2.3</f>
        <v>6.8999999999999995</v>
      </c>
      <c r="E54" s="228">
        <f t="shared" si="4"/>
        <v>33505.1</v>
      </c>
      <c r="F54" s="229"/>
      <c r="G54" s="225">
        <f t="shared" si="5"/>
        <v>19.279806696157049</v>
      </c>
      <c r="H54" s="229"/>
      <c r="I54" s="225">
        <f t="shared" si="2"/>
        <v>133.03066620348363</v>
      </c>
      <c r="J54" s="226">
        <f t="shared" si="6"/>
        <v>645971.85133541154</v>
      </c>
      <c r="K54" s="230"/>
      <c r="L54" s="251"/>
      <c r="M54" s="251"/>
      <c r="N54" s="251"/>
    </row>
    <row r="55" spans="1:14" x14ac:dyDescent="0.35">
      <c r="A55" s="224">
        <v>42840</v>
      </c>
      <c r="B55" s="227" t="s">
        <v>323</v>
      </c>
      <c r="C55" s="226"/>
      <c r="D55" s="226">
        <f>6*5.5</f>
        <v>33</v>
      </c>
      <c r="E55" s="228">
        <f t="shared" si="4"/>
        <v>33472.1</v>
      </c>
      <c r="F55" s="229"/>
      <c r="G55" s="225">
        <f t="shared" si="5"/>
        <v>19.279806696157049</v>
      </c>
      <c r="H55" s="229"/>
      <c r="I55" s="225">
        <f t="shared" si="2"/>
        <v>636.23362097318261</v>
      </c>
      <c r="J55" s="226">
        <f t="shared" si="6"/>
        <v>645335.61771443835</v>
      </c>
      <c r="K55" s="230"/>
      <c r="L55" s="251"/>
      <c r="M55" s="251"/>
      <c r="N55" s="251"/>
    </row>
    <row r="56" spans="1:14" x14ac:dyDescent="0.35">
      <c r="A56" s="224">
        <v>42840</v>
      </c>
      <c r="B56" s="227" t="s">
        <v>324</v>
      </c>
      <c r="C56" s="226"/>
      <c r="D56" s="226">
        <f>9*3.3</f>
        <v>29.7</v>
      </c>
      <c r="E56" s="228">
        <f t="shared" si="4"/>
        <v>33442.400000000001</v>
      </c>
      <c r="F56" s="229"/>
      <c r="G56" s="225">
        <f t="shared" si="5"/>
        <v>19.279806696157049</v>
      </c>
      <c r="H56" s="229"/>
      <c r="I56" s="225">
        <f t="shared" si="2"/>
        <v>572.61025887586436</v>
      </c>
      <c r="J56" s="226">
        <f t="shared" si="6"/>
        <v>644763.00745556247</v>
      </c>
      <c r="K56" s="230"/>
      <c r="L56" s="251"/>
      <c r="M56" s="251"/>
      <c r="N56" s="251"/>
    </row>
    <row r="57" spans="1:14" x14ac:dyDescent="0.35">
      <c r="A57" s="224">
        <v>42840</v>
      </c>
      <c r="B57" s="227" t="s">
        <v>325</v>
      </c>
      <c r="C57" s="226"/>
      <c r="D57" s="226">
        <f>5*1.55</f>
        <v>7.75</v>
      </c>
      <c r="E57" s="228">
        <f t="shared" si="4"/>
        <v>33434.65</v>
      </c>
      <c r="F57" s="229"/>
      <c r="G57" s="225">
        <f t="shared" si="5"/>
        <v>19.279806696157049</v>
      </c>
      <c r="H57" s="229"/>
      <c r="I57" s="225">
        <f t="shared" si="2"/>
        <v>149.41850189521713</v>
      </c>
      <c r="J57" s="226">
        <f t="shared" si="6"/>
        <v>644613.5889536672</v>
      </c>
      <c r="K57" s="230"/>
      <c r="L57" s="251"/>
      <c r="M57" s="251"/>
      <c r="N57" s="251"/>
    </row>
    <row r="58" spans="1:14" s="296" customFormat="1" x14ac:dyDescent="0.35">
      <c r="A58" s="293">
        <v>42840</v>
      </c>
      <c r="B58" s="241" t="s">
        <v>326</v>
      </c>
      <c r="C58" s="294"/>
      <c r="D58" s="294">
        <f>5*2.4</f>
        <v>12</v>
      </c>
      <c r="E58" s="295">
        <f t="shared" si="4"/>
        <v>33422.65</v>
      </c>
      <c r="F58" s="242"/>
      <c r="G58" s="294">
        <f t="shared" si="5"/>
        <v>19.279806696157046</v>
      </c>
      <c r="H58" s="242"/>
      <c r="I58" s="294">
        <f t="shared" si="2"/>
        <v>231.35768035388455</v>
      </c>
      <c r="J58" s="294">
        <f t="shared" si="6"/>
        <v>644382.23127331329</v>
      </c>
      <c r="K58" s="193"/>
      <c r="L58" s="260">
        <f>SUM(I47:I58)</f>
        <v>4238.6655021501274</v>
      </c>
      <c r="M58" s="200"/>
      <c r="N58" s="253">
        <v>42840</v>
      </c>
    </row>
    <row r="59" spans="1:14" x14ac:dyDescent="0.35">
      <c r="A59" s="224">
        <v>42842</v>
      </c>
      <c r="B59" s="227" t="s">
        <v>327</v>
      </c>
      <c r="C59" s="226"/>
      <c r="D59" s="226">
        <f>5*3.6</f>
        <v>18</v>
      </c>
      <c r="E59" s="228">
        <f t="shared" si="4"/>
        <v>33404.65</v>
      </c>
      <c r="F59" s="229"/>
      <c r="G59" s="225">
        <f t="shared" si="5"/>
        <v>19.279806696157046</v>
      </c>
      <c r="H59" s="229"/>
      <c r="I59" s="225">
        <f t="shared" si="2"/>
        <v>347.03652053082681</v>
      </c>
      <c r="J59" s="226">
        <f t="shared" si="6"/>
        <v>644035.19475278247</v>
      </c>
      <c r="K59" s="230"/>
      <c r="L59" s="251"/>
      <c r="M59" s="251"/>
      <c r="N59" s="251"/>
    </row>
    <row r="60" spans="1:14" x14ac:dyDescent="0.35">
      <c r="A60" s="224">
        <v>42842</v>
      </c>
      <c r="B60" s="227" t="s">
        <v>328</v>
      </c>
      <c r="C60" s="226"/>
      <c r="D60" s="226">
        <f>36*6.1+18*4.3</f>
        <v>297</v>
      </c>
      <c r="E60" s="228">
        <f t="shared" si="4"/>
        <v>33107.65</v>
      </c>
      <c r="F60" s="229"/>
      <c r="G60" s="225">
        <f t="shared" si="5"/>
        <v>19.279806696157046</v>
      </c>
      <c r="H60" s="229"/>
      <c r="I60" s="225">
        <f t="shared" si="2"/>
        <v>5726.1025887586429</v>
      </c>
      <c r="J60" s="226">
        <f t="shared" si="6"/>
        <v>638309.09216402378</v>
      </c>
      <c r="K60" s="230"/>
      <c r="L60" s="251"/>
      <c r="M60" s="251"/>
      <c r="N60" s="251"/>
    </row>
    <row r="61" spans="1:14" x14ac:dyDescent="0.35">
      <c r="A61" s="224">
        <v>42842</v>
      </c>
      <c r="B61" s="227" t="s">
        <v>329</v>
      </c>
      <c r="C61" s="226"/>
      <c r="D61" s="226">
        <f>5*7</f>
        <v>35</v>
      </c>
      <c r="E61" s="228">
        <f t="shared" si="4"/>
        <v>33072.65</v>
      </c>
      <c r="F61" s="229"/>
      <c r="G61" s="225">
        <f t="shared" si="5"/>
        <v>19.279806696157046</v>
      </c>
      <c r="H61" s="229"/>
      <c r="I61" s="225">
        <f t="shared" si="2"/>
        <v>674.79323436549657</v>
      </c>
      <c r="J61" s="226">
        <f t="shared" si="6"/>
        <v>637634.29892965825</v>
      </c>
      <c r="K61" s="230"/>
      <c r="L61" s="251"/>
      <c r="M61" s="251"/>
      <c r="N61" s="251"/>
    </row>
    <row r="62" spans="1:14" x14ac:dyDescent="0.35">
      <c r="A62" s="224">
        <v>42843</v>
      </c>
      <c r="B62" s="227" t="s">
        <v>330</v>
      </c>
      <c r="C62" s="226"/>
      <c r="D62" s="226">
        <f>2*4.77+2*4.6+2*4.5+2*4.4+4.3+4.2+4.04</f>
        <v>49.08</v>
      </c>
      <c r="E62" s="228">
        <f t="shared" si="4"/>
        <v>33023.57</v>
      </c>
      <c r="F62" s="229"/>
      <c r="G62" s="225">
        <f t="shared" si="5"/>
        <v>19.279806696157042</v>
      </c>
      <c r="H62" s="229"/>
      <c r="I62" s="225">
        <f t="shared" si="2"/>
        <v>946.25291264738757</v>
      </c>
      <c r="J62" s="226">
        <f t="shared" si="6"/>
        <v>636688.04601701081</v>
      </c>
      <c r="K62" s="230"/>
      <c r="L62" s="251"/>
      <c r="M62" s="251"/>
      <c r="N62" s="251"/>
    </row>
    <row r="63" spans="1:14" x14ac:dyDescent="0.35">
      <c r="A63" s="224">
        <v>42844</v>
      </c>
      <c r="B63" s="227" t="s">
        <v>331</v>
      </c>
      <c r="C63" s="226"/>
      <c r="D63" s="226">
        <f>28*1.76+12*6+5*4.1+4*2.91+13*1.77</f>
        <v>176.43</v>
      </c>
      <c r="E63" s="228">
        <f t="shared" si="4"/>
        <v>32847.14</v>
      </c>
      <c r="F63" s="229"/>
      <c r="G63" s="225">
        <f t="shared" si="5"/>
        <v>19.279806696157042</v>
      </c>
      <c r="H63" s="229"/>
      <c r="I63" s="225">
        <f t="shared" si="2"/>
        <v>3401.536295402987</v>
      </c>
      <c r="J63" s="226">
        <f t="shared" si="6"/>
        <v>633286.50972160778</v>
      </c>
      <c r="K63" s="230"/>
      <c r="L63" s="251"/>
      <c r="M63" s="251"/>
      <c r="N63" s="251"/>
    </row>
    <row r="64" spans="1:14" x14ac:dyDescent="0.35">
      <c r="A64" s="224">
        <v>42844</v>
      </c>
      <c r="B64" s="227" t="s">
        <v>332</v>
      </c>
      <c r="C64" s="226"/>
      <c r="D64" s="226">
        <f>7*3.5</f>
        <v>24.5</v>
      </c>
      <c r="E64" s="228">
        <f t="shared" si="4"/>
        <v>32822.639999999999</v>
      </c>
      <c r="F64" s="229"/>
      <c r="G64" s="225">
        <f t="shared" si="5"/>
        <v>19.279806696157042</v>
      </c>
      <c r="H64" s="229"/>
      <c r="I64" s="225">
        <f t="shared" si="2"/>
        <v>472.35526405584756</v>
      </c>
      <c r="J64" s="226">
        <f t="shared" si="6"/>
        <v>632814.15445755189</v>
      </c>
      <c r="K64" s="230"/>
      <c r="L64" s="251"/>
      <c r="M64" s="251"/>
      <c r="N64" s="251"/>
    </row>
    <row r="65" spans="1:14" x14ac:dyDescent="0.35">
      <c r="A65" s="224">
        <v>42845</v>
      </c>
      <c r="B65" s="227" t="s">
        <v>333</v>
      </c>
      <c r="C65" s="226"/>
      <c r="D65" s="226">
        <f>10*2.7</f>
        <v>27</v>
      </c>
      <c r="E65" s="228">
        <f t="shared" si="4"/>
        <v>32795.64</v>
      </c>
      <c r="F65" s="229"/>
      <c r="G65" s="225">
        <f t="shared" si="5"/>
        <v>19.279806696157038</v>
      </c>
      <c r="H65" s="229"/>
      <c r="I65" s="225">
        <f t="shared" si="2"/>
        <v>520.55478079624004</v>
      </c>
      <c r="J65" s="226">
        <f t="shared" si="6"/>
        <v>632293.59967675561</v>
      </c>
      <c r="K65" s="230"/>
      <c r="L65" s="251"/>
      <c r="M65" s="251"/>
      <c r="N65" s="251"/>
    </row>
    <row r="66" spans="1:14" x14ac:dyDescent="0.35">
      <c r="A66" s="224">
        <v>42845</v>
      </c>
      <c r="B66" s="227" t="s">
        <v>334</v>
      </c>
      <c r="C66" s="226"/>
      <c r="D66" s="226">
        <f>3*1.2</f>
        <v>3.5999999999999996</v>
      </c>
      <c r="E66" s="228">
        <f t="shared" si="4"/>
        <v>32792.04</v>
      </c>
      <c r="F66" s="229"/>
      <c r="G66" s="225">
        <f t="shared" si="5"/>
        <v>19.279806696157038</v>
      </c>
      <c r="H66" s="229"/>
      <c r="I66" s="225">
        <f t="shared" si="2"/>
        <v>69.407304106165327</v>
      </c>
      <c r="J66" s="226">
        <f t="shared" si="6"/>
        <v>632224.19237264944</v>
      </c>
      <c r="K66" s="230"/>
      <c r="L66" s="251"/>
      <c r="M66" s="251"/>
      <c r="N66" s="251"/>
    </row>
    <row r="67" spans="1:14" x14ac:dyDescent="0.35">
      <c r="A67" s="224">
        <v>42845</v>
      </c>
      <c r="B67" s="227" t="s">
        <v>335</v>
      </c>
      <c r="C67" s="226"/>
      <c r="D67" s="226">
        <f>0.64</f>
        <v>0.64</v>
      </c>
      <c r="E67" s="228">
        <f t="shared" si="4"/>
        <v>32791.4</v>
      </c>
      <c r="F67" s="229"/>
      <c r="G67" s="225">
        <f t="shared" si="5"/>
        <v>19.279806696157038</v>
      </c>
      <c r="H67" s="229"/>
      <c r="I67" s="225">
        <f t="shared" si="2"/>
        <v>12.339076285540505</v>
      </c>
      <c r="J67" s="226">
        <f t="shared" si="6"/>
        <v>632211.85329636396</v>
      </c>
      <c r="K67" s="230"/>
      <c r="L67" s="251"/>
      <c r="M67" s="251"/>
      <c r="N67" s="251"/>
    </row>
    <row r="68" spans="1:14" x14ac:dyDescent="0.35">
      <c r="A68" s="224">
        <v>42845</v>
      </c>
      <c r="B68" s="227" t="s">
        <v>336</v>
      </c>
      <c r="C68" s="226"/>
      <c r="D68" s="226">
        <v>0.4</v>
      </c>
      <c r="E68" s="228">
        <f t="shared" si="4"/>
        <v>32791</v>
      </c>
      <c r="F68" s="229"/>
      <c r="G68" s="225">
        <f t="shared" si="5"/>
        <v>19.279806696157038</v>
      </c>
      <c r="H68" s="229"/>
      <c r="I68" s="225">
        <f t="shared" si="2"/>
        <v>7.7119226784628161</v>
      </c>
      <c r="J68" s="226">
        <f t="shared" si="6"/>
        <v>632204.14137368544</v>
      </c>
      <c r="K68" s="230"/>
      <c r="L68" s="251"/>
      <c r="M68" s="251"/>
      <c r="N68" s="251"/>
    </row>
    <row r="69" spans="1:14" x14ac:dyDescent="0.35">
      <c r="A69" s="224">
        <v>42845</v>
      </c>
      <c r="B69" s="227" t="s">
        <v>337</v>
      </c>
      <c r="C69" s="226"/>
      <c r="D69" s="226">
        <f>9*7</f>
        <v>63</v>
      </c>
      <c r="E69" s="228">
        <f t="shared" si="4"/>
        <v>32728</v>
      </c>
      <c r="F69" s="229"/>
      <c r="G69" s="225">
        <f t="shared" si="5"/>
        <v>19.279806696157038</v>
      </c>
      <c r="H69" s="229"/>
      <c r="I69" s="225">
        <f t="shared" si="2"/>
        <v>1214.6278218578934</v>
      </c>
      <c r="J69" s="226">
        <f t="shared" si="6"/>
        <v>630989.51355182752</v>
      </c>
      <c r="K69" s="230"/>
      <c r="L69" s="251"/>
      <c r="M69" s="251"/>
      <c r="N69" s="251"/>
    </row>
    <row r="70" spans="1:14" x14ac:dyDescent="0.35">
      <c r="A70" s="224">
        <v>42846</v>
      </c>
      <c r="B70" s="227" t="s">
        <v>338</v>
      </c>
      <c r="C70" s="226"/>
      <c r="D70" s="226">
        <f>9*4.2</f>
        <v>37.800000000000004</v>
      </c>
      <c r="E70" s="228">
        <f t="shared" si="4"/>
        <v>32690.2</v>
      </c>
      <c r="F70" s="229"/>
      <c r="G70" s="225">
        <f t="shared" si="5"/>
        <v>19.279806696157038</v>
      </c>
      <c r="H70" s="229"/>
      <c r="I70" s="225">
        <f t="shared" si="2"/>
        <v>728.77669311473619</v>
      </c>
      <c r="J70" s="226">
        <f t="shared" si="6"/>
        <v>630260.73685871274</v>
      </c>
      <c r="K70" s="230"/>
      <c r="L70" s="251"/>
      <c r="M70" s="251"/>
      <c r="N70" s="251"/>
    </row>
    <row r="71" spans="1:14" x14ac:dyDescent="0.35">
      <c r="A71" s="224">
        <v>42846</v>
      </c>
      <c r="B71" s="227" t="s">
        <v>339</v>
      </c>
      <c r="C71" s="226"/>
      <c r="D71" s="226">
        <f>2*3.7</f>
        <v>7.4</v>
      </c>
      <c r="E71" s="228">
        <f t="shared" si="4"/>
        <v>32682.799999999999</v>
      </c>
      <c r="F71" s="229"/>
      <c r="G71" s="225">
        <f t="shared" si="5"/>
        <v>19.279806696157035</v>
      </c>
      <c r="H71" s="229"/>
      <c r="I71" s="225">
        <f t="shared" si="2"/>
        <v>142.67056955156207</v>
      </c>
      <c r="J71" s="226">
        <f t="shared" si="6"/>
        <v>630118.06628916122</v>
      </c>
      <c r="K71" s="230"/>
      <c r="L71" s="251"/>
      <c r="M71" s="251"/>
      <c r="N71" s="251"/>
    </row>
    <row r="72" spans="1:14" x14ac:dyDescent="0.35">
      <c r="A72" s="224">
        <v>42847</v>
      </c>
      <c r="B72" s="227" t="s">
        <v>340</v>
      </c>
      <c r="C72" s="226"/>
      <c r="D72" s="226">
        <f>7*5.25</f>
        <v>36.75</v>
      </c>
      <c r="E72" s="228">
        <f t="shared" si="4"/>
        <v>32646.05</v>
      </c>
      <c r="F72" s="229"/>
      <c r="G72" s="225">
        <f t="shared" si="5"/>
        <v>19.279806696157038</v>
      </c>
      <c r="H72" s="229"/>
      <c r="I72" s="225">
        <f t="shared" si="2"/>
        <v>708.53289608377122</v>
      </c>
      <c r="J72" s="226">
        <f t="shared" si="6"/>
        <v>629409.53339307744</v>
      </c>
      <c r="K72" s="230"/>
      <c r="L72" s="251"/>
      <c r="M72" s="251"/>
      <c r="N72" s="251"/>
    </row>
    <row r="73" spans="1:14" x14ac:dyDescent="0.35">
      <c r="A73" s="224">
        <v>42849</v>
      </c>
      <c r="B73" s="227" t="s">
        <v>341</v>
      </c>
      <c r="C73" s="226"/>
      <c r="D73" s="226">
        <f>27*3.05</f>
        <v>82.35</v>
      </c>
      <c r="E73" s="228">
        <f t="shared" si="4"/>
        <v>32563.7</v>
      </c>
      <c r="F73" s="229"/>
      <c r="G73" s="225">
        <f t="shared" si="5"/>
        <v>19.279806696157038</v>
      </c>
      <c r="H73" s="229"/>
      <c r="I73" s="225">
        <f t="shared" si="2"/>
        <v>1587.692081428532</v>
      </c>
      <c r="J73" s="226">
        <f t="shared" si="6"/>
        <v>627821.84131164895</v>
      </c>
      <c r="K73" s="230"/>
      <c r="L73" s="251"/>
      <c r="M73" s="251"/>
      <c r="N73" s="251"/>
    </row>
    <row r="74" spans="1:14" x14ac:dyDescent="0.35">
      <c r="A74" s="224">
        <v>42852</v>
      </c>
      <c r="B74" s="227" t="s">
        <v>342</v>
      </c>
      <c r="C74" s="226"/>
      <c r="D74" s="226">
        <f>3*4.5+5</f>
        <v>18.5</v>
      </c>
      <c r="E74" s="228">
        <f t="shared" si="4"/>
        <v>32545.200000000001</v>
      </c>
      <c r="F74" s="229"/>
      <c r="G74" s="225">
        <f t="shared" si="5"/>
        <v>19.279806696157038</v>
      </c>
      <c r="H74" s="229"/>
      <c r="I74" s="225">
        <f t="shared" si="2"/>
        <v>356.67642387890521</v>
      </c>
      <c r="J74" s="226">
        <f t="shared" si="6"/>
        <v>627465.16488777008</v>
      </c>
      <c r="K74" s="230"/>
      <c r="L74" s="251"/>
      <c r="M74" s="251"/>
      <c r="N74" s="251"/>
    </row>
    <row r="75" spans="1:14" s="296" customFormat="1" x14ac:dyDescent="0.35">
      <c r="A75" s="293">
        <v>42852</v>
      </c>
      <c r="B75" s="241" t="s">
        <v>343</v>
      </c>
      <c r="C75" s="294"/>
      <c r="D75" s="294">
        <f>7*5</f>
        <v>35</v>
      </c>
      <c r="E75" s="295">
        <f t="shared" si="4"/>
        <v>32510.2</v>
      </c>
      <c r="F75" s="242"/>
      <c r="G75" s="294">
        <f t="shared" si="5"/>
        <v>19.279806696157038</v>
      </c>
      <c r="H75" s="242"/>
      <c r="I75" s="294">
        <f t="shared" si="2"/>
        <v>674.79323436549635</v>
      </c>
      <c r="J75" s="294">
        <f t="shared" si="6"/>
        <v>626790.37165340455</v>
      </c>
      <c r="K75" s="193"/>
      <c r="L75" s="260">
        <f>SUM(I59:I75)</f>
        <v>17591.859619908493</v>
      </c>
      <c r="M75" s="260">
        <f>SUM(L58:L75)</f>
        <v>21830.525122058621</v>
      </c>
      <c r="N75" s="253">
        <v>42855</v>
      </c>
    </row>
    <row r="76" spans="1:14" s="216" customFormat="1" x14ac:dyDescent="0.35">
      <c r="A76" s="224">
        <v>42857</v>
      </c>
      <c r="B76" s="227" t="s">
        <v>344</v>
      </c>
      <c r="C76" s="226"/>
      <c r="D76" s="226">
        <f>5*1.2</f>
        <v>6</v>
      </c>
      <c r="E76" s="228">
        <f t="shared" ref="E76:E106" si="11">+E75-D76</f>
        <v>32504.2</v>
      </c>
      <c r="F76" s="229"/>
      <c r="G76" s="225">
        <f t="shared" ref="G76:G106" si="12">+J75/E75</f>
        <v>19.279806696157038</v>
      </c>
      <c r="H76" s="229"/>
      <c r="I76" s="225">
        <f t="shared" ref="I76:I106" si="13">+D76*G76</f>
        <v>115.67884017694223</v>
      </c>
      <c r="J76" s="226">
        <f t="shared" ref="J76:J106" si="14">+J75-I76</f>
        <v>626674.69281322765</v>
      </c>
      <c r="K76" s="230"/>
      <c r="L76" s="251"/>
      <c r="M76" s="251"/>
      <c r="N76" s="251"/>
    </row>
    <row r="77" spans="1:14" s="216" customFormat="1" x14ac:dyDescent="0.35">
      <c r="A77" s="224">
        <v>42857</v>
      </c>
      <c r="B77" s="227" t="s">
        <v>345</v>
      </c>
      <c r="C77" s="226"/>
      <c r="D77" s="226">
        <f>6*4.65+4*4.4</f>
        <v>45.5</v>
      </c>
      <c r="E77" s="228">
        <f t="shared" si="11"/>
        <v>32458.7</v>
      </c>
      <c r="F77" s="229"/>
      <c r="G77" s="225">
        <f t="shared" si="12"/>
        <v>19.279806696157038</v>
      </c>
      <c r="H77" s="229"/>
      <c r="I77" s="225">
        <f t="shared" si="13"/>
        <v>877.23120467514525</v>
      </c>
      <c r="J77" s="226">
        <f t="shared" si="14"/>
        <v>625797.46160855249</v>
      </c>
      <c r="K77" s="230"/>
      <c r="L77" s="251"/>
      <c r="M77" s="251"/>
      <c r="N77" s="251"/>
    </row>
    <row r="78" spans="1:14" s="216" customFormat="1" x14ac:dyDescent="0.35">
      <c r="A78" s="224">
        <v>42857</v>
      </c>
      <c r="B78" s="227" t="s">
        <v>346</v>
      </c>
      <c r="C78" s="226"/>
      <c r="D78" s="226">
        <f>3*4.4</f>
        <v>13.200000000000001</v>
      </c>
      <c r="E78" s="228">
        <f t="shared" si="11"/>
        <v>32445.5</v>
      </c>
      <c r="F78" s="229"/>
      <c r="G78" s="225">
        <f t="shared" si="12"/>
        <v>19.279806696157038</v>
      </c>
      <c r="H78" s="229"/>
      <c r="I78" s="225">
        <f t="shared" si="13"/>
        <v>254.49344838927294</v>
      </c>
      <c r="J78" s="226">
        <f t="shared" si="14"/>
        <v>625542.96816016326</v>
      </c>
      <c r="K78" s="230"/>
      <c r="L78" s="251"/>
      <c r="M78" s="251"/>
      <c r="N78" s="251"/>
    </row>
    <row r="79" spans="1:14" s="216" customFormat="1" x14ac:dyDescent="0.35">
      <c r="A79" s="224">
        <v>42857</v>
      </c>
      <c r="B79" s="227" t="s">
        <v>347</v>
      </c>
      <c r="C79" s="226"/>
      <c r="D79" s="226">
        <f>11*5.65</f>
        <v>62.150000000000006</v>
      </c>
      <c r="E79" s="228">
        <f t="shared" si="11"/>
        <v>32383.35</v>
      </c>
      <c r="F79" s="229"/>
      <c r="G79" s="225">
        <f t="shared" si="12"/>
        <v>19.279806696157042</v>
      </c>
      <c r="H79" s="229"/>
      <c r="I79" s="225">
        <f t="shared" si="13"/>
        <v>1198.2399861661602</v>
      </c>
      <c r="J79" s="226">
        <f t="shared" si="14"/>
        <v>624344.72817399714</v>
      </c>
      <c r="K79" s="230"/>
      <c r="L79" s="251"/>
      <c r="M79" s="251"/>
      <c r="N79" s="251"/>
    </row>
    <row r="80" spans="1:14" s="216" customFormat="1" x14ac:dyDescent="0.35">
      <c r="A80" s="224">
        <v>42861</v>
      </c>
      <c r="B80" s="227" t="s">
        <v>348</v>
      </c>
      <c r="C80" s="226"/>
      <c r="D80" s="226">
        <v>7</v>
      </c>
      <c r="E80" s="228">
        <f t="shared" si="11"/>
        <v>32376.35</v>
      </c>
      <c r="F80" s="229"/>
      <c r="G80" s="225">
        <f t="shared" si="12"/>
        <v>19.279806696157042</v>
      </c>
      <c r="H80" s="229"/>
      <c r="I80" s="225">
        <f t="shared" si="13"/>
        <v>134.9586468730993</v>
      </c>
      <c r="J80" s="226">
        <f t="shared" si="14"/>
        <v>624209.76952712401</v>
      </c>
      <c r="K80" s="230"/>
      <c r="L80" s="251"/>
      <c r="M80" s="251"/>
      <c r="N80" s="251"/>
    </row>
    <row r="81" spans="1:14" s="216" customFormat="1" x14ac:dyDescent="0.35">
      <c r="A81" s="224">
        <v>42861</v>
      </c>
      <c r="B81" s="227" t="s">
        <v>349</v>
      </c>
      <c r="C81" s="226"/>
      <c r="D81" s="226">
        <f>11*4.95</f>
        <v>54.45</v>
      </c>
      <c r="E81" s="228">
        <f t="shared" si="11"/>
        <v>32321.899999999998</v>
      </c>
      <c r="F81" s="229"/>
      <c r="G81" s="225">
        <f t="shared" si="12"/>
        <v>19.279806696157042</v>
      </c>
      <c r="H81" s="229"/>
      <c r="I81" s="225">
        <f t="shared" si="13"/>
        <v>1049.785474605751</v>
      </c>
      <c r="J81" s="226">
        <f t="shared" si="14"/>
        <v>623159.98405251827</v>
      </c>
      <c r="K81" s="230"/>
      <c r="L81" s="251"/>
      <c r="M81" s="251"/>
      <c r="N81" s="251"/>
    </row>
    <row r="82" spans="1:14" s="216" customFormat="1" x14ac:dyDescent="0.35">
      <c r="A82" s="224">
        <v>42861</v>
      </c>
      <c r="B82" s="227" t="s">
        <v>350</v>
      </c>
      <c r="C82" s="226"/>
      <c r="D82" s="226">
        <f>8*2.5</f>
        <v>20</v>
      </c>
      <c r="E82" s="228">
        <f t="shared" si="11"/>
        <v>32301.899999999998</v>
      </c>
      <c r="F82" s="229"/>
      <c r="G82" s="225">
        <f t="shared" si="12"/>
        <v>19.279806696157042</v>
      </c>
      <c r="H82" s="229"/>
      <c r="I82" s="225">
        <f t="shared" si="13"/>
        <v>385.59613392314083</v>
      </c>
      <c r="J82" s="226">
        <f t="shared" si="14"/>
        <v>622774.38791859511</v>
      </c>
      <c r="K82" s="230"/>
      <c r="L82" s="251"/>
      <c r="M82" s="251"/>
      <c r="N82" s="251"/>
    </row>
    <row r="83" spans="1:14" s="216" customFormat="1" x14ac:dyDescent="0.35">
      <c r="A83" s="224">
        <v>42863</v>
      </c>
      <c r="B83" s="227" t="s">
        <v>351</v>
      </c>
      <c r="C83" s="226"/>
      <c r="D83" s="226">
        <f>2*1.75+2*1.45</f>
        <v>6.4</v>
      </c>
      <c r="E83" s="228">
        <f t="shared" si="11"/>
        <v>32295.499999999996</v>
      </c>
      <c r="F83" s="229"/>
      <c r="G83" s="225">
        <f t="shared" si="12"/>
        <v>19.279806696157042</v>
      </c>
      <c r="H83" s="229"/>
      <c r="I83" s="225">
        <f t="shared" si="13"/>
        <v>123.39076285540507</v>
      </c>
      <c r="J83" s="226">
        <f t="shared" si="14"/>
        <v>622650.99715573969</v>
      </c>
      <c r="K83" s="230"/>
      <c r="L83" s="251"/>
      <c r="M83" s="251"/>
      <c r="N83" s="251"/>
    </row>
    <row r="84" spans="1:14" s="216" customFormat="1" x14ac:dyDescent="0.35">
      <c r="A84" s="224">
        <v>42864</v>
      </c>
      <c r="B84" s="227" t="s">
        <v>352</v>
      </c>
      <c r="C84" s="226"/>
      <c r="D84" s="226">
        <f>3</f>
        <v>3</v>
      </c>
      <c r="E84" s="228">
        <f t="shared" si="11"/>
        <v>32292.499999999996</v>
      </c>
      <c r="F84" s="229"/>
      <c r="G84" s="225">
        <f t="shared" si="12"/>
        <v>19.279806696157042</v>
      </c>
      <c r="H84" s="229"/>
      <c r="I84" s="225">
        <f t="shared" si="13"/>
        <v>57.83942008847113</v>
      </c>
      <c r="J84" s="226">
        <f t="shared" si="14"/>
        <v>622593.15773565124</v>
      </c>
      <c r="K84" s="230"/>
      <c r="L84" s="251"/>
      <c r="M84" s="251"/>
      <c r="N84" s="251"/>
    </row>
    <row r="85" spans="1:14" s="216" customFormat="1" x14ac:dyDescent="0.35">
      <c r="A85" s="224">
        <v>42864</v>
      </c>
      <c r="B85" s="227" t="s">
        <v>353</v>
      </c>
      <c r="C85" s="226"/>
      <c r="D85" s="226">
        <f>31*4.5+11*2.5</f>
        <v>167</v>
      </c>
      <c r="E85" s="228">
        <f t="shared" si="11"/>
        <v>32125.499999999996</v>
      </c>
      <c r="F85" s="229"/>
      <c r="G85" s="225">
        <f t="shared" si="12"/>
        <v>19.279806696157042</v>
      </c>
      <c r="H85" s="229"/>
      <c r="I85" s="225">
        <f t="shared" si="13"/>
        <v>3219.7277182582261</v>
      </c>
      <c r="J85" s="226">
        <f t="shared" si="14"/>
        <v>619373.43001739297</v>
      </c>
      <c r="K85" s="230"/>
      <c r="L85" s="251"/>
      <c r="M85" s="251"/>
      <c r="N85" s="251"/>
    </row>
    <row r="86" spans="1:14" s="216" customFormat="1" x14ac:dyDescent="0.35">
      <c r="A86" s="224">
        <v>42864</v>
      </c>
      <c r="B86" s="227" t="s">
        <v>354</v>
      </c>
      <c r="C86" s="226"/>
      <c r="D86" s="226">
        <f>6*5</f>
        <v>30</v>
      </c>
      <c r="E86" s="228">
        <f t="shared" si="11"/>
        <v>32095.499999999996</v>
      </c>
      <c r="F86" s="229"/>
      <c r="G86" s="225">
        <f t="shared" si="12"/>
        <v>19.279806696157042</v>
      </c>
      <c r="H86" s="229"/>
      <c r="I86" s="225">
        <f t="shared" si="13"/>
        <v>578.39420088471127</v>
      </c>
      <c r="J86" s="226">
        <f t="shared" si="14"/>
        <v>618795.03581650823</v>
      </c>
      <c r="K86" s="230"/>
      <c r="L86" s="251"/>
      <c r="M86" s="251"/>
      <c r="N86" s="251"/>
    </row>
    <row r="87" spans="1:14" s="216" customFormat="1" x14ac:dyDescent="0.35">
      <c r="A87" s="224">
        <v>42865</v>
      </c>
      <c r="B87" s="227" t="s">
        <v>355</v>
      </c>
      <c r="C87" s="226"/>
      <c r="D87" s="226">
        <f>4*2.9</f>
        <v>11.6</v>
      </c>
      <c r="E87" s="228">
        <f t="shared" si="11"/>
        <v>32083.899999999998</v>
      </c>
      <c r="F87" s="229"/>
      <c r="G87" s="225">
        <f t="shared" si="12"/>
        <v>19.279806696157042</v>
      </c>
      <c r="H87" s="229"/>
      <c r="I87" s="225">
        <f t="shared" si="13"/>
        <v>223.64575767542169</v>
      </c>
      <c r="J87" s="226">
        <f t="shared" si="14"/>
        <v>618571.39005883283</v>
      </c>
      <c r="K87" s="230"/>
      <c r="L87" s="251"/>
      <c r="M87" s="251"/>
      <c r="N87" s="251"/>
    </row>
    <row r="88" spans="1:14" s="216" customFormat="1" x14ac:dyDescent="0.35">
      <c r="A88" s="224">
        <v>42865</v>
      </c>
      <c r="B88" s="227" t="s">
        <v>356</v>
      </c>
      <c r="C88" s="226"/>
      <c r="D88" s="226">
        <f>3*3.05+3*3.55</f>
        <v>19.799999999999997</v>
      </c>
      <c r="E88" s="228">
        <f t="shared" si="11"/>
        <v>32064.1</v>
      </c>
      <c r="F88" s="229"/>
      <c r="G88" s="225">
        <f t="shared" si="12"/>
        <v>19.279806696157042</v>
      </c>
      <c r="H88" s="229"/>
      <c r="I88" s="225">
        <f t="shared" si="13"/>
        <v>381.74017258390938</v>
      </c>
      <c r="J88" s="226">
        <f t="shared" si="14"/>
        <v>618189.64988624887</v>
      </c>
      <c r="K88" s="230"/>
      <c r="L88" s="251"/>
      <c r="M88" s="251"/>
      <c r="N88" s="251"/>
    </row>
    <row r="89" spans="1:14" s="216" customFormat="1" x14ac:dyDescent="0.35">
      <c r="A89" s="224">
        <v>42865</v>
      </c>
      <c r="B89" s="227" t="s">
        <v>357</v>
      </c>
      <c r="C89" s="226"/>
      <c r="D89" s="226">
        <f>2*2</f>
        <v>4</v>
      </c>
      <c r="E89" s="228">
        <f t="shared" si="11"/>
        <v>32060.1</v>
      </c>
      <c r="F89" s="229"/>
      <c r="G89" s="225">
        <f t="shared" si="12"/>
        <v>19.279806696157038</v>
      </c>
      <c r="H89" s="229"/>
      <c r="I89" s="225">
        <f t="shared" si="13"/>
        <v>77.119226784628154</v>
      </c>
      <c r="J89" s="226">
        <f t="shared" si="14"/>
        <v>618112.53065946419</v>
      </c>
      <c r="K89" s="230"/>
      <c r="L89" s="251"/>
      <c r="M89" s="251"/>
      <c r="N89" s="251"/>
    </row>
    <row r="90" spans="1:14" s="216" customFormat="1" x14ac:dyDescent="0.35">
      <c r="A90" s="224">
        <v>42866</v>
      </c>
      <c r="B90" s="227" t="s">
        <v>358</v>
      </c>
      <c r="C90" s="226"/>
      <c r="D90" s="226">
        <f>9*5</f>
        <v>45</v>
      </c>
      <c r="E90" s="228">
        <f t="shared" si="11"/>
        <v>32015.1</v>
      </c>
      <c r="F90" s="229"/>
      <c r="G90" s="225">
        <f t="shared" si="12"/>
        <v>19.279806696157038</v>
      </c>
      <c r="H90" s="229"/>
      <c r="I90" s="225">
        <f t="shared" si="13"/>
        <v>867.59130132706673</v>
      </c>
      <c r="J90" s="226">
        <f t="shared" si="14"/>
        <v>617244.93935813708</v>
      </c>
      <c r="K90" s="230"/>
      <c r="L90" s="251"/>
      <c r="M90" s="251"/>
      <c r="N90" s="251"/>
    </row>
    <row r="91" spans="1:14" s="216" customFormat="1" x14ac:dyDescent="0.35">
      <c r="A91" s="224">
        <v>42866</v>
      </c>
      <c r="B91" s="227" t="s">
        <v>359</v>
      </c>
      <c r="C91" s="226"/>
      <c r="D91" s="226">
        <f>5*4</f>
        <v>20</v>
      </c>
      <c r="E91" s="228">
        <f t="shared" si="11"/>
        <v>31995.1</v>
      </c>
      <c r="F91" s="229"/>
      <c r="G91" s="225">
        <f t="shared" si="12"/>
        <v>19.279806696157035</v>
      </c>
      <c r="H91" s="229"/>
      <c r="I91" s="225">
        <f t="shared" si="13"/>
        <v>385.59613392314071</v>
      </c>
      <c r="J91" s="226">
        <f t="shared" si="14"/>
        <v>616859.34322421392</v>
      </c>
      <c r="K91" s="230"/>
      <c r="L91" s="251"/>
      <c r="M91" s="251"/>
      <c r="N91" s="251"/>
    </row>
    <row r="92" spans="1:14" s="216" customFormat="1" x14ac:dyDescent="0.35">
      <c r="A92" s="224">
        <v>42867</v>
      </c>
      <c r="B92" s="227" t="s">
        <v>360</v>
      </c>
      <c r="C92" s="226"/>
      <c r="D92" s="226">
        <f>8*3.4</f>
        <v>27.2</v>
      </c>
      <c r="E92" s="228">
        <f t="shared" si="11"/>
        <v>31967.899999999998</v>
      </c>
      <c r="F92" s="229"/>
      <c r="G92" s="225">
        <f t="shared" si="12"/>
        <v>19.279806696157035</v>
      </c>
      <c r="H92" s="229"/>
      <c r="I92" s="225">
        <f t="shared" si="13"/>
        <v>524.41074213547131</v>
      </c>
      <c r="J92" s="226">
        <f t="shared" si="14"/>
        <v>616334.93248207844</v>
      </c>
      <c r="K92" s="230"/>
      <c r="L92" s="251"/>
      <c r="M92" s="251"/>
      <c r="N92" s="251"/>
    </row>
    <row r="93" spans="1:14" s="216" customFormat="1" x14ac:dyDescent="0.35">
      <c r="A93" s="224">
        <v>42867</v>
      </c>
      <c r="B93" s="227" t="s">
        <v>361</v>
      </c>
      <c r="C93" s="226"/>
      <c r="D93" s="226">
        <f>8*5.25+8*5.45+4*6.7</f>
        <v>112.39999999999999</v>
      </c>
      <c r="E93" s="228">
        <f t="shared" si="11"/>
        <v>31855.499999999996</v>
      </c>
      <c r="F93" s="229"/>
      <c r="G93" s="225">
        <f t="shared" si="12"/>
        <v>19.279806696157035</v>
      </c>
      <c r="H93" s="229"/>
      <c r="I93" s="225">
        <f t="shared" si="13"/>
        <v>2167.0502726480504</v>
      </c>
      <c r="J93" s="226">
        <f t="shared" si="14"/>
        <v>614167.88220943033</v>
      </c>
      <c r="K93" s="230"/>
      <c r="L93" s="251"/>
      <c r="M93" s="251"/>
      <c r="N93" s="251"/>
    </row>
    <row r="94" spans="1:14" s="216" customFormat="1" x14ac:dyDescent="0.35">
      <c r="A94" s="224">
        <v>42867</v>
      </c>
      <c r="B94" s="227" t="s">
        <v>362</v>
      </c>
      <c r="C94" s="226"/>
      <c r="D94" s="226">
        <f>2</f>
        <v>2</v>
      </c>
      <c r="E94" s="228">
        <f t="shared" si="11"/>
        <v>31853.499999999996</v>
      </c>
      <c r="F94" s="229"/>
      <c r="G94" s="225">
        <f t="shared" si="12"/>
        <v>19.279806696157035</v>
      </c>
      <c r="H94" s="229"/>
      <c r="I94" s="225">
        <f t="shared" si="13"/>
        <v>38.55961339231407</v>
      </c>
      <c r="J94" s="226">
        <f t="shared" si="14"/>
        <v>614129.32259603799</v>
      </c>
      <c r="K94" s="230"/>
      <c r="L94" s="251"/>
      <c r="M94" s="251"/>
      <c r="N94" s="251"/>
    </row>
    <row r="95" spans="1:14" s="216" customFormat="1" x14ac:dyDescent="0.35">
      <c r="A95" s="224">
        <v>42868</v>
      </c>
      <c r="B95" s="227" t="s">
        <v>363</v>
      </c>
      <c r="C95" s="226"/>
      <c r="D95" s="226">
        <f>4*4</f>
        <v>16</v>
      </c>
      <c r="E95" s="228">
        <f t="shared" si="11"/>
        <v>31837.499999999996</v>
      </c>
      <c r="F95" s="229"/>
      <c r="G95" s="225">
        <f t="shared" si="12"/>
        <v>19.279806696157035</v>
      </c>
      <c r="H95" s="229"/>
      <c r="I95" s="225">
        <f t="shared" si="13"/>
        <v>308.47690713851256</v>
      </c>
      <c r="J95" s="226">
        <f t="shared" si="14"/>
        <v>613820.84568889951</v>
      </c>
      <c r="K95" s="230"/>
      <c r="L95" s="251"/>
      <c r="M95" s="251"/>
      <c r="N95" s="251"/>
    </row>
    <row r="96" spans="1:14" s="216" customFormat="1" x14ac:dyDescent="0.35">
      <c r="A96" s="224">
        <v>42868</v>
      </c>
      <c r="B96" s="227" t="s">
        <v>364</v>
      </c>
      <c r="C96" s="226"/>
      <c r="D96" s="226">
        <f>11*5</f>
        <v>55</v>
      </c>
      <c r="E96" s="228">
        <f t="shared" si="11"/>
        <v>31782.499999999996</v>
      </c>
      <c r="F96" s="229"/>
      <c r="G96" s="225">
        <f t="shared" si="12"/>
        <v>19.279806696157035</v>
      </c>
      <c r="H96" s="229"/>
      <c r="I96" s="225">
        <f t="shared" si="13"/>
        <v>1060.3893682886369</v>
      </c>
      <c r="J96" s="226">
        <f t="shared" si="14"/>
        <v>612760.45632061083</v>
      </c>
      <c r="K96" s="230"/>
      <c r="L96" s="251"/>
      <c r="M96" s="251"/>
      <c r="N96" s="251"/>
    </row>
    <row r="97" spans="1:14" s="216" customFormat="1" x14ac:dyDescent="0.35">
      <c r="A97" s="224">
        <v>42868</v>
      </c>
      <c r="B97" s="227" t="s">
        <v>365</v>
      </c>
      <c r="C97" s="226"/>
      <c r="D97" s="226">
        <f>6*7.5+4*7.1</f>
        <v>73.400000000000006</v>
      </c>
      <c r="E97" s="228">
        <f t="shared" si="11"/>
        <v>31709.099999999995</v>
      </c>
      <c r="F97" s="229"/>
      <c r="G97" s="225">
        <f t="shared" si="12"/>
        <v>19.279806696157031</v>
      </c>
      <c r="H97" s="229"/>
      <c r="I97" s="225">
        <f t="shared" si="13"/>
        <v>1415.1378114979261</v>
      </c>
      <c r="J97" s="226">
        <f t="shared" si="14"/>
        <v>611345.31850911293</v>
      </c>
      <c r="K97" s="230"/>
      <c r="L97" s="251"/>
      <c r="M97" s="251"/>
      <c r="N97" s="251"/>
    </row>
    <row r="98" spans="1:14" s="296" customFormat="1" x14ac:dyDescent="0.35">
      <c r="A98" s="293">
        <v>42868</v>
      </c>
      <c r="B98" s="241" t="s">
        <v>366</v>
      </c>
      <c r="C98" s="294"/>
      <c r="D98" s="294">
        <f>11*5</f>
        <v>55</v>
      </c>
      <c r="E98" s="295">
        <f t="shared" si="11"/>
        <v>31654.099999999995</v>
      </c>
      <c r="F98" s="242"/>
      <c r="G98" s="294">
        <f t="shared" si="12"/>
        <v>19.279806696157035</v>
      </c>
      <c r="H98" s="242"/>
      <c r="I98" s="294">
        <f t="shared" si="13"/>
        <v>1060.3893682886369</v>
      </c>
      <c r="J98" s="294">
        <f t="shared" si="14"/>
        <v>610284.92914082424</v>
      </c>
      <c r="K98" s="193"/>
      <c r="L98" s="260">
        <f>SUM(I76:I98)</f>
        <v>16505.442512580041</v>
      </c>
      <c r="M98" s="200"/>
      <c r="N98" s="253">
        <v>42870</v>
      </c>
    </row>
    <row r="99" spans="1:14" s="216" customFormat="1" x14ac:dyDescent="0.35">
      <c r="A99" s="224">
        <v>42871</v>
      </c>
      <c r="B99" s="227" t="s">
        <v>367</v>
      </c>
      <c r="C99" s="226"/>
      <c r="D99" s="226">
        <f>5*7.1</f>
        <v>35.5</v>
      </c>
      <c r="E99" s="228">
        <f t="shared" si="11"/>
        <v>31618.599999999995</v>
      </c>
      <c r="F99" s="229"/>
      <c r="G99" s="225">
        <f t="shared" si="12"/>
        <v>19.279806696157031</v>
      </c>
      <c r="H99" s="229"/>
      <c r="I99" s="225">
        <f t="shared" si="13"/>
        <v>684.43313771357464</v>
      </c>
      <c r="J99" s="226">
        <f t="shared" si="14"/>
        <v>609600.49600311066</v>
      </c>
      <c r="K99" s="230"/>
      <c r="L99" s="251"/>
      <c r="M99" s="251"/>
      <c r="N99" s="251"/>
    </row>
    <row r="100" spans="1:14" s="216" customFormat="1" x14ac:dyDescent="0.35">
      <c r="A100" s="224">
        <v>42871</v>
      </c>
      <c r="B100" s="227" t="s">
        <v>368</v>
      </c>
      <c r="C100" s="226"/>
      <c r="D100" s="226">
        <f>2*4.5</f>
        <v>9</v>
      </c>
      <c r="E100" s="228">
        <f t="shared" si="11"/>
        <v>31609.599999999995</v>
      </c>
      <c r="F100" s="229"/>
      <c r="G100" s="225">
        <f t="shared" si="12"/>
        <v>19.279806696157031</v>
      </c>
      <c r="H100" s="229"/>
      <c r="I100" s="225">
        <f t="shared" si="13"/>
        <v>173.51826026541329</v>
      </c>
      <c r="J100" s="226">
        <f t="shared" si="14"/>
        <v>609426.97774284519</v>
      </c>
      <c r="K100" s="230"/>
      <c r="L100" s="251"/>
      <c r="M100" s="251"/>
      <c r="N100" s="251"/>
    </row>
    <row r="101" spans="1:14" s="216" customFormat="1" x14ac:dyDescent="0.35">
      <c r="A101" s="224">
        <v>42871</v>
      </c>
      <c r="B101" s="227" t="s">
        <v>369</v>
      </c>
      <c r="C101" s="226"/>
      <c r="D101" s="226">
        <f>3*2.5</f>
        <v>7.5</v>
      </c>
      <c r="E101" s="228">
        <f t="shared" si="11"/>
        <v>31602.099999999995</v>
      </c>
      <c r="F101" s="229"/>
      <c r="G101" s="225">
        <f t="shared" si="12"/>
        <v>19.279806696157031</v>
      </c>
      <c r="H101" s="229"/>
      <c r="I101" s="225">
        <f t="shared" si="13"/>
        <v>144.59855022117773</v>
      </c>
      <c r="J101" s="226">
        <f t="shared" si="14"/>
        <v>609282.37919262401</v>
      </c>
      <c r="K101" s="230"/>
      <c r="L101" s="251"/>
      <c r="M101" s="251"/>
      <c r="N101" s="251"/>
    </row>
    <row r="102" spans="1:14" s="216" customFormat="1" x14ac:dyDescent="0.35">
      <c r="A102" s="224">
        <v>42871</v>
      </c>
      <c r="B102" s="227" t="s">
        <v>370</v>
      </c>
      <c r="C102" s="226"/>
      <c r="D102" s="226">
        <f>10*3.8</f>
        <v>38</v>
      </c>
      <c r="E102" s="228">
        <f t="shared" si="11"/>
        <v>31564.099999999995</v>
      </c>
      <c r="F102" s="229"/>
      <c r="G102" s="225">
        <f t="shared" si="12"/>
        <v>19.279806696157031</v>
      </c>
      <c r="H102" s="229"/>
      <c r="I102" s="225">
        <f t="shared" si="13"/>
        <v>732.63265445396723</v>
      </c>
      <c r="J102" s="226">
        <f t="shared" si="14"/>
        <v>608549.74653817003</v>
      </c>
      <c r="K102" s="230"/>
      <c r="L102" s="251"/>
      <c r="M102" s="251"/>
      <c r="N102" s="251"/>
    </row>
    <row r="103" spans="1:14" s="216" customFormat="1" x14ac:dyDescent="0.35">
      <c r="A103" s="224">
        <v>42871</v>
      </c>
      <c r="B103" s="227" t="s">
        <v>371</v>
      </c>
      <c r="C103" s="226"/>
      <c r="D103" s="226">
        <f>8*2.5+7*1.45</f>
        <v>30.15</v>
      </c>
      <c r="E103" s="228">
        <f t="shared" si="11"/>
        <v>31533.949999999993</v>
      </c>
      <c r="F103" s="229"/>
      <c r="G103" s="225">
        <f t="shared" si="12"/>
        <v>19.279806696157031</v>
      </c>
      <c r="H103" s="229"/>
      <c r="I103" s="225">
        <f t="shared" si="13"/>
        <v>581.28617188913449</v>
      </c>
      <c r="J103" s="226">
        <f t="shared" si="14"/>
        <v>607968.46036628087</v>
      </c>
      <c r="K103" s="230"/>
      <c r="L103" s="251"/>
      <c r="M103" s="251"/>
      <c r="N103" s="251"/>
    </row>
    <row r="104" spans="1:14" s="216" customFormat="1" x14ac:dyDescent="0.35">
      <c r="A104" s="224">
        <v>42873</v>
      </c>
      <c r="B104" s="227" t="s">
        <v>372</v>
      </c>
      <c r="C104" s="226"/>
      <c r="D104" s="226">
        <f>12*2.4</f>
        <v>28.799999999999997</v>
      </c>
      <c r="E104" s="228">
        <f t="shared" si="11"/>
        <v>31505.149999999994</v>
      </c>
      <c r="F104" s="229"/>
      <c r="G104" s="225">
        <f t="shared" si="12"/>
        <v>19.279806696157031</v>
      </c>
      <c r="H104" s="229"/>
      <c r="I104" s="225">
        <f t="shared" si="13"/>
        <v>555.2584328493225</v>
      </c>
      <c r="J104" s="226">
        <f t="shared" si="14"/>
        <v>607413.20193343156</v>
      </c>
      <c r="K104" s="230"/>
      <c r="L104" s="251"/>
      <c r="M104" s="251"/>
      <c r="N104" s="251"/>
    </row>
    <row r="105" spans="1:14" s="216" customFormat="1" x14ac:dyDescent="0.35">
      <c r="A105" s="224">
        <v>42873</v>
      </c>
      <c r="B105" s="227" t="s">
        <v>373</v>
      </c>
      <c r="C105" s="226"/>
      <c r="D105" s="226">
        <f>7*4.8</f>
        <v>33.6</v>
      </c>
      <c r="E105" s="228">
        <f t="shared" si="11"/>
        <v>31471.549999999996</v>
      </c>
      <c r="F105" s="229"/>
      <c r="G105" s="225">
        <f t="shared" si="12"/>
        <v>19.279806696157031</v>
      </c>
      <c r="H105" s="229"/>
      <c r="I105" s="225">
        <f t="shared" si="13"/>
        <v>647.80150499087631</v>
      </c>
      <c r="J105" s="226">
        <f t="shared" si="14"/>
        <v>606765.40042844065</v>
      </c>
      <c r="K105" s="230"/>
      <c r="L105" s="251"/>
      <c r="M105" s="251"/>
      <c r="N105" s="251"/>
    </row>
    <row r="106" spans="1:14" s="216" customFormat="1" x14ac:dyDescent="0.35">
      <c r="A106" s="224">
        <v>42874</v>
      </c>
      <c r="B106" s="227" t="s">
        <v>374</v>
      </c>
      <c r="C106" s="226"/>
      <c r="D106" s="226">
        <f>1.8</f>
        <v>1.8</v>
      </c>
      <c r="E106" s="228">
        <f t="shared" si="11"/>
        <v>31469.749999999996</v>
      </c>
      <c r="F106" s="229"/>
      <c r="G106" s="225">
        <f t="shared" si="12"/>
        <v>19.279806696157028</v>
      </c>
      <c r="H106" s="229"/>
      <c r="I106" s="225">
        <f t="shared" si="13"/>
        <v>34.703652053082649</v>
      </c>
      <c r="J106" s="226">
        <f t="shared" si="14"/>
        <v>606730.69677638751</v>
      </c>
      <c r="K106" s="230"/>
      <c r="L106" s="251"/>
      <c r="M106" s="251"/>
      <c r="N106" s="251"/>
    </row>
    <row r="107" spans="1:14" s="216" customFormat="1" x14ac:dyDescent="0.35">
      <c r="A107" s="224">
        <v>42874</v>
      </c>
      <c r="B107" s="227" t="s">
        <v>375</v>
      </c>
      <c r="C107" s="226"/>
      <c r="D107" s="226">
        <f>2*1.1</f>
        <v>2.2000000000000002</v>
      </c>
      <c r="E107" s="228">
        <f t="shared" ref="E107:E134" si="15">+E106-D107</f>
        <v>31467.549999999996</v>
      </c>
      <c r="F107" s="229"/>
      <c r="G107" s="225">
        <f t="shared" ref="G107:G134" si="16">+J106/E106</f>
        <v>19.279806696157028</v>
      </c>
      <c r="H107" s="229"/>
      <c r="I107" s="225">
        <f t="shared" ref="I107:I134" si="17">+D107*G107</f>
        <v>42.415574731545462</v>
      </c>
      <c r="J107" s="226">
        <f t="shared" ref="J107:J134" si="18">+J106-I107</f>
        <v>606688.28120165598</v>
      </c>
      <c r="K107" s="230"/>
      <c r="L107" s="251"/>
      <c r="M107" s="251"/>
      <c r="N107" s="251"/>
    </row>
    <row r="108" spans="1:14" s="216" customFormat="1" x14ac:dyDescent="0.35">
      <c r="A108" s="224">
        <v>42874</v>
      </c>
      <c r="B108" s="227" t="s">
        <v>115</v>
      </c>
      <c r="C108" s="226"/>
      <c r="D108" s="226">
        <v>0</v>
      </c>
      <c r="E108" s="228">
        <f t="shared" si="15"/>
        <v>31467.549999999996</v>
      </c>
      <c r="F108" s="229"/>
      <c r="G108" s="225">
        <f t="shared" si="16"/>
        <v>19.279806696157028</v>
      </c>
      <c r="H108" s="229"/>
      <c r="I108" s="225">
        <f t="shared" si="17"/>
        <v>0</v>
      </c>
      <c r="J108" s="226">
        <f t="shared" si="18"/>
        <v>606688.28120165598</v>
      </c>
      <c r="K108" s="230"/>
      <c r="L108" s="251"/>
      <c r="M108" s="251"/>
      <c r="N108" s="251"/>
    </row>
    <row r="109" spans="1:14" s="216" customFormat="1" x14ac:dyDescent="0.35">
      <c r="A109" s="224">
        <v>42874</v>
      </c>
      <c r="B109" s="227" t="s">
        <v>376</v>
      </c>
      <c r="C109" s="226"/>
      <c r="D109" s="226">
        <f>15*8.8</f>
        <v>132</v>
      </c>
      <c r="E109" s="228">
        <f t="shared" si="15"/>
        <v>31335.549999999996</v>
      </c>
      <c r="F109" s="229"/>
      <c r="G109" s="225">
        <f t="shared" si="16"/>
        <v>19.279806696157028</v>
      </c>
      <c r="H109" s="229"/>
      <c r="I109" s="225">
        <f t="shared" si="17"/>
        <v>2544.9344838927277</v>
      </c>
      <c r="J109" s="226">
        <f t="shared" si="18"/>
        <v>604143.34671776323</v>
      </c>
      <c r="K109" s="230"/>
      <c r="L109" s="251"/>
      <c r="M109" s="251"/>
      <c r="N109" s="251"/>
    </row>
    <row r="110" spans="1:14" s="216" customFormat="1" x14ac:dyDescent="0.35">
      <c r="A110" s="224">
        <v>42874</v>
      </c>
      <c r="B110" s="227" t="s">
        <v>377</v>
      </c>
      <c r="C110" s="226"/>
      <c r="D110" s="226">
        <f>9*3.3</f>
        <v>29.7</v>
      </c>
      <c r="E110" s="228">
        <f t="shared" si="15"/>
        <v>31305.849999999995</v>
      </c>
      <c r="F110" s="229"/>
      <c r="G110" s="225">
        <f t="shared" si="16"/>
        <v>19.279806696157028</v>
      </c>
      <c r="H110" s="229"/>
      <c r="I110" s="225">
        <f t="shared" si="17"/>
        <v>572.61025887586368</v>
      </c>
      <c r="J110" s="226">
        <f t="shared" si="18"/>
        <v>603570.73645888735</v>
      </c>
      <c r="K110" s="230"/>
      <c r="L110" s="251"/>
      <c r="M110" s="251"/>
      <c r="N110" s="251"/>
    </row>
    <row r="111" spans="1:14" s="216" customFormat="1" x14ac:dyDescent="0.35">
      <c r="A111" s="224">
        <v>42878</v>
      </c>
      <c r="B111" s="227" t="s">
        <v>117</v>
      </c>
      <c r="C111" s="226"/>
      <c r="D111" s="226">
        <v>0</v>
      </c>
      <c r="E111" s="228">
        <f t="shared" si="15"/>
        <v>31305.849999999995</v>
      </c>
      <c r="F111" s="229"/>
      <c r="G111" s="225">
        <f t="shared" si="16"/>
        <v>19.279806696157028</v>
      </c>
      <c r="H111" s="229"/>
      <c r="I111" s="225">
        <f t="shared" si="17"/>
        <v>0</v>
      </c>
      <c r="J111" s="226">
        <f t="shared" si="18"/>
        <v>603570.73645888735</v>
      </c>
      <c r="K111" s="230"/>
      <c r="L111" s="251"/>
      <c r="M111" s="251"/>
      <c r="N111" s="251"/>
    </row>
    <row r="112" spans="1:14" s="216" customFormat="1" x14ac:dyDescent="0.35">
      <c r="A112" s="224">
        <v>42878</v>
      </c>
      <c r="B112" s="227" t="s">
        <v>378</v>
      </c>
      <c r="C112" s="226"/>
      <c r="D112" s="226">
        <f>9*2.1+2.35+3.8</f>
        <v>25.050000000000004</v>
      </c>
      <c r="E112" s="228">
        <f t="shared" si="15"/>
        <v>31280.799999999996</v>
      </c>
      <c r="F112" s="229"/>
      <c r="G112" s="225">
        <f t="shared" si="16"/>
        <v>19.279806696157028</v>
      </c>
      <c r="H112" s="229"/>
      <c r="I112" s="225">
        <f t="shared" si="17"/>
        <v>482.95915773873361</v>
      </c>
      <c r="J112" s="226">
        <f t="shared" si="18"/>
        <v>603087.77730114863</v>
      </c>
      <c r="K112" s="230"/>
      <c r="L112" s="251"/>
      <c r="M112" s="251"/>
      <c r="N112" s="251"/>
    </row>
    <row r="113" spans="1:14" s="216" customFormat="1" x14ac:dyDescent="0.35">
      <c r="A113" s="224">
        <v>42882</v>
      </c>
      <c r="B113" s="227" t="s">
        <v>379</v>
      </c>
      <c r="C113" s="226"/>
      <c r="D113" s="226">
        <f>2*1.17</f>
        <v>2.34</v>
      </c>
      <c r="E113" s="228">
        <f t="shared" si="15"/>
        <v>31278.459999999995</v>
      </c>
      <c r="F113" s="229"/>
      <c r="G113" s="225">
        <f t="shared" si="16"/>
        <v>19.279806696157028</v>
      </c>
      <c r="H113" s="229"/>
      <c r="I113" s="225">
        <f t="shared" si="17"/>
        <v>45.114747669007443</v>
      </c>
      <c r="J113" s="226">
        <f t="shared" si="18"/>
        <v>603042.66255347966</v>
      </c>
      <c r="K113" s="230"/>
      <c r="L113" s="251"/>
      <c r="M113" s="251"/>
      <c r="N113" s="251"/>
    </row>
    <row r="114" spans="1:14" s="216" customFormat="1" x14ac:dyDescent="0.35">
      <c r="A114" s="224">
        <v>42884</v>
      </c>
      <c r="B114" s="227" t="s">
        <v>380</v>
      </c>
      <c r="C114" s="226"/>
      <c r="D114" s="226">
        <f>9*4</f>
        <v>36</v>
      </c>
      <c r="E114" s="228">
        <f t="shared" si="15"/>
        <v>31242.459999999995</v>
      </c>
      <c r="F114" s="229"/>
      <c r="G114" s="225">
        <f t="shared" si="16"/>
        <v>19.279806696157028</v>
      </c>
      <c r="H114" s="229"/>
      <c r="I114" s="225">
        <f t="shared" si="17"/>
        <v>694.07304106165304</v>
      </c>
      <c r="J114" s="226">
        <f t="shared" si="18"/>
        <v>602348.58951241802</v>
      </c>
      <c r="K114" s="230"/>
      <c r="L114" s="251"/>
      <c r="M114" s="251"/>
      <c r="N114" s="251"/>
    </row>
    <row r="115" spans="1:14" s="216" customFormat="1" x14ac:dyDescent="0.35">
      <c r="A115" s="224">
        <v>42885</v>
      </c>
      <c r="B115" s="227" t="s">
        <v>381</v>
      </c>
      <c r="C115" s="226"/>
      <c r="D115" s="226">
        <f>19*4.55</f>
        <v>86.45</v>
      </c>
      <c r="E115" s="228">
        <f t="shared" si="15"/>
        <v>31156.009999999995</v>
      </c>
      <c r="F115" s="229"/>
      <c r="G115" s="225">
        <f t="shared" si="16"/>
        <v>19.279806696157028</v>
      </c>
      <c r="H115" s="229"/>
      <c r="I115" s="225">
        <f t="shared" si="17"/>
        <v>1666.7392888827751</v>
      </c>
      <c r="J115" s="226">
        <f t="shared" si="18"/>
        <v>600681.85022353521</v>
      </c>
      <c r="K115" s="230"/>
      <c r="L115" s="251"/>
      <c r="M115" s="251"/>
      <c r="N115" s="251"/>
    </row>
    <row r="116" spans="1:14" s="296" customFormat="1" x14ac:dyDescent="0.35">
      <c r="A116" s="293">
        <v>42885</v>
      </c>
      <c r="B116" s="241" t="s">
        <v>382</v>
      </c>
      <c r="C116" s="294"/>
      <c r="D116" s="294">
        <f>5*2.65</f>
        <v>13.25</v>
      </c>
      <c r="E116" s="295">
        <f t="shared" si="15"/>
        <v>31142.759999999995</v>
      </c>
      <c r="F116" s="242"/>
      <c r="G116" s="294">
        <f t="shared" si="16"/>
        <v>19.279806696157028</v>
      </c>
      <c r="H116" s="242"/>
      <c r="I116" s="294">
        <f t="shared" si="17"/>
        <v>255.45743872408062</v>
      </c>
      <c r="J116" s="294">
        <f t="shared" si="18"/>
        <v>600426.39278481109</v>
      </c>
      <c r="K116" s="193"/>
      <c r="L116" s="260">
        <f>SUM(I99:I116)</f>
        <v>9858.5363560129372</v>
      </c>
      <c r="M116" s="260">
        <f>SUM(L98:L116)</f>
        <v>26363.978868592978</v>
      </c>
      <c r="N116" s="253">
        <v>42885</v>
      </c>
    </row>
    <row r="117" spans="1:14" s="216" customFormat="1" x14ac:dyDescent="0.35">
      <c r="A117" s="224">
        <v>42888</v>
      </c>
      <c r="B117" s="227" t="s">
        <v>383</v>
      </c>
      <c r="C117" s="226"/>
      <c r="D117" s="226">
        <f>35*2.05</f>
        <v>71.75</v>
      </c>
      <c r="E117" s="228">
        <f t="shared" si="15"/>
        <v>31071.009999999995</v>
      </c>
      <c r="F117" s="229"/>
      <c r="G117" s="225">
        <f t="shared" si="16"/>
        <v>19.279806696157028</v>
      </c>
      <c r="H117" s="229"/>
      <c r="I117" s="225">
        <f t="shared" si="17"/>
        <v>1383.3261304492667</v>
      </c>
      <c r="J117" s="226">
        <f t="shared" si="18"/>
        <v>599043.06665436178</v>
      </c>
      <c r="K117" s="230"/>
      <c r="L117" s="251"/>
      <c r="M117" s="251"/>
      <c r="N117" s="251"/>
    </row>
    <row r="118" spans="1:14" s="216" customFormat="1" x14ac:dyDescent="0.35">
      <c r="A118" s="224">
        <v>42891</v>
      </c>
      <c r="B118" s="227" t="s">
        <v>384</v>
      </c>
      <c r="C118" s="226"/>
      <c r="D118" s="226">
        <v>12</v>
      </c>
      <c r="E118" s="228">
        <f t="shared" si="15"/>
        <v>31059.009999999995</v>
      </c>
      <c r="F118" s="229"/>
      <c r="G118" s="225">
        <f t="shared" si="16"/>
        <v>19.279806696157024</v>
      </c>
      <c r="H118" s="229"/>
      <c r="I118" s="225">
        <f t="shared" si="17"/>
        <v>231.35768035388429</v>
      </c>
      <c r="J118" s="226">
        <f t="shared" si="18"/>
        <v>598811.70897400787</v>
      </c>
      <c r="K118" s="230"/>
      <c r="L118" s="251"/>
      <c r="M118" s="251"/>
      <c r="N118" s="251"/>
    </row>
    <row r="119" spans="1:14" s="216" customFormat="1" x14ac:dyDescent="0.35">
      <c r="A119" s="224">
        <v>42893</v>
      </c>
      <c r="B119" s="227" t="s">
        <v>385</v>
      </c>
      <c r="C119" s="226"/>
      <c r="D119" s="226">
        <f>14*8+14*5.5+2*4</f>
        <v>197</v>
      </c>
      <c r="E119" s="228">
        <f t="shared" si="15"/>
        <v>30862.009999999995</v>
      </c>
      <c r="F119" s="229"/>
      <c r="G119" s="225">
        <f t="shared" si="16"/>
        <v>19.279806696157024</v>
      </c>
      <c r="H119" s="229"/>
      <c r="I119" s="225">
        <f t="shared" si="17"/>
        <v>3798.1219191429336</v>
      </c>
      <c r="J119" s="226">
        <f t="shared" si="18"/>
        <v>595013.58705486497</v>
      </c>
      <c r="K119" s="230"/>
      <c r="L119" s="251"/>
      <c r="M119" s="251"/>
      <c r="N119" s="251"/>
    </row>
    <row r="120" spans="1:14" s="216" customFormat="1" x14ac:dyDescent="0.35">
      <c r="A120" s="224">
        <v>42895</v>
      </c>
      <c r="B120" s="227" t="s">
        <v>386</v>
      </c>
      <c r="C120" s="226"/>
      <c r="D120" s="226">
        <v>0.54</v>
      </c>
      <c r="E120" s="228">
        <f t="shared" si="15"/>
        <v>30861.469999999994</v>
      </c>
      <c r="F120" s="229"/>
      <c r="G120" s="225">
        <f t="shared" si="16"/>
        <v>19.279806696157024</v>
      </c>
      <c r="H120" s="229"/>
      <c r="I120" s="225">
        <f t="shared" si="17"/>
        <v>10.411095615924793</v>
      </c>
      <c r="J120" s="226">
        <f t="shared" si="18"/>
        <v>595003.17595924903</v>
      </c>
      <c r="K120" s="230"/>
      <c r="L120" s="251"/>
      <c r="M120" s="251"/>
      <c r="N120" s="251"/>
    </row>
    <row r="121" spans="1:14" s="216" customFormat="1" x14ac:dyDescent="0.35">
      <c r="A121" s="224">
        <v>42895</v>
      </c>
      <c r="B121" s="227" t="s">
        <v>387</v>
      </c>
      <c r="C121" s="226"/>
      <c r="D121" s="226">
        <v>2.5</v>
      </c>
      <c r="E121" s="228">
        <f t="shared" si="15"/>
        <v>30858.969999999994</v>
      </c>
      <c r="F121" s="229"/>
      <c r="G121" s="225">
        <f t="shared" si="16"/>
        <v>19.279806696157024</v>
      </c>
      <c r="H121" s="229"/>
      <c r="I121" s="225">
        <f t="shared" si="17"/>
        <v>48.199516740392561</v>
      </c>
      <c r="J121" s="226">
        <f t="shared" si="18"/>
        <v>594954.97644250863</v>
      </c>
      <c r="K121" s="230"/>
      <c r="L121" s="251"/>
      <c r="M121" s="251"/>
      <c r="N121" s="251"/>
    </row>
    <row r="122" spans="1:14" s="216" customFormat="1" x14ac:dyDescent="0.35">
      <c r="A122" s="224">
        <v>42895</v>
      </c>
      <c r="B122" s="227" t="s">
        <v>388</v>
      </c>
      <c r="C122" s="226"/>
      <c r="D122" s="226">
        <f>20*3+2*3.55+5*4.2</f>
        <v>88.1</v>
      </c>
      <c r="E122" s="228">
        <f t="shared" si="15"/>
        <v>30770.869999999995</v>
      </c>
      <c r="F122" s="229"/>
      <c r="G122" s="225">
        <f t="shared" si="16"/>
        <v>19.279806696157024</v>
      </c>
      <c r="H122" s="229"/>
      <c r="I122" s="225">
        <f t="shared" si="17"/>
        <v>1698.5509699314337</v>
      </c>
      <c r="J122" s="226">
        <f t="shared" si="18"/>
        <v>593256.42547257722</v>
      </c>
      <c r="K122" s="230"/>
      <c r="L122" s="251"/>
      <c r="M122" s="251"/>
      <c r="N122" s="251"/>
    </row>
    <row r="123" spans="1:14" s="216" customFormat="1" x14ac:dyDescent="0.35">
      <c r="A123" s="224">
        <v>42895</v>
      </c>
      <c r="B123" s="227" t="s">
        <v>389</v>
      </c>
      <c r="C123" s="226"/>
      <c r="D123" s="226">
        <f>13*6.2</f>
        <v>80.600000000000009</v>
      </c>
      <c r="E123" s="228">
        <f t="shared" si="15"/>
        <v>30690.269999999997</v>
      </c>
      <c r="F123" s="229"/>
      <c r="G123" s="225">
        <f t="shared" si="16"/>
        <v>19.279806696157024</v>
      </c>
      <c r="H123" s="229"/>
      <c r="I123" s="225">
        <f t="shared" si="17"/>
        <v>1553.9524197102562</v>
      </c>
      <c r="J123" s="226">
        <f t="shared" si="18"/>
        <v>591702.47305286699</v>
      </c>
      <c r="K123" s="230"/>
      <c r="L123" s="251"/>
      <c r="M123" s="251"/>
      <c r="N123" s="251"/>
    </row>
    <row r="124" spans="1:14" s="216" customFormat="1" x14ac:dyDescent="0.35">
      <c r="A124" s="224">
        <v>42895</v>
      </c>
      <c r="B124" s="227" t="s">
        <v>390</v>
      </c>
      <c r="C124" s="226"/>
      <c r="D124" s="226">
        <f>17*5.1</f>
        <v>86.699999999999989</v>
      </c>
      <c r="E124" s="228">
        <f t="shared" si="15"/>
        <v>30603.569999999996</v>
      </c>
      <c r="F124" s="229"/>
      <c r="G124" s="225">
        <f t="shared" si="16"/>
        <v>19.279806696157024</v>
      </c>
      <c r="H124" s="229"/>
      <c r="I124" s="225">
        <f t="shared" si="17"/>
        <v>1671.5592405568138</v>
      </c>
      <c r="J124" s="226">
        <f t="shared" si="18"/>
        <v>590030.9138123102</v>
      </c>
      <c r="K124" s="230"/>
      <c r="L124" s="251"/>
      <c r="M124" s="251"/>
      <c r="N124" s="251"/>
    </row>
    <row r="125" spans="1:14" s="216" customFormat="1" x14ac:dyDescent="0.35">
      <c r="A125" s="224">
        <v>42896</v>
      </c>
      <c r="B125" s="227" t="s">
        <v>391</v>
      </c>
      <c r="C125" s="226"/>
      <c r="D125" s="226">
        <f>+(8*4+5*5.55+13*5.92+6*4.75)</f>
        <v>165.20999999999998</v>
      </c>
      <c r="E125" s="228">
        <f t="shared" si="15"/>
        <v>30438.359999999997</v>
      </c>
      <c r="F125" s="229"/>
      <c r="G125" s="225">
        <f t="shared" si="16"/>
        <v>19.279806696157028</v>
      </c>
      <c r="H125" s="229"/>
      <c r="I125" s="225">
        <f t="shared" si="17"/>
        <v>3185.2168642721022</v>
      </c>
      <c r="J125" s="226">
        <f t="shared" si="18"/>
        <v>586845.69694803806</v>
      </c>
      <c r="K125" s="230"/>
      <c r="L125" s="251"/>
      <c r="M125" s="251"/>
      <c r="N125" s="251"/>
    </row>
    <row r="126" spans="1:14" s="216" customFormat="1" x14ac:dyDescent="0.35">
      <c r="A126" s="224">
        <v>42899</v>
      </c>
      <c r="B126" s="227" t="s">
        <v>392</v>
      </c>
      <c r="C126" s="226"/>
      <c r="D126" s="226">
        <f>5*4.68</f>
        <v>23.4</v>
      </c>
      <c r="E126" s="228">
        <f t="shared" si="15"/>
        <v>30414.959999999995</v>
      </c>
      <c r="F126" s="229"/>
      <c r="G126" s="225">
        <f t="shared" si="16"/>
        <v>19.279806696157024</v>
      </c>
      <c r="H126" s="229"/>
      <c r="I126" s="225">
        <f t="shared" si="17"/>
        <v>451.14747669007431</v>
      </c>
      <c r="J126" s="226">
        <f t="shared" si="18"/>
        <v>586394.54947134794</v>
      </c>
      <c r="K126" s="230"/>
      <c r="L126" s="251"/>
      <c r="M126" s="251"/>
      <c r="N126" s="251"/>
    </row>
    <row r="127" spans="1:14" s="216" customFormat="1" x14ac:dyDescent="0.35">
      <c r="A127" s="224">
        <v>42900</v>
      </c>
      <c r="B127" s="227" t="s">
        <v>393</v>
      </c>
      <c r="C127" s="226"/>
      <c r="D127" s="226">
        <f>16*5.2</f>
        <v>83.2</v>
      </c>
      <c r="E127" s="228">
        <f t="shared" si="15"/>
        <v>30331.759999999995</v>
      </c>
      <c r="F127" s="229"/>
      <c r="G127" s="225">
        <f t="shared" si="16"/>
        <v>19.279806696157024</v>
      </c>
      <c r="H127" s="229"/>
      <c r="I127" s="225">
        <f t="shared" si="17"/>
        <v>1604.0799171202646</v>
      </c>
      <c r="J127" s="226">
        <f t="shared" si="18"/>
        <v>584790.46955422766</v>
      </c>
      <c r="K127" s="230"/>
      <c r="L127" s="251"/>
      <c r="M127" s="251"/>
      <c r="N127" s="251"/>
    </row>
    <row r="128" spans="1:14" s="296" customFormat="1" x14ac:dyDescent="0.35">
      <c r="A128" s="293">
        <v>42900</v>
      </c>
      <c r="B128" s="241" t="s">
        <v>394</v>
      </c>
      <c r="C128" s="294"/>
      <c r="D128" s="294">
        <f>6*2.4</f>
        <v>14.399999999999999</v>
      </c>
      <c r="E128" s="295">
        <f t="shared" si="15"/>
        <v>30317.359999999993</v>
      </c>
      <c r="F128" s="242"/>
      <c r="G128" s="294">
        <f t="shared" si="16"/>
        <v>19.279806696157024</v>
      </c>
      <c r="H128" s="242"/>
      <c r="I128" s="294">
        <f t="shared" si="17"/>
        <v>277.62921642466114</v>
      </c>
      <c r="J128" s="294">
        <f t="shared" si="18"/>
        <v>584512.84033780301</v>
      </c>
      <c r="K128" s="193"/>
      <c r="L128" s="260">
        <f>SUM(I117:I128)</f>
        <v>15913.552447008007</v>
      </c>
      <c r="M128" s="200"/>
      <c r="N128" s="253">
        <v>42901</v>
      </c>
    </row>
    <row r="129" spans="1:14" s="216" customFormat="1" x14ac:dyDescent="0.35">
      <c r="A129" s="224">
        <v>42902</v>
      </c>
      <c r="B129" s="227" t="s">
        <v>395</v>
      </c>
      <c r="C129" s="226"/>
      <c r="D129" s="226">
        <f>3*3</f>
        <v>9</v>
      </c>
      <c r="E129" s="228">
        <f t="shared" si="15"/>
        <v>30308.359999999993</v>
      </c>
      <c r="F129" s="229"/>
      <c r="G129" s="225">
        <f t="shared" si="16"/>
        <v>19.279806696157024</v>
      </c>
      <c r="H129" s="229"/>
      <c r="I129" s="225">
        <f t="shared" si="17"/>
        <v>173.51826026541323</v>
      </c>
      <c r="J129" s="226">
        <f t="shared" si="18"/>
        <v>584339.32207753754</v>
      </c>
      <c r="K129" s="230"/>
      <c r="L129" s="251"/>
      <c r="M129" s="251"/>
      <c r="N129" s="251"/>
    </row>
    <row r="130" spans="1:14" s="216" customFormat="1" x14ac:dyDescent="0.35">
      <c r="A130" s="224">
        <v>42902</v>
      </c>
      <c r="B130" s="227" t="s">
        <v>396</v>
      </c>
      <c r="C130" s="226"/>
      <c r="D130" s="226">
        <f>15*4.5</f>
        <v>67.5</v>
      </c>
      <c r="E130" s="228">
        <f t="shared" si="15"/>
        <v>30240.859999999993</v>
      </c>
      <c r="F130" s="229"/>
      <c r="G130" s="225">
        <f t="shared" si="16"/>
        <v>19.279806696157024</v>
      </c>
      <c r="H130" s="229"/>
      <c r="I130" s="225">
        <f t="shared" si="17"/>
        <v>1301.3869519905991</v>
      </c>
      <c r="J130" s="226">
        <f t="shared" si="18"/>
        <v>583037.935125547</v>
      </c>
      <c r="K130" s="230"/>
      <c r="L130" s="251"/>
      <c r="M130" s="251"/>
      <c r="N130" s="251"/>
    </row>
    <row r="131" spans="1:14" s="216" customFormat="1" x14ac:dyDescent="0.35">
      <c r="A131" s="224">
        <v>42902</v>
      </c>
      <c r="B131" s="227" t="s">
        <v>397</v>
      </c>
      <c r="C131" s="226"/>
      <c r="D131" s="226">
        <f>19*5</f>
        <v>95</v>
      </c>
      <c r="E131" s="228">
        <f t="shared" si="15"/>
        <v>30145.859999999993</v>
      </c>
      <c r="F131" s="229"/>
      <c r="G131" s="225">
        <f t="shared" si="16"/>
        <v>19.279806696157024</v>
      </c>
      <c r="H131" s="229"/>
      <c r="I131" s="225">
        <f t="shared" si="17"/>
        <v>1831.5816361349173</v>
      </c>
      <c r="J131" s="226">
        <f t="shared" si="18"/>
        <v>581206.35348941211</v>
      </c>
      <c r="K131" s="230"/>
      <c r="L131" s="251"/>
      <c r="M131" s="251"/>
      <c r="N131" s="251"/>
    </row>
    <row r="132" spans="1:14" s="216" customFormat="1" x14ac:dyDescent="0.35">
      <c r="A132" s="315">
        <v>42902</v>
      </c>
      <c r="B132" s="227" t="s">
        <v>398</v>
      </c>
      <c r="C132" s="226"/>
      <c r="D132" s="226">
        <v>12</v>
      </c>
      <c r="E132" s="228">
        <f t="shared" si="15"/>
        <v>30133.859999999993</v>
      </c>
      <c r="F132" s="229"/>
      <c r="G132" s="225">
        <f t="shared" si="16"/>
        <v>19.279806696157024</v>
      </c>
      <c r="H132" s="229"/>
      <c r="I132" s="225">
        <f t="shared" si="17"/>
        <v>231.35768035388429</v>
      </c>
      <c r="J132" s="226">
        <f t="shared" si="18"/>
        <v>580974.99580905819</v>
      </c>
      <c r="K132" s="230"/>
      <c r="L132" s="251"/>
      <c r="M132" s="251"/>
      <c r="N132" s="251"/>
    </row>
    <row r="133" spans="1:14" s="216" customFormat="1" x14ac:dyDescent="0.35">
      <c r="A133" s="315">
        <v>42903</v>
      </c>
      <c r="B133" s="227" t="s">
        <v>399</v>
      </c>
      <c r="C133" s="226"/>
      <c r="D133" s="226">
        <f>4*2.3</f>
        <v>9.1999999999999993</v>
      </c>
      <c r="E133" s="228">
        <f t="shared" si="15"/>
        <v>30124.659999999993</v>
      </c>
      <c r="F133" s="229"/>
      <c r="G133" s="225">
        <f t="shared" si="16"/>
        <v>19.279806696157024</v>
      </c>
      <c r="H133" s="229"/>
      <c r="I133" s="225">
        <f t="shared" si="17"/>
        <v>177.37422160464462</v>
      </c>
      <c r="J133" s="226">
        <f t="shared" si="18"/>
        <v>580797.62158745353</v>
      </c>
      <c r="K133" s="230"/>
      <c r="L133" s="251"/>
      <c r="M133" s="251"/>
      <c r="N133" s="251"/>
    </row>
    <row r="134" spans="1:14" s="216" customFormat="1" x14ac:dyDescent="0.35">
      <c r="A134" s="315">
        <v>42905</v>
      </c>
      <c r="B134" s="227" t="s">
        <v>400</v>
      </c>
      <c r="C134" s="226"/>
      <c r="D134" s="226">
        <f>14*4.9+6*2.5+2*2.5</f>
        <v>88.600000000000009</v>
      </c>
      <c r="E134" s="228">
        <f t="shared" si="15"/>
        <v>30036.059999999994</v>
      </c>
      <c r="F134" s="229"/>
      <c r="G134" s="225">
        <f t="shared" si="16"/>
        <v>19.279806696157024</v>
      </c>
      <c r="H134" s="229"/>
      <c r="I134" s="225">
        <f t="shared" si="17"/>
        <v>1708.1908732795125</v>
      </c>
      <c r="J134" s="226">
        <f t="shared" si="18"/>
        <v>579089.43071417406</v>
      </c>
      <c r="K134" s="230"/>
      <c r="L134" s="251"/>
      <c r="M134" s="251"/>
      <c r="N134" s="251"/>
    </row>
    <row r="135" spans="1:14" x14ac:dyDescent="0.35">
      <c r="A135" s="316">
        <v>42905</v>
      </c>
      <c r="B135" s="227" t="s">
        <v>401</v>
      </c>
      <c r="C135" s="226"/>
      <c r="D135" s="226">
        <v>1</v>
      </c>
      <c r="E135" s="228">
        <f t="shared" ref="E135:E147" si="19">+E134-D135</f>
        <v>30035.059999999994</v>
      </c>
      <c r="F135" s="229"/>
      <c r="G135" s="225">
        <f t="shared" ref="G135:G147" si="20">+J134/E134</f>
        <v>19.279806696157024</v>
      </c>
      <c r="H135" s="229"/>
      <c r="I135" s="225">
        <f t="shared" ref="I135:I147" si="21">+D135*G135</f>
        <v>19.279806696157024</v>
      </c>
      <c r="J135" s="226">
        <f t="shared" ref="J135:J147" si="22">+J134-I135</f>
        <v>579070.15090747795</v>
      </c>
      <c r="K135" s="230"/>
      <c r="L135" s="251"/>
      <c r="M135" s="251"/>
      <c r="N135" s="251"/>
    </row>
    <row r="136" spans="1:14" x14ac:dyDescent="0.35">
      <c r="A136" s="316">
        <v>42906</v>
      </c>
      <c r="B136" s="227" t="s">
        <v>402</v>
      </c>
      <c r="C136" s="226"/>
      <c r="D136" s="226">
        <f>19*3.35</f>
        <v>63.65</v>
      </c>
      <c r="E136" s="228">
        <f t="shared" si="19"/>
        <v>29971.409999999993</v>
      </c>
      <c r="F136" s="229"/>
      <c r="G136" s="225">
        <f t="shared" si="20"/>
        <v>19.279806696157028</v>
      </c>
      <c r="H136" s="229"/>
      <c r="I136" s="225">
        <f t="shared" si="21"/>
        <v>1227.1596962103947</v>
      </c>
      <c r="J136" s="226">
        <f t="shared" si="22"/>
        <v>577842.99121126754</v>
      </c>
      <c r="K136" s="230"/>
      <c r="L136" s="251"/>
      <c r="M136" s="251"/>
      <c r="N136" s="251"/>
    </row>
    <row r="137" spans="1:14" x14ac:dyDescent="0.35">
      <c r="A137" s="316">
        <v>42906</v>
      </c>
      <c r="B137" s="227" t="s">
        <v>403</v>
      </c>
      <c r="C137" s="226"/>
      <c r="D137" s="226">
        <f>4*5</f>
        <v>20</v>
      </c>
      <c r="E137" s="228">
        <f t="shared" si="19"/>
        <v>29951.409999999993</v>
      </c>
      <c r="F137" s="229"/>
      <c r="G137" s="225">
        <f t="shared" si="20"/>
        <v>19.279806696157028</v>
      </c>
      <c r="H137" s="229"/>
      <c r="I137" s="225">
        <f t="shared" si="21"/>
        <v>385.59613392314054</v>
      </c>
      <c r="J137" s="226">
        <f t="shared" si="22"/>
        <v>577457.39507734438</v>
      </c>
      <c r="K137" s="230"/>
      <c r="L137" s="251"/>
      <c r="M137" s="251"/>
      <c r="N137" s="251"/>
    </row>
    <row r="138" spans="1:14" x14ac:dyDescent="0.35">
      <c r="A138" s="316">
        <v>42908</v>
      </c>
      <c r="B138" s="227" t="s">
        <v>404</v>
      </c>
      <c r="C138" s="226"/>
      <c r="D138" s="226">
        <f>4*5</f>
        <v>20</v>
      </c>
      <c r="E138" s="228">
        <f t="shared" si="19"/>
        <v>29931.409999999993</v>
      </c>
      <c r="F138" s="229"/>
      <c r="G138" s="225">
        <f t="shared" si="20"/>
        <v>19.279806696157028</v>
      </c>
      <c r="H138" s="229"/>
      <c r="I138" s="225">
        <f t="shared" si="21"/>
        <v>385.59613392314054</v>
      </c>
      <c r="J138" s="226">
        <f t="shared" si="22"/>
        <v>577071.79894342122</v>
      </c>
      <c r="K138" s="230"/>
      <c r="L138" s="251"/>
      <c r="M138" s="251"/>
      <c r="N138" s="251"/>
    </row>
    <row r="139" spans="1:14" x14ac:dyDescent="0.35">
      <c r="A139" s="316">
        <v>42908</v>
      </c>
      <c r="B139" s="227" t="s">
        <v>405</v>
      </c>
      <c r="C139" s="226"/>
      <c r="D139" s="226">
        <f>3*3.3</f>
        <v>9.8999999999999986</v>
      </c>
      <c r="E139" s="228">
        <f t="shared" si="19"/>
        <v>29921.509999999991</v>
      </c>
      <c r="F139" s="229"/>
      <c r="G139" s="225">
        <f t="shared" si="20"/>
        <v>19.279806696157024</v>
      </c>
      <c r="H139" s="229"/>
      <c r="I139" s="225">
        <f t="shared" si="21"/>
        <v>190.87008629195452</v>
      </c>
      <c r="J139" s="226">
        <f t="shared" si="22"/>
        <v>576880.9288571293</v>
      </c>
      <c r="K139" s="230"/>
      <c r="L139" s="251"/>
      <c r="M139" s="251"/>
      <c r="N139" s="251"/>
    </row>
    <row r="140" spans="1:14" x14ac:dyDescent="0.35">
      <c r="A140" s="316">
        <v>42908</v>
      </c>
      <c r="B140" s="227" t="s">
        <v>406</v>
      </c>
      <c r="C140" s="226"/>
      <c r="D140" s="226">
        <f>4*3.2</f>
        <v>12.8</v>
      </c>
      <c r="E140" s="228">
        <f t="shared" si="19"/>
        <v>29908.709999999992</v>
      </c>
      <c r="F140" s="229"/>
      <c r="G140" s="225">
        <f t="shared" si="20"/>
        <v>19.279806696157028</v>
      </c>
      <c r="H140" s="229"/>
      <c r="I140" s="225">
        <f t="shared" si="21"/>
        <v>246.78152571080997</v>
      </c>
      <c r="J140" s="226">
        <f t="shared" si="22"/>
        <v>576634.14733141847</v>
      </c>
      <c r="K140" s="230"/>
      <c r="L140" s="251"/>
      <c r="M140" s="251"/>
      <c r="N140" s="251"/>
    </row>
    <row r="141" spans="1:14" x14ac:dyDescent="0.35">
      <c r="A141" s="316">
        <v>42909</v>
      </c>
      <c r="B141" s="227" t="s">
        <v>407</v>
      </c>
      <c r="C141" s="226"/>
      <c r="D141" s="226">
        <f>15*4.3</f>
        <v>64.5</v>
      </c>
      <c r="E141" s="228">
        <f t="shared" si="19"/>
        <v>29844.209999999992</v>
      </c>
      <c r="F141" s="229"/>
      <c r="G141" s="225">
        <f t="shared" si="20"/>
        <v>19.279806696157028</v>
      </c>
      <c r="H141" s="229"/>
      <c r="I141" s="225">
        <f t="shared" si="21"/>
        <v>1243.5475319021282</v>
      </c>
      <c r="J141" s="226">
        <f t="shared" si="22"/>
        <v>575390.59979951638</v>
      </c>
      <c r="K141" s="230"/>
      <c r="L141" s="251"/>
      <c r="M141" s="251"/>
      <c r="N141" s="251"/>
    </row>
    <row r="142" spans="1:14" x14ac:dyDescent="0.35">
      <c r="A142" s="316">
        <v>42909</v>
      </c>
      <c r="B142" s="227" t="s">
        <v>408</v>
      </c>
      <c r="C142" s="226"/>
      <c r="D142" s="226">
        <f>5*4</f>
        <v>20</v>
      </c>
      <c r="E142" s="228">
        <f t="shared" si="19"/>
        <v>29824.209999999992</v>
      </c>
      <c r="F142" s="229"/>
      <c r="G142" s="225">
        <f t="shared" si="20"/>
        <v>19.279806696157028</v>
      </c>
      <c r="H142" s="229"/>
      <c r="I142" s="225">
        <f t="shared" si="21"/>
        <v>385.59613392314054</v>
      </c>
      <c r="J142" s="226">
        <f t="shared" si="22"/>
        <v>575005.00366559322</v>
      </c>
      <c r="K142" s="230"/>
      <c r="L142" s="251"/>
      <c r="M142" s="251"/>
      <c r="N142" s="251"/>
    </row>
    <row r="143" spans="1:14" x14ac:dyDescent="0.35">
      <c r="A143" s="316">
        <v>42909</v>
      </c>
      <c r="B143" s="227" t="s">
        <v>409</v>
      </c>
      <c r="C143" s="226"/>
      <c r="D143" s="226">
        <f>12*3</f>
        <v>36</v>
      </c>
      <c r="E143" s="228">
        <f t="shared" si="19"/>
        <v>29788.209999999992</v>
      </c>
      <c r="F143" s="229"/>
      <c r="G143" s="225">
        <f t="shared" si="20"/>
        <v>19.279806696157028</v>
      </c>
      <c r="H143" s="229"/>
      <c r="I143" s="225">
        <f t="shared" si="21"/>
        <v>694.07304106165304</v>
      </c>
      <c r="J143" s="226">
        <f t="shared" si="22"/>
        <v>574310.93062453158</v>
      </c>
      <c r="K143" s="230"/>
      <c r="L143" s="251"/>
      <c r="M143" s="251"/>
      <c r="N143" s="251"/>
    </row>
    <row r="144" spans="1:14" x14ac:dyDescent="0.35">
      <c r="A144" s="316">
        <v>42909</v>
      </c>
      <c r="B144" s="227" t="s">
        <v>410</v>
      </c>
      <c r="C144" s="226"/>
      <c r="D144" s="226">
        <f>16*6+42*3.2+42*1.75+42*2.75+42*2.5</f>
        <v>524.4</v>
      </c>
      <c r="E144" s="228">
        <f t="shared" si="19"/>
        <v>29263.80999999999</v>
      </c>
      <c r="F144" s="229"/>
      <c r="G144" s="225">
        <f t="shared" si="20"/>
        <v>19.279806696157028</v>
      </c>
      <c r="H144" s="229"/>
      <c r="I144" s="225">
        <f t="shared" si="21"/>
        <v>10110.330631464745</v>
      </c>
      <c r="J144" s="226">
        <f t="shared" si="22"/>
        <v>564200.59999306686</v>
      </c>
      <c r="K144" s="230"/>
      <c r="L144" s="251"/>
      <c r="M144" s="251"/>
      <c r="N144" s="251"/>
    </row>
    <row r="145" spans="1:14" x14ac:dyDescent="0.35">
      <c r="A145" s="316">
        <v>42910</v>
      </c>
      <c r="B145" s="227" t="s">
        <v>411</v>
      </c>
      <c r="C145" s="226"/>
      <c r="D145" s="226">
        <f>5*4</f>
        <v>20</v>
      </c>
      <c r="E145" s="228">
        <f t="shared" si="19"/>
        <v>29243.80999999999</v>
      </c>
      <c r="F145" s="229"/>
      <c r="G145" s="225">
        <f t="shared" si="20"/>
        <v>19.279806696157031</v>
      </c>
      <c r="H145" s="229"/>
      <c r="I145" s="225">
        <f t="shared" si="21"/>
        <v>385.59613392314066</v>
      </c>
      <c r="J145" s="226">
        <f t="shared" si="22"/>
        <v>563815.0038591437</v>
      </c>
      <c r="K145" s="230"/>
      <c r="L145" s="251"/>
      <c r="M145" s="251"/>
      <c r="N145" s="251"/>
    </row>
    <row r="146" spans="1:14" x14ac:dyDescent="0.35">
      <c r="A146" s="316">
        <v>42910</v>
      </c>
      <c r="B146" s="227" t="s">
        <v>412</v>
      </c>
      <c r="C146" s="226"/>
      <c r="D146" s="226">
        <f>2*1.12</f>
        <v>2.2400000000000002</v>
      </c>
      <c r="E146" s="228">
        <f t="shared" si="19"/>
        <v>29241.569999999989</v>
      </c>
      <c r="F146" s="229"/>
      <c r="G146" s="225">
        <f t="shared" si="20"/>
        <v>19.279806696157028</v>
      </c>
      <c r="H146" s="229"/>
      <c r="I146" s="225">
        <f t="shared" si="21"/>
        <v>43.186766999391743</v>
      </c>
      <c r="J146" s="226">
        <f t="shared" si="22"/>
        <v>563771.81709214428</v>
      </c>
      <c r="K146" s="230"/>
      <c r="L146" s="251"/>
      <c r="M146" s="251"/>
      <c r="N146" s="251"/>
    </row>
    <row r="147" spans="1:14" x14ac:dyDescent="0.35">
      <c r="A147" s="316">
        <v>42910</v>
      </c>
      <c r="B147" s="227" t="s">
        <v>413</v>
      </c>
      <c r="C147" s="226"/>
      <c r="D147" s="226">
        <f>9*8+9*3.5+35*4.93</f>
        <v>276.04999999999995</v>
      </c>
      <c r="E147" s="228">
        <f t="shared" si="19"/>
        <v>28965.51999999999</v>
      </c>
      <c r="F147" s="229"/>
      <c r="G147" s="225">
        <f t="shared" si="20"/>
        <v>19.279806696157028</v>
      </c>
      <c r="H147" s="229"/>
      <c r="I147" s="225">
        <f t="shared" si="21"/>
        <v>5322.1906384741469</v>
      </c>
      <c r="J147" s="226">
        <f t="shared" si="22"/>
        <v>558449.62645367009</v>
      </c>
      <c r="K147" s="230"/>
      <c r="L147" s="251"/>
      <c r="M147" s="251"/>
      <c r="N147" s="251"/>
    </row>
    <row r="148" spans="1:14" s="216" customFormat="1" x14ac:dyDescent="0.35">
      <c r="A148" s="316">
        <v>42910</v>
      </c>
      <c r="B148" s="227" t="s">
        <v>160</v>
      </c>
      <c r="C148" s="226">
        <v>13219.8</v>
      </c>
      <c r="D148" s="226"/>
      <c r="E148" s="228">
        <f>+E147+C148</f>
        <v>42185.319999999992</v>
      </c>
      <c r="F148" s="229">
        <f>+H148/C148</f>
        <v>21.202721675063163</v>
      </c>
      <c r="G148" s="225"/>
      <c r="H148" s="229">
        <v>280295.74</v>
      </c>
      <c r="I148" s="225"/>
      <c r="J148" s="226">
        <f>+J147+H148</f>
        <v>838745.36645367008</v>
      </c>
      <c r="K148" s="230"/>
      <c r="L148" s="251"/>
      <c r="M148" s="251"/>
      <c r="N148" s="251"/>
    </row>
    <row r="149" spans="1:14" x14ac:dyDescent="0.35">
      <c r="A149" s="316">
        <v>42912</v>
      </c>
      <c r="B149" s="227" t="s">
        <v>414</v>
      </c>
      <c r="C149" s="226"/>
      <c r="D149" s="226">
        <f>6*3.5+6*5.5</f>
        <v>54</v>
      </c>
      <c r="E149" s="228">
        <f>+E148-D149</f>
        <v>42131.319999999992</v>
      </c>
      <c r="F149" s="229"/>
      <c r="G149" s="225">
        <f>+J148/E148</f>
        <v>19.882399053833662</v>
      </c>
      <c r="H149" s="229"/>
      <c r="I149" s="225">
        <f>+D149*G149</f>
        <v>1073.6495489070178</v>
      </c>
      <c r="J149" s="226">
        <f>+J148-I149</f>
        <v>837671.71690476302</v>
      </c>
      <c r="K149" s="230"/>
      <c r="L149" s="251"/>
      <c r="M149" s="251"/>
      <c r="N149" s="251"/>
    </row>
    <row r="150" spans="1:14" x14ac:dyDescent="0.35">
      <c r="A150" s="316">
        <v>42912</v>
      </c>
      <c r="B150" s="227" t="s">
        <v>415</v>
      </c>
      <c r="C150" s="226"/>
      <c r="D150" s="226">
        <f>17*2.5+10*3</f>
        <v>72.5</v>
      </c>
      <c r="E150" s="228">
        <f t="shared" ref="E150:E185" si="23">+E149-D150</f>
        <v>42058.819999999992</v>
      </c>
      <c r="F150" s="229"/>
      <c r="G150" s="225">
        <f t="shared" ref="G150:G185" si="24">+J149/E149</f>
        <v>19.882399053833659</v>
      </c>
      <c r="H150" s="229"/>
      <c r="I150" s="225">
        <f t="shared" ref="I150:I185" si="25">+D150*G150</f>
        <v>1441.4739314029403</v>
      </c>
      <c r="J150" s="226">
        <f t="shared" ref="J150:J185" si="26">+J149-I150</f>
        <v>836230.24297336012</v>
      </c>
      <c r="K150" s="230"/>
      <c r="L150" s="251"/>
      <c r="M150" s="251"/>
      <c r="N150" s="251"/>
    </row>
    <row r="151" spans="1:14" x14ac:dyDescent="0.35">
      <c r="A151" s="316">
        <v>42912</v>
      </c>
      <c r="B151" s="227" t="s">
        <v>416</v>
      </c>
      <c r="C151" s="226"/>
      <c r="D151" s="226">
        <f>13*4.6+15*5.6+8*4.4</f>
        <v>179</v>
      </c>
      <c r="E151" s="228">
        <f t="shared" si="23"/>
        <v>41879.819999999992</v>
      </c>
      <c r="F151" s="229"/>
      <c r="G151" s="225">
        <f t="shared" si="24"/>
        <v>19.882399053833662</v>
      </c>
      <c r="H151" s="229"/>
      <c r="I151" s="225">
        <f t="shared" si="25"/>
        <v>3558.9494306362258</v>
      </c>
      <c r="J151" s="226">
        <f t="shared" si="26"/>
        <v>832671.29354272387</v>
      </c>
      <c r="K151" s="230"/>
      <c r="L151" s="251"/>
      <c r="M151" s="251"/>
      <c r="N151" s="251"/>
    </row>
    <row r="152" spans="1:14" x14ac:dyDescent="0.35">
      <c r="A152" s="316">
        <v>42914</v>
      </c>
      <c r="B152" s="227" t="s">
        <v>417</v>
      </c>
      <c r="C152" s="226"/>
      <c r="D152" s="226">
        <f>6*3</f>
        <v>18</v>
      </c>
      <c r="E152" s="228">
        <f t="shared" si="23"/>
        <v>41861.819999999992</v>
      </c>
      <c r="F152" s="229"/>
      <c r="G152" s="225">
        <f t="shared" si="24"/>
        <v>19.882399053833662</v>
      </c>
      <c r="H152" s="229"/>
      <c r="I152" s="225">
        <f t="shared" si="25"/>
        <v>357.88318296900593</v>
      </c>
      <c r="J152" s="226">
        <f t="shared" si="26"/>
        <v>832313.41035975481</v>
      </c>
      <c r="K152" s="230"/>
      <c r="L152" s="251"/>
      <c r="M152" s="251"/>
      <c r="N152" s="251"/>
    </row>
    <row r="153" spans="1:14" x14ac:dyDescent="0.35">
      <c r="A153" s="316">
        <v>42914</v>
      </c>
      <c r="B153" s="227" t="s">
        <v>418</v>
      </c>
      <c r="C153" s="226"/>
      <c r="D153" s="226">
        <f>4*3.7</f>
        <v>14.8</v>
      </c>
      <c r="E153" s="228">
        <f t="shared" si="23"/>
        <v>41847.01999999999</v>
      </c>
      <c r="F153" s="229"/>
      <c r="G153" s="225">
        <f t="shared" si="24"/>
        <v>19.882399053833659</v>
      </c>
      <c r="H153" s="229"/>
      <c r="I153" s="225">
        <f t="shared" si="25"/>
        <v>294.25950599673814</v>
      </c>
      <c r="J153" s="226">
        <f t="shared" si="26"/>
        <v>832019.1508537581</v>
      </c>
      <c r="K153" s="230"/>
      <c r="L153" s="251"/>
      <c r="M153" s="251"/>
      <c r="N153" s="251"/>
    </row>
    <row r="154" spans="1:14" x14ac:dyDescent="0.35">
      <c r="A154" s="316">
        <v>42915</v>
      </c>
      <c r="B154" s="227" t="s">
        <v>419</v>
      </c>
      <c r="C154" s="226"/>
      <c r="D154" s="226">
        <f>26*6.4</f>
        <v>166.4</v>
      </c>
      <c r="E154" s="228">
        <f t="shared" si="23"/>
        <v>41680.619999999988</v>
      </c>
      <c r="F154" s="229"/>
      <c r="G154" s="225">
        <f t="shared" si="24"/>
        <v>19.882399053833662</v>
      </c>
      <c r="H154" s="229"/>
      <c r="I154" s="225">
        <f t="shared" si="25"/>
        <v>3308.4312025579216</v>
      </c>
      <c r="J154" s="226">
        <f t="shared" si="26"/>
        <v>828710.71965120023</v>
      </c>
      <c r="K154" s="230"/>
      <c r="L154" s="251"/>
      <c r="M154" s="251"/>
      <c r="N154" s="251"/>
    </row>
    <row r="155" spans="1:14" x14ac:dyDescent="0.35">
      <c r="A155" s="316">
        <v>42915</v>
      </c>
      <c r="B155" s="227" t="s">
        <v>420</v>
      </c>
      <c r="C155" s="226"/>
      <c r="D155" s="226">
        <v>20</v>
      </c>
      <c r="E155" s="228">
        <f t="shared" si="23"/>
        <v>41660.619999999988</v>
      </c>
      <c r="F155" s="229"/>
      <c r="G155" s="225">
        <f t="shared" si="24"/>
        <v>19.882399053833662</v>
      </c>
      <c r="H155" s="229"/>
      <c r="I155" s="225">
        <f t="shared" si="25"/>
        <v>397.64798107667326</v>
      </c>
      <c r="J155" s="226">
        <f t="shared" si="26"/>
        <v>828313.07167012361</v>
      </c>
      <c r="K155" s="230"/>
      <c r="L155" s="251"/>
      <c r="M155" s="251"/>
      <c r="N155" s="251"/>
    </row>
    <row r="156" spans="1:14" s="296" customFormat="1" x14ac:dyDescent="0.35">
      <c r="A156" s="317">
        <v>42915</v>
      </c>
      <c r="B156" s="241" t="s">
        <v>421</v>
      </c>
      <c r="C156" s="294"/>
      <c r="D156" s="294">
        <f>8.15+7.9+7.7+7.5+7.3+7.1+6.9+6.65+6.4+6.2</f>
        <v>71.8</v>
      </c>
      <c r="E156" s="228">
        <f t="shared" si="23"/>
        <v>41588.819999999985</v>
      </c>
      <c r="F156" s="229"/>
      <c r="G156" s="225">
        <f t="shared" si="24"/>
        <v>19.882399053833666</v>
      </c>
      <c r="H156" s="229"/>
      <c r="I156" s="225">
        <f t="shared" si="25"/>
        <v>1427.5562520652572</v>
      </c>
      <c r="J156" s="226">
        <f t="shared" si="26"/>
        <v>826885.51541805838</v>
      </c>
      <c r="K156" s="193"/>
      <c r="L156" s="260">
        <f>SUM(I129:I156)</f>
        <v>37923.064919744698</v>
      </c>
      <c r="M156" s="260">
        <f>SUM(L128:L156)</f>
        <v>53836.617366752704</v>
      </c>
      <c r="N156" s="253">
        <v>42916</v>
      </c>
    </row>
    <row r="157" spans="1:14" x14ac:dyDescent="0.35">
      <c r="A157" s="316">
        <v>42919</v>
      </c>
      <c r="B157" s="227" t="s">
        <v>422</v>
      </c>
      <c r="C157" s="226"/>
      <c r="D157" s="226">
        <f>11*5</f>
        <v>55</v>
      </c>
      <c r="E157" s="228">
        <f t="shared" si="23"/>
        <v>41533.819999999985</v>
      </c>
      <c r="F157" s="229"/>
      <c r="G157" s="225">
        <f t="shared" si="24"/>
        <v>19.882399053833666</v>
      </c>
      <c r="H157" s="229"/>
      <c r="I157" s="225">
        <f t="shared" si="25"/>
        <v>1093.5319479608515</v>
      </c>
      <c r="J157" s="226">
        <f t="shared" si="26"/>
        <v>825791.98347009753</v>
      </c>
      <c r="K157" s="230"/>
      <c r="L157" s="251"/>
      <c r="M157" s="251"/>
      <c r="N157" s="251"/>
    </row>
    <row r="158" spans="1:14" x14ac:dyDescent="0.35">
      <c r="A158" s="316">
        <v>42919</v>
      </c>
      <c r="B158" s="227" t="s">
        <v>423</v>
      </c>
      <c r="C158" s="226"/>
      <c r="D158" s="226">
        <f>19*1.55</f>
        <v>29.45</v>
      </c>
      <c r="E158" s="228">
        <f t="shared" si="23"/>
        <v>41504.369999999988</v>
      </c>
      <c r="F158" s="229"/>
      <c r="G158" s="225">
        <f t="shared" si="24"/>
        <v>19.882399053833666</v>
      </c>
      <c r="H158" s="229"/>
      <c r="I158" s="225">
        <f t="shared" si="25"/>
        <v>585.53665213540148</v>
      </c>
      <c r="J158" s="226">
        <f t="shared" si="26"/>
        <v>825206.4468179621</v>
      </c>
      <c r="K158" s="230"/>
      <c r="L158" s="251"/>
      <c r="M158" s="251"/>
      <c r="N158" s="251"/>
    </row>
    <row r="159" spans="1:14" x14ac:dyDescent="0.35">
      <c r="A159" s="316">
        <v>42920</v>
      </c>
      <c r="B159" s="227" t="s">
        <v>424</v>
      </c>
      <c r="C159" s="226"/>
      <c r="D159" s="226">
        <f>5*7.2</f>
        <v>36</v>
      </c>
      <c r="E159" s="228">
        <f t="shared" si="23"/>
        <v>41468.369999999988</v>
      </c>
      <c r="F159" s="229"/>
      <c r="G159" s="225">
        <f t="shared" si="24"/>
        <v>19.882399053833666</v>
      </c>
      <c r="H159" s="229"/>
      <c r="I159" s="225">
        <f t="shared" si="25"/>
        <v>715.76636593801197</v>
      </c>
      <c r="J159" s="226">
        <f t="shared" si="26"/>
        <v>824490.6804520241</v>
      </c>
      <c r="K159" s="230"/>
      <c r="L159" s="251"/>
      <c r="M159" s="251"/>
      <c r="N159" s="251"/>
    </row>
    <row r="160" spans="1:14" x14ac:dyDescent="0.35">
      <c r="A160" s="316">
        <v>42920</v>
      </c>
      <c r="B160" s="227" t="s">
        <v>425</v>
      </c>
      <c r="C160" s="226"/>
      <c r="D160" s="226">
        <f>5*7.2</f>
        <v>36</v>
      </c>
      <c r="E160" s="228">
        <f t="shared" si="23"/>
        <v>41432.369999999988</v>
      </c>
      <c r="F160" s="229"/>
      <c r="G160" s="225">
        <f t="shared" si="24"/>
        <v>19.882399053833666</v>
      </c>
      <c r="H160" s="229"/>
      <c r="I160" s="225">
        <f t="shared" si="25"/>
        <v>715.76636593801197</v>
      </c>
      <c r="J160" s="226">
        <f t="shared" si="26"/>
        <v>823774.91408608609</v>
      </c>
      <c r="K160" s="230"/>
      <c r="L160" s="251"/>
      <c r="M160" s="251"/>
      <c r="N160" s="251"/>
    </row>
    <row r="161" spans="1:14" x14ac:dyDescent="0.35">
      <c r="A161" s="316">
        <v>42920</v>
      </c>
      <c r="B161" s="227" t="s">
        <v>426</v>
      </c>
      <c r="C161" s="226"/>
      <c r="D161" s="226">
        <f>6*6.4</f>
        <v>38.400000000000006</v>
      </c>
      <c r="E161" s="228">
        <f t="shared" si="23"/>
        <v>41393.969999999987</v>
      </c>
      <c r="F161" s="229"/>
      <c r="G161" s="225">
        <f t="shared" si="24"/>
        <v>19.882399053833666</v>
      </c>
      <c r="H161" s="229"/>
      <c r="I161" s="225">
        <f t="shared" si="25"/>
        <v>763.48412366721288</v>
      </c>
      <c r="J161" s="226">
        <f t="shared" si="26"/>
        <v>823011.42996241886</v>
      </c>
      <c r="K161" s="230"/>
      <c r="L161" s="251"/>
      <c r="M161" s="251"/>
      <c r="N161" s="251"/>
    </row>
    <row r="162" spans="1:14" x14ac:dyDescent="0.35">
      <c r="A162" s="316">
        <v>42920</v>
      </c>
      <c r="B162" s="227" t="s">
        <v>427</v>
      </c>
      <c r="C162" s="226"/>
      <c r="D162" s="226">
        <v>2.5</v>
      </c>
      <c r="E162" s="228">
        <f t="shared" si="23"/>
        <v>41391.469999999987</v>
      </c>
      <c r="F162" s="229"/>
      <c r="G162" s="225">
        <f t="shared" si="24"/>
        <v>19.882399053833666</v>
      </c>
      <c r="H162" s="229"/>
      <c r="I162" s="225">
        <f t="shared" si="25"/>
        <v>49.705997634584165</v>
      </c>
      <c r="J162" s="226">
        <f t="shared" si="26"/>
        <v>822961.72396478429</v>
      </c>
      <c r="K162" s="230"/>
      <c r="L162" s="251"/>
      <c r="M162" s="251"/>
      <c r="N162" s="251"/>
    </row>
    <row r="163" spans="1:14" x14ac:dyDescent="0.35">
      <c r="A163" s="316">
        <v>42920</v>
      </c>
      <c r="B163" s="227" t="s">
        <v>428</v>
      </c>
      <c r="C163" s="226"/>
      <c r="D163" s="226">
        <f>5*4.5</f>
        <v>22.5</v>
      </c>
      <c r="E163" s="228">
        <f t="shared" si="23"/>
        <v>41368.969999999987</v>
      </c>
      <c r="F163" s="229"/>
      <c r="G163" s="225">
        <f t="shared" si="24"/>
        <v>19.882399053833666</v>
      </c>
      <c r="H163" s="229"/>
      <c r="I163" s="225">
        <f t="shared" si="25"/>
        <v>447.35397871125747</v>
      </c>
      <c r="J163" s="226">
        <f t="shared" si="26"/>
        <v>822514.369986073</v>
      </c>
      <c r="K163" s="230"/>
      <c r="L163" s="251"/>
      <c r="M163" s="251"/>
      <c r="N163" s="251"/>
    </row>
    <row r="164" spans="1:14" x14ac:dyDescent="0.35">
      <c r="A164" s="316">
        <v>42921</v>
      </c>
      <c r="B164" s="227" t="s">
        <v>429</v>
      </c>
      <c r="C164" s="226"/>
      <c r="D164" s="226">
        <f>11*3.22+3*3.4</f>
        <v>45.620000000000005</v>
      </c>
      <c r="E164" s="228">
        <f t="shared" si="23"/>
        <v>41323.349999999984</v>
      </c>
      <c r="F164" s="229"/>
      <c r="G164" s="225">
        <f t="shared" si="24"/>
        <v>19.882399053833666</v>
      </c>
      <c r="H164" s="229"/>
      <c r="I164" s="225">
        <f t="shared" si="25"/>
        <v>907.03504483589188</v>
      </c>
      <c r="J164" s="226">
        <f t="shared" si="26"/>
        <v>821607.33494123712</v>
      </c>
      <c r="K164" s="230"/>
      <c r="L164" s="251"/>
      <c r="M164" s="251"/>
      <c r="N164" s="251"/>
    </row>
    <row r="165" spans="1:14" x14ac:dyDescent="0.35">
      <c r="A165" s="316">
        <v>42921</v>
      </c>
      <c r="B165" s="227" t="s">
        <v>430</v>
      </c>
      <c r="C165" s="226"/>
      <c r="D165" s="226">
        <f>12*2.95</f>
        <v>35.400000000000006</v>
      </c>
      <c r="E165" s="228">
        <f t="shared" si="23"/>
        <v>41287.949999999983</v>
      </c>
      <c r="F165" s="229"/>
      <c r="G165" s="225">
        <f t="shared" si="24"/>
        <v>19.882399053833666</v>
      </c>
      <c r="H165" s="229"/>
      <c r="I165" s="225">
        <f t="shared" si="25"/>
        <v>703.83692650571186</v>
      </c>
      <c r="J165" s="226">
        <f t="shared" si="26"/>
        <v>820903.49801473145</v>
      </c>
      <c r="K165" s="230"/>
      <c r="L165" s="251"/>
      <c r="M165" s="251"/>
      <c r="N165" s="251"/>
    </row>
    <row r="166" spans="1:14" x14ac:dyDescent="0.35">
      <c r="A166" s="316">
        <v>42922</v>
      </c>
      <c r="B166" s="227" t="s">
        <v>431</v>
      </c>
      <c r="C166" s="226"/>
      <c r="D166" s="226">
        <f>5*4.1+3</f>
        <v>23.5</v>
      </c>
      <c r="E166" s="228">
        <f t="shared" si="23"/>
        <v>41264.449999999983</v>
      </c>
      <c r="F166" s="229"/>
      <c r="G166" s="225">
        <f t="shared" si="24"/>
        <v>19.882399053833669</v>
      </c>
      <c r="H166" s="229"/>
      <c r="I166" s="225">
        <f t="shared" si="25"/>
        <v>467.23637776509122</v>
      </c>
      <c r="J166" s="226">
        <f t="shared" si="26"/>
        <v>820436.26163696637</v>
      </c>
      <c r="K166" s="230"/>
      <c r="L166" s="251"/>
      <c r="M166" s="251"/>
      <c r="N166" s="251"/>
    </row>
    <row r="167" spans="1:14" x14ac:dyDescent="0.35">
      <c r="A167" s="316">
        <v>42923</v>
      </c>
      <c r="B167" s="227" t="s">
        <v>432</v>
      </c>
      <c r="C167" s="226"/>
      <c r="D167" s="226">
        <f>10*2.9</f>
        <v>29</v>
      </c>
      <c r="E167" s="228">
        <f t="shared" si="23"/>
        <v>41235.449999999983</v>
      </c>
      <c r="F167" s="229"/>
      <c r="G167" s="225">
        <f t="shared" si="24"/>
        <v>19.882399053833669</v>
      </c>
      <c r="H167" s="229"/>
      <c r="I167" s="225">
        <f t="shared" si="25"/>
        <v>576.5895725611764</v>
      </c>
      <c r="J167" s="226">
        <f t="shared" si="26"/>
        <v>819859.67206440517</v>
      </c>
      <c r="K167" s="230"/>
      <c r="L167" s="251"/>
      <c r="M167" s="251"/>
      <c r="N167" s="251"/>
    </row>
    <row r="168" spans="1:14" x14ac:dyDescent="0.35">
      <c r="A168" s="316">
        <v>42923</v>
      </c>
      <c r="B168" s="227" t="s">
        <v>433</v>
      </c>
      <c r="C168" s="226"/>
      <c r="D168" s="226">
        <f>20*3.4</f>
        <v>68</v>
      </c>
      <c r="E168" s="228">
        <f t="shared" si="23"/>
        <v>41167.449999999983</v>
      </c>
      <c r="F168" s="229"/>
      <c r="G168" s="225">
        <f t="shared" si="24"/>
        <v>19.882399053833669</v>
      </c>
      <c r="H168" s="229"/>
      <c r="I168" s="225">
        <f t="shared" si="25"/>
        <v>1352.0031356606896</v>
      </c>
      <c r="J168" s="226">
        <f t="shared" si="26"/>
        <v>818507.6689287445</v>
      </c>
      <c r="K168" s="230"/>
      <c r="L168" s="251"/>
      <c r="M168" s="251"/>
      <c r="N168" s="251"/>
    </row>
    <row r="169" spans="1:14" x14ac:dyDescent="0.35">
      <c r="A169" s="316">
        <v>42924</v>
      </c>
      <c r="B169" s="227" t="s">
        <v>434</v>
      </c>
      <c r="C169" s="226"/>
      <c r="D169" s="226">
        <f>5*0.8</f>
        <v>4</v>
      </c>
      <c r="E169" s="228">
        <f t="shared" si="23"/>
        <v>41163.449999999983</v>
      </c>
      <c r="F169" s="229"/>
      <c r="G169" s="225">
        <f t="shared" si="24"/>
        <v>19.882399053833669</v>
      </c>
      <c r="H169" s="229"/>
      <c r="I169" s="225">
        <f t="shared" si="25"/>
        <v>79.529596215334678</v>
      </c>
      <c r="J169" s="226">
        <f t="shared" si="26"/>
        <v>818428.13933252916</v>
      </c>
      <c r="K169" s="230"/>
      <c r="L169" s="251"/>
      <c r="M169" s="251"/>
      <c r="N169" s="251"/>
    </row>
    <row r="170" spans="1:14" x14ac:dyDescent="0.35">
      <c r="A170" s="316">
        <v>42924</v>
      </c>
      <c r="B170" s="227" t="s">
        <v>435</v>
      </c>
      <c r="C170" s="226"/>
      <c r="D170" s="226">
        <f>5*4</f>
        <v>20</v>
      </c>
      <c r="E170" s="228">
        <f t="shared" si="23"/>
        <v>41143.449999999983</v>
      </c>
      <c r="F170" s="229"/>
      <c r="G170" s="225">
        <f t="shared" si="24"/>
        <v>19.882399053833669</v>
      </c>
      <c r="H170" s="229"/>
      <c r="I170" s="225">
        <f t="shared" si="25"/>
        <v>397.64798107667337</v>
      </c>
      <c r="J170" s="226">
        <f t="shared" si="26"/>
        <v>818030.49135145254</v>
      </c>
      <c r="K170" s="230"/>
      <c r="L170" s="251"/>
      <c r="M170" s="251"/>
      <c r="N170" s="251"/>
    </row>
    <row r="171" spans="1:14" x14ac:dyDescent="0.35">
      <c r="A171" s="316">
        <v>42926</v>
      </c>
      <c r="B171" s="227" t="s">
        <v>436</v>
      </c>
      <c r="C171" s="226"/>
      <c r="D171" s="226">
        <f>14*5.88+5*5.15+6*5.3+6*5.95+6*1.75</f>
        <v>186.07</v>
      </c>
      <c r="E171" s="228">
        <f t="shared" si="23"/>
        <v>40957.379999999983</v>
      </c>
      <c r="F171" s="229"/>
      <c r="G171" s="225">
        <f t="shared" si="24"/>
        <v>19.882399053833669</v>
      </c>
      <c r="H171" s="229"/>
      <c r="I171" s="225">
        <f t="shared" si="25"/>
        <v>3699.5179919468305</v>
      </c>
      <c r="J171" s="226">
        <f t="shared" si="26"/>
        <v>814330.97335950576</v>
      </c>
      <c r="K171" s="230"/>
      <c r="L171" s="251"/>
      <c r="M171" s="251"/>
      <c r="N171" s="251"/>
    </row>
    <row r="172" spans="1:14" x14ac:dyDescent="0.35">
      <c r="A172" s="316">
        <v>42926</v>
      </c>
      <c r="B172" s="227" t="s">
        <v>437</v>
      </c>
      <c r="C172" s="226"/>
      <c r="D172" s="226">
        <f>6*5</f>
        <v>30</v>
      </c>
      <c r="E172" s="228">
        <f t="shared" si="23"/>
        <v>40927.379999999983</v>
      </c>
      <c r="F172" s="229"/>
      <c r="G172" s="225">
        <f t="shared" si="24"/>
        <v>19.882399053833669</v>
      </c>
      <c r="H172" s="229"/>
      <c r="I172" s="225">
        <f t="shared" si="25"/>
        <v>596.47197161501003</v>
      </c>
      <c r="J172" s="226">
        <f t="shared" si="26"/>
        <v>813734.50138789078</v>
      </c>
      <c r="K172" s="230"/>
      <c r="L172" s="251"/>
      <c r="M172" s="251"/>
      <c r="N172" s="251"/>
    </row>
    <row r="173" spans="1:14" x14ac:dyDescent="0.35">
      <c r="A173" s="316">
        <v>42929</v>
      </c>
      <c r="B173" s="227" t="s">
        <v>438</v>
      </c>
      <c r="C173" s="226"/>
      <c r="D173" s="226">
        <f>4*5</f>
        <v>20</v>
      </c>
      <c r="E173" s="228">
        <f t="shared" si="23"/>
        <v>40907.379999999983</v>
      </c>
      <c r="F173" s="229"/>
      <c r="G173" s="225">
        <f t="shared" si="24"/>
        <v>19.882399053833669</v>
      </c>
      <c r="H173" s="229"/>
      <c r="I173" s="225">
        <f t="shared" si="25"/>
        <v>397.64798107667337</v>
      </c>
      <c r="J173" s="226">
        <f t="shared" si="26"/>
        <v>813336.85340681416</v>
      </c>
      <c r="K173" s="230"/>
      <c r="L173" s="251"/>
      <c r="M173" s="251"/>
      <c r="N173" s="251"/>
    </row>
    <row r="174" spans="1:14" x14ac:dyDescent="0.35">
      <c r="A174" s="316">
        <v>42930</v>
      </c>
      <c r="B174" s="227" t="s">
        <v>439</v>
      </c>
      <c r="C174" s="226"/>
      <c r="D174" s="226">
        <f>4*2.2</f>
        <v>8.8000000000000007</v>
      </c>
      <c r="E174" s="228">
        <f t="shared" si="23"/>
        <v>40898.57999999998</v>
      </c>
      <c r="F174" s="229"/>
      <c r="G174" s="225">
        <f t="shared" si="24"/>
        <v>19.882399053833673</v>
      </c>
      <c r="H174" s="229"/>
      <c r="I174" s="225">
        <f t="shared" si="25"/>
        <v>174.96511167373635</v>
      </c>
      <c r="J174" s="226">
        <f t="shared" si="26"/>
        <v>813161.88829514047</v>
      </c>
      <c r="K174" s="230"/>
      <c r="L174" s="251"/>
      <c r="M174" s="251"/>
      <c r="N174" s="251"/>
    </row>
    <row r="175" spans="1:14" s="296" customFormat="1" x14ac:dyDescent="0.35">
      <c r="A175" s="317">
        <v>42930</v>
      </c>
      <c r="B175" s="241" t="s">
        <v>440</v>
      </c>
      <c r="C175" s="294"/>
      <c r="D175" s="294">
        <f>5*5</f>
        <v>25</v>
      </c>
      <c r="E175" s="228">
        <f t="shared" si="23"/>
        <v>40873.57999999998</v>
      </c>
      <c r="F175" s="229"/>
      <c r="G175" s="225">
        <f t="shared" si="24"/>
        <v>19.882399053833677</v>
      </c>
      <c r="H175" s="229"/>
      <c r="I175" s="225">
        <f t="shared" si="25"/>
        <v>497.0599763458419</v>
      </c>
      <c r="J175" s="226">
        <f t="shared" si="26"/>
        <v>812664.82831879461</v>
      </c>
      <c r="K175" s="193"/>
      <c r="L175" s="260">
        <f>SUM(I157:I175)</f>
        <v>14220.687099263992</v>
      </c>
      <c r="M175" s="200"/>
      <c r="N175" s="253">
        <v>42931</v>
      </c>
    </row>
    <row r="176" spans="1:14" x14ac:dyDescent="0.35">
      <c r="A176" s="316">
        <v>42934</v>
      </c>
      <c r="B176" s="227" t="s">
        <v>441</v>
      </c>
      <c r="C176" s="226"/>
      <c r="D176" s="226">
        <f>5*3.7</f>
        <v>18.5</v>
      </c>
      <c r="E176" s="228">
        <f t="shared" si="23"/>
        <v>40855.07999999998</v>
      </c>
      <c r="F176" s="229"/>
      <c r="G176" s="225">
        <f t="shared" si="24"/>
        <v>19.882399053833673</v>
      </c>
      <c r="H176" s="229"/>
      <c r="I176" s="225">
        <f t="shared" si="25"/>
        <v>367.82438249592298</v>
      </c>
      <c r="J176" s="226">
        <f t="shared" si="26"/>
        <v>812297.00393629866</v>
      </c>
      <c r="K176" s="230"/>
    </row>
    <row r="177" spans="1:11" x14ac:dyDescent="0.35">
      <c r="A177" s="316">
        <v>42934</v>
      </c>
      <c r="B177" s="227" t="s">
        <v>442</v>
      </c>
      <c r="C177" s="226"/>
      <c r="D177" s="226">
        <f>38*1.75</f>
        <v>66.5</v>
      </c>
      <c r="E177" s="228">
        <f t="shared" si="23"/>
        <v>40788.57999999998</v>
      </c>
      <c r="F177" s="229"/>
      <c r="G177" s="225">
        <f t="shared" si="24"/>
        <v>19.882399053833673</v>
      </c>
      <c r="H177" s="229"/>
      <c r="I177" s="225">
        <f t="shared" si="25"/>
        <v>1322.1795370799393</v>
      </c>
      <c r="J177" s="226">
        <f t="shared" si="26"/>
        <v>810974.82439921866</v>
      </c>
      <c r="K177" s="230"/>
    </row>
    <row r="178" spans="1:11" x14ac:dyDescent="0.35">
      <c r="A178" s="316">
        <v>42934</v>
      </c>
      <c r="B178" s="227" t="s">
        <v>443</v>
      </c>
      <c r="C178" s="226"/>
      <c r="D178" s="226">
        <f>5.38+3.63</f>
        <v>9.01</v>
      </c>
      <c r="E178" s="228">
        <f t="shared" si="23"/>
        <v>40779.569999999978</v>
      </c>
      <c r="F178" s="229"/>
      <c r="G178" s="225">
        <f t="shared" si="24"/>
        <v>19.882399053833673</v>
      </c>
      <c r="H178" s="229"/>
      <c r="I178" s="225">
        <f t="shared" si="25"/>
        <v>179.14041547504138</v>
      </c>
      <c r="J178" s="226">
        <f t="shared" si="26"/>
        <v>810795.68398374366</v>
      </c>
      <c r="K178" s="230"/>
    </row>
    <row r="179" spans="1:11" x14ac:dyDescent="0.35">
      <c r="A179" s="316">
        <v>42935</v>
      </c>
      <c r="B179" s="227" t="s">
        <v>444</v>
      </c>
      <c r="C179" s="226"/>
      <c r="D179" s="226">
        <f>30*6.58</f>
        <v>197.4</v>
      </c>
      <c r="E179" s="228">
        <f t="shared" si="23"/>
        <v>40582.169999999976</v>
      </c>
      <c r="F179" s="229"/>
      <c r="G179" s="225">
        <f t="shared" si="24"/>
        <v>19.882399053833673</v>
      </c>
      <c r="H179" s="229"/>
      <c r="I179" s="225">
        <f t="shared" si="25"/>
        <v>3924.7855732267672</v>
      </c>
      <c r="J179" s="226">
        <f t="shared" si="26"/>
        <v>806870.89841051691</v>
      </c>
      <c r="K179" s="230"/>
    </row>
    <row r="180" spans="1:11" x14ac:dyDescent="0.35">
      <c r="A180" s="316">
        <v>42937</v>
      </c>
      <c r="B180" s="227" t="s">
        <v>445</v>
      </c>
      <c r="C180" s="226"/>
      <c r="D180" s="226">
        <f>9*4</f>
        <v>36</v>
      </c>
      <c r="E180" s="228">
        <f t="shared" si="23"/>
        <v>40546.169999999976</v>
      </c>
      <c r="F180" s="229"/>
      <c r="G180" s="225">
        <f t="shared" si="24"/>
        <v>19.882399053833677</v>
      </c>
      <c r="H180" s="229"/>
      <c r="I180" s="225">
        <f t="shared" si="25"/>
        <v>715.76636593801231</v>
      </c>
      <c r="J180" s="226">
        <f t="shared" si="26"/>
        <v>806155.1320445789</v>
      </c>
      <c r="K180" s="230"/>
    </row>
    <row r="181" spans="1:11" x14ac:dyDescent="0.35">
      <c r="A181" s="316">
        <v>42940</v>
      </c>
      <c r="B181" s="227" t="s">
        <v>446</v>
      </c>
      <c r="C181" s="226"/>
      <c r="D181" s="226">
        <f>2*2.4</f>
        <v>4.8</v>
      </c>
      <c r="E181" s="228">
        <f t="shared" si="23"/>
        <v>40541.369999999974</v>
      </c>
      <c r="F181" s="229"/>
      <c r="G181" s="225">
        <f t="shared" si="24"/>
        <v>19.882399053833677</v>
      </c>
      <c r="H181" s="229"/>
      <c r="I181" s="225">
        <f t="shared" si="25"/>
        <v>95.435515458401639</v>
      </c>
      <c r="J181" s="226">
        <f t="shared" si="26"/>
        <v>806059.69652912056</v>
      </c>
      <c r="K181" s="230"/>
    </row>
    <row r="182" spans="1:11" x14ac:dyDescent="0.35">
      <c r="A182" s="316">
        <v>42941</v>
      </c>
      <c r="B182" s="227" t="s">
        <v>447</v>
      </c>
      <c r="C182" s="226"/>
      <c r="D182" s="226">
        <f>14*6.3</f>
        <v>88.2</v>
      </c>
      <c r="E182" s="228">
        <f t="shared" si="23"/>
        <v>40453.169999999976</v>
      </c>
      <c r="F182" s="229"/>
      <c r="G182" s="225">
        <f t="shared" si="24"/>
        <v>19.88239905383368</v>
      </c>
      <c r="H182" s="229"/>
      <c r="I182" s="225">
        <f t="shared" si="25"/>
        <v>1753.6275965481307</v>
      </c>
      <c r="J182" s="226">
        <f t="shared" si="26"/>
        <v>804306.06893257238</v>
      </c>
      <c r="K182" s="230"/>
    </row>
    <row r="183" spans="1:11" x14ac:dyDescent="0.35">
      <c r="A183" s="316">
        <v>42941</v>
      </c>
      <c r="B183" s="227" t="s">
        <v>448</v>
      </c>
      <c r="C183" s="226"/>
      <c r="D183" s="226">
        <v>2</v>
      </c>
      <c r="E183" s="228">
        <f t="shared" si="23"/>
        <v>40451.169999999976</v>
      </c>
      <c r="F183" s="229"/>
      <c r="G183" s="225">
        <f t="shared" si="24"/>
        <v>19.882399053833677</v>
      </c>
      <c r="H183" s="229"/>
      <c r="I183" s="225">
        <f t="shared" si="25"/>
        <v>39.764798107667353</v>
      </c>
      <c r="J183" s="226">
        <f t="shared" si="26"/>
        <v>804266.30413446471</v>
      </c>
      <c r="K183" s="230"/>
    </row>
    <row r="184" spans="1:11" x14ac:dyDescent="0.35">
      <c r="A184" s="316">
        <v>42941</v>
      </c>
      <c r="B184" s="227" t="s">
        <v>449</v>
      </c>
      <c r="C184" s="226"/>
      <c r="D184" s="226">
        <f>25*3.55+10*3.5</f>
        <v>123.75</v>
      </c>
      <c r="E184" s="228">
        <f t="shared" si="23"/>
        <v>40327.419999999976</v>
      </c>
      <c r="F184" s="229"/>
      <c r="G184" s="225">
        <f t="shared" si="24"/>
        <v>19.882399053833677</v>
      </c>
      <c r="H184" s="229"/>
      <c r="I184" s="225">
        <f t="shared" si="25"/>
        <v>2460.4468829119173</v>
      </c>
      <c r="J184" s="226">
        <f t="shared" si="26"/>
        <v>801805.85725155275</v>
      </c>
      <c r="K184" s="230"/>
    </row>
    <row r="185" spans="1:11" x14ac:dyDescent="0.35">
      <c r="A185" s="316">
        <v>42941</v>
      </c>
      <c r="B185" s="227" t="s">
        <v>450</v>
      </c>
      <c r="C185" s="226"/>
      <c r="D185" s="226">
        <f>9*4.3+3*1.5</f>
        <v>43.199999999999996</v>
      </c>
      <c r="E185" s="228">
        <f t="shared" si="23"/>
        <v>40284.219999999979</v>
      </c>
      <c r="F185" s="229"/>
      <c r="G185" s="225">
        <f t="shared" si="24"/>
        <v>19.882399053833677</v>
      </c>
      <c r="H185" s="229"/>
      <c r="I185" s="225">
        <f t="shared" si="25"/>
        <v>858.91963912561471</v>
      </c>
      <c r="J185" s="226">
        <f t="shared" si="26"/>
        <v>800946.93761242717</v>
      </c>
      <c r="K185" s="230"/>
    </row>
    <row r="186" spans="1:11" x14ac:dyDescent="0.35">
      <c r="A186" s="316">
        <v>42942</v>
      </c>
      <c r="B186" s="227" t="s">
        <v>451</v>
      </c>
      <c r="C186" s="226"/>
      <c r="D186" s="226">
        <f>11*2.5+5*3.7</f>
        <v>46</v>
      </c>
      <c r="E186" s="228">
        <f t="shared" ref="E186:E213" si="27">+E185-D186</f>
        <v>40238.219999999979</v>
      </c>
      <c r="F186" s="229"/>
      <c r="G186" s="225">
        <f t="shared" ref="G186:G188" si="28">+J185/E185</f>
        <v>19.882399053833673</v>
      </c>
      <c r="H186" s="229"/>
      <c r="I186" s="225">
        <f t="shared" ref="I186:I188" si="29">+D186*G186</f>
        <v>914.59035647634892</v>
      </c>
      <c r="J186" s="226">
        <f t="shared" ref="J186:J188" si="30">+J185-I186</f>
        <v>800032.34725595079</v>
      </c>
      <c r="K186" s="230"/>
    </row>
    <row r="187" spans="1:11" x14ac:dyDescent="0.35">
      <c r="A187" s="316">
        <v>42943</v>
      </c>
      <c r="B187" s="227" t="s">
        <v>452</v>
      </c>
      <c r="C187" s="226"/>
      <c r="D187" s="226">
        <f>9*2.5</f>
        <v>22.5</v>
      </c>
      <c r="E187" s="228">
        <f t="shared" si="27"/>
        <v>40215.719999999979</v>
      </c>
      <c r="F187" s="229"/>
      <c r="G187" s="225">
        <f t="shared" si="28"/>
        <v>19.882399053833673</v>
      </c>
      <c r="H187" s="229"/>
      <c r="I187" s="225">
        <f t="shared" si="29"/>
        <v>447.35397871125764</v>
      </c>
      <c r="J187" s="226">
        <f t="shared" si="30"/>
        <v>799584.9932772395</v>
      </c>
      <c r="K187" s="230"/>
    </row>
    <row r="188" spans="1:11" x14ac:dyDescent="0.35">
      <c r="A188" s="316">
        <v>42943</v>
      </c>
      <c r="B188" s="227" t="s">
        <v>453</v>
      </c>
      <c r="C188" s="226"/>
      <c r="D188" s="226">
        <v>7</v>
      </c>
      <c r="E188" s="228">
        <f t="shared" si="27"/>
        <v>40208.719999999979</v>
      </c>
      <c r="F188" s="229"/>
      <c r="G188" s="225">
        <f t="shared" si="28"/>
        <v>19.882399053833673</v>
      </c>
      <c r="H188" s="229"/>
      <c r="I188" s="225">
        <f t="shared" si="29"/>
        <v>139.17679337683572</v>
      </c>
      <c r="J188" s="226">
        <f t="shared" si="30"/>
        <v>799445.8164838627</v>
      </c>
      <c r="K188" s="230"/>
    </row>
    <row r="189" spans="1:11" x14ac:dyDescent="0.35">
      <c r="A189" s="316">
        <v>42943</v>
      </c>
      <c r="B189" s="227" t="s">
        <v>454</v>
      </c>
      <c r="C189" s="226"/>
      <c r="D189" s="226">
        <f>7*3.3</f>
        <v>23.099999999999998</v>
      </c>
      <c r="E189" s="228">
        <f t="shared" si="27"/>
        <v>40185.619999999981</v>
      </c>
      <c r="F189" s="229"/>
      <c r="G189" s="225">
        <f t="shared" ref="G189:G194" si="31">+J188/E188</f>
        <v>19.882399053833673</v>
      </c>
      <c r="H189" s="229"/>
      <c r="I189" s="225">
        <f t="shared" ref="I189:I194" si="32">+D189*G189</f>
        <v>459.28341814355781</v>
      </c>
      <c r="J189" s="226">
        <f t="shared" ref="J189:J194" si="33">+J188-I189</f>
        <v>798986.53306571918</v>
      </c>
      <c r="K189" s="230"/>
    </row>
    <row r="190" spans="1:11" x14ac:dyDescent="0.35">
      <c r="A190" s="316">
        <v>42943</v>
      </c>
      <c r="B190" s="227" t="s">
        <v>455</v>
      </c>
      <c r="C190" s="226"/>
      <c r="D190" s="226">
        <f>26*3.15</f>
        <v>81.899999999999991</v>
      </c>
      <c r="E190" s="228">
        <f t="shared" si="27"/>
        <v>40103.719999999979</v>
      </c>
      <c r="F190" s="229"/>
      <c r="G190" s="225">
        <f t="shared" si="31"/>
        <v>19.882399053833673</v>
      </c>
      <c r="H190" s="229"/>
      <c r="I190" s="225">
        <f t="shared" si="32"/>
        <v>1628.3684825089776</v>
      </c>
      <c r="J190" s="226">
        <f t="shared" si="33"/>
        <v>797358.16458321025</v>
      </c>
      <c r="K190" s="230"/>
    </row>
    <row r="191" spans="1:11" x14ac:dyDescent="0.35">
      <c r="A191" s="316">
        <v>42944</v>
      </c>
      <c r="B191" s="227" t="s">
        <v>456</v>
      </c>
      <c r="C191" s="226"/>
      <c r="D191" s="226">
        <f>5*5.75</f>
        <v>28.75</v>
      </c>
      <c r="E191" s="228">
        <f t="shared" si="27"/>
        <v>40074.969999999979</v>
      </c>
      <c r="F191" s="229"/>
      <c r="G191" s="225">
        <f t="shared" si="31"/>
        <v>19.882399053833677</v>
      </c>
      <c r="H191" s="229"/>
      <c r="I191" s="225">
        <f t="shared" si="32"/>
        <v>571.61897279771824</v>
      </c>
      <c r="J191" s="226">
        <f t="shared" si="33"/>
        <v>796786.54561041249</v>
      </c>
      <c r="K191" s="230"/>
    </row>
    <row r="192" spans="1:11" x14ac:dyDescent="0.35">
      <c r="A192" s="316">
        <v>42945</v>
      </c>
      <c r="B192" s="227" t="s">
        <v>457</v>
      </c>
      <c r="C192" s="226"/>
      <c r="D192" s="226">
        <f>8*4.2</f>
        <v>33.6</v>
      </c>
      <c r="E192" s="228">
        <f t="shared" si="27"/>
        <v>40041.369999999981</v>
      </c>
      <c r="F192" s="229"/>
      <c r="G192" s="225">
        <f t="shared" si="31"/>
        <v>19.882399053833673</v>
      </c>
      <c r="H192" s="229"/>
      <c r="I192" s="225">
        <f t="shared" si="32"/>
        <v>668.0486082088114</v>
      </c>
      <c r="J192" s="226">
        <f t="shared" si="33"/>
        <v>796118.49700220372</v>
      </c>
      <c r="K192" s="230"/>
    </row>
    <row r="193" spans="1:14" x14ac:dyDescent="0.35">
      <c r="A193" s="316">
        <v>42945</v>
      </c>
      <c r="B193" s="227" t="s">
        <v>458</v>
      </c>
      <c r="C193" s="226"/>
      <c r="D193" s="226">
        <f>13*5+7*3.6</f>
        <v>90.2</v>
      </c>
      <c r="E193" s="228">
        <f t="shared" si="27"/>
        <v>39951.169999999984</v>
      </c>
      <c r="F193" s="229"/>
      <c r="G193" s="225">
        <f t="shared" si="31"/>
        <v>19.882399053833677</v>
      </c>
      <c r="H193" s="229"/>
      <c r="I193" s="225">
        <f t="shared" si="32"/>
        <v>1793.3923946557977</v>
      </c>
      <c r="J193" s="226">
        <f t="shared" si="33"/>
        <v>794325.10460754787</v>
      </c>
      <c r="K193" s="230"/>
    </row>
    <row r="194" spans="1:14" x14ac:dyDescent="0.35">
      <c r="A194" s="316">
        <v>42945</v>
      </c>
      <c r="B194" s="227" t="s">
        <v>459</v>
      </c>
      <c r="C194" s="226"/>
      <c r="D194" s="226">
        <f>4*6.2+2*2.2</f>
        <v>29.200000000000003</v>
      </c>
      <c r="E194" s="228">
        <f t="shared" si="27"/>
        <v>39921.969999999987</v>
      </c>
      <c r="F194" s="229"/>
      <c r="G194" s="225">
        <f t="shared" si="31"/>
        <v>19.882399053833673</v>
      </c>
      <c r="H194" s="229"/>
      <c r="I194" s="225">
        <f t="shared" si="32"/>
        <v>580.56605237194333</v>
      </c>
      <c r="J194" s="226">
        <f t="shared" si="33"/>
        <v>793744.53855517588</v>
      </c>
      <c r="K194" s="230"/>
    </row>
    <row r="195" spans="1:14" s="216" customFormat="1" x14ac:dyDescent="0.35">
      <c r="A195" s="316">
        <v>42945</v>
      </c>
      <c r="B195" s="227" t="s">
        <v>460</v>
      </c>
      <c r="C195" s="226"/>
      <c r="D195" s="226">
        <f>3*4.2</f>
        <v>12.600000000000001</v>
      </c>
      <c r="E195" s="228">
        <f t="shared" si="27"/>
        <v>39909.369999999988</v>
      </c>
      <c r="F195" s="229"/>
      <c r="G195" s="225">
        <f t="shared" ref="G195:G216" si="34">+J194/E194</f>
        <v>19.882399053833669</v>
      </c>
      <c r="H195" s="229"/>
      <c r="I195" s="225">
        <f t="shared" ref="I195:I216" si="35">+D195*G195</f>
        <v>250.51822807830428</v>
      </c>
      <c r="J195" s="226">
        <f t="shared" ref="J195:J216" si="36">+J194-I195</f>
        <v>793494.02032709762</v>
      </c>
      <c r="K195" s="230"/>
    </row>
    <row r="196" spans="1:14" s="216" customFormat="1" x14ac:dyDescent="0.35">
      <c r="A196" s="316">
        <v>42947</v>
      </c>
      <c r="B196" s="227" t="s">
        <v>461</v>
      </c>
      <c r="C196" s="226"/>
      <c r="D196" s="226">
        <f>6*6+2.3+2.2+2.1+2+1.9+1.8+3</f>
        <v>51.3</v>
      </c>
      <c r="E196" s="228">
        <f t="shared" si="27"/>
        <v>39858.069999999985</v>
      </c>
      <c r="F196" s="229"/>
      <c r="G196" s="225">
        <f>+J195/E195</f>
        <v>19.882399053833669</v>
      </c>
      <c r="H196" s="229"/>
      <c r="I196" s="225">
        <f t="shared" si="35"/>
        <v>1019.9670714616672</v>
      </c>
      <c r="J196" s="226">
        <f>+J195-I196</f>
        <v>792474.0532556359</v>
      </c>
      <c r="K196" s="230"/>
    </row>
    <row r="197" spans="1:14" s="216" customFormat="1" x14ac:dyDescent="0.35">
      <c r="A197" s="316">
        <v>42947</v>
      </c>
      <c r="B197" s="227" t="s">
        <v>462</v>
      </c>
      <c r="C197" s="226"/>
      <c r="D197" s="226">
        <f>10*2</f>
        <v>20</v>
      </c>
      <c r="E197" s="228">
        <f t="shared" si="27"/>
        <v>39838.069999999985</v>
      </c>
      <c r="F197" s="229"/>
      <c r="G197" s="225">
        <f t="shared" si="34"/>
        <v>19.882399053833669</v>
      </c>
      <c r="H197" s="229"/>
      <c r="I197" s="225">
        <f t="shared" si="35"/>
        <v>397.64798107667337</v>
      </c>
      <c r="J197" s="226">
        <f t="shared" si="36"/>
        <v>792076.40527455928</v>
      </c>
      <c r="K197" s="230"/>
    </row>
    <row r="198" spans="1:14" s="216" customFormat="1" x14ac:dyDescent="0.35">
      <c r="A198" s="316">
        <v>42947</v>
      </c>
      <c r="B198" s="227" t="s">
        <v>463</v>
      </c>
      <c r="C198" s="226"/>
      <c r="D198" s="226">
        <f>10*3.62</f>
        <v>36.200000000000003</v>
      </c>
      <c r="E198" s="228">
        <f t="shared" si="27"/>
        <v>39801.869999999988</v>
      </c>
      <c r="F198" s="229"/>
      <c r="G198" s="225">
        <f t="shared" si="34"/>
        <v>19.882399053833673</v>
      </c>
      <c r="H198" s="229"/>
      <c r="I198" s="225">
        <f t="shared" si="35"/>
        <v>719.74284574877902</v>
      </c>
      <c r="J198" s="226">
        <f t="shared" si="36"/>
        <v>791356.66242881049</v>
      </c>
      <c r="K198" s="230"/>
    </row>
    <row r="199" spans="1:14" s="216" customFormat="1" x14ac:dyDescent="0.35">
      <c r="A199" s="316">
        <v>42947</v>
      </c>
      <c r="B199" s="227" t="s">
        <v>464</v>
      </c>
      <c r="C199" s="226"/>
      <c r="D199" s="226">
        <v>12</v>
      </c>
      <c r="E199" s="228">
        <f t="shared" si="27"/>
        <v>39789.869999999988</v>
      </c>
      <c r="F199" s="229"/>
      <c r="G199" s="225">
        <f t="shared" si="34"/>
        <v>19.882399053833669</v>
      </c>
      <c r="H199" s="229"/>
      <c r="I199" s="225">
        <f t="shared" si="35"/>
        <v>238.58878864600405</v>
      </c>
      <c r="J199" s="226">
        <f t="shared" si="36"/>
        <v>791118.07364016445</v>
      </c>
      <c r="K199" s="230"/>
    </row>
    <row r="200" spans="1:14" s="216" customFormat="1" x14ac:dyDescent="0.35">
      <c r="A200" s="316">
        <v>42947</v>
      </c>
      <c r="B200" s="227" t="s">
        <v>465</v>
      </c>
      <c r="C200" s="226"/>
      <c r="D200" s="226">
        <f>4*4.6</f>
        <v>18.399999999999999</v>
      </c>
      <c r="E200" s="228">
        <f t="shared" si="27"/>
        <v>39771.469999999987</v>
      </c>
      <c r="F200" s="229"/>
      <c r="G200" s="225">
        <f t="shared" si="34"/>
        <v>19.882399053833669</v>
      </c>
      <c r="H200" s="229"/>
      <c r="I200" s="225">
        <f t="shared" si="35"/>
        <v>365.83614259053951</v>
      </c>
      <c r="J200" s="226">
        <f t="shared" si="36"/>
        <v>790752.23749757395</v>
      </c>
      <c r="K200" s="230"/>
    </row>
    <row r="201" spans="1:14" s="296" customFormat="1" x14ac:dyDescent="0.35">
      <c r="A201" s="317">
        <v>42947</v>
      </c>
      <c r="B201" s="241" t="s">
        <v>466</v>
      </c>
      <c r="C201" s="294"/>
      <c r="D201" s="294">
        <f>24*4.8</f>
        <v>115.19999999999999</v>
      </c>
      <c r="E201" s="228">
        <f t="shared" si="27"/>
        <v>39656.26999999999</v>
      </c>
      <c r="F201" s="242"/>
      <c r="G201" s="294">
        <f t="shared" si="34"/>
        <v>19.882399053833669</v>
      </c>
      <c r="H201" s="242"/>
      <c r="I201" s="294">
        <f t="shared" si="35"/>
        <v>2290.4523710016383</v>
      </c>
      <c r="J201" s="294">
        <f t="shared" si="36"/>
        <v>788461.78512657236</v>
      </c>
      <c r="K201" s="193"/>
      <c r="L201" s="319">
        <f>SUM(I176:I201)</f>
        <v>24203.043192222263</v>
      </c>
      <c r="M201" s="319">
        <f>SUM(L175:L201)</f>
        <v>38423.730291486252</v>
      </c>
      <c r="N201" s="318">
        <v>42947</v>
      </c>
    </row>
    <row r="202" spans="1:14" s="216" customFormat="1" x14ac:dyDescent="0.35">
      <c r="A202" s="316">
        <v>42948</v>
      </c>
      <c r="B202" s="227" t="s">
        <v>467</v>
      </c>
      <c r="C202" s="226"/>
      <c r="D202" s="226">
        <v>4</v>
      </c>
      <c r="E202" s="228">
        <f t="shared" si="27"/>
        <v>39652.26999999999</v>
      </c>
      <c r="F202" s="229"/>
      <c r="G202" s="225">
        <f t="shared" si="34"/>
        <v>19.882399053833669</v>
      </c>
      <c r="H202" s="229"/>
      <c r="I202" s="225">
        <f t="shared" si="35"/>
        <v>79.529596215334678</v>
      </c>
      <c r="J202" s="226">
        <f t="shared" si="36"/>
        <v>788382.25553035701</v>
      </c>
      <c r="K202" s="230"/>
    </row>
    <row r="203" spans="1:14" s="216" customFormat="1" x14ac:dyDescent="0.35">
      <c r="A203" s="316">
        <v>42948</v>
      </c>
      <c r="B203" s="227" t="s">
        <v>468</v>
      </c>
      <c r="C203" s="226"/>
      <c r="D203" s="226">
        <f>5*2.5</f>
        <v>12.5</v>
      </c>
      <c r="E203" s="228">
        <f t="shared" si="27"/>
        <v>39639.76999999999</v>
      </c>
      <c r="F203" s="229"/>
      <c r="G203" s="225">
        <f t="shared" si="34"/>
        <v>19.882399053833669</v>
      </c>
      <c r="H203" s="229"/>
      <c r="I203" s="225">
        <f t="shared" si="35"/>
        <v>248.52998817292087</v>
      </c>
      <c r="J203" s="226">
        <f t="shared" si="36"/>
        <v>788133.72554218408</v>
      </c>
      <c r="K203" s="230"/>
      <c r="L203" s="326"/>
    </row>
    <row r="204" spans="1:14" s="216" customFormat="1" x14ac:dyDescent="0.35">
      <c r="A204" s="316">
        <v>42949</v>
      </c>
      <c r="B204" s="323" t="s">
        <v>469</v>
      </c>
      <c r="C204" s="324"/>
      <c r="D204" s="324">
        <f>7*5.3</f>
        <v>37.1</v>
      </c>
      <c r="E204" s="228">
        <f t="shared" si="27"/>
        <v>39602.669999999991</v>
      </c>
      <c r="F204" s="229"/>
      <c r="G204" s="225">
        <f t="shared" si="34"/>
        <v>19.882399053833669</v>
      </c>
      <c r="H204" s="229"/>
      <c r="I204" s="225">
        <f t="shared" si="35"/>
        <v>737.63700489722919</v>
      </c>
      <c r="J204" s="226">
        <f t="shared" si="36"/>
        <v>787396.08853728685</v>
      </c>
      <c r="K204" s="230"/>
    </row>
    <row r="205" spans="1:14" s="216" customFormat="1" x14ac:dyDescent="0.35">
      <c r="A205" s="322">
        <v>42951</v>
      </c>
      <c r="B205" s="227" t="s">
        <v>470</v>
      </c>
      <c r="C205" s="226"/>
      <c r="D205" s="226">
        <f>9*3+9*2.3</f>
        <v>47.7</v>
      </c>
      <c r="E205" s="228">
        <f t="shared" si="27"/>
        <v>39554.969999999994</v>
      </c>
      <c r="F205" s="229"/>
      <c r="G205" s="225">
        <f t="shared" si="34"/>
        <v>19.882399053833669</v>
      </c>
      <c r="H205" s="229"/>
      <c r="I205" s="225">
        <f t="shared" si="35"/>
        <v>948.39043486786613</v>
      </c>
      <c r="J205" s="226">
        <f t="shared" si="36"/>
        <v>786447.69810241903</v>
      </c>
      <c r="K205" s="230"/>
    </row>
    <row r="206" spans="1:14" s="216" customFormat="1" x14ac:dyDescent="0.35">
      <c r="A206" s="322">
        <v>42951</v>
      </c>
      <c r="B206" s="227" t="s">
        <v>471</v>
      </c>
      <c r="C206" s="226"/>
      <c r="D206" s="226">
        <f>6*4</f>
        <v>24</v>
      </c>
      <c r="E206" s="228">
        <f t="shared" si="27"/>
        <v>39530.969999999994</v>
      </c>
      <c r="F206" s="229"/>
      <c r="G206" s="225">
        <f t="shared" si="34"/>
        <v>19.882399053833669</v>
      </c>
      <c r="H206" s="229"/>
      <c r="I206" s="225">
        <f t="shared" si="35"/>
        <v>477.1775772920081</v>
      </c>
      <c r="J206" s="226">
        <f t="shared" si="36"/>
        <v>785970.52052512707</v>
      </c>
      <c r="K206" s="230"/>
    </row>
    <row r="207" spans="1:14" s="216" customFormat="1" x14ac:dyDescent="0.35">
      <c r="A207" s="322">
        <v>42951</v>
      </c>
      <c r="B207" s="227" t="s">
        <v>472</v>
      </c>
      <c r="C207" s="226"/>
      <c r="D207" s="226">
        <f>14*2.7+3</f>
        <v>40.800000000000004</v>
      </c>
      <c r="E207" s="228">
        <f t="shared" si="27"/>
        <v>39490.169999999991</v>
      </c>
      <c r="F207" s="229"/>
      <c r="G207" s="225">
        <f t="shared" si="34"/>
        <v>19.882399053833669</v>
      </c>
      <c r="H207" s="229"/>
      <c r="I207" s="225">
        <f t="shared" si="35"/>
        <v>811.2018813964138</v>
      </c>
      <c r="J207" s="226">
        <f t="shared" si="36"/>
        <v>785159.3186437306</v>
      </c>
      <c r="K207" s="230"/>
    </row>
    <row r="208" spans="1:14" s="216" customFormat="1" x14ac:dyDescent="0.35">
      <c r="A208" s="322">
        <v>42952</v>
      </c>
      <c r="B208" s="227" t="s">
        <v>473</v>
      </c>
      <c r="C208" s="226"/>
      <c r="D208" s="226">
        <f>14*5</f>
        <v>70</v>
      </c>
      <c r="E208" s="228">
        <f t="shared" si="27"/>
        <v>39420.169999999991</v>
      </c>
      <c r="F208" s="229"/>
      <c r="G208" s="225">
        <f t="shared" si="34"/>
        <v>19.882399053833669</v>
      </c>
      <c r="H208" s="229"/>
      <c r="I208" s="225">
        <f t="shared" si="35"/>
        <v>1391.7679337683569</v>
      </c>
      <c r="J208" s="226">
        <f t="shared" si="36"/>
        <v>783767.55070996226</v>
      </c>
      <c r="K208" s="230"/>
    </row>
    <row r="209" spans="1:14" s="216" customFormat="1" x14ac:dyDescent="0.35">
      <c r="A209" s="322">
        <v>42955</v>
      </c>
      <c r="B209" s="227" t="s">
        <v>193</v>
      </c>
      <c r="C209" s="226"/>
      <c r="D209" s="226">
        <v>0</v>
      </c>
      <c r="E209" s="228">
        <f t="shared" si="27"/>
        <v>39420.169999999991</v>
      </c>
      <c r="F209" s="229"/>
      <c r="G209" s="225">
        <f t="shared" si="34"/>
        <v>19.882399053833669</v>
      </c>
      <c r="H209" s="229"/>
      <c r="I209" s="225">
        <f t="shared" si="35"/>
        <v>0</v>
      </c>
      <c r="J209" s="226">
        <f t="shared" si="36"/>
        <v>783767.55070996226</v>
      </c>
      <c r="K209" s="230"/>
    </row>
    <row r="210" spans="1:14" s="216" customFormat="1" x14ac:dyDescent="0.35">
      <c r="A210" s="322">
        <v>42957</v>
      </c>
      <c r="B210" s="227" t="s">
        <v>474</v>
      </c>
      <c r="C210" s="226"/>
      <c r="D210" s="226">
        <f>10*7.65</f>
        <v>76.5</v>
      </c>
      <c r="E210" s="228">
        <f t="shared" si="27"/>
        <v>39343.669999999991</v>
      </c>
      <c r="F210" s="229"/>
      <c r="G210" s="225">
        <f t="shared" si="34"/>
        <v>19.882399053833669</v>
      </c>
      <c r="H210" s="229"/>
      <c r="I210" s="225">
        <f t="shared" si="35"/>
        <v>1521.0035276182757</v>
      </c>
      <c r="J210" s="226">
        <f t="shared" si="36"/>
        <v>782246.54718234402</v>
      </c>
      <c r="K210" s="230"/>
    </row>
    <row r="211" spans="1:14" s="216" customFormat="1" x14ac:dyDescent="0.35">
      <c r="A211" s="316">
        <v>42962</v>
      </c>
      <c r="B211" s="191" t="s">
        <v>475</v>
      </c>
      <c r="C211" s="325"/>
      <c r="D211" s="325">
        <f>48*6.65+25*6.77</f>
        <v>488.45000000000005</v>
      </c>
      <c r="E211" s="228">
        <f t="shared" si="27"/>
        <v>38855.219999999994</v>
      </c>
      <c r="F211" s="229"/>
      <c r="G211" s="225">
        <f t="shared" si="34"/>
        <v>19.882399053833673</v>
      </c>
      <c r="H211" s="229"/>
      <c r="I211" s="225">
        <f t="shared" si="35"/>
        <v>9711.5578178450578</v>
      </c>
      <c r="J211" s="226">
        <f t="shared" si="36"/>
        <v>772534.98936449899</v>
      </c>
      <c r="K211" s="230"/>
    </row>
    <row r="212" spans="1:14" s="296" customFormat="1" x14ac:dyDescent="0.35">
      <c r="A212" s="317">
        <v>42962</v>
      </c>
      <c r="B212" s="241" t="s">
        <v>476</v>
      </c>
      <c r="C212" s="294"/>
      <c r="D212" s="294">
        <f>11*6.4</f>
        <v>70.400000000000006</v>
      </c>
      <c r="E212" s="228">
        <f t="shared" si="27"/>
        <v>38784.819999999992</v>
      </c>
      <c r="F212" s="242"/>
      <c r="G212" s="294">
        <f t="shared" si="34"/>
        <v>19.882399053833669</v>
      </c>
      <c r="H212" s="242"/>
      <c r="I212" s="294">
        <f t="shared" si="35"/>
        <v>1399.7208933898905</v>
      </c>
      <c r="J212" s="294">
        <f t="shared" si="36"/>
        <v>771135.2684711091</v>
      </c>
      <c r="K212" s="193"/>
      <c r="L212" s="319">
        <f>SUM(I202:I212)</f>
        <v>17326.516655463354</v>
      </c>
      <c r="N212" s="318">
        <v>42962</v>
      </c>
    </row>
    <row r="213" spans="1:14" s="216" customFormat="1" x14ac:dyDescent="0.35">
      <c r="A213" s="316">
        <v>42964</v>
      </c>
      <c r="B213" s="227" t="s">
        <v>477</v>
      </c>
      <c r="C213" s="226"/>
      <c r="D213" s="226">
        <f>15.25</f>
        <v>15.25</v>
      </c>
      <c r="E213" s="228">
        <f t="shared" si="27"/>
        <v>38769.569999999992</v>
      </c>
      <c r="F213" s="229"/>
      <c r="G213" s="225">
        <f t="shared" si="34"/>
        <v>19.882399053833673</v>
      </c>
      <c r="H213" s="229"/>
      <c r="I213" s="225">
        <f t="shared" si="35"/>
        <v>303.20658557096351</v>
      </c>
      <c r="J213" s="226">
        <f t="shared" si="36"/>
        <v>770832.06188553816</v>
      </c>
      <c r="K213" s="230"/>
    </row>
    <row r="214" spans="1:14" s="216" customFormat="1" x14ac:dyDescent="0.35">
      <c r="A214" s="316">
        <v>42964</v>
      </c>
      <c r="B214" s="227" t="s">
        <v>478</v>
      </c>
      <c r="C214" s="226"/>
      <c r="D214" s="226">
        <f>4*6.65</f>
        <v>26.6</v>
      </c>
      <c r="E214" s="228">
        <f t="shared" ref="E214:E271" si="37">+E213-D214</f>
        <v>38742.969999999994</v>
      </c>
      <c r="F214" s="229"/>
      <c r="G214" s="225">
        <f t="shared" si="34"/>
        <v>19.882399053833673</v>
      </c>
      <c r="H214" s="229"/>
      <c r="I214" s="225">
        <f t="shared" si="35"/>
        <v>528.87181483197571</v>
      </c>
      <c r="J214" s="226">
        <f t="shared" si="36"/>
        <v>770303.19007070619</v>
      </c>
      <c r="K214" s="230"/>
    </row>
    <row r="215" spans="1:14" s="216" customFormat="1" x14ac:dyDescent="0.35">
      <c r="A215" s="316">
        <v>42965</v>
      </c>
      <c r="B215" s="227" t="s">
        <v>479</v>
      </c>
      <c r="C215" s="226"/>
      <c r="D215" s="226">
        <f>26*5.85</f>
        <v>152.1</v>
      </c>
      <c r="E215" s="228">
        <f t="shared" si="37"/>
        <v>38590.869999999995</v>
      </c>
      <c r="F215" s="229"/>
      <c r="G215" s="225">
        <f t="shared" si="34"/>
        <v>19.882399053833669</v>
      </c>
      <c r="H215" s="229"/>
      <c r="I215" s="225">
        <f t="shared" si="35"/>
        <v>3024.112896088101</v>
      </c>
      <c r="J215" s="226">
        <f t="shared" si="36"/>
        <v>767279.07717461814</v>
      </c>
      <c r="K215" s="230"/>
    </row>
    <row r="216" spans="1:14" s="216" customFormat="1" x14ac:dyDescent="0.35">
      <c r="A216" s="316">
        <v>42965</v>
      </c>
      <c r="B216" s="227" t="s">
        <v>480</v>
      </c>
      <c r="C216" s="226"/>
      <c r="D216" s="226">
        <f>8*4.3</f>
        <v>34.4</v>
      </c>
      <c r="E216" s="228">
        <f t="shared" si="37"/>
        <v>38556.469999999994</v>
      </c>
      <c r="F216" s="229"/>
      <c r="G216" s="225">
        <f t="shared" si="34"/>
        <v>19.882399053833673</v>
      </c>
      <c r="H216" s="229"/>
      <c r="I216" s="225">
        <f t="shared" si="35"/>
        <v>683.95452745187833</v>
      </c>
      <c r="J216" s="226">
        <f t="shared" si="36"/>
        <v>766595.12264716625</v>
      </c>
      <c r="K216" s="230"/>
    </row>
    <row r="217" spans="1:14" s="216" customFormat="1" x14ac:dyDescent="0.35">
      <c r="A217" s="316">
        <v>42965</v>
      </c>
      <c r="B217" s="227" t="s">
        <v>481</v>
      </c>
      <c r="C217" s="226"/>
      <c r="D217" s="226">
        <f>4.54</f>
        <v>4.54</v>
      </c>
      <c r="E217" s="228">
        <f t="shared" si="37"/>
        <v>38551.929999999993</v>
      </c>
      <c r="F217" s="229"/>
      <c r="G217" s="225">
        <f t="shared" ref="G217:G244" si="38">+J216/E216</f>
        <v>19.882399053833673</v>
      </c>
      <c r="H217" s="229"/>
      <c r="I217" s="225">
        <f t="shared" ref="I217:I244" si="39">+D217*G217</f>
        <v>90.266091704404872</v>
      </c>
      <c r="J217" s="226">
        <f t="shared" ref="J217:J244" si="40">+J216-I217</f>
        <v>766504.85655546188</v>
      </c>
      <c r="K217" s="230"/>
    </row>
    <row r="218" spans="1:14" s="216" customFormat="1" x14ac:dyDescent="0.35">
      <c r="A218" s="316">
        <v>42966</v>
      </c>
      <c r="B218" s="227" t="s">
        <v>482</v>
      </c>
      <c r="C218" s="226"/>
      <c r="D218" s="226">
        <f>4*5.2</f>
        <v>20.8</v>
      </c>
      <c r="E218" s="228">
        <f t="shared" si="37"/>
        <v>38531.12999999999</v>
      </c>
      <c r="F218" s="229"/>
      <c r="G218" s="225">
        <f t="shared" si="38"/>
        <v>19.882399053833673</v>
      </c>
      <c r="H218" s="229"/>
      <c r="I218" s="225">
        <f t="shared" si="39"/>
        <v>413.55390031974042</v>
      </c>
      <c r="J218" s="226">
        <f t="shared" si="40"/>
        <v>766091.30265514215</v>
      </c>
      <c r="K218" s="230"/>
    </row>
    <row r="219" spans="1:14" s="216" customFormat="1" x14ac:dyDescent="0.35">
      <c r="A219" s="316">
        <v>42969</v>
      </c>
      <c r="B219" s="227" t="s">
        <v>483</v>
      </c>
      <c r="C219" s="226"/>
      <c r="D219" s="226">
        <f>4*2</f>
        <v>8</v>
      </c>
      <c r="E219" s="228">
        <f t="shared" si="37"/>
        <v>38523.12999999999</v>
      </c>
      <c r="F219" s="229"/>
      <c r="G219" s="225">
        <f t="shared" si="38"/>
        <v>19.882399053833677</v>
      </c>
      <c r="H219" s="229"/>
      <c r="I219" s="225">
        <f t="shared" si="39"/>
        <v>159.05919243066941</v>
      </c>
      <c r="J219" s="226">
        <f t="shared" si="40"/>
        <v>765932.24346271146</v>
      </c>
      <c r="K219" s="230"/>
    </row>
    <row r="220" spans="1:14" s="216" customFormat="1" x14ac:dyDescent="0.35">
      <c r="A220" s="316">
        <v>42969</v>
      </c>
      <c r="B220" s="227" t="s">
        <v>484</v>
      </c>
      <c r="C220" s="226"/>
      <c r="D220" s="226">
        <f>16*4.75+16*4.7</f>
        <v>151.19999999999999</v>
      </c>
      <c r="E220" s="228">
        <f t="shared" si="37"/>
        <v>38371.929999999993</v>
      </c>
      <c r="F220" s="229"/>
      <c r="G220" s="225">
        <f t="shared" si="38"/>
        <v>19.882399053833677</v>
      </c>
      <c r="H220" s="229"/>
      <c r="I220" s="225">
        <f t="shared" si="39"/>
        <v>3006.2187369396515</v>
      </c>
      <c r="J220" s="226">
        <f t="shared" si="40"/>
        <v>762926.02472577186</v>
      </c>
      <c r="K220" s="230"/>
    </row>
    <row r="221" spans="1:14" s="216" customFormat="1" x14ac:dyDescent="0.35">
      <c r="A221" s="316">
        <v>42971</v>
      </c>
      <c r="B221" s="227" t="s">
        <v>485</v>
      </c>
      <c r="C221" s="226"/>
      <c r="D221" s="226">
        <f>4*3.2</f>
        <v>12.8</v>
      </c>
      <c r="E221" s="228">
        <f t="shared" si="37"/>
        <v>38359.12999999999</v>
      </c>
      <c r="F221" s="229"/>
      <c r="G221" s="225">
        <f t="shared" si="38"/>
        <v>19.882399053833673</v>
      </c>
      <c r="H221" s="229"/>
      <c r="I221" s="225">
        <f t="shared" si="39"/>
        <v>254.49470788907104</v>
      </c>
      <c r="J221" s="226">
        <f t="shared" si="40"/>
        <v>762671.53001788282</v>
      </c>
      <c r="K221" s="230"/>
    </row>
    <row r="222" spans="1:14" s="216" customFormat="1" x14ac:dyDescent="0.35">
      <c r="A222" s="316">
        <v>42971</v>
      </c>
      <c r="B222" s="227" t="s">
        <v>486</v>
      </c>
      <c r="C222" s="226"/>
      <c r="D222" s="226">
        <f>15*5.2</f>
        <v>78</v>
      </c>
      <c r="E222" s="228">
        <f t="shared" si="37"/>
        <v>38281.12999999999</v>
      </c>
      <c r="F222" s="229"/>
      <c r="G222" s="225">
        <f t="shared" si="38"/>
        <v>19.882399053833677</v>
      </c>
      <c r="H222" s="229"/>
      <c r="I222" s="225">
        <f t="shared" si="39"/>
        <v>1550.8271261990267</v>
      </c>
      <c r="J222" s="226">
        <f t="shared" si="40"/>
        <v>761120.70289168379</v>
      </c>
      <c r="K222" s="230"/>
    </row>
    <row r="223" spans="1:14" s="216" customFormat="1" x14ac:dyDescent="0.35">
      <c r="A223" s="316">
        <v>42971</v>
      </c>
      <c r="B223" s="227" t="s">
        <v>487</v>
      </c>
      <c r="C223" s="226"/>
      <c r="D223" s="226">
        <f>9*2.5</f>
        <v>22.5</v>
      </c>
      <c r="E223" s="228">
        <f t="shared" si="37"/>
        <v>38258.62999999999</v>
      </c>
      <c r="F223" s="229"/>
      <c r="G223" s="225">
        <f t="shared" si="38"/>
        <v>19.882399053833677</v>
      </c>
      <c r="H223" s="229"/>
      <c r="I223" s="225">
        <f t="shared" si="39"/>
        <v>447.3539787112577</v>
      </c>
      <c r="J223" s="226">
        <f t="shared" si="40"/>
        <v>760673.34891297249</v>
      </c>
      <c r="K223" s="230"/>
    </row>
    <row r="224" spans="1:14" s="216" customFormat="1" x14ac:dyDescent="0.35">
      <c r="A224" s="316">
        <v>42971</v>
      </c>
      <c r="B224" s="227" t="s">
        <v>488</v>
      </c>
      <c r="C224" s="226"/>
      <c r="D224" s="226">
        <f>16*2.15+16*2</f>
        <v>66.400000000000006</v>
      </c>
      <c r="E224" s="228">
        <f t="shared" si="37"/>
        <v>38192.229999999989</v>
      </c>
      <c r="F224" s="229"/>
      <c r="G224" s="225">
        <f t="shared" si="38"/>
        <v>19.882399053833677</v>
      </c>
      <c r="H224" s="229"/>
      <c r="I224" s="225">
        <f t="shared" si="39"/>
        <v>1320.1912971745562</v>
      </c>
      <c r="J224" s="226">
        <f t="shared" si="40"/>
        <v>759353.15761579794</v>
      </c>
      <c r="K224" s="230"/>
    </row>
    <row r="225" spans="1:14" s="216" customFormat="1" x14ac:dyDescent="0.35">
      <c r="A225" s="316">
        <v>42971</v>
      </c>
      <c r="B225" s="227" t="s">
        <v>489</v>
      </c>
      <c r="C225" s="226"/>
      <c r="D225" s="226">
        <f>7*4.75</f>
        <v>33.25</v>
      </c>
      <c r="E225" s="228">
        <f t="shared" si="37"/>
        <v>38158.979999999989</v>
      </c>
      <c r="F225" s="229"/>
      <c r="G225" s="225">
        <f t="shared" si="38"/>
        <v>19.882399053833677</v>
      </c>
      <c r="H225" s="229"/>
      <c r="I225" s="225">
        <f t="shared" si="39"/>
        <v>661.08976853996978</v>
      </c>
      <c r="J225" s="226">
        <f t="shared" si="40"/>
        <v>758692.06784725795</v>
      </c>
      <c r="K225" s="230"/>
    </row>
    <row r="226" spans="1:14" s="216" customFormat="1" x14ac:dyDescent="0.35">
      <c r="A226" s="316">
        <v>42971</v>
      </c>
      <c r="B226" s="227" t="s">
        <v>490</v>
      </c>
      <c r="C226" s="226"/>
      <c r="D226" s="226">
        <f>11*4.75+5*4.1+5*4.85+2</f>
        <v>99</v>
      </c>
      <c r="E226" s="228">
        <f t="shared" si="37"/>
        <v>38059.979999999989</v>
      </c>
      <c r="F226" s="229"/>
      <c r="G226" s="225">
        <f t="shared" si="38"/>
        <v>19.882399053833677</v>
      </c>
      <c r="H226" s="229"/>
      <c r="I226" s="225">
        <f t="shared" si="39"/>
        <v>1968.3575063295341</v>
      </c>
      <c r="J226" s="226">
        <f t="shared" si="40"/>
        <v>756723.7103409284</v>
      </c>
      <c r="K226" s="230"/>
    </row>
    <row r="227" spans="1:14" s="216" customFormat="1" x14ac:dyDescent="0.35">
      <c r="A227" s="316">
        <v>42972</v>
      </c>
      <c r="B227" s="227" t="s">
        <v>491</v>
      </c>
      <c r="C227" s="226"/>
      <c r="D227" s="226">
        <f>4*3.2</f>
        <v>12.8</v>
      </c>
      <c r="E227" s="228">
        <f t="shared" si="37"/>
        <v>38047.179999999986</v>
      </c>
      <c r="F227" s="229"/>
      <c r="G227" s="225">
        <f t="shared" si="38"/>
        <v>19.882399053833677</v>
      </c>
      <c r="H227" s="229"/>
      <c r="I227" s="225">
        <f t="shared" si="39"/>
        <v>254.49470788907107</v>
      </c>
      <c r="J227" s="226">
        <f t="shared" si="40"/>
        <v>756469.21563303936</v>
      </c>
      <c r="K227" s="230"/>
    </row>
    <row r="228" spans="1:14" s="216" customFormat="1" x14ac:dyDescent="0.35">
      <c r="A228" s="316">
        <v>42972</v>
      </c>
      <c r="B228" s="227" t="s">
        <v>492</v>
      </c>
      <c r="C228" s="226"/>
      <c r="D228" s="226">
        <f>11*4.1</f>
        <v>45.099999999999994</v>
      </c>
      <c r="E228" s="228">
        <f t="shared" si="37"/>
        <v>38002.079999999987</v>
      </c>
      <c r="F228" s="229"/>
      <c r="G228" s="225">
        <f t="shared" si="38"/>
        <v>19.882399053833677</v>
      </c>
      <c r="H228" s="229"/>
      <c r="I228" s="225">
        <f t="shared" si="39"/>
        <v>896.69619732789874</v>
      </c>
      <c r="J228" s="226">
        <f t="shared" si="40"/>
        <v>755572.51943571144</v>
      </c>
      <c r="K228" s="230"/>
    </row>
    <row r="229" spans="1:14" s="216" customFormat="1" x14ac:dyDescent="0.35">
      <c r="A229" s="316">
        <v>42972</v>
      </c>
      <c r="B229" s="227" t="s">
        <v>493</v>
      </c>
      <c r="C229" s="226"/>
      <c r="D229" s="226">
        <f>2*2.5</f>
        <v>5</v>
      </c>
      <c r="E229" s="228">
        <f t="shared" si="37"/>
        <v>37997.079999999987</v>
      </c>
      <c r="F229" s="229"/>
      <c r="G229" s="225">
        <f t="shared" si="38"/>
        <v>19.882399053833677</v>
      </c>
      <c r="H229" s="229"/>
      <c r="I229" s="225">
        <f t="shared" si="39"/>
        <v>99.411995269168386</v>
      </c>
      <c r="J229" s="226">
        <f t="shared" si="40"/>
        <v>755473.10744044231</v>
      </c>
      <c r="K229" s="230"/>
    </row>
    <row r="230" spans="1:14" s="216" customFormat="1" x14ac:dyDescent="0.35">
      <c r="A230" s="316">
        <v>42973</v>
      </c>
      <c r="B230" s="227" t="s">
        <v>494</v>
      </c>
      <c r="C230" s="226"/>
      <c r="D230" s="226">
        <f>18*4.51</f>
        <v>81.179999999999993</v>
      </c>
      <c r="E230" s="228">
        <f t="shared" si="37"/>
        <v>37915.899999999987</v>
      </c>
      <c r="F230" s="229"/>
      <c r="G230" s="225">
        <f t="shared" si="38"/>
        <v>19.882399053833677</v>
      </c>
      <c r="H230" s="229"/>
      <c r="I230" s="225">
        <f t="shared" si="39"/>
        <v>1614.0531551902177</v>
      </c>
      <c r="J230" s="226">
        <f t="shared" si="40"/>
        <v>753859.05428525212</v>
      </c>
      <c r="K230" s="230"/>
    </row>
    <row r="231" spans="1:14" s="216" customFormat="1" x14ac:dyDescent="0.35">
      <c r="A231" s="316">
        <v>42973</v>
      </c>
      <c r="B231" s="227" t="s">
        <v>495</v>
      </c>
      <c r="C231" s="226"/>
      <c r="D231" s="226">
        <v>15</v>
      </c>
      <c r="E231" s="228">
        <f t="shared" si="37"/>
        <v>37900.899999999987</v>
      </c>
      <c r="F231" s="229"/>
      <c r="G231" s="225">
        <f t="shared" si="38"/>
        <v>19.88239905383368</v>
      </c>
      <c r="H231" s="229"/>
      <c r="I231" s="225">
        <f t="shared" si="39"/>
        <v>298.23598580750519</v>
      </c>
      <c r="J231" s="226">
        <f t="shared" si="40"/>
        <v>753560.81829944463</v>
      </c>
      <c r="K231" s="230"/>
    </row>
    <row r="232" spans="1:14" s="216" customFormat="1" x14ac:dyDescent="0.35">
      <c r="A232" s="316">
        <v>42973</v>
      </c>
      <c r="B232" s="227" t="s">
        <v>496</v>
      </c>
      <c r="C232" s="226"/>
      <c r="D232" s="226">
        <v>3.2</v>
      </c>
      <c r="E232" s="228">
        <f t="shared" si="37"/>
        <v>37897.69999999999</v>
      </c>
      <c r="F232" s="229"/>
      <c r="G232" s="225">
        <f t="shared" si="38"/>
        <v>19.88239905383368</v>
      </c>
      <c r="H232" s="229"/>
      <c r="I232" s="225">
        <f t="shared" si="39"/>
        <v>63.623676972267781</v>
      </c>
      <c r="J232" s="226">
        <f t="shared" si="40"/>
        <v>753497.19462247239</v>
      </c>
      <c r="K232" s="230"/>
    </row>
    <row r="233" spans="1:14" s="216" customFormat="1" x14ac:dyDescent="0.35">
      <c r="A233" s="316">
        <v>42975</v>
      </c>
      <c r="B233" s="227" t="s">
        <v>497</v>
      </c>
      <c r="C233" s="226"/>
      <c r="D233" s="226">
        <f>9*5.5</f>
        <v>49.5</v>
      </c>
      <c r="E233" s="228">
        <f t="shared" si="37"/>
        <v>37848.19999999999</v>
      </c>
      <c r="F233" s="229"/>
      <c r="G233" s="225">
        <f t="shared" si="38"/>
        <v>19.88239905383368</v>
      </c>
      <c r="H233" s="229"/>
      <c r="I233" s="225">
        <f t="shared" si="39"/>
        <v>984.17875316476716</v>
      </c>
      <c r="J233" s="226">
        <f t="shared" si="40"/>
        <v>752513.01586930768</v>
      </c>
      <c r="K233" s="230"/>
    </row>
    <row r="234" spans="1:14" s="216" customFormat="1" x14ac:dyDescent="0.35">
      <c r="A234" s="316">
        <v>42976</v>
      </c>
      <c r="B234" s="227" t="s">
        <v>498</v>
      </c>
      <c r="C234" s="226"/>
      <c r="D234" s="226">
        <f>5*4.15+5*4.3</f>
        <v>42.25</v>
      </c>
      <c r="E234" s="228">
        <f t="shared" si="37"/>
        <v>37805.94999999999</v>
      </c>
      <c r="F234" s="229"/>
      <c r="G234" s="225">
        <f t="shared" si="38"/>
        <v>19.88239905383368</v>
      </c>
      <c r="H234" s="229"/>
      <c r="I234" s="225">
        <f t="shared" si="39"/>
        <v>840.03136002447297</v>
      </c>
      <c r="J234" s="226">
        <f t="shared" si="40"/>
        <v>751672.98450928321</v>
      </c>
      <c r="K234" s="230"/>
    </row>
    <row r="235" spans="1:14" s="216" customFormat="1" x14ac:dyDescent="0.35">
      <c r="A235" s="316">
        <v>42977</v>
      </c>
      <c r="B235" s="227" t="s">
        <v>499</v>
      </c>
      <c r="C235" s="226"/>
      <c r="D235" s="226">
        <f>18*11+6*5.5</f>
        <v>231</v>
      </c>
      <c r="E235" s="228">
        <f t="shared" si="37"/>
        <v>37574.94999999999</v>
      </c>
      <c r="F235" s="229"/>
      <c r="G235" s="225">
        <f t="shared" si="38"/>
        <v>19.88239905383368</v>
      </c>
      <c r="H235" s="229"/>
      <c r="I235" s="225">
        <f t="shared" si="39"/>
        <v>4592.8341814355799</v>
      </c>
      <c r="J235" s="226">
        <f t="shared" si="40"/>
        <v>747080.15032784769</v>
      </c>
      <c r="K235" s="230"/>
    </row>
    <row r="236" spans="1:14" s="296" customFormat="1" x14ac:dyDescent="0.35">
      <c r="A236" s="317">
        <v>42978</v>
      </c>
      <c r="B236" s="241" t="s">
        <v>500</v>
      </c>
      <c r="C236" s="294"/>
      <c r="D236" s="294">
        <f>18*4.21+10*5.38+12*5.39</f>
        <v>194.26</v>
      </c>
      <c r="E236" s="228">
        <f t="shared" si="37"/>
        <v>37380.689999999988</v>
      </c>
      <c r="F236" s="242"/>
      <c r="G236" s="294">
        <f t="shared" si="38"/>
        <v>19.88239905383368</v>
      </c>
      <c r="H236" s="242"/>
      <c r="I236" s="294">
        <f t="shared" si="39"/>
        <v>3862.3548401977305</v>
      </c>
      <c r="J236" s="294">
        <f t="shared" si="40"/>
        <v>743217.79548764997</v>
      </c>
      <c r="K236" s="193"/>
      <c r="L236" s="319">
        <f>SUM(I213:I236)</f>
        <v>27917.472983459484</v>
      </c>
      <c r="M236" s="319">
        <f>SUM(L212:L236)</f>
        <v>45243.989638922838</v>
      </c>
      <c r="N236" s="318">
        <v>42978</v>
      </c>
    </row>
    <row r="237" spans="1:14" s="216" customFormat="1" x14ac:dyDescent="0.35">
      <c r="A237" s="316">
        <v>42979</v>
      </c>
      <c r="B237" s="227" t="s">
        <v>501</v>
      </c>
      <c r="C237" s="226"/>
      <c r="D237" s="226">
        <f>3*7.54+4.8+5*7.32</f>
        <v>64.02000000000001</v>
      </c>
      <c r="E237" s="228">
        <f t="shared" si="37"/>
        <v>37316.669999999991</v>
      </c>
      <c r="F237" s="229"/>
      <c r="G237" s="225">
        <f t="shared" si="38"/>
        <v>19.882399053833684</v>
      </c>
      <c r="H237" s="229"/>
      <c r="I237" s="225">
        <f t="shared" si="39"/>
        <v>1272.8711874264327</v>
      </c>
      <c r="J237" s="226">
        <f t="shared" si="40"/>
        <v>741944.92430022359</v>
      </c>
      <c r="K237" s="230"/>
    </row>
    <row r="238" spans="1:14" s="216" customFormat="1" x14ac:dyDescent="0.35">
      <c r="A238" s="316">
        <v>42980</v>
      </c>
      <c r="B238" s="227" t="s">
        <v>502</v>
      </c>
      <c r="C238" s="226"/>
      <c r="D238" s="226">
        <f>2*2.7</f>
        <v>5.4</v>
      </c>
      <c r="E238" s="228">
        <f t="shared" si="37"/>
        <v>37311.26999999999</v>
      </c>
      <c r="F238" s="229"/>
      <c r="G238" s="225">
        <f t="shared" si="38"/>
        <v>19.882399053833684</v>
      </c>
      <c r="H238" s="229"/>
      <c r="I238" s="225">
        <f t="shared" si="39"/>
        <v>107.3649548907019</v>
      </c>
      <c r="J238" s="226">
        <f t="shared" si="40"/>
        <v>741837.55934533291</v>
      </c>
      <c r="K238" s="230"/>
    </row>
    <row r="239" spans="1:14" s="216" customFormat="1" x14ac:dyDescent="0.35">
      <c r="A239" s="316">
        <v>42980</v>
      </c>
      <c r="B239" s="227" t="s">
        <v>503</v>
      </c>
      <c r="C239" s="226"/>
      <c r="D239" s="226">
        <f>3</f>
        <v>3</v>
      </c>
      <c r="E239" s="228">
        <f t="shared" si="37"/>
        <v>37308.26999999999</v>
      </c>
      <c r="F239" s="229"/>
      <c r="G239" s="225">
        <f t="shared" si="38"/>
        <v>19.882399053833684</v>
      </c>
      <c r="H239" s="229"/>
      <c r="I239" s="225">
        <f t="shared" si="39"/>
        <v>59.647197161501055</v>
      </c>
      <c r="J239" s="226">
        <f t="shared" si="40"/>
        <v>741777.91214817145</v>
      </c>
      <c r="K239" s="230"/>
    </row>
    <row r="240" spans="1:14" s="216" customFormat="1" x14ac:dyDescent="0.35">
      <c r="A240" s="316">
        <v>42983</v>
      </c>
      <c r="B240" s="227" t="s">
        <v>504</v>
      </c>
      <c r="C240" s="226"/>
      <c r="D240" s="226">
        <f>4*6.2</f>
        <v>24.8</v>
      </c>
      <c r="E240" s="228">
        <f t="shared" si="37"/>
        <v>37283.469999999987</v>
      </c>
      <c r="F240" s="229"/>
      <c r="G240" s="225">
        <f t="shared" si="38"/>
        <v>19.882399053833684</v>
      </c>
      <c r="H240" s="229"/>
      <c r="I240" s="225">
        <f t="shared" si="39"/>
        <v>493.08349653507537</v>
      </c>
      <c r="J240" s="226">
        <f t="shared" si="40"/>
        <v>741284.82865163637</v>
      </c>
      <c r="K240" s="230"/>
    </row>
    <row r="241" spans="1:11" s="216" customFormat="1" x14ac:dyDescent="0.35">
      <c r="A241" s="316">
        <v>42983</v>
      </c>
      <c r="B241" s="227" t="s">
        <v>505</v>
      </c>
      <c r="C241" s="226"/>
      <c r="D241" s="226">
        <f>13*4+13*4.05+7*2.8+17</f>
        <v>141.25</v>
      </c>
      <c r="E241" s="228">
        <f t="shared" si="37"/>
        <v>37142.219999999987</v>
      </c>
      <c r="F241" s="229"/>
      <c r="G241" s="225">
        <f t="shared" si="38"/>
        <v>19.882399053833687</v>
      </c>
      <c r="H241" s="229"/>
      <c r="I241" s="225">
        <f t="shared" si="39"/>
        <v>2808.3888663540083</v>
      </c>
      <c r="J241" s="226">
        <f t="shared" si="40"/>
        <v>738476.43978528236</v>
      </c>
      <c r="K241" s="230"/>
    </row>
    <row r="242" spans="1:11" s="216" customFormat="1" x14ac:dyDescent="0.35">
      <c r="A242" s="316">
        <v>42984</v>
      </c>
      <c r="B242" s="227" t="s">
        <v>506</v>
      </c>
      <c r="C242" s="226"/>
      <c r="D242" s="226">
        <f>8*3</f>
        <v>24</v>
      </c>
      <c r="E242" s="228">
        <f t="shared" si="37"/>
        <v>37118.219999999987</v>
      </c>
      <c r="F242" s="229"/>
      <c r="G242" s="225">
        <f t="shared" si="38"/>
        <v>19.882399053833687</v>
      </c>
      <c r="H242" s="229"/>
      <c r="I242" s="225">
        <f t="shared" si="39"/>
        <v>477.17757729200849</v>
      </c>
      <c r="J242" s="226">
        <f t="shared" si="40"/>
        <v>737999.2622079904</v>
      </c>
      <c r="K242" s="230"/>
    </row>
    <row r="243" spans="1:11" s="216" customFormat="1" x14ac:dyDescent="0.35">
      <c r="A243" s="316">
        <v>42986</v>
      </c>
      <c r="B243" s="227" t="s">
        <v>507</v>
      </c>
      <c r="C243" s="226"/>
      <c r="D243" s="226">
        <f>6*8.7</f>
        <v>52.199999999999996</v>
      </c>
      <c r="E243" s="228">
        <f t="shared" si="37"/>
        <v>37066.01999999999</v>
      </c>
      <c r="F243" s="229"/>
      <c r="G243" s="225">
        <f t="shared" si="38"/>
        <v>19.882399053833687</v>
      </c>
      <c r="H243" s="229"/>
      <c r="I243" s="225">
        <f t="shared" si="39"/>
        <v>1037.8612306101184</v>
      </c>
      <c r="J243" s="226">
        <f t="shared" si="40"/>
        <v>736961.40097738022</v>
      </c>
      <c r="K243" s="230"/>
    </row>
    <row r="244" spans="1:11" s="216" customFormat="1" x14ac:dyDescent="0.35">
      <c r="A244" s="316">
        <v>42986</v>
      </c>
      <c r="B244" s="227" t="s">
        <v>508</v>
      </c>
      <c r="C244" s="226"/>
      <c r="D244" s="226">
        <f>6*4</f>
        <v>24</v>
      </c>
      <c r="E244" s="228">
        <f t="shared" si="37"/>
        <v>37042.01999999999</v>
      </c>
      <c r="F244" s="229"/>
      <c r="G244" s="225">
        <f t="shared" si="38"/>
        <v>19.882399053833684</v>
      </c>
      <c r="H244" s="229"/>
      <c r="I244" s="225">
        <f t="shared" si="39"/>
        <v>477.17757729200844</v>
      </c>
      <c r="J244" s="226">
        <f t="shared" si="40"/>
        <v>736484.22340008826</v>
      </c>
      <c r="K244" s="230"/>
    </row>
    <row r="245" spans="1:11" s="216" customFormat="1" x14ac:dyDescent="0.35">
      <c r="A245" s="316">
        <v>42987</v>
      </c>
      <c r="B245" s="227" t="s">
        <v>509</v>
      </c>
      <c r="C245" s="226"/>
      <c r="D245" s="226">
        <f>2*3.8</f>
        <v>7.6</v>
      </c>
      <c r="E245" s="228">
        <f t="shared" si="37"/>
        <v>37034.419999999991</v>
      </c>
      <c r="F245" s="229"/>
      <c r="G245" s="225">
        <f t="shared" ref="G245:G271" si="41">+J244/E244</f>
        <v>19.882399053833687</v>
      </c>
      <c r="H245" s="229"/>
      <c r="I245" s="225">
        <f t="shared" ref="I245:I271" si="42">+D245*G245</f>
        <v>151.106232809136</v>
      </c>
      <c r="J245" s="226">
        <f t="shared" ref="J245:J271" si="43">+J244-I245</f>
        <v>736333.11716727912</v>
      </c>
      <c r="K245" s="230"/>
    </row>
    <row r="246" spans="1:11" s="216" customFormat="1" x14ac:dyDescent="0.35">
      <c r="A246" s="316">
        <v>42989</v>
      </c>
      <c r="B246" s="227" t="s">
        <v>510</v>
      </c>
      <c r="C246" s="226"/>
      <c r="D246" s="226">
        <v>0.7</v>
      </c>
      <c r="E246" s="228">
        <f t="shared" si="37"/>
        <v>37033.719999999994</v>
      </c>
      <c r="F246" s="229"/>
      <c r="G246" s="225">
        <f t="shared" si="41"/>
        <v>19.882399053833684</v>
      </c>
      <c r="H246" s="229"/>
      <c r="I246" s="225">
        <f t="shared" si="42"/>
        <v>13.917679337683579</v>
      </c>
      <c r="J246" s="226">
        <f t="shared" si="43"/>
        <v>736319.19948794146</v>
      </c>
      <c r="K246" s="230"/>
    </row>
    <row r="247" spans="1:11" s="216" customFormat="1" x14ac:dyDescent="0.35">
      <c r="A247" s="316">
        <v>42990</v>
      </c>
      <c r="B247" s="227" t="s">
        <v>511</v>
      </c>
      <c r="C247" s="226"/>
      <c r="D247" s="226">
        <f>2*1.5</f>
        <v>3</v>
      </c>
      <c r="E247" s="228">
        <f t="shared" si="37"/>
        <v>37030.719999999994</v>
      </c>
      <c r="F247" s="229"/>
      <c r="G247" s="225">
        <f t="shared" si="41"/>
        <v>19.882399053833684</v>
      </c>
      <c r="H247" s="229"/>
      <c r="I247" s="225">
        <f t="shared" si="42"/>
        <v>59.647197161501055</v>
      </c>
      <c r="J247" s="226">
        <f t="shared" si="43"/>
        <v>736259.55229078</v>
      </c>
      <c r="K247" s="230"/>
    </row>
    <row r="248" spans="1:11" s="216" customFormat="1" x14ac:dyDescent="0.35">
      <c r="A248" s="316">
        <v>42990</v>
      </c>
      <c r="B248" s="227" t="s">
        <v>512</v>
      </c>
      <c r="C248" s="226"/>
      <c r="D248" s="226">
        <v>2</v>
      </c>
      <c r="E248" s="228">
        <f t="shared" si="37"/>
        <v>37028.719999999994</v>
      </c>
      <c r="F248" s="229"/>
      <c r="G248" s="225">
        <f t="shared" si="41"/>
        <v>19.882399053833684</v>
      </c>
      <c r="H248" s="229"/>
      <c r="I248" s="225">
        <f t="shared" si="42"/>
        <v>39.764798107667367</v>
      </c>
      <c r="J248" s="226">
        <f t="shared" si="43"/>
        <v>736219.78749267233</v>
      </c>
      <c r="K248" s="230"/>
    </row>
    <row r="249" spans="1:11" s="216" customFormat="1" x14ac:dyDescent="0.35">
      <c r="A249" s="316">
        <v>42991</v>
      </c>
      <c r="B249" s="227" t="s">
        <v>513</v>
      </c>
      <c r="C249" s="226"/>
      <c r="D249" s="226">
        <f>3*2.8</f>
        <v>8.3999999999999986</v>
      </c>
      <c r="E249" s="228">
        <f t="shared" si="37"/>
        <v>37020.319999999992</v>
      </c>
      <c r="F249" s="229"/>
      <c r="G249" s="225">
        <f t="shared" si="41"/>
        <v>19.882399053833684</v>
      </c>
      <c r="H249" s="229"/>
      <c r="I249" s="225">
        <f t="shared" si="42"/>
        <v>167.01215205220291</v>
      </c>
      <c r="J249" s="226">
        <f t="shared" si="43"/>
        <v>736052.77534062008</v>
      </c>
      <c r="K249" s="230"/>
    </row>
    <row r="250" spans="1:11" s="216" customFormat="1" x14ac:dyDescent="0.35">
      <c r="A250" s="316">
        <v>42991</v>
      </c>
      <c r="B250" s="227" t="s">
        <v>514</v>
      </c>
      <c r="C250" s="226"/>
      <c r="D250" s="226">
        <f>4*4.55</f>
        <v>18.2</v>
      </c>
      <c r="E250" s="228">
        <f t="shared" si="37"/>
        <v>37002.119999999995</v>
      </c>
      <c r="F250" s="229"/>
      <c r="G250" s="225">
        <f t="shared" si="41"/>
        <v>19.882399053833684</v>
      </c>
      <c r="H250" s="229"/>
      <c r="I250" s="225">
        <f t="shared" si="42"/>
        <v>361.85966277977303</v>
      </c>
      <c r="J250" s="226">
        <f t="shared" si="43"/>
        <v>735690.91567784036</v>
      </c>
      <c r="K250" s="230"/>
    </row>
    <row r="251" spans="1:11" s="216" customFormat="1" x14ac:dyDescent="0.35">
      <c r="A251" s="316">
        <v>42991</v>
      </c>
      <c r="B251" s="227" t="s">
        <v>515</v>
      </c>
      <c r="C251" s="226"/>
      <c r="D251" s="226">
        <v>7.6</v>
      </c>
      <c r="E251" s="228">
        <f t="shared" si="37"/>
        <v>36994.519999999997</v>
      </c>
      <c r="F251" s="229"/>
      <c r="G251" s="225">
        <f t="shared" si="41"/>
        <v>19.882399053833684</v>
      </c>
      <c r="H251" s="229"/>
      <c r="I251" s="225">
        <f t="shared" si="42"/>
        <v>151.106232809136</v>
      </c>
      <c r="J251" s="226">
        <f t="shared" si="43"/>
        <v>735539.80944503122</v>
      </c>
      <c r="K251" s="230"/>
    </row>
    <row r="252" spans="1:11" s="216" customFormat="1" x14ac:dyDescent="0.35">
      <c r="A252" s="316">
        <v>42991</v>
      </c>
      <c r="B252" s="227" t="s">
        <v>516</v>
      </c>
      <c r="C252" s="226"/>
      <c r="D252" s="226">
        <f>3*3.2</f>
        <v>9.6000000000000014</v>
      </c>
      <c r="E252" s="228">
        <f t="shared" si="37"/>
        <v>36984.92</v>
      </c>
      <c r="F252" s="229"/>
      <c r="G252" s="225">
        <f t="shared" si="41"/>
        <v>19.882399053833684</v>
      </c>
      <c r="H252" s="229"/>
      <c r="I252" s="225">
        <f t="shared" si="42"/>
        <v>190.87103091680339</v>
      </c>
      <c r="J252" s="226">
        <f t="shared" si="43"/>
        <v>735348.93841411441</v>
      </c>
      <c r="K252" s="230"/>
    </row>
    <row r="253" spans="1:11" s="216" customFormat="1" x14ac:dyDescent="0.35">
      <c r="A253" s="316">
        <v>42993</v>
      </c>
      <c r="B253" s="227" t="s">
        <v>517</v>
      </c>
      <c r="C253" s="226"/>
      <c r="D253" s="226">
        <f>2*6</f>
        <v>12</v>
      </c>
      <c r="E253" s="228">
        <f t="shared" si="37"/>
        <v>36972.92</v>
      </c>
      <c r="F253" s="229"/>
      <c r="G253" s="225">
        <f t="shared" si="41"/>
        <v>19.882399053833684</v>
      </c>
      <c r="H253" s="229"/>
      <c r="I253" s="225">
        <f t="shared" si="42"/>
        <v>238.58878864600422</v>
      </c>
      <c r="J253" s="226">
        <f t="shared" si="43"/>
        <v>735110.34962546837</v>
      </c>
      <c r="K253" s="230"/>
    </row>
    <row r="254" spans="1:11" s="216" customFormat="1" x14ac:dyDescent="0.35">
      <c r="A254" s="316">
        <v>42993</v>
      </c>
      <c r="B254" s="227" t="s">
        <v>518</v>
      </c>
      <c r="C254" s="226"/>
      <c r="D254" s="226">
        <f>6*5</f>
        <v>30</v>
      </c>
      <c r="E254" s="228">
        <f t="shared" si="37"/>
        <v>36942.92</v>
      </c>
      <c r="F254" s="229"/>
      <c r="G254" s="225">
        <f t="shared" si="41"/>
        <v>19.88239905383368</v>
      </c>
      <c r="H254" s="229"/>
      <c r="I254" s="225">
        <f t="shared" si="42"/>
        <v>596.47197161501037</v>
      </c>
      <c r="J254" s="226">
        <f t="shared" si="43"/>
        <v>734513.87765385339</v>
      </c>
      <c r="K254" s="230"/>
    </row>
    <row r="255" spans="1:11" s="216" customFormat="1" x14ac:dyDescent="0.35">
      <c r="A255" s="316">
        <v>42993</v>
      </c>
      <c r="B255" s="227" t="s">
        <v>519</v>
      </c>
      <c r="C255" s="226"/>
      <c r="D255" s="226">
        <f>12*5.6</f>
        <v>67.199999999999989</v>
      </c>
      <c r="E255" s="228">
        <f t="shared" si="37"/>
        <v>36875.72</v>
      </c>
      <c r="F255" s="229"/>
      <c r="G255" s="225">
        <f t="shared" si="41"/>
        <v>19.882399053833684</v>
      </c>
      <c r="H255" s="229"/>
      <c r="I255" s="225">
        <f t="shared" si="42"/>
        <v>1336.0972164176233</v>
      </c>
      <c r="J255" s="226">
        <f t="shared" si="43"/>
        <v>733177.78043743572</v>
      </c>
      <c r="K255" s="230"/>
    </row>
    <row r="256" spans="1:11" s="216" customFormat="1" x14ac:dyDescent="0.35">
      <c r="A256" s="316">
        <v>42993</v>
      </c>
      <c r="B256" s="227" t="s">
        <v>520</v>
      </c>
      <c r="C256" s="226"/>
      <c r="D256" s="226">
        <f>2*3.9</f>
        <v>7.8</v>
      </c>
      <c r="E256" s="228">
        <f t="shared" si="37"/>
        <v>36867.919999999998</v>
      </c>
      <c r="F256" s="229"/>
      <c r="G256" s="225">
        <f t="shared" si="41"/>
        <v>19.88239905383368</v>
      </c>
      <c r="H256" s="229"/>
      <c r="I256" s="225">
        <f t="shared" si="42"/>
        <v>155.08271261990271</v>
      </c>
      <c r="J256" s="226">
        <f t="shared" si="43"/>
        <v>733022.69772481581</v>
      </c>
      <c r="K256" s="230"/>
    </row>
    <row r="257" spans="1:14" s="216" customFormat="1" x14ac:dyDescent="0.35">
      <c r="A257" s="316">
        <v>42993</v>
      </c>
      <c r="B257" s="227" t="s">
        <v>521</v>
      </c>
      <c r="C257" s="226"/>
      <c r="D257" s="226">
        <f>12*5+4*3</f>
        <v>72</v>
      </c>
      <c r="E257" s="228">
        <f t="shared" si="37"/>
        <v>36795.919999999998</v>
      </c>
      <c r="F257" s="229"/>
      <c r="G257" s="225">
        <f t="shared" si="41"/>
        <v>19.88239905383368</v>
      </c>
      <c r="H257" s="229"/>
      <c r="I257" s="225">
        <f t="shared" si="42"/>
        <v>1431.5327318760251</v>
      </c>
      <c r="J257" s="226">
        <f t="shared" si="43"/>
        <v>731591.1649929398</v>
      </c>
      <c r="K257" s="230"/>
    </row>
    <row r="258" spans="1:14" s="216" customFormat="1" x14ac:dyDescent="0.35">
      <c r="A258" s="316">
        <v>42993</v>
      </c>
      <c r="B258" s="227" t="s">
        <v>522</v>
      </c>
      <c r="C258" s="226"/>
      <c r="D258" s="226">
        <f>13*4+13*2.5+13*3.6+3.1</f>
        <v>134.4</v>
      </c>
      <c r="E258" s="228">
        <f t="shared" si="37"/>
        <v>36661.519999999997</v>
      </c>
      <c r="F258" s="229"/>
      <c r="G258" s="225">
        <f t="shared" si="41"/>
        <v>19.88239905383368</v>
      </c>
      <c r="H258" s="229"/>
      <c r="I258" s="225">
        <f t="shared" si="42"/>
        <v>2672.1944328352465</v>
      </c>
      <c r="J258" s="226">
        <f t="shared" si="43"/>
        <v>728918.97056010459</v>
      </c>
      <c r="K258" s="230"/>
    </row>
    <row r="259" spans="1:14" s="296" customFormat="1" x14ac:dyDescent="0.35">
      <c r="A259" s="317">
        <v>42993</v>
      </c>
      <c r="B259" s="241" t="s">
        <v>523</v>
      </c>
      <c r="C259" s="294"/>
      <c r="D259" s="294">
        <f>8*6</f>
        <v>48</v>
      </c>
      <c r="E259" s="295">
        <f t="shared" si="37"/>
        <v>36613.519999999997</v>
      </c>
      <c r="F259" s="242"/>
      <c r="G259" s="294">
        <f t="shared" si="41"/>
        <v>19.882399053833684</v>
      </c>
      <c r="H259" s="242"/>
      <c r="I259" s="294">
        <f t="shared" si="42"/>
        <v>954.35515458401687</v>
      </c>
      <c r="J259" s="294">
        <f t="shared" si="43"/>
        <v>727964.61540552054</v>
      </c>
      <c r="K259" s="193"/>
      <c r="L259" s="319">
        <f>SUM(I237:I259)</f>
        <v>15253.180082129584</v>
      </c>
      <c r="N259" s="318">
        <v>42993</v>
      </c>
    </row>
    <row r="260" spans="1:14" s="216" customFormat="1" x14ac:dyDescent="0.35">
      <c r="A260" s="316">
        <v>42997</v>
      </c>
      <c r="B260" s="227" t="s">
        <v>524</v>
      </c>
      <c r="C260" s="226"/>
      <c r="D260" s="226">
        <f>4</f>
        <v>4</v>
      </c>
      <c r="E260" s="228">
        <f t="shared" si="37"/>
        <v>36609.519999999997</v>
      </c>
      <c r="F260" s="229"/>
      <c r="G260" s="225">
        <f t="shared" si="41"/>
        <v>19.882399053833684</v>
      </c>
      <c r="H260" s="229"/>
      <c r="I260" s="225">
        <f t="shared" si="42"/>
        <v>79.529596215334735</v>
      </c>
      <c r="J260" s="226">
        <f t="shared" si="43"/>
        <v>727885.08580930519</v>
      </c>
      <c r="K260" s="230"/>
    </row>
    <row r="261" spans="1:14" s="216" customFormat="1" x14ac:dyDescent="0.35">
      <c r="A261" s="316">
        <v>42999</v>
      </c>
      <c r="B261" s="227" t="s">
        <v>525</v>
      </c>
      <c r="C261" s="226"/>
      <c r="D261" s="226">
        <f>5*2.2</f>
        <v>11</v>
      </c>
      <c r="E261" s="228">
        <f t="shared" si="37"/>
        <v>36598.519999999997</v>
      </c>
      <c r="F261" s="229"/>
      <c r="G261" s="225">
        <f t="shared" si="41"/>
        <v>19.882399053833684</v>
      </c>
      <c r="H261" s="229"/>
      <c r="I261" s="225">
        <f t="shared" si="42"/>
        <v>218.70638959217052</v>
      </c>
      <c r="J261" s="226">
        <f t="shared" si="43"/>
        <v>727666.37941971305</v>
      </c>
      <c r="K261" s="230"/>
    </row>
    <row r="262" spans="1:14" s="216" customFormat="1" x14ac:dyDescent="0.35">
      <c r="A262" s="316">
        <v>43000</v>
      </c>
      <c r="B262" s="227" t="s">
        <v>526</v>
      </c>
      <c r="C262" s="226"/>
      <c r="D262" s="226">
        <v>4</v>
      </c>
      <c r="E262" s="228">
        <f t="shared" si="37"/>
        <v>36594.519999999997</v>
      </c>
      <c r="F262" s="229"/>
      <c r="G262" s="225">
        <f t="shared" si="41"/>
        <v>19.882399053833684</v>
      </c>
      <c r="H262" s="229"/>
      <c r="I262" s="225">
        <f t="shared" si="42"/>
        <v>79.529596215334735</v>
      </c>
      <c r="J262" s="226">
        <f t="shared" si="43"/>
        <v>727586.8498234977</v>
      </c>
      <c r="K262" s="230"/>
    </row>
    <row r="263" spans="1:14" s="216" customFormat="1" x14ac:dyDescent="0.35">
      <c r="A263" s="316">
        <v>43001</v>
      </c>
      <c r="B263" s="227" t="s">
        <v>527</v>
      </c>
      <c r="C263" s="226"/>
      <c r="D263" s="226">
        <f>3*5+6</f>
        <v>21</v>
      </c>
      <c r="E263" s="228">
        <f t="shared" si="37"/>
        <v>36573.519999999997</v>
      </c>
      <c r="F263" s="229"/>
      <c r="G263" s="225">
        <f t="shared" si="41"/>
        <v>19.882399053833684</v>
      </c>
      <c r="H263" s="229"/>
      <c r="I263" s="225">
        <f t="shared" si="42"/>
        <v>417.53038013050735</v>
      </c>
      <c r="J263" s="226">
        <f t="shared" si="43"/>
        <v>727169.31944336719</v>
      </c>
      <c r="K263" s="230"/>
    </row>
    <row r="264" spans="1:14" s="216" customFormat="1" x14ac:dyDescent="0.35">
      <c r="A264" s="316">
        <v>43001</v>
      </c>
      <c r="B264" s="227" t="s">
        <v>528</v>
      </c>
      <c r="C264" s="226"/>
      <c r="D264" s="226">
        <f>8.1</f>
        <v>8.1</v>
      </c>
      <c r="E264" s="228">
        <f t="shared" si="37"/>
        <v>36565.42</v>
      </c>
      <c r="F264" s="229"/>
      <c r="G264" s="225">
        <f t="shared" si="41"/>
        <v>19.882399053833684</v>
      </c>
      <c r="H264" s="229"/>
      <c r="I264" s="225">
        <f t="shared" si="42"/>
        <v>161.04743233605282</v>
      </c>
      <c r="J264" s="226">
        <f t="shared" si="43"/>
        <v>727008.27201103116</v>
      </c>
      <c r="K264" s="230"/>
    </row>
    <row r="265" spans="1:14" s="216" customFormat="1" x14ac:dyDescent="0.35">
      <c r="A265" s="316">
        <v>43001</v>
      </c>
      <c r="B265" s="227" t="s">
        <v>529</v>
      </c>
      <c r="C265" s="226"/>
      <c r="D265" s="226">
        <v>8</v>
      </c>
      <c r="E265" s="228">
        <f t="shared" si="37"/>
        <v>36557.42</v>
      </c>
      <c r="F265" s="229"/>
      <c r="G265" s="225">
        <f t="shared" si="41"/>
        <v>19.882399053833684</v>
      </c>
      <c r="H265" s="229"/>
      <c r="I265" s="225">
        <f t="shared" si="42"/>
        <v>159.05919243066947</v>
      </c>
      <c r="J265" s="226">
        <f t="shared" si="43"/>
        <v>726849.21281860047</v>
      </c>
      <c r="K265" s="230"/>
    </row>
    <row r="266" spans="1:14" s="216" customFormat="1" x14ac:dyDescent="0.35">
      <c r="A266" s="316">
        <v>43003</v>
      </c>
      <c r="B266" s="227" t="s">
        <v>530</v>
      </c>
      <c r="C266" s="226"/>
      <c r="D266" s="226">
        <f>3.8+4.4+3*2.45</f>
        <v>15.55</v>
      </c>
      <c r="E266" s="228">
        <f t="shared" si="37"/>
        <v>36541.869999999995</v>
      </c>
      <c r="F266" s="229"/>
      <c r="G266" s="225">
        <f t="shared" si="41"/>
        <v>19.88239905383368</v>
      </c>
      <c r="H266" s="229"/>
      <c r="I266" s="225">
        <f t="shared" si="42"/>
        <v>309.17130528711374</v>
      </c>
      <c r="J266" s="226">
        <f t="shared" si="43"/>
        <v>726540.04151331331</v>
      </c>
      <c r="K266" s="230"/>
    </row>
    <row r="267" spans="1:14" s="216" customFormat="1" x14ac:dyDescent="0.35">
      <c r="A267" s="316">
        <v>43004</v>
      </c>
      <c r="B267" s="227" t="s">
        <v>531</v>
      </c>
      <c r="C267" s="226"/>
      <c r="D267" s="226">
        <f>5*2.35+4*2.4</f>
        <v>21.35</v>
      </c>
      <c r="E267" s="228">
        <f t="shared" si="37"/>
        <v>36520.519999999997</v>
      </c>
      <c r="F267" s="229"/>
      <c r="G267" s="225">
        <f t="shared" si="41"/>
        <v>19.88239905383368</v>
      </c>
      <c r="H267" s="229"/>
      <c r="I267" s="225">
        <f t="shared" si="42"/>
        <v>424.48921979934909</v>
      </c>
      <c r="J267" s="226">
        <f t="shared" si="43"/>
        <v>726115.5522935139</v>
      </c>
      <c r="K267" s="230"/>
    </row>
    <row r="268" spans="1:14" s="216" customFormat="1" x14ac:dyDescent="0.35">
      <c r="A268" s="316">
        <v>43005</v>
      </c>
      <c r="B268" s="227" t="s">
        <v>532</v>
      </c>
      <c r="C268" s="226"/>
      <c r="D268" s="226">
        <f>3.5</f>
        <v>3.5</v>
      </c>
      <c r="E268" s="228">
        <f t="shared" si="37"/>
        <v>36517.019999999997</v>
      </c>
      <c r="F268" s="229"/>
      <c r="G268" s="225">
        <f t="shared" si="41"/>
        <v>19.88239905383368</v>
      </c>
      <c r="H268" s="229"/>
      <c r="I268" s="225">
        <f t="shared" si="42"/>
        <v>69.588396688417873</v>
      </c>
      <c r="J268" s="226">
        <f t="shared" si="43"/>
        <v>726045.96389682544</v>
      </c>
      <c r="K268" s="230"/>
    </row>
    <row r="269" spans="1:14" s="216" customFormat="1" x14ac:dyDescent="0.35">
      <c r="A269" s="316">
        <v>43005</v>
      </c>
      <c r="B269" s="227" t="s">
        <v>533</v>
      </c>
      <c r="C269" s="226"/>
      <c r="D269" s="226">
        <f>15*1.59</f>
        <v>23.85</v>
      </c>
      <c r="E269" s="228">
        <f t="shared" si="37"/>
        <v>36493.17</v>
      </c>
      <c r="F269" s="229"/>
      <c r="G269" s="225">
        <f t="shared" si="41"/>
        <v>19.882399053833677</v>
      </c>
      <c r="H269" s="229"/>
      <c r="I269" s="225">
        <f t="shared" si="42"/>
        <v>474.19521743393324</v>
      </c>
      <c r="J269" s="226">
        <f t="shared" si="43"/>
        <v>725571.76867939148</v>
      </c>
      <c r="K269" s="230"/>
    </row>
    <row r="270" spans="1:14" s="216" customFormat="1" x14ac:dyDescent="0.35">
      <c r="A270" s="316">
        <v>43006</v>
      </c>
      <c r="B270" s="227" t="s">
        <v>534</v>
      </c>
      <c r="C270" s="226"/>
      <c r="D270" s="226">
        <f>4*2.6</f>
        <v>10.4</v>
      </c>
      <c r="E270" s="228">
        <f t="shared" si="37"/>
        <v>36482.769999999997</v>
      </c>
      <c r="F270" s="229"/>
      <c r="G270" s="225">
        <f t="shared" si="41"/>
        <v>19.882399053833677</v>
      </c>
      <c r="H270" s="229"/>
      <c r="I270" s="225">
        <f t="shared" si="42"/>
        <v>206.77695015987024</v>
      </c>
      <c r="J270" s="226">
        <f t="shared" si="43"/>
        <v>725364.99172923155</v>
      </c>
      <c r="K270" s="230"/>
    </row>
    <row r="271" spans="1:14" s="216" customFormat="1" x14ac:dyDescent="0.35">
      <c r="A271" s="316">
        <v>43006</v>
      </c>
      <c r="B271" s="227" t="s">
        <v>535</v>
      </c>
      <c r="C271" s="226"/>
      <c r="D271" s="226">
        <f>13*6.3</f>
        <v>81.899999999999991</v>
      </c>
      <c r="E271" s="228">
        <f t="shared" si="37"/>
        <v>36400.869999999995</v>
      </c>
      <c r="F271" s="229"/>
      <c r="G271" s="225">
        <f t="shared" si="41"/>
        <v>19.882399053833677</v>
      </c>
      <c r="H271" s="229"/>
      <c r="I271" s="225">
        <f t="shared" si="42"/>
        <v>1628.3684825089779</v>
      </c>
      <c r="J271" s="226">
        <f t="shared" si="43"/>
        <v>723736.62324672262</v>
      </c>
      <c r="K271" s="230"/>
    </row>
    <row r="272" spans="1:14" x14ac:dyDescent="0.35">
      <c r="A272" s="316">
        <v>43007</v>
      </c>
      <c r="B272" s="227" t="s">
        <v>536</v>
      </c>
      <c r="C272" s="226"/>
      <c r="D272" s="226">
        <f>8*1</f>
        <v>8</v>
      </c>
      <c r="E272" s="228">
        <f t="shared" ref="E272:E301" si="44">+E271-D272</f>
        <v>36392.869999999995</v>
      </c>
      <c r="F272" s="229"/>
      <c r="G272" s="225">
        <f t="shared" ref="G272:G301" si="45">+J271/E271</f>
        <v>19.882399053833677</v>
      </c>
      <c r="H272" s="229"/>
      <c r="I272" s="225">
        <f t="shared" ref="I272:I301" si="46">+D272*G272</f>
        <v>159.05919243066941</v>
      </c>
      <c r="J272" s="226">
        <f t="shared" ref="J272:J301" si="47">+J271-I272</f>
        <v>723577.56405429193</v>
      </c>
      <c r="K272" s="230"/>
    </row>
    <row r="273" spans="1:14" x14ac:dyDescent="0.35">
      <c r="A273" s="316">
        <v>43008</v>
      </c>
      <c r="B273" s="227" t="s">
        <v>537</v>
      </c>
      <c r="C273" s="226"/>
      <c r="D273" s="226">
        <f>1*8</f>
        <v>8</v>
      </c>
      <c r="E273" s="228">
        <f t="shared" si="44"/>
        <v>36384.869999999995</v>
      </c>
      <c r="F273" s="229"/>
      <c r="G273" s="225">
        <f t="shared" si="45"/>
        <v>19.882399053833677</v>
      </c>
      <c r="H273" s="229"/>
      <c r="I273" s="225">
        <f t="shared" si="46"/>
        <v>159.05919243066941</v>
      </c>
      <c r="J273" s="226">
        <f t="shared" si="47"/>
        <v>723418.50486186123</v>
      </c>
      <c r="K273" s="230"/>
    </row>
    <row r="274" spans="1:14" x14ac:dyDescent="0.35">
      <c r="A274" s="316">
        <v>43008</v>
      </c>
      <c r="B274" s="227" t="s">
        <v>538</v>
      </c>
      <c r="C274" s="226"/>
      <c r="D274" s="226">
        <f>2*10</f>
        <v>20</v>
      </c>
      <c r="E274" s="228">
        <f t="shared" si="44"/>
        <v>36364.869999999995</v>
      </c>
      <c r="F274" s="229"/>
      <c r="G274" s="225">
        <f t="shared" si="45"/>
        <v>19.882399053833677</v>
      </c>
      <c r="H274" s="229"/>
      <c r="I274" s="225">
        <f t="shared" si="46"/>
        <v>397.64798107667355</v>
      </c>
      <c r="J274" s="226">
        <f t="shared" si="47"/>
        <v>723020.85688078462</v>
      </c>
      <c r="K274" s="230"/>
    </row>
    <row r="275" spans="1:14" s="296" customFormat="1" x14ac:dyDescent="0.35">
      <c r="A275" s="317">
        <v>43008</v>
      </c>
      <c r="B275" s="241" t="s">
        <v>539</v>
      </c>
      <c r="C275" s="294"/>
      <c r="D275" s="294">
        <f>1*3.1+1*3.2</f>
        <v>6.3000000000000007</v>
      </c>
      <c r="E275" s="295">
        <f t="shared" si="44"/>
        <v>36358.569999999992</v>
      </c>
      <c r="F275" s="242"/>
      <c r="G275" s="294">
        <f t="shared" si="45"/>
        <v>19.882399053833677</v>
      </c>
      <c r="H275" s="242"/>
      <c r="I275" s="294">
        <f t="shared" si="46"/>
        <v>125.25911403915218</v>
      </c>
      <c r="J275" s="294">
        <f t="shared" si="47"/>
        <v>722895.59776674549</v>
      </c>
      <c r="K275" s="193"/>
      <c r="L275" s="319">
        <f>SUM(I260:I275)</f>
        <v>5069.0176387748952</v>
      </c>
      <c r="M275" s="319">
        <f>SUM(L259:L275)</f>
        <v>20322.197720904478</v>
      </c>
      <c r="N275" s="318">
        <v>43008</v>
      </c>
    </row>
    <row r="276" spans="1:14" x14ac:dyDescent="0.35">
      <c r="A276" s="316">
        <v>43013</v>
      </c>
      <c r="B276" s="227" t="s">
        <v>540</v>
      </c>
      <c r="C276" s="226"/>
      <c r="D276" s="226">
        <f>7*3.1</f>
        <v>21.7</v>
      </c>
      <c r="E276" s="228">
        <f t="shared" si="44"/>
        <v>36336.869999999995</v>
      </c>
      <c r="F276" s="229"/>
      <c r="G276" s="225">
        <f t="shared" si="45"/>
        <v>19.88239905383368</v>
      </c>
      <c r="H276" s="229"/>
      <c r="I276" s="225">
        <f t="shared" si="46"/>
        <v>431.44805946819082</v>
      </c>
      <c r="J276" s="226">
        <f t="shared" si="47"/>
        <v>722464.14970727731</v>
      </c>
      <c r="K276" s="230"/>
    </row>
    <row r="277" spans="1:14" x14ac:dyDescent="0.35">
      <c r="A277" s="316">
        <v>43014</v>
      </c>
      <c r="B277" s="227" t="s">
        <v>541</v>
      </c>
      <c r="C277" s="226"/>
      <c r="D277" s="226">
        <f>30*4.06</f>
        <v>121.79999999999998</v>
      </c>
      <c r="E277" s="228">
        <f t="shared" si="44"/>
        <v>36215.069999999992</v>
      </c>
      <c r="F277" s="229"/>
      <c r="G277" s="225">
        <f t="shared" si="45"/>
        <v>19.88239905383368</v>
      </c>
      <c r="H277" s="229"/>
      <c r="I277" s="225">
        <f t="shared" si="46"/>
        <v>2421.6762047569418</v>
      </c>
      <c r="J277" s="226">
        <f t="shared" si="47"/>
        <v>720042.47350252036</v>
      </c>
      <c r="K277" s="230"/>
    </row>
    <row r="278" spans="1:14" x14ac:dyDescent="0.35">
      <c r="A278" s="316">
        <v>43015</v>
      </c>
      <c r="B278" s="227" t="s">
        <v>542</v>
      </c>
      <c r="C278" s="226"/>
      <c r="D278" s="226">
        <f>11*5.65+3*4.65</f>
        <v>76.100000000000009</v>
      </c>
      <c r="E278" s="228">
        <f t="shared" si="44"/>
        <v>36138.969999999994</v>
      </c>
      <c r="F278" s="229"/>
      <c r="G278" s="225">
        <f t="shared" si="45"/>
        <v>19.88239905383368</v>
      </c>
      <c r="H278" s="229"/>
      <c r="I278" s="225">
        <f t="shared" si="46"/>
        <v>1513.0505679967432</v>
      </c>
      <c r="J278" s="226">
        <f t="shared" si="47"/>
        <v>718529.42293452367</v>
      </c>
      <c r="K278" s="230"/>
    </row>
    <row r="279" spans="1:14" x14ac:dyDescent="0.35">
      <c r="A279" s="316">
        <v>43017</v>
      </c>
      <c r="B279" s="227" t="s">
        <v>543</v>
      </c>
      <c r="C279" s="226"/>
      <c r="D279" s="226">
        <f>6*4.5</f>
        <v>27</v>
      </c>
      <c r="E279" s="228">
        <f t="shared" si="44"/>
        <v>36111.969999999994</v>
      </c>
      <c r="F279" s="229"/>
      <c r="G279" s="225">
        <f t="shared" si="45"/>
        <v>19.88239905383368</v>
      </c>
      <c r="H279" s="229"/>
      <c r="I279" s="225">
        <f t="shared" si="46"/>
        <v>536.82477445350935</v>
      </c>
      <c r="J279" s="226">
        <f t="shared" si="47"/>
        <v>717992.59816007013</v>
      </c>
      <c r="K279" s="230"/>
    </row>
    <row r="280" spans="1:14" x14ac:dyDescent="0.35">
      <c r="A280" s="316">
        <v>43018</v>
      </c>
      <c r="B280" s="227" t="s">
        <v>544</v>
      </c>
      <c r="C280" s="226"/>
      <c r="D280" s="226">
        <f>3*3.4</f>
        <v>10.199999999999999</v>
      </c>
      <c r="E280" s="228">
        <f t="shared" si="44"/>
        <v>36101.769999999997</v>
      </c>
      <c r="F280" s="229"/>
      <c r="G280" s="225">
        <f t="shared" si="45"/>
        <v>19.88239905383368</v>
      </c>
      <c r="H280" s="229"/>
      <c r="I280" s="225">
        <f t="shared" si="46"/>
        <v>202.80047034910353</v>
      </c>
      <c r="J280" s="226">
        <f t="shared" si="47"/>
        <v>717789.79768972099</v>
      </c>
      <c r="K280" s="230"/>
    </row>
    <row r="281" spans="1:14" x14ac:dyDescent="0.35">
      <c r="A281" s="316">
        <v>43018</v>
      </c>
      <c r="B281" s="227" t="s">
        <v>545</v>
      </c>
      <c r="C281" s="226"/>
      <c r="D281" s="226">
        <f>5*5.3+3*5+7*4.5</f>
        <v>73</v>
      </c>
      <c r="E281" s="228">
        <f t="shared" si="44"/>
        <v>36028.769999999997</v>
      </c>
      <c r="F281" s="229"/>
      <c r="G281" s="225">
        <f t="shared" si="45"/>
        <v>19.882399053833677</v>
      </c>
      <c r="H281" s="229"/>
      <c r="I281" s="225">
        <f t="shared" si="46"/>
        <v>1451.4151309298584</v>
      </c>
      <c r="J281" s="226">
        <f t="shared" si="47"/>
        <v>716338.38255879108</v>
      </c>
      <c r="K281" s="230"/>
    </row>
    <row r="282" spans="1:14" x14ac:dyDescent="0.35">
      <c r="A282" s="316">
        <v>43019</v>
      </c>
      <c r="B282" s="227" t="s">
        <v>546</v>
      </c>
      <c r="C282" s="226"/>
      <c r="D282" s="226">
        <f>17*6+4*4.5</f>
        <v>120</v>
      </c>
      <c r="E282" s="228">
        <f t="shared" si="44"/>
        <v>35908.769999999997</v>
      </c>
      <c r="F282" s="229"/>
      <c r="G282" s="225">
        <f t="shared" si="45"/>
        <v>19.882399053833677</v>
      </c>
      <c r="H282" s="229"/>
      <c r="I282" s="225">
        <f t="shared" si="46"/>
        <v>2385.887886460041</v>
      </c>
      <c r="J282" s="226">
        <f t="shared" si="47"/>
        <v>713952.49467233103</v>
      </c>
      <c r="K282" s="230"/>
    </row>
    <row r="283" spans="1:14" x14ac:dyDescent="0.35">
      <c r="A283" s="316">
        <v>43019</v>
      </c>
      <c r="B283" s="227" t="s">
        <v>547</v>
      </c>
      <c r="C283" s="226"/>
      <c r="D283" s="226">
        <f>14*3.82</f>
        <v>53.48</v>
      </c>
      <c r="E283" s="228">
        <f t="shared" si="44"/>
        <v>35855.289999999994</v>
      </c>
      <c r="F283" s="229"/>
      <c r="G283" s="225">
        <f t="shared" si="45"/>
        <v>19.882399053833677</v>
      </c>
      <c r="H283" s="229"/>
      <c r="I283" s="225">
        <f t="shared" si="46"/>
        <v>1063.310701399025</v>
      </c>
      <c r="J283" s="226">
        <f t="shared" si="47"/>
        <v>712889.18397093203</v>
      </c>
      <c r="K283" s="230"/>
    </row>
    <row r="284" spans="1:14" x14ac:dyDescent="0.35">
      <c r="A284" s="316">
        <v>43019</v>
      </c>
      <c r="B284" s="227" t="s">
        <v>548</v>
      </c>
      <c r="C284" s="226"/>
      <c r="D284" s="226">
        <f>3.5+2</f>
        <v>5.5</v>
      </c>
      <c r="E284" s="228">
        <f t="shared" si="44"/>
        <v>35849.789999999994</v>
      </c>
      <c r="F284" s="229"/>
      <c r="G284" s="225">
        <f t="shared" si="45"/>
        <v>19.88239905383368</v>
      </c>
      <c r="H284" s="229"/>
      <c r="I284" s="225">
        <f t="shared" si="46"/>
        <v>109.35319479608523</v>
      </c>
      <c r="J284" s="226">
        <f t="shared" si="47"/>
        <v>712779.8307761359</v>
      </c>
      <c r="K284" s="230"/>
    </row>
    <row r="285" spans="1:14" x14ac:dyDescent="0.35">
      <c r="A285" s="316">
        <v>43020</v>
      </c>
      <c r="B285" s="227" t="s">
        <v>549</v>
      </c>
      <c r="C285" s="226"/>
      <c r="D285" s="226">
        <f>15*5.2</f>
        <v>78</v>
      </c>
      <c r="E285" s="228">
        <f t="shared" si="44"/>
        <v>35771.789999999994</v>
      </c>
      <c r="F285" s="229"/>
      <c r="G285" s="225">
        <f t="shared" si="45"/>
        <v>19.882399053833677</v>
      </c>
      <c r="H285" s="229"/>
      <c r="I285" s="225">
        <f t="shared" si="46"/>
        <v>1550.8271261990267</v>
      </c>
      <c r="J285" s="226">
        <f t="shared" si="47"/>
        <v>711229.00364993687</v>
      </c>
      <c r="K285" s="230"/>
    </row>
    <row r="286" spans="1:14" x14ac:dyDescent="0.35">
      <c r="A286" s="316">
        <v>43020</v>
      </c>
      <c r="B286" s="227" t="s">
        <v>550</v>
      </c>
      <c r="C286" s="226"/>
      <c r="D286" s="226">
        <f>4*2.1</f>
        <v>8.4</v>
      </c>
      <c r="E286" s="228">
        <f t="shared" si="44"/>
        <v>35763.389999999992</v>
      </c>
      <c r="F286" s="229"/>
      <c r="G286" s="225">
        <f t="shared" si="45"/>
        <v>19.882399053833677</v>
      </c>
      <c r="H286" s="229"/>
      <c r="I286" s="225">
        <f t="shared" si="46"/>
        <v>167.01215205220288</v>
      </c>
      <c r="J286" s="226">
        <f t="shared" si="47"/>
        <v>711061.99149788462</v>
      </c>
      <c r="K286" s="230"/>
    </row>
    <row r="287" spans="1:14" x14ac:dyDescent="0.35">
      <c r="A287" s="316">
        <v>43022</v>
      </c>
      <c r="B287" s="227" t="s">
        <v>551</v>
      </c>
      <c r="C287" s="226"/>
      <c r="D287" s="226">
        <f>10*3+10*2.45</f>
        <v>54.5</v>
      </c>
      <c r="E287" s="228">
        <f t="shared" si="44"/>
        <v>35708.889999999992</v>
      </c>
      <c r="F287" s="229"/>
      <c r="G287" s="225">
        <f t="shared" si="45"/>
        <v>19.882399053833677</v>
      </c>
      <c r="H287" s="229"/>
      <c r="I287" s="225">
        <f t="shared" si="46"/>
        <v>1083.5907484339355</v>
      </c>
      <c r="J287" s="226">
        <f t="shared" si="47"/>
        <v>709978.40074945067</v>
      </c>
      <c r="K287" s="230"/>
    </row>
    <row r="288" spans="1:14" s="296" customFormat="1" x14ac:dyDescent="0.35">
      <c r="A288" s="317">
        <v>43022</v>
      </c>
      <c r="B288" s="241" t="s">
        <v>552</v>
      </c>
      <c r="C288" s="294"/>
      <c r="D288" s="294">
        <f>2*3</f>
        <v>6</v>
      </c>
      <c r="E288" s="295">
        <f t="shared" si="44"/>
        <v>35702.889999999992</v>
      </c>
      <c r="F288" s="242"/>
      <c r="G288" s="294">
        <f t="shared" si="45"/>
        <v>19.882399053833677</v>
      </c>
      <c r="H288" s="242"/>
      <c r="I288" s="294">
        <f t="shared" si="46"/>
        <v>119.29439432300205</v>
      </c>
      <c r="J288" s="294">
        <f t="shared" si="47"/>
        <v>709859.10635512765</v>
      </c>
      <c r="K288" s="193"/>
      <c r="L288" s="319">
        <f>SUM(I276:I288)</f>
        <v>13036.491411617664</v>
      </c>
      <c r="N288" s="318">
        <v>43023</v>
      </c>
    </row>
    <row r="289" spans="1:11" x14ac:dyDescent="0.35">
      <c r="A289" s="316">
        <v>43024</v>
      </c>
      <c r="B289" s="227" t="s">
        <v>553</v>
      </c>
      <c r="C289" s="226"/>
      <c r="D289" s="226">
        <f>4*6.2</f>
        <v>24.8</v>
      </c>
      <c r="E289" s="228">
        <f t="shared" si="44"/>
        <v>35678.089999999989</v>
      </c>
      <c r="F289" s="229"/>
      <c r="G289" s="225">
        <f t="shared" si="45"/>
        <v>19.882399053833677</v>
      </c>
      <c r="H289" s="229"/>
      <c r="I289" s="225">
        <f t="shared" si="46"/>
        <v>493.0834965350752</v>
      </c>
      <c r="J289" s="226">
        <f t="shared" si="47"/>
        <v>709366.02285859257</v>
      </c>
      <c r="K289" s="230"/>
    </row>
    <row r="290" spans="1:11" x14ac:dyDescent="0.35">
      <c r="A290" s="316">
        <v>43025</v>
      </c>
      <c r="B290" s="227" t="s">
        <v>554</v>
      </c>
      <c r="C290" s="226"/>
      <c r="D290" s="226">
        <f>10*4+2</f>
        <v>42</v>
      </c>
      <c r="E290" s="228">
        <f t="shared" si="44"/>
        <v>35636.089999999989</v>
      </c>
      <c r="F290" s="229"/>
      <c r="G290" s="225">
        <f t="shared" si="45"/>
        <v>19.882399053833677</v>
      </c>
      <c r="H290" s="229"/>
      <c r="I290" s="225">
        <f t="shared" si="46"/>
        <v>835.06076026101437</v>
      </c>
      <c r="J290" s="226">
        <f t="shared" si="47"/>
        <v>708530.96209833154</v>
      </c>
      <c r="K290" s="230"/>
    </row>
    <row r="291" spans="1:11" x14ac:dyDescent="0.35">
      <c r="A291" s="316">
        <v>43026</v>
      </c>
      <c r="B291" s="227" t="s">
        <v>555</v>
      </c>
      <c r="C291" s="226"/>
      <c r="D291" s="226">
        <f>2*3+2*2.4+1.5</f>
        <v>12.3</v>
      </c>
      <c r="E291" s="228">
        <f t="shared" si="44"/>
        <v>35623.789999999986</v>
      </c>
      <c r="F291" s="229"/>
      <c r="G291" s="225">
        <f t="shared" si="45"/>
        <v>19.882399053833677</v>
      </c>
      <c r="H291" s="229"/>
      <c r="I291" s="225">
        <f t="shared" si="46"/>
        <v>244.55350836215425</v>
      </c>
      <c r="J291" s="226">
        <f t="shared" si="47"/>
        <v>708286.40858996939</v>
      </c>
      <c r="K291" s="230"/>
    </row>
    <row r="292" spans="1:11" x14ac:dyDescent="0.35">
      <c r="A292" s="316">
        <v>43026</v>
      </c>
      <c r="B292" s="227" t="s">
        <v>556</v>
      </c>
      <c r="C292" s="226"/>
      <c r="D292" s="226">
        <f>3*3</f>
        <v>9</v>
      </c>
      <c r="E292" s="228">
        <f t="shared" si="44"/>
        <v>35614.789999999986</v>
      </c>
      <c r="F292" s="229"/>
      <c r="G292" s="225">
        <f t="shared" si="45"/>
        <v>19.88239905383368</v>
      </c>
      <c r="H292" s="229"/>
      <c r="I292" s="225">
        <f t="shared" si="46"/>
        <v>178.94159148450314</v>
      </c>
      <c r="J292" s="226">
        <f t="shared" si="47"/>
        <v>708107.46699848492</v>
      </c>
      <c r="K292" s="230"/>
    </row>
    <row r="293" spans="1:11" x14ac:dyDescent="0.35">
      <c r="A293" s="316">
        <v>43026</v>
      </c>
      <c r="B293" s="227" t="s">
        <v>557</v>
      </c>
      <c r="C293" s="226"/>
      <c r="D293" s="226">
        <v>3.77</v>
      </c>
      <c r="E293" s="228">
        <f t="shared" si="44"/>
        <v>35611.01999999999</v>
      </c>
      <c r="F293" s="229"/>
      <c r="G293" s="225">
        <f t="shared" si="45"/>
        <v>19.88239905383368</v>
      </c>
      <c r="H293" s="229"/>
      <c r="I293" s="225">
        <f t="shared" si="46"/>
        <v>74.95664443295297</v>
      </c>
      <c r="J293" s="226">
        <f t="shared" si="47"/>
        <v>708032.51035405195</v>
      </c>
      <c r="K293" s="230"/>
    </row>
    <row r="294" spans="1:11" x14ac:dyDescent="0.35">
      <c r="A294" s="316">
        <v>43027</v>
      </c>
      <c r="B294" s="227" t="s">
        <v>558</v>
      </c>
      <c r="C294" s="226"/>
      <c r="D294" s="226">
        <f>15*5.4</f>
        <v>81</v>
      </c>
      <c r="E294" s="228">
        <f t="shared" si="44"/>
        <v>35530.01999999999</v>
      </c>
      <c r="F294" s="229"/>
      <c r="G294" s="225">
        <f t="shared" si="45"/>
        <v>19.882399053833677</v>
      </c>
      <c r="H294" s="229"/>
      <c r="I294" s="225">
        <f t="shared" si="46"/>
        <v>1610.4743233605277</v>
      </c>
      <c r="J294" s="226">
        <f t="shared" si="47"/>
        <v>706422.03603069147</v>
      </c>
      <c r="K294" s="230"/>
    </row>
    <row r="295" spans="1:11" x14ac:dyDescent="0.35">
      <c r="A295" s="316">
        <v>43027</v>
      </c>
      <c r="B295" s="227" t="s">
        <v>559</v>
      </c>
      <c r="C295" s="226"/>
      <c r="D295" s="226">
        <f>2.4+2+1.3</f>
        <v>5.7</v>
      </c>
      <c r="E295" s="228">
        <f t="shared" si="44"/>
        <v>35524.319999999992</v>
      </c>
      <c r="F295" s="229"/>
      <c r="G295" s="225">
        <f t="shared" si="45"/>
        <v>19.88239905383368</v>
      </c>
      <c r="H295" s="229"/>
      <c r="I295" s="225">
        <f t="shared" si="46"/>
        <v>113.32967460685198</v>
      </c>
      <c r="J295" s="226">
        <f t="shared" si="47"/>
        <v>706308.70635608456</v>
      </c>
      <c r="K295" s="230"/>
    </row>
    <row r="296" spans="1:11" x14ac:dyDescent="0.35">
      <c r="A296" s="316">
        <v>43027</v>
      </c>
      <c r="B296" s="227" t="s">
        <v>560</v>
      </c>
      <c r="C296" s="226"/>
      <c r="D296" s="226">
        <f>7*4.6</f>
        <v>32.199999999999996</v>
      </c>
      <c r="E296" s="228">
        <f t="shared" si="44"/>
        <v>35492.119999999995</v>
      </c>
      <c r="F296" s="229"/>
      <c r="G296" s="225">
        <f t="shared" si="45"/>
        <v>19.882399053833677</v>
      </c>
      <c r="H296" s="229"/>
      <c r="I296" s="225">
        <f t="shared" si="46"/>
        <v>640.21324953344435</v>
      </c>
      <c r="J296" s="226">
        <f t="shared" si="47"/>
        <v>705668.49310655112</v>
      </c>
      <c r="K296" s="230"/>
    </row>
    <row r="297" spans="1:11" x14ac:dyDescent="0.35">
      <c r="A297" s="316">
        <v>43027</v>
      </c>
      <c r="B297" s="227" t="s">
        <v>561</v>
      </c>
      <c r="C297" s="226"/>
      <c r="D297" s="226">
        <v>1.73</v>
      </c>
      <c r="E297" s="228">
        <f t="shared" si="44"/>
        <v>35490.389999999992</v>
      </c>
      <c r="F297" s="229"/>
      <c r="G297" s="225">
        <f t="shared" si="45"/>
        <v>19.882399053833673</v>
      </c>
      <c r="H297" s="229"/>
      <c r="I297" s="225">
        <f t="shared" si="46"/>
        <v>34.396550363132256</v>
      </c>
      <c r="J297" s="226">
        <f t="shared" si="47"/>
        <v>705634.09655618796</v>
      </c>
      <c r="K297" s="230"/>
    </row>
    <row r="298" spans="1:11" x14ac:dyDescent="0.35">
      <c r="A298" s="316">
        <v>43028</v>
      </c>
      <c r="B298" s="227" t="s">
        <v>562</v>
      </c>
      <c r="C298" s="226"/>
      <c r="D298" s="226">
        <f>5*1.2+5*1.68</f>
        <v>14.4</v>
      </c>
      <c r="E298" s="228">
        <f t="shared" si="44"/>
        <v>35475.989999999991</v>
      </c>
      <c r="F298" s="229"/>
      <c r="G298" s="225">
        <f t="shared" si="45"/>
        <v>19.882399053833673</v>
      </c>
      <c r="H298" s="229"/>
      <c r="I298" s="225">
        <f t="shared" si="46"/>
        <v>286.3065463752049</v>
      </c>
      <c r="J298" s="226">
        <f t="shared" si="47"/>
        <v>705347.7900098128</v>
      </c>
      <c r="K298" s="230"/>
    </row>
    <row r="299" spans="1:11" x14ac:dyDescent="0.35">
      <c r="A299" s="316">
        <v>43028</v>
      </c>
      <c r="B299" s="227" t="s">
        <v>563</v>
      </c>
      <c r="C299" s="226"/>
      <c r="D299" s="226">
        <f>16*5.35+6</f>
        <v>91.6</v>
      </c>
      <c r="E299" s="228">
        <f t="shared" si="44"/>
        <v>35384.389999999992</v>
      </c>
      <c r="F299" s="229"/>
      <c r="G299" s="225">
        <f t="shared" si="45"/>
        <v>19.882399053833677</v>
      </c>
      <c r="H299" s="229"/>
      <c r="I299" s="225">
        <f t="shared" si="46"/>
        <v>1821.2277533311646</v>
      </c>
      <c r="J299" s="226">
        <f t="shared" si="47"/>
        <v>703526.56225648161</v>
      </c>
      <c r="K299" s="230"/>
    </row>
    <row r="300" spans="1:11" x14ac:dyDescent="0.35">
      <c r="A300" s="316">
        <v>43033</v>
      </c>
      <c r="B300" s="227" t="s">
        <v>564</v>
      </c>
      <c r="C300" s="226"/>
      <c r="D300" s="226">
        <f>4*1.38+1.34</f>
        <v>6.8599999999999994</v>
      </c>
      <c r="E300" s="228">
        <f t="shared" si="44"/>
        <v>35377.529999999992</v>
      </c>
      <c r="F300" s="229"/>
      <c r="G300" s="225">
        <f t="shared" si="45"/>
        <v>19.882399053833677</v>
      </c>
      <c r="H300" s="229"/>
      <c r="I300" s="225">
        <f t="shared" si="46"/>
        <v>136.39325750929902</v>
      </c>
      <c r="J300" s="226">
        <f t="shared" si="47"/>
        <v>703390.16899897228</v>
      </c>
      <c r="K300" s="230"/>
    </row>
    <row r="301" spans="1:11" x14ac:dyDescent="0.35">
      <c r="A301" s="316">
        <v>43034</v>
      </c>
      <c r="B301" s="227" t="s">
        <v>565</v>
      </c>
      <c r="C301" s="226"/>
      <c r="D301" s="226">
        <f>10*3.61</f>
        <v>36.1</v>
      </c>
      <c r="E301" s="228">
        <f t="shared" si="44"/>
        <v>35341.429999999993</v>
      </c>
      <c r="F301" s="229"/>
      <c r="G301" s="225">
        <f t="shared" si="45"/>
        <v>19.882399053833677</v>
      </c>
      <c r="H301" s="229"/>
      <c r="I301" s="225">
        <f t="shared" si="46"/>
        <v>717.75460584339578</v>
      </c>
      <c r="J301" s="226">
        <f t="shared" si="47"/>
        <v>702672.41439312883</v>
      </c>
      <c r="K301" s="230"/>
    </row>
    <row r="302" spans="1:11" s="216" customFormat="1" x14ac:dyDescent="0.35">
      <c r="A302" s="316">
        <v>43035</v>
      </c>
      <c r="B302" s="227" t="s">
        <v>566</v>
      </c>
      <c r="C302" s="226"/>
      <c r="D302" s="226">
        <f>9*5</f>
        <v>45</v>
      </c>
      <c r="E302" s="228">
        <f t="shared" ref="E302:E334" si="48">+E301-D302</f>
        <v>35296.429999999993</v>
      </c>
      <c r="F302" s="229"/>
      <c r="G302" s="225">
        <f t="shared" ref="G302:G334" si="49">+J301/E301</f>
        <v>19.882399053833673</v>
      </c>
      <c r="H302" s="229"/>
      <c r="I302" s="225">
        <f t="shared" ref="I302:I334" si="50">+D302*G302</f>
        <v>894.70795742251528</v>
      </c>
      <c r="J302" s="226">
        <f t="shared" ref="J302:J334" si="51">+J301-I302</f>
        <v>701777.70643570635</v>
      </c>
      <c r="K302" s="230"/>
    </row>
    <row r="303" spans="1:11" s="216" customFormat="1" x14ac:dyDescent="0.35">
      <c r="A303" s="316">
        <v>43038</v>
      </c>
      <c r="B303" s="227" t="s">
        <v>567</v>
      </c>
      <c r="C303" s="226"/>
      <c r="D303" s="226">
        <f>5*3</f>
        <v>15</v>
      </c>
      <c r="E303" s="228">
        <f t="shared" si="48"/>
        <v>35281.429999999993</v>
      </c>
      <c r="F303" s="229"/>
      <c r="G303" s="225">
        <f t="shared" si="49"/>
        <v>19.882399053833673</v>
      </c>
      <c r="H303" s="229"/>
      <c r="I303" s="225">
        <f t="shared" si="50"/>
        <v>298.23598580750507</v>
      </c>
      <c r="J303" s="226">
        <f t="shared" si="51"/>
        <v>701479.47044989886</v>
      </c>
      <c r="K303" s="230"/>
    </row>
    <row r="304" spans="1:11" s="216" customFormat="1" x14ac:dyDescent="0.35">
      <c r="A304" s="316">
        <v>43039</v>
      </c>
      <c r="B304" s="227" t="s">
        <v>568</v>
      </c>
      <c r="C304" s="226"/>
      <c r="D304" s="226">
        <f>2*4.88</f>
        <v>9.76</v>
      </c>
      <c r="E304" s="228">
        <f t="shared" si="48"/>
        <v>35271.669999999991</v>
      </c>
      <c r="F304" s="229"/>
      <c r="G304" s="225">
        <f t="shared" si="49"/>
        <v>19.882399053833673</v>
      </c>
      <c r="H304" s="229"/>
      <c r="I304" s="225">
        <f t="shared" si="50"/>
        <v>194.05221476541664</v>
      </c>
      <c r="J304" s="226">
        <f t="shared" si="51"/>
        <v>701285.4182351334</v>
      </c>
      <c r="K304" s="230"/>
    </row>
    <row r="305" spans="1:14" s="296" customFormat="1" x14ac:dyDescent="0.35">
      <c r="A305" s="317">
        <v>43039</v>
      </c>
      <c r="B305" s="241" t="s">
        <v>569</v>
      </c>
      <c r="C305" s="294"/>
      <c r="D305" s="294">
        <f>9*7.17</f>
        <v>64.53</v>
      </c>
      <c r="E305" s="295">
        <f t="shared" si="48"/>
        <v>35207.139999999992</v>
      </c>
      <c r="F305" s="242"/>
      <c r="G305" s="294">
        <f t="shared" si="49"/>
        <v>19.882399053833673</v>
      </c>
      <c r="H305" s="242"/>
      <c r="I305" s="294">
        <f t="shared" si="50"/>
        <v>1283.0112109438869</v>
      </c>
      <c r="J305" s="294">
        <f t="shared" si="51"/>
        <v>700002.40702418948</v>
      </c>
      <c r="K305" s="193"/>
      <c r="L305" s="319">
        <f>SUM(I289:I305)</f>
        <v>9856.6993309380432</v>
      </c>
      <c r="M305" s="319">
        <f>SUM(L288:L305)</f>
        <v>22893.190742555707</v>
      </c>
      <c r="N305" s="318">
        <v>43039</v>
      </c>
    </row>
    <row r="306" spans="1:14" s="216" customFormat="1" x14ac:dyDescent="0.35">
      <c r="A306" s="316">
        <v>43040</v>
      </c>
      <c r="B306" s="227" t="s">
        <v>570</v>
      </c>
      <c r="C306" s="226"/>
      <c r="D306" s="226">
        <f>21*4.75</f>
        <v>99.75</v>
      </c>
      <c r="E306" s="228">
        <f t="shared" ref="E306" si="52">+E305-D306</f>
        <v>35107.389999999992</v>
      </c>
      <c r="F306" s="229"/>
      <c r="G306" s="225">
        <f t="shared" ref="G306" si="53">+J305/E305</f>
        <v>19.882399053833673</v>
      </c>
      <c r="H306" s="229"/>
      <c r="I306" s="225">
        <f t="shared" ref="I306" si="54">+D306*G306</f>
        <v>1983.2693056199089</v>
      </c>
      <c r="J306" s="226">
        <f t="shared" ref="J306" si="55">+J305-I306</f>
        <v>698019.1377185696</v>
      </c>
      <c r="K306" s="230"/>
    </row>
    <row r="307" spans="1:14" s="216" customFormat="1" x14ac:dyDescent="0.35">
      <c r="A307" s="316">
        <v>43046</v>
      </c>
      <c r="B307" s="227" t="s">
        <v>571</v>
      </c>
      <c r="C307" s="226"/>
      <c r="D307" s="226">
        <f>7*4.2</f>
        <v>29.400000000000002</v>
      </c>
      <c r="E307" s="228">
        <f t="shared" si="48"/>
        <v>35077.989999999991</v>
      </c>
      <c r="F307" s="229"/>
      <c r="G307" s="225">
        <f t="shared" si="49"/>
        <v>19.882399053833673</v>
      </c>
      <c r="H307" s="229"/>
      <c r="I307" s="225">
        <f t="shared" si="50"/>
        <v>584.54253218271003</v>
      </c>
      <c r="J307" s="226">
        <f t="shared" si="51"/>
        <v>697434.59518638684</v>
      </c>
      <c r="K307" s="230"/>
    </row>
    <row r="308" spans="1:14" s="216" customFormat="1" x14ac:dyDescent="0.35">
      <c r="A308" s="316">
        <v>43047</v>
      </c>
      <c r="B308" s="227" t="s">
        <v>572</v>
      </c>
      <c r="C308" s="226"/>
      <c r="D308" s="226">
        <f>4*3</f>
        <v>12</v>
      </c>
      <c r="E308" s="228">
        <f t="shared" si="48"/>
        <v>35065.989999999991</v>
      </c>
      <c r="F308" s="229"/>
      <c r="G308" s="225">
        <f t="shared" si="49"/>
        <v>19.882399053833673</v>
      </c>
      <c r="H308" s="229"/>
      <c r="I308" s="225">
        <f t="shared" si="50"/>
        <v>238.58878864600408</v>
      </c>
      <c r="J308" s="226">
        <f t="shared" si="51"/>
        <v>697196.0063977408</v>
      </c>
      <c r="K308" s="230"/>
    </row>
    <row r="309" spans="1:14" s="216" customFormat="1" x14ac:dyDescent="0.35">
      <c r="A309" s="316">
        <v>43047</v>
      </c>
      <c r="B309" s="227" t="s">
        <v>573</v>
      </c>
      <c r="C309" s="226"/>
      <c r="D309" s="226">
        <f>12*7.05</f>
        <v>84.6</v>
      </c>
      <c r="E309" s="228">
        <f t="shared" si="48"/>
        <v>34981.389999999992</v>
      </c>
      <c r="F309" s="229"/>
      <c r="G309" s="225">
        <f t="shared" si="49"/>
        <v>19.882399053833673</v>
      </c>
      <c r="H309" s="229"/>
      <c r="I309" s="225">
        <f t="shared" si="50"/>
        <v>1682.0509599543286</v>
      </c>
      <c r="J309" s="226">
        <f t="shared" si="51"/>
        <v>695513.95543778653</v>
      </c>
      <c r="K309" s="230"/>
    </row>
    <row r="310" spans="1:14" s="216" customFormat="1" x14ac:dyDescent="0.35">
      <c r="A310" s="316">
        <v>43052</v>
      </c>
      <c r="B310" s="227" t="s">
        <v>574</v>
      </c>
      <c r="C310" s="226"/>
      <c r="D310" s="226">
        <f>4+4.1+4.2</f>
        <v>12.3</v>
      </c>
      <c r="E310" s="228">
        <f t="shared" si="48"/>
        <v>34969.089999999989</v>
      </c>
      <c r="F310" s="229"/>
      <c r="G310" s="225">
        <f t="shared" si="49"/>
        <v>19.882399053833673</v>
      </c>
      <c r="H310" s="229"/>
      <c r="I310" s="225">
        <f t="shared" si="50"/>
        <v>244.55350836215419</v>
      </c>
      <c r="J310" s="226">
        <f t="shared" si="51"/>
        <v>695269.40192942438</v>
      </c>
      <c r="K310" s="230"/>
    </row>
    <row r="311" spans="1:14" s="216" customFormat="1" x14ac:dyDescent="0.35">
      <c r="A311" s="316">
        <v>43052</v>
      </c>
      <c r="B311" s="227" t="s">
        <v>575</v>
      </c>
      <c r="C311" s="226"/>
      <c r="D311" s="226">
        <f>10*5.05</f>
        <v>50.5</v>
      </c>
      <c r="E311" s="228">
        <f t="shared" si="48"/>
        <v>34918.589999999989</v>
      </c>
      <c r="F311" s="229"/>
      <c r="G311" s="225">
        <f t="shared" si="49"/>
        <v>19.882399053833673</v>
      </c>
      <c r="H311" s="229"/>
      <c r="I311" s="225">
        <f t="shared" si="50"/>
        <v>1004.0611522186005</v>
      </c>
      <c r="J311" s="226">
        <f t="shared" si="51"/>
        <v>694265.34077720577</v>
      </c>
      <c r="K311" s="230"/>
    </row>
    <row r="312" spans="1:14" s="216" customFormat="1" x14ac:dyDescent="0.35">
      <c r="A312" s="316">
        <v>43053</v>
      </c>
      <c r="B312" s="227" t="s">
        <v>576</v>
      </c>
      <c r="C312" s="226"/>
      <c r="D312" s="226">
        <v>5</v>
      </c>
      <c r="E312" s="228">
        <f t="shared" si="48"/>
        <v>34913.589999999989</v>
      </c>
      <c r="F312" s="229"/>
      <c r="G312" s="225">
        <f t="shared" si="49"/>
        <v>19.882399053833673</v>
      </c>
      <c r="H312" s="229"/>
      <c r="I312" s="225">
        <f t="shared" si="50"/>
        <v>99.411995269168358</v>
      </c>
      <c r="J312" s="226">
        <f t="shared" si="51"/>
        <v>694165.92878193664</v>
      </c>
      <c r="K312" s="230"/>
    </row>
    <row r="313" spans="1:14" s="216" customFormat="1" x14ac:dyDescent="0.35">
      <c r="A313" s="316">
        <v>43053</v>
      </c>
      <c r="B313" s="227" t="s">
        <v>577</v>
      </c>
      <c r="C313" s="226"/>
      <c r="D313" s="226">
        <f>4.7+4.8</f>
        <v>9.5</v>
      </c>
      <c r="E313" s="228">
        <f t="shared" si="48"/>
        <v>34904.089999999989</v>
      </c>
      <c r="F313" s="229"/>
      <c r="G313" s="225">
        <f t="shared" si="49"/>
        <v>19.882399053833677</v>
      </c>
      <c r="H313" s="229"/>
      <c r="I313" s="225">
        <f t="shared" si="50"/>
        <v>188.88279101141993</v>
      </c>
      <c r="J313" s="226">
        <f t="shared" si="51"/>
        <v>693977.04599092517</v>
      </c>
      <c r="K313" s="230"/>
    </row>
    <row r="314" spans="1:14" s="216" customFormat="1" x14ac:dyDescent="0.35">
      <c r="A314" s="316">
        <v>43054</v>
      </c>
      <c r="B314" s="227" t="s">
        <v>578</v>
      </c>
      <c r="C314" s="226"/>
      <c r="D314" s="226">
        <v>5.62</v>
      </c>
      <c r="E314" s="228">
        <f t="shared" si="48"/>
        <v>34898.469999999987</v>
      </c>
      <c r="F314" s="229"/>
      <c r="G314" s="225">
        <f t="shared" si="49"/>
        <v>19.882399053833673</v>
      </c>
      <c r="H314" s="229"/>
      <c r="I314" s="225">
        <f t="shared" si="50"/>
        <v>111.73908268254525</v>
      </c>
      <c r="J314" s="226">
        <f t="shared" si="51"/>
        <v>693865.30690824264</v>
      </c>
      <c r="K314" s="230"/>
    </row>
    <row r="315" spans="1:14" s="296" customFormat="1" x14ac:dyDescent="0.35">
      <c r="A315" s="317">
        <v>43054</v>
      </c>
      <c r="B315" s="241" t="s">
        <v>579</v>
      </c>
      <c r="C315" s="294"/>
      <c r="D315" s="294">
        <v>2.15</v>
      </c>
      <c r="E315" s="295">
        <f t="shared" si="48"/>
        <v>34896.319999999985</v>
      </c>
      <c r="F315" s="242"/>
      <c r="G315" s="294">
        <f t="shared" si="49"/>
        <v>19.882399053833677</v>
      </c>
      <c r="H315" s="242"/>
      <c r="I315" s="294">
        <f t="shared" si="50"/>
        <v>42.747157965742403</v>
      </c>
      <c r="J315" s="294">
        <f t="shared" si="51"/>
        <v>693822.55975027685</v>
      </c>
      <c r="K315" s="193"/>
      <c r="L315" s="319">
        <f>SUM(I306:I315)</f>
        <v>6179.8472739125809</v>
      </c>
      <c r="N315" s="318">
        <v>43054</v>
      </c>
    </row>
    <row r="316" spans="1:14" s="216" customFormat="1" x14ac:dyDescent="0.35">
      <c r="A316" s="316">
        <v>43055</v>
      </c>
      <c r="B316" s="227" t="s">
        <v>580</v>
      </c>
      <c r="C316" s="226"/>
      <c r="D316" s="226">
        <f>22*3.6</f>
        <v>79.2</v>
      </c>
      <c r="E316" s="228">
        <f t="shared" si="48"/>
        <v>34817.119999999988</v>
      </c>
      <c r="F316" s="229"/>
      <c r="G316" s="225">
        <f t="shared" si="49"/>
        <v>19.882399053833677</v>
      </c>
      <c r="H316" s="229"/>
      <c r="I316" s="225">
        <f t="shared" si="50"/>
        <v>1574.6860050636271</v>
      </c>
      <c r="J316" s="226">
        <f t="shared" si="51"/>
        <v>692247.87374521326</v>
      </c>
      <c r="K316" s="230"/>
    </row>
    <row r="317" spans="1:14" s="216" customFormat="1" x14ac:dyDescent="0.35">
      <c r="A317" s="316">
        <v>43055</v>
      </c>
      <c r="B317" s="227" t="s">
        <v>581</v>
      </c>
      <c r="C317" s="226"/>
      <c r="D317" s="226">
        <f>26*5.71+8*5.28</f>
        <v>190.70000000000002</v>
      </c>
      <c r="E317" s="228">
        <f t="shared" si="48"/>
        <v>34626.419999999991</v>
      </c>
      <c r="F317" s="229"/>
      <c r="G317" s="225">
        <f t="shared" si="49"/>
        <v>19.882399053833673</v>
      </c>
      <c r="H317" s="229"/>
      <c r="I317" s="225">
        <f t="shared" si="50"/>
        <v>3791.5734995660819</v>
      </c>
      <c r="J317" s="226">
        <f t="shared" si="51"/>
        <v>688456.3002456472</v>
      </c>
      <c r="K317" s="230"/>
    </row>
    <row r="318" spans="1:14" s="216" customFormat="1" x14ac:dyDescent="0.35">
      <c r="A318" s="316">
        <v>43055</v>
      </c>
      <c r="B318" s="227" t="s">
        <v>582</v>
      </c>
      <c r="C318" s="226"/>
      <c r="D318" s="226">
        <v>6</v>
      </c>
      <c r="E318" s="228">
        <f t="shared" si="48"/>
        <v>34620.419999999991</v>
      </c>
      <c r="F318" s="229"/>
      <c r="G318" s="225">
        <f t="shared" si="49"/>
        <v>19.882399053833673</v>
      </c>
      <c r="H318" s="229"/>
      <c r="I318" s="225">
        <f t="shared" si="50"/>
        <v>119.29439432300204</v>
      </c>
      <c r="J318" s="226">
        <f t="shared" si="51"/>
        <v>688337.00585132418</v>
      </c>
      <c r="K318" s="230"/>
    </row>
    <row r="319" spans="1:14" s="216" customFormat="1" x14ac:dyDescent="0.35">
      <c r="A319" s="316">
        <v>43056</v>
      </c>
      <c r="B319" s="227" t="s">
        <v>583</v>
      </c>
      <c r="C319" s="226"/>
      <c r="D319" s="226">
        <f>5.3+8*4.85+4.7+4.5+4.15+10*3.85+4*3.4+2.6</f>
        <v>112.14999999999998</v>
      </c>
      <c r="E319" s="228">
        <f t="shared" si="48"/>
        <v>34508.26999999999</v>
      </c>
      <c r="F319" s="229"/>
      <c r="G319" s="225">
        <f t="shared" si="49"/>
        <v>19.882399053833673</v>
      </c>
      <c r="H319" s="229"/>
      <c r="I319" s="225">
        <f t="shared" si="50"/>
        <v>2229.8110538874462</v>
      </c>
      <c r="J319" s="226">
        <f t="shared" si="51"/>
        <v>686107.19479743671</v>
      </c>
      <c r="K319" s="230"/>
    </row>
    <row r="320" spans="1:14" s="216" customFormat="1" x14ac:dyDescent="0.35">
      <c r="A320" s="316">
        <v>43060</v>
      </c>
      <c r="B320" s="227" t="s">
        <v>584</v>
      </c>
      <c r="C320" s="226"/>
      <c r="D320" s="226">
        <v>6</v>
      </c>
      <c r="E320" s="228">
        <f t="shared" si="48"/>
        <v>34502.26999999999</v>
      </c>
      <c r="F320" s="229"/>
      <c r="G320" s="225">
        <f t="shared" si="49"/>
        <v>19.882399053833673</v>
      </c>
      <c r="H320" s="229"/>
      <c r="I320" s="225">
        <f t="shared" si="50"/>
        <v>119.29439432300204</v>
      </c>
      <c r="J320" s="226">
        <f t="shared" si="51"/>
        <v>685987.90040311369</v>
      </c>
      <c r="K320" s="230"/>
    </row>
    <row r="321" spans="1:14" s="216" customFormat="1" x14ac:dyDescent="0.35">
      <c r="A321" s="316">
        <v>43060</v>
      </c>
      <c r="B321" s="227" t="s">
        <v>585</v>
      </c>
      <c r="C321" s="226"/>
      <c r="D321" s="226">
        <f>6*3.37</f>
        <v>20.22</v>
      </c>
      <c r="E321" s="228">
        <f t="shared" si="48"/>
        <v>34482.049999999988</v>
      </c>
      <c r="F321" s="229"/>
      <c r="G321" s="225">
        <f t="shared" si="49"/>
        <v>19.882399053833673</v>
      </c>
      <c r="H321" s="229"/>
      <c r="I321" s="225">
        <f t="shared" si="50"/>
        <v>402.02210886851685</v>
      </c>
      <c r="J321" s="226">
        <f t="shared" si="51"/>
        <v>685585.87829424522</v>
      </c>
      <c r="K321" s="230"/>
    </row>
    <row r="322" spans="1:14" s="216" customFormat="1" x14ac:dyDescent="0.35">
      <c r="A322" s="316">
        <v>42758</v>
      </c>
      <c r="B322" s="227" t="s">
        <v>586</v>
      </c>
      <c r="C322" s="226"/>
      <c r="D322" s="226">
        <f>15*3.27</f>
        <v>49.05</v>
      </c>
      <c r="E322" s="228">
        <f t="shared" si="48"/>
        <v>34432.999999999985</v>
      </c>
      <c r="F322" s="229"/>
      <c r="G322" s="225">
        <f t="shared" si="49"/>
        <v>19.882399053833673</v>
      </c>
      <c r="H322" s="229"/>
      <c r="I322" s="225">
        <f t="shared" si="50"/>
        <v>975.23167359054162</v>
      </c>
      <c r="J322" s="226">
        <f t="shared" si="51"/>
        <v>684610.64662065473</v>
      </c>
      <c r="K322" s="230"/>
    </row>
    <row r="323" spans="1:14" s="216" customFormat="1" x14ac:dyDescent="0.35">
      <c r="A323" s="316">
        <v>43063</v>
      </c>
      <c r="B323" s="227" t="s">
        <v>587</v>
      </c>
      <c r="C323" s="226"/>
      <c r="D323" s="226">
        <f>15*4.86</f>
        <v>72.900000000000006</v>
      </c>
      <c r="E323" s="228">
        <f t="shared" si="48"/>
        <v>34360.099999999984</v>
      </c>
      <c r="F323" s="229"/>
      <c r="G323" s="225">
        <f t="shared" si="49"/>
        <v>19.882399053833677</v>
      </c>
      <c r="H323" s="229"/>
      <c r="I323" s="225">
        <f t="shared" si="50"/>
        <v>1449.426891024475</v>
      </c>
      <c r="J323" s="226">
        <f t="shared" si="51"/>
        <v>683161.21972963028</v>
      </c>
      <c r="K323" s="230"/>
    </row>
    <row r="324" spans="1:14" s="216" customFormat="1" x14ac:dyDescent="0.35">
      <c r="A324" s="316">
        <v>43066</v>
      </c>
      <c r="B324" s="334" t="s">
        <v>588</v>
      </c>
      <c r="C324" s="226"/>
      <c r="D324" s="226">
        <f>13*5.6+17*5.05</f>
        <v>158.64999999999998</v>
      </c>
      <c r="E324" s="228">
        <f t="shared" si="48"/>
        <v>34201.449999999983</v>
      </c>
      <c r="F324" s="229"/>
      <c r="G324" s="225">
        <f t="shared" si="49"/>
        <v>19.88239905383368</v>
      </c>
      <c r="H324" s="229"/>
      <c r="I324" s="225">
        <f t="shared" si="50"/>
        <v>3154.342609890713</v>
      </c>
      <c r="J324" s="226">
        <f t="shared" si="51"/>
        <v>680006.87711973954</v>
      </c>
      <c r="K324" s="230"/>
    </row>
    <row r="325" spans="1:14" s="216" customFormat="1" x14ac:dyDescent="0.35">
      <c r="A325" s="316">
        <v>43067</v>
      </c>
      <c r="B325" s="227" t="s">
        <v>589</v>
      </c>
      <c r="C325" s="226"/>
      <c r="D325" s="226">
        <f>2*3.85</f>
        <v>7.7</v>
      </c>
      <c r="E325" s="228">
        <f t="shared" si="48"/>
        <v>34193.749999999985</v>
      </c>
      <c r="F325" s="229"/>
      <c r="G325" s="225">
        <f t="shared" si="49"/>
        <v>19.88239905383368</v>
      </c>
      <c r="H325" s="229"/>
      <c r="I325" s="225">
        <f t="shared" si="50"/>
        <v>153.09447271451933</v>
      </c>
      <c r="J325" s="226">
        <f t="shared" si="51"/>
        <v>679853.78264702507</v>
      </c>
      <c r="K325" s="230"/>
    </row>
    <row r="326" spans="1:14" s="216" customFormat="1" x14ac:dyDescent="0.35">
      <c r="A326" s="316">
        <v>43067</v>
      </c>
      <c r="B326" s="227" t="s">
        <v>590</v>
      </c>
      <c r="C326" s="226"/>
      <c r="D326" s="226">
        <f>2*2+2*2.1</f>
        <v>8.1999999999999993</v>
      </c>
      <c r="E326" s="228">
        <f t="shared" si="48"/>
        <v>34185.549999999988</v>
      </c>
      <c r="F326" s="229"/>
      <c r="G326" s="225">
        <f t="shared" si="49"/>
        <v>19.88239905383368</v>
      </c>
      <c r="H326" s="229"/>
      <c r="I326" s="225">
        <f t="shared" si="50"/>
        <v>163.03567224143617</v>
      </c>
      <c r="J326" s="226">
        <f t="shared" si="51"/>
        <v>679690.7469747836</v>
      </c>
      <c r="K326" s="230"/>
    </row>
    <row r="327" spans="1:14" s="216" customFormat="1" x14ac:dyDescent="0.35">
      <c r="A327" s="316">
        <v>43068</v>
      </c>
      <c r="B327" s="227" t="s">
        <v>591</v>
      </c>
      <c r="C327" s="226"/>
      <c r="D327" s="226">
        <f>10*2</f>
        <v>20</v>
      </c>
      <c r="E327" s="228">
        <f t="shared" si="48"/>
        <v>34165.549999999988</v>
      </c>
      <c r="F327" s="229"/>
      <c r="G327" s="225">
        <f t="shared" si="49"/>
        <v>19.882399053833677</v>
      </c>
      <c r="H327" s="229"/>
      <c r="I327" s="225">
        <f t="shared" si="50"/>
        <v>397.64798107667355</v>
      </c>
      <c r="J327" s="226">
        <f t="shared" si="51"/>
        <v>679293.09899370698</v>
      </c>
      <c r="K327" s="230"/>
    </row>
    <row r="328" spans="1:14" s="216" customFormat="1" x14ac:dyDescent="0.35">
      <c r="A328" s="316">
        <v>43068</v>
      </c>
      <c r="B328" s="227" t="s">
        <v>592</v>
      </c>
      <c r="C328" s="226"/>
      <c r="D328" s="226">
        <f>24*3+5</f>
        <v>77</v>
      </c>
      <c r="E328" s="228">
        <f t="shared" si="48"/>
        <v>34088.549999999988</v>
      </c>
      <c r="F328" s="229"/>
      <c r="G328" s="225">
        <f t="shared" si="49"/>
        <v>19.882399053833677</v>
      </c>
      <c r="H328" s="229"/>
      <c r="I328" s="225">
        <f t="shared" si="50"/>
        <v>1530.9447271451932</v>
      </c>
      <c r="J328" s="226">
        <f t="shared" si="51"/>
        <v>677762.15426656185</v>
      </c>
      <c r="K328" s="230"/>
    </row>
    <row r="329" spans="1:14" s="216" customFormat="1" x14ac:dyDescent="0.35">
      <c r="A329" s="316">
        <v>43069</v>
      </c>
      <c r="B329" s="227" t="s">
        <v>593</v>
      </c>
      <c r="C329" s="226"/>
      <c r="D329" s="226">
        <v>2</v>
      </c>
      <c r="E329" s="228">
        <f t="shared" si="48"/>
        <v>34086.549999999988</v>
      </c>
      <c r="F329" s="229"/>
      <c r="G329" s="225">
        <f t="shared" si="49"/>
        <v>19.88239905383368</v>
      </c>
      <c r="H329" s="229"/>
      <c r="I329" s="225">
        <f t="shared" si="50"/>
        <v>39.76479810766736</v>
      </c>
      <c r="J329" s="226">
        <f t="shared" si="51"/>
        <v>677722.38946845417</v>
      </c>
      <c r="K329" s="230"/>
    </row>
    <row r="330" spans="1:14" s="296" customFormat="1" x14ac:dyDescent="0.35">
      <c r="A330" s="317">
        <v>43069</v>
      </c>
      <c r="B330" s="241" t="s">
        <v>594</v>
      </c>
      <c r="C330" s="294"/>
      <c r="D330" s="294">
        <f>52*3.8+52*4.95+12</f>
        <v>467</v>
      </c>
      <c r="E330" s="295">
        <f t="shared" si="48"/>
        <v>33619.549999999988</v>
      </c>
      <c r="F330" s="242"/>
      <c r="G330" s="294">
        <f t="shared" si="49"/>
        <v>19.88239905383368</v>
      </c>
      <c r="H330" s="242"/>
      <c r="I330" s="294">
        <f t="shared" si="50"/>
        <v>9285.0803581403288</v>
      </c>
      <c r="J330" s="294">
        <f t="shared" si="51"/>
        <v>668437.30911031389</v>
      </c>
      <c r="K330" s="193"/>
      <c r="L330" s="319">
        <f>SUM(I316:I330)</f>
        <v>25385.250639963226</v>
      </c>
      <c r="M330" s="319">
        <f>SUM(L315:L330)</f>
        <v>31565.097913875805</v>
      </c>
      <c r="N330" s="318">
        <v>43069</v>
      </c>
    </row>
    <row r="331" spans="1:14" s="216" customFormat="1" x14ac:dyDescent="0.35">
      <c r="A331" s="316">
        <v>43070</v>
      </c>
      <c r="B331" s="227" t="s">
        <v>595</v>
      </c>
      <c r="C331" s="226"/>
      <c r="D331" s="226">
        <f>4*3.6</f>
        <v>14.4</v>
      </c>
      <c r="E331" s="228">
        <f t="shared" si="48"/>
        <v>33605.149999999987</v>
      </c>
      <c r="F331" s="229"/>
      <c r="G331" s="225">
        <f t="shared" si="49"/>
        <v>19.88239905383368</v>
      </c>
      <c r="H331" s="229"/>
      <c r="I331" s="225">
        <f t="shared" si="50"/>
        <v>286.30654637520502</v>
      </c>
      <c r="J331" s="226">
        <f t="shared" si="51"/>
        <v>668151.00256393873</v>
      </c>
      <c r="K331" s="230"/>
    </row>
    <row r="332" spans="1:14" s="216" customFormat="1" x14ac:dyDescent="0.35">
      <c r="A332" s="316">
        <v>43071</v>
      </c>
      <c r="B332" s="227" t="s">
        <v>596</v>
      </c>
      <c r="C332" s="226"/>
      <c r="D332" s="226">
        <f>4*2.06</f>
        <v>8.24</v>
      </c>
      <c r="E332" s="228">
        <f t="shared" si="48"/>
        <v>33596.909999999989</v>
      </c>
      <c r="F332" s="229"/>
      <c r="G332" s="225">
        <f t="shared" si="49"/>
        <v>19.882399053833684</v>
      </c>
      <c r="H332" s="229"/>
      <c r="I332" s="225">
        <f t="shared" si="50"/>
        <v>163.83096820358955</v>
      </c>
      <c r="J332" s="226">
        <f t="shared" si="51"/>
        <v>667987.17159573513</v>
      </c>
      <c r="K332" s="230"/>
    </row>
    <row r="333" spans="1:14" s="216" customFormat="1" x14ac:dyDescent="0.35">
      <c r="A333" s="316">
        <v>43071</v>
      </c>
      <c r="B333" s="227" t="s">
        <v>597</v>
      </c>
      <c r="C333" s="226"/>
      <c r="D333" s="226">
        <f>18*2.5</f>
        <v>45</v>
      </c>
      <c r="E333" s="228">
        <f t="shared" si="48"/>
        <v>33551.909999999989</v>
      </c>
      <c r="F333" s="229"/>
      <c r="G333" s="225">
        <f t="shared" si="49"/>
        <v>19.88239905383368</v>
      </c>
      <c r="H333" s="229"/>
      <c r="I333" s="225">
        <f t="shared" si="50"/>
        <v>894.70795742251562</v>
      </c>
      <c r="J333" s="226">
        <f t="shared" si="51"/>
        <v>667092.46363831265</v>
      </c>
      <c r="K333" s="230"/>
    </row>
    <row r="334" spans="1:14" s="216" customFormat="1" x14ac:dyDescent="0.35">
      <c r="A334" s="316">
        <v>43074</v>
      </c>
      <c r="B334" s="227" t="s">
        <v>598</v>
      </c>
      <c r="C334" s="226"/>
      <c r="D334" s="226">
        <f>3*3</f>
        <v>9</v>
      </c>
      <c r="E334" s="228">
        <f t="shared" si="48"/>
        <v>33542.909999999989</v>
      </c>
      <c r="F334" s="229"/>
      <c r="G334" s="225">
        <f t="shared" si="49"/>
        <v>19.882399053833684</v>
      </c>
      <c r="H334" s="229"/>
      <c r="I334" s="225">
        <f t="shared" si="50"/>
        <v>178.94159148450316</v>
      </c>
      <c r="J334" s="226">
        <f t="shared" si="51"/>
        <v>666913.52204682818</v>
      </c>
      <c r="K334" s="230"/>
    </row>
    <row r="335" spans="1:14" s="216" customFormat="1" x14ac:dyDescent="0.35">
      <c r="A335" s="316">
        <v>43074</v>
      </c>
      <c r="B335" s="227" t="s">
        <v>599</v>
      </c>
      <c r="C335" s="226"/>
      <c r="D335" s="226">
        <f>4*6</f>
        <v>24</v>
      </c>
      <c r="E335" s="228">
        <f t="shared" ref="E335:E358" si="56">+E334-D335</f>
        <v>33518.909999999989</v>
      </c>
      <c r="F335" s="229"/>
      <c r="G335" s="225">
        <f t="shared" ref="G335:G358" si="57">+J334/E334</f>
        <v>19.882399053833684</v>
      </c>
      <c r="H335" s="229"/>
      <c r="I335" s="225">
        <f t="shared" ref="I335:I358" si="58">+D335*G335</f>
        <v>477.17757729200844</v>
      </c>
      <c r="J335" s="226">
        <f t="shared" ref="J335:J358" si="59">+J334-I335</f>
        <v>666436.34446953621</v>
      </c>
      <c r="K335" s="230"/>
    </row>
    <row r="336" spans="1:14" s="216" customFormat="1" x14ac:dyDescent="0.35">
      <c r="A336" s="316">
        <v>43075</v>
      </c>
      <c r="B336" s="227" t="s">
        <v>600</v>
      </c>
      <c r="C336" s="226"/>
      <c r="D336" s="226">
        <f>7*3.3</f>
        <v>23.099999999999998</v>
      </c>
      <c r="E336" s="228">
        <f t="shared" si="56"/>
        <v>33495.80999999999</v>
      </c>
      <c r="F336" s="229"/>
      <c r="G336" s="225">
        <f t="shared" si="57"/>
        <v>19.882399053833684</v>
      </c>
      <c r="H336" s="229"/>
      <c r="I336" s="225">
        <f t="shared" si="58"/>
        <v>459.28341814355804</v>
      </c>
      <c r="J336" s="226">
        <f t="shared" si="59"/>
        <v>665977.06105139269</v>
      </c>
      <c r="K336" s="230"/>
    </row>
    <row r="337" spans="1:14" s="216" customFormat="1" x14ac:dyDescent="0.35">
      <c r="A337" s="316">
        <v>43075</v>
      </c>
      <c r="B337" s="227" t="s">
        <v>601</v>
      </c>
      <c r="C337" s="226"/>
      <c r="D337" s="226">
        <f>34*3.2+6*2.5+3*2.8</f>
        <v>132.20000000000002</v>
      </c>
      <c r="E337" s="228">
        <f t="shared" si="56"/>
        <v>33363.609999999993</v>
      </c>
      <c r="F337" s="229"/>
      <c r="G337" s="225">
        <f t="shared" si="57"/>
        <v>19.882399053833684</v>
      </c>
      <c r="H337" s="229"/>
      <c r="I337" s="225">
        <f t="shared" si="58"/>
        <v>2628.4531549168132</v>
      </c>
      <c r="J337" s="226">
        <f t="shared" si="59"/>
        <v>663348.60789647594</v>
      </c>
      <c r="K337" s="230"/>
    </row>
    <row r="338" spans="1:14" s="216" customFormat="1" x14ac:dyDescent="0.35">
      <c r="A338" s="316">
        <v>43076</v>
      </c>
      <c r="B338" s="227" t="s">
        <v>602</v>
      </c>
      <c r="C338" s="226"/>
      <c r="D338" s="226">
        <f>1+1.28+1.8</f>
        <v>4.08</v>
      </c>
      <c r="E338" s="228">
        <f t="shared" si="56"/>
        <v>33359.529999999992</v>
      </c>
      <c r="F338" s="229"/>
      <c r="G338" s="225">
        <f t="shared" si="57"/>
        <v>19.882399053833684</v>
      </c>
      <c r="H338" s="229"/>
      <c r="I338" s="225">
        <f t="shared" si="58"/>
        <v>81.120188139641428</v>
      </c>
      <c r="J338" s="226">
        <f t="shared" si="59"/>
        <v>663267.48770833632</v>
      </c>
      <c r="K338" s="230"/>
    </row>
    <row r="339" spans="1:14" s="216" customFormat="1" x14ac:dyDescent="0.35">
      <c r="A339" s="316">
        <v>43077</v>
      </c>
      <c r="B339" s="227" t="s">
        <v>603</v>
      </c>
      <c r="C339" s="226"/>
      <c r="D339" s="226">
        <f>5*2.15</f>
        <v>10.75</v>
      </c>
      <c r="E339" s="228">
        <f t="shared" si="56"/>
        <v>33348.779999999992</v>
      </c>
      <c r="F339" s="229"/>
      <c r="G339" s="225">
        <f t="shared" si="57"/>
        <v>19.882399053833687</v>
      </c>
      <c r="H339" s="229"/>
      <c r="I339" s="225">
        <f t="shared" si="58"/>
        <v>213.73578982871214</v>
      </c>
      <c r="J339" s="226">
        <f t="shared" si="59"/>
        <v>663053.75191850762</v>
      </c>
      <c r="K339" s="230"/>
    </row>
    <row r="340" spans="1:14" s="216" customFormat="1" x14ac:dyDescent="0.35">
      <c r="A340" s="316">
        <v>43078</v>
      </c>
      <c r="B340" s="227" t="s">
        <v>604</v>
      </c>
      <c r="C340" s="226"/>
      <c r="D340" s="226">
        <f>11*5.5+7*5.3</f>
        <v>97.6</v>
      </c>
      <c r="E340" s="228">
        <f t="shared" si="56"/>
        <v>33251.179999999993</v>
      </c>
      <c r="F340" s="229"/>
      <c r="G340" s="225">
        <f t="shared" si="57"/>
        <v>19.882399053833687</v>
      </c>
      <c r="H340" s="229"/>
      <c r="I340" s="225">
        <f t="shared" si="58"/>
        <v>1940.5221476541678</v>
      </c>
      <c r="J340" s="226">
        <f t="shared" si="59"/>
        <v>661113.22977085342</v>
      </c>
      <c r="K340" s="230"/>
    </row>
    <row r="341" spans="1:14" s="216" customFormat="1" x14ac:dyDescent="0.35">
      <c r="A341" s="316">
        <v>43078</v>
      </c>
      <c r="B341" s="227" t="s">
        <v>605</v>
      </c>
      <c r="C341" s="226"/>
      <c r="D341" s="226">
        <f>14*3.2</f>
        <v>44.800000000000004</v>
      </c>
      <c r="E341" s="228">
        <f t="shared" si="56"/>
        <v>33206.37999999999</v>
      </c>
      <c r="F341" s="229"/>
      <c r="G341" s="225">
        <f t="shared" si="57"/>
        <v>19.882399053833684</v>
      </c>
      <c r="H341" s="229"/>
      <c r="I341" s="225">
        <f t="shared" si="58"/>
        <v>890.73147761174914</v>
      </c>
      <c r="J341" s="226">
        <f t="shared" si="59"/>
        <v>660222.49829324172</v>
      </c>
      <c r="K341" s="230"/>
    </row>
    <row r="342" spans="1:14" s="216" customFormat="1" x14ac:dyDescent="0.35">
      <c r="A342" s="316">
        <v>43080</v>
      </c>
      <c r="B342" s="227" t="s">
        <v>606</v>
      </c>
      <c r="C342" s="226"/>
      <c r="D342" s="226">
        <f>2*4.8</f>
        <v>9.6</v>
      </c>
      <c r="E342" s="228">
        <f t="shared" si="56"/>
        <v>33196.779999999992</v>
      </c>
      <c r="F342" s="229"/>
      <c r="G342" s="225">
        <f t="shared" si="57"/>
        <v>19.882399053833687</v>
      </c>
      <c r="H342" s="229"/>
      <c r="I342" s="225">
        <f t="shared" si="58"/>
        <v>190.87103091680339</v>
      </c>
      <c r="J342" s="226">
        <f t="shared" si="59"/>
        <v>660031.62726232491</v>
      </c>
      <c r="K342" s="230"/>
    </row>
    <row r="343" spans="1:14" s="216" customFormat="1" x14ac:dyDescent="0.35">
      <c r="A343" s="316">
        <v>43080</v>
      </c>
      <c r="B343" s="227" t="s">
        <v>607</v>
      </c>
      <c r="C343" s="226"/>
      <c r="D343" s="226">
        <f>18*5.18</f>
        <v>93.24</v>
      </c>
      <c r="E343" s="228">
        <f t="shared" si="56"/>
        <v>33103.539999999994</v>
      </c>
      <c r="F343" s="229"/>
      <c r="G343" s="225">
        <f t="shared" si="57"/>
        <v>19.882399053833687</v>
      </c>
      <c r="H343" s="229"/>
      <c r="I343" s="225">
        <f t="shared" si="58"/>
        <v>1853.8348877794529</v>
      </c>
      <c r="J343" s="226">
        <f t="shared" si="59"/>
        <v>658177.79237454548</v>
      </c>
      <c r="K343" s="230"/>
    </row>
    <row r="344" spans="1:14" s="216" customFormat="1" x14ac:dyDescent="0.35">
      <c r="A344" s="316">
        <v>43080</v>
      </c>
      <c r="B344" s="227" t="s">
        <v>608</v>
      </c>
      <c r="C344" s="226"/>
      <c r="D344" s="226">
        <f>8*3.5</f>
        <v>28</v>
      </c>
      <c r="E344" s="228">
        <f t="shared" si="56"/>
        <v>33075.539999999994</v>
      </c>
      <c r="F344" s="229"/>
      <c r="G344" s="225">
        <f t="shared" si="57"/>
        <v>19.882399053833687</v>
      </c>
      <c r="H344" s="229"/>
      <c r="I344" s="225">
        <f t="shared" si="58"/>
        <v>556.70717350734321</v>
      </c>
      <c r="J344" s="226">
        <f t="shared" si="59"/>
        <v>657621.08520103816</v>
      </c>
      <c r="K344" s="230"/>
    </row>
    <row r="345" spans="1:14" s="216" customFormat="1" x14ac:dyDescent="0.35">
      <c r="A345" s="316">
        <v>43081</v>
      </c>
      <c r="B345" s="227" t="s">
        <v>609</v>
      </c>
      <c r="C345" s="226"/>
      <c r="D345" s="226">
        <f>8*6+5*8.5</f>
        <v>90.5</v>
      </c>
      <c r="E345" s="228">
        <f t="shared" si="56"/>
        <v>32985.039999999994</v>
      </c>
      <c r="F345" s="229"/>
      <c r="G345" s="225">
        <f t="shared" si="57"/>
        <v>19.882399053833687</v>
      </c>
      <c r="H345" s="229"/>
      <c r="I345" s="225">
        <f t="shared" si="58"/>
        <v>1799.3571143719487</v>
      </c>
      <c r="J345" s="226">
        <f t="shared" si="59"/>
        <v>655821.7280866662</v>
      </c>
      <c r="K345" s="230"/>
    </row>
    <row r="346" spans="1:14" s="216" customFormat="1" x14ac:dyDescent="0.35">
      <c r="A346" s="316">
        <v>43081</v>
      </c>
      <c r="B346" s="227" t="s">
        <v>610</v>
      </c>
      <c r="C346" s="226"/>
      <c r="D346" s="226">
        <f>10*1</f>
        <v>10</v>
      </c>
      <c r="E346" s="228">
        <f t="shared" si="56"/>
        <v>32975.039999999994</v>
      </c>
      <c r="F346" s="229"/>
      <c r="G346" s="225">
        <f t="shared" si="57"/>
        <v>19.882399053833687</v>
      </c>
      <c r="H346" s="229"/>
      <c r="I346" s="225">
        <f t="shared" si="58"/>
        <v>198.82399053833689</v>
      </c>
      <c r="J346" s="226">
        <f t="shared" si="59"/>
        <v>655622.90409612784</v>
      </c>
      <c r="K346" s="230"/>
    </row>
    <row r="347" spans="1:14" s="216" customFormat="1" x14ac:dyDescent="0.35">
      <c r="A347" s="316">
        <v>43082</v>
      </c>
      <c r="B347" s="227" t="s">
        <v>611</v>
      </c>
      <c r="C347" s="226"/>
      <c r="D347" s="226">
        <f>9*1.8</f>
        <v>16.2</v>
      </c>
      <c r="E347" s="228">
        <f t="shared" si="56"/>
        <v>32958.839999999997</v>
      </c>
      <c r="F347" s="229"/>
      <c r="G347" s="225">
        <f t="shared" si="57"/>
        <v>19.882399053833687</v>
      </c>
      <c r="H347" s="229"/>
      <c r="I347" s="225">
        <f t="shared" si="58"/>
        <v>322.0948646721057</v>
      </c>
      <c r="J347" s="226">
        <f t="shared" si="59"/>
        <v>655300.80923145579</v>
      </c>
      <c r="K347" s="230"/>
    </row>
    <row r="348" spans="1:14" s="216" customFormat="1" x14ac:dyDescent="0.35">
      <c r="A348" s="316">
        <v>43083</v>
      </c>
      <c r="B348" s="227" t="s">
        <v>187</v>
      </c>
      <c r="C348" s="226"/>
      <c r="D348" s="226">
        <v>0</v>
      </c>
      <c r="E348" s="228">
        <f t="shared" si="56"/>
        <v>32958.839999999997</v>
      </c>
      <c r="F348" s="229"/>
      <c r="G348" s="225">
        <f t="shared" si="57"/>
        <v>19.882399053833687</v>
      </c>
      <c r="H348" s="229"/>
      <c r="I348" s="225">
        <f t="shared" si="58"/>
        <v>0</v>
      </c>
      <c r="J348" s="226">
        <f t="shared" si="59"/>
        <v>655300.80923145579</v>
      </c>
      <c r="K348" s="230"/>
    </row>
    <row r="349" spans="1:14" s="216" customFormat="1" x14ac:dyDescent="0.35">
      <c r="A349" s="316">
        <v>43083</v>
      </c>
      <c r="B349" s="227" t="s">
        <v>612</v>
      </c>
      <c r="C349" s="226"/>
      <c r="D349" s="226">
        <v>1.8</v>
      </c>
      <c r="E349" s="228">
        <f t="shared" si="56"/>
        <v>32957.039999999994</v>
      </c>
      <c r="F349" s="229"/>
      <c r="G349" s="225">
        <f t="shared" si="57"/>
        <v>19.882399053833687</v>
      </c>
      <c r="H349" s="229"/>
      <c r="I349" s="225">
        <f t="shared" si="58"/>
        <v>35.788318296900641</v>
      </c>
      <c r="J349" s="226">
        <f t="shared" si="59"/>
        <v>655265.02091315889</v>
      </c>
      <c r="K349" s="230"/>
    </row>
    <row r="350" spans="1:14" s="216" customFormat="1" x14ac:dyDescent="0.35">
      <c r="A350" s="316">
        <v>43083</v>
      </c>
      <c r="B350" s="227" t="s">
        <v>613</v>
      </c>
      <c r="C350" s="226"/>
      <c r="D350" s="226">
        <v>0.68</v>
      </c>
      <c r="E350" s="228">
        <f t="shared" si="56"/>
        <v>32956.359999999993</v>
      </c>
      <c r="F350" s="229"/>
      <c r="G350" s="225">
        <f t="shared" si="57"/>
        <v>19.882399053833687</v>
      </c>
      <c r="H350" s="229"/>
      <c r="I350" s="225">
        <f t="shared" si="58"/>
        <v>13.520031356606909</v>
      </c>
      <c r="J350" s="226">
        <f t="shared" si="59"/>
        <v>655251.50088180229</v>
      </c>
      <c r="K350" s="230"/>
    </row>
    <row r="351" spans="1:14" s="296" customFormat="1" x14ac:dyDescent="0.35">
      <c r="A351" s="317">
        <v>43083</v>
      </c>
      <c r="B351" s="241" t="s">
        <v>614</v>
      </c>
      <c r="C351" s="294"/>
      <c r="D351" s="294">
        <f>12*5.5+8*3.1</f>
        <v>90.8</v>
      </c>
      <c r="E351" s="295">
        <f t="shared" si="56"/>
        <v>32865.55999999999</v>
      </c>
      <c r="F351" s="242"/>
      <c r="G351" s="294">
        <f t="shared" si="57"/>
        <v>19.882399053833687</v>
      </c>
      <c r="H351" s="242"/>
      <c r="I351" s="294">
        <f t="shared" si="58"/>
        <v>1805.3218340880987</v>
      </c>
      <c r="J351" s="294">
        <f t="shared" si="59"/>
        <v>653446.17904771422</v>
      </c>
      <c r="K351" s="193"/>
      <c r="L351" s="319">
        <f>SUM(I331:I351)</f>
        <v>14991.130062600059</v>
      </c>
      <c r="N351" s="318">
        <v>43084</v>
      </c>
    </row>
    <row r="352" spans="1:14" s="216" customFormat="1" x14ac:dyDescent="0.35">
      <c r="A352" s="316">
        <v>43085</v>
      </c>
      <c r="B352" s="227" t="s">
        <v>615</v>
      </c>
      <c r="C352" s="226"/>
      <c r="D352" s="226">
        <f>10*6</f>
        <v>60</v>
      </c>
      <c r="E352" s="228">
        <f t="shared" si="56"/>
        <v>32805.55999999999</v>
      </c>
      <c r="F352" s="229"/>
      <c r="G352" s="225">
        <f t="shared" si="57"/>
        <v>19.882399053833691</v>
      </c>
      <c r="H352" s="229"/>
      <c r="I352" s="225">
        <f t="shared" si="58"/>
        <v>1192.9439432300214</v>
      </c>
      <c r="J352" s="226">
        <f t="shared" si="59"/>
        <v>652253.23510448425</v>
      </c>
      <c r="K352" s="230"/>
    </row>
    <row r="353" spans="1:14" s="216" customFormat="1" x14ac:dyDescent="0.35">
      <c r="A353" s="316">
        <v>43085</v>
      </c>
      <c r="B353" s="227" t="s">
        <v>616</v>
      </c>
      <c r="C353" s="226"/>
      <c r="D353" s="226">
        <v>6</v>
      </c>
      <c r="E353" s="228">
        <f t="shared" si="56"/>
        <v>32799.55999999999</v>
      </c>
      <c r="F353" s="229"/>
      <c r="G353" s="225">
        <f t="shared" si="57"/>
        <v>19.882399053833694</v>
      </c>
      <c r="H353" s="229"/>
      <c r="I353" s="225">
        <f t="shared" si="58"/>
        <v>119.29439432300217</v>
      </c>
      <c r="J353" s="226">
        <f t="shared" si="59"/>
        <v>652133.94071016123</v>
      </c>
      <c r="K353" s="230"/>
    </row>
    <row r="354" spans="1:14" s="216" customFormat="1" x14ac:dyDescent="0.35">
      <c r="A354" s="316">
        <v>43085</v>
      </c>
      <c r="B354" s="227" t="s">
        <v>617</v>
      </c>
      <c r="C354" s="226"/>
      <c r="D354" s="226">
        <f>17*4.8+16*4.3</f>
        <v>150.39999999999998</v>
      </c>
      <c r="E354" s="228">
        <f t="shared" si="56"/>
        <v>32649.159999999989</v>
      </c>
      <c r="F354" s="229"/>
      <c r="G354" s="225">
        <f t="shared" si="57"/>
        <v>19.882399053833691</v>
      </c>
      <c r="H354" s="229"/>
      <c r="I354" s="225">
        <f t="shared" si="58"/>
        <v>2990.3128176965865</v>
      </c>
      <c r="J354" s="226">
        <f t="shared" si="59"/>
        <v>649143.62789246463</v>
      </c>
      <c r="K354" s="230"/>
    </row>
    <row r="355" spans="1:14" s="216" customFormat="1" x14ac:dyDescent="0.35">
      <c r="A355" s="316">
        <v>43088</v>
      </c>
      <c r="B355" s="227" t="s">
        <v>618</v>
      </c>
      <c r="C355" s="226"/>
      <c r="D355" s="226">
        <v>2.2000000000000002</v>
      </c>
      <c r="E355" s="228">
        <f t="shared" si="56"/>
        <v>32646.959999999988</v>
      </c>
      <c r="F355" s="229"/>
      <c r="G355" s="225">
        <f t="shared" si="57"/>
        <v>19.882399053833694</v>
      </c>
      <c r="H355" s="229"/>
      <c r="I355" s="225">
        <f t="shared" si="58"/>
        <v>43.741277918434129</v>
      </c>
      <c r="J355" s="226">
        <f t="shared" si="59"/>
        <v>649099.88661454618</v>
      </c>
      <c r="K355" s="230"/>
    </row>
    <row r="356" spans="1:14" s="216" customFormat="1" x14ac:dyDescent="0.35">
      <c r="A356" s="316">
        <v>43088</v>
      </c>
      <c r="B356" s="227" t="s">
        <v>619</v>
      </c>
      <c r="C356" s="226"/>
      <c r="D356" s="226">
        <f>2*3.5</f>
        <v>7</v>
      </c>
      <c r="E356" s="228">
        <f t="shared" si="56"/>
        <v>32639.959999999988</v>
      </c>
      <c r="F356" s="229"/>
      <c r="G356" s="225">
        <f t="shared" si="57"/>
        <v>19.882399053833694</v>
      </c>
      <c r="H356" s="229"/>
      <c r="I356" s="225">
        <f t="shared" si="58"/>
        <v>139.17679337683586</v>
      </c>
      <c r="J356" s="226">
        <f t="shared" si="59"/>
        <v>648960.70982116938</v>
      </c>
      <c r="K356" s="230"/>
    </row>
    <row r="357" spans="1:14" s="216" customFormat="1" x14ac:dyDescent="0.35">
      <c r="A357" s="316">
        <v>43090</v>
      </c>
      <c r="B357" s="227" t="s">
        <v>620</v>
      </c>
      <c r="C357" s="226"/>
      <c r="D357" s="226">
        <f>4*4</f>
        <v>16</v>
      </c>
      <c r="E357" s="228">
        <f t="shared" si="56"/>
        <v>32623.959999999988</v>
      </c>
      <c r="F357" s="229"/>
      <c r="G357" s="225">
        <f t="shared" si="57"/>
        <v>19.882399053833694</v>
      </c>
      <c r="H357" s="229"/>
      <c r="I357" s="225">
        <f t="shared" si="58"/>
        <v>318.11838486133911</v>
      </c>
      <c r="J357" s="226">
        <f t="shared" si="59"/>
        <v>648642.59143630799</v>
      </c>
      <c r="K357" s="230"/>
    </row>
    <row r="358" spans="1:14" s="216" customFormat="1" x14ac:dyDescent="0.35">
      <c r="A358" s="316">
        <v>43090</v>
      </c>
      <c r="B358" s="227" t="s">
        <v>621</v>
      </c>
      <c r="C358" s="226"/>
      <c r="D358" s="226">
        <f>8*1.43</f>
        <v>11.44</v>
      </c>
      <c r="E358" s="228">
        <f t="shared" si="56"/>
        <v>32612.51999999999</v>
      </c>
      <c r="F358" s="229"/>
      <c r="G358" s="225">
        <f t="shared" si="57"/>
        <v>19.882399053833691</v>
      </c>
      <c r="H358" s="229"/>
      <c r="I358" s="225">
        <f t="shared" si="58"/>
        <v>227.45464517585742</v>
      </c>
      <c r="J358" s="226">
        <f t="shared" si="59"/>
        <v>648415.13679113216</v>
      </c>
      <c r="K358" s="230"/>
    </row>
    <row r="359" spans="1:14" s="216" customFormat="1" x14ac:dyDescent="0.35">
      <c r="A359" s="316">
        <v>43095</v>
      </c>
      <c r="B359" s="227" t="s">
        <v>622</v>
      </c>
      <c r="C359" s="226"/>
      <c r="D359" s="226">
        <f>4*3</f>
        <v>12</v>
      </c>
      <c r="E359" s="228">
        <f t="shared" ref="E359:E365" si="60">+E358-D359</f>
        <v>32600.51999999999</v>
      </c>
      <c r="F359" s="229"/>
      <c r="G359" s="225">
        <f t="shared" ref="G359:G365" si="61">+J358/E358</f>
        <v>19.882399053833691</v>
      </c>
      <c r="H359" s="229"/>
      <c r="I359" s="225">
        <f t="shared" ref="I359:I365" si="62">+D359*G359</f>
        <v>238.58878864600428</v>
      </c>
      <c r="J359" s="226">
        <f t="shared" ref="J359:J365" si="63">+J358-I359</f>
        <v>648176.54800248612</v>
      </c>
      <c r="K359" s="230"/>
    </row>
    <row r="360" spans="1:14" s="216" customFormat="1" x14ac:dyDescent="0.35">
      <c r="A360" s="316">
        <v>43096</v>
      </c>
      <c r="B360" s="227" t="s">
        <v>623</v>
      </c>
      <c r="C360" s="226"/>
      <c r="D360" s="226">
        <f>6*7+7*6.6</f>
        <v>88.199999999999989</v>
      </c>
      <c r="E360" s="228">
        <f t="shared" si="60"/>
        <v>32512.319999999989</v>
      </c>
      <c r="F360" s="229"/>
      <c r="G360" s="225">
        <f t="shared" si="61"/>
        <v>19.882399053833691</v>
      </c>
      <c r="H360" s="229"/>
      <c r="I360" s="225">
        <f t="shared" si="62"/>
        <v>1753.6275965481314</v>
      </c>
      <c r="J360" s="226">
        <f t="shared" si="63"/>
        <v>646422.92040593794</v>
      </c>
      <c r="K360" s="230"/>
    </row>
    <row r="361" spans="1:14" s="216" customFormat="1" x14ac:dyDescent="0.35">
      <c r="A361" s="316">
        <v>43098</v>
      </c>
      <c r="B361" s="227" t="s">
        <v>624</v>
      </c>
      <c r="C361" s="226"/>
      <c r="D361" s="226">
        <f>5*4.7</f>
        <v>23.5</v>
      </c>
      <c r="E361" s="228">
        <f t="shared" si="60"/>
        <v>32488.819999999989</v>
      </c>
      <c r="F361" s="229"/>
      <c r="G361" s="225">
        <f t="shared" si="61"/>
        <v>19.882399053833691</v>
      </c>
      <c r="H361" s="229"/>
      <c r="I361" s="225">
        <f t="shared" si="62"/>
        <v>467.23637776509173</v>
      </c>
      <c r="J361" s="226">
        <f t="shared" si="63"/>
        <v>645955.68402817287</v>
      </c>
      <c r="K361" s="230"/>
    </row>
    <row r="362" spans="1:14" s="216" customFormat="1" x14ac:dyDescent="0.35">
      <c r="A362" s="316">
        <v>43098</v>
      </c>
      <c r="B362" s="227" t="s">
        <v>625</v>
      </c>
      <c r="C362" s="226"/>
      <c r="D362" s="226">
        <f>7*2.1+8*2.5</f>
        <v>34.700000000000003</v>
      </c>
      <c r="E362" s="228">
        <f t="shared" si="60"/>
        <v>32454.119999999988</v>
      </c>
      <c r="F362" s="229"/>
      <c r="G362" s="225">
        <f t="shared" si="61"/>
        <v>19.882399053833691</v>
      </c>
      <c r="H362" s="229"/>
      <c r="I362" s="225">
        <f t="shared" si="62"/>
        <v>689.91924716802907</v>
      </c>
      <c r="J362" s="226">
        <f t="shared" si="63"/>
        <v>645265.76478100487</v>
      </c>
      <c r="K362" s="230"/>
    </row>
    <row r="363" spans="1:14" s="216" customFormat="1" x14ac:dyDescent="0.35">
      <c r="A363" s="316">
        <v>43099</v>
      </c>
      <c r="B363" s="227" t="s">
        <v>626</v>
      </c>
      <c r="C363" s="226"/>
      <c r="D363" s="226">
        <f>20*4.8+20*3.6</f>
        <v>168</v>
      </c>
      <c r="E363" s="228">
        <f t="shared" si="60"/>
        <v>32286.119999999988</v>
      </c>
      <c r="F363" s="229"/>
      <c r="G363" s="225">
        <f t="shared" si="61"/>
        <v>19.882399053833691</v>
      </c>
      <c r="H363" s="229"/>
      <c r="I363" s="225">
        <f t="shared" si="62"/>
        <v>3340.2430410440602</v>
      </c>
      <c r="J363" s="226">
        <f t="shared" si="63"/>
        <v>641925.52173996076</v>
      </c>
      <c r="K363" s="230"/>
    </row>
    <row r="364" spans="1:14" s="216" customFormat="1" x14ac:dyDescent="0.35">
      <c r="A364" s="316">
        <v>43099</v>
      </c>
      <c r="B364" s="227" t="s">
        <v>627</v>
      </c>
      <c r="C364" s="226"/>
      <c r="D364" s="226">
        <f>40*5.93</f>
        <v>237.2</v>
      </c>
      <c r="E364" s="228">
        <f t="shared" si="60"/>
        <v>32048.919999999987</v>
      </c>
      <c r="F364" s="229"/>
      <c r="G364" s="225">
        <f t="shared" si="61"/>
        <v>19.882399053833691</v>
      </c>
      <c r="H364" s="229"/>
      <c r="I364" s="225">
        <f t="shared" si="62"/>
        <v>4716.105055569351</v>
      </c>
      <c r="J364" s="226">
        <f t="shared" si="63"/>
        <v>637209.41668439144</v>
      </c>
      <c r="K364" s="230"/>
    </row>
    <row r="365" spans="1:14" s="296" customFormat="1" x14ac:dyDescent="0.35">
      <c r="A365" s="350">
        <v>43099</v>
      </c>
      <c r="B365" s="351" t="s">
        <v>628</v>
      </c>
      <c r="C365" s="352"/>
      <c r="D365" s="352">
        <f>44*4.9</f>
        <v>215.60000000000002</v>
      </c>
      <c r="E365" s="353">
        <f t="shared" si="60"/>
        <v>31833.319999999989</v>
      </c>
      <c r="F365" s="354"/>
      <c r="G365" s="352">
        <f t="shared" si="61"/>
        <v>19.882399053833691</v>
      </c>
      <c r="H365" s="354"/>
      <c r="I365" s="352">
        <f t="shared" si="62"/>
        <v>4286.6452360065441</v>
      </c>
      <c r="J365" s="352">
        <f t="shared" si="63"/>
        <v>632922.77144838485</v>
      </c>
      <c r="K365" s="355"/>
      <c r="L365" s="319">
        <f>SUM(I352:I365)</f>
        <v>20523.40759932929</v>
      </c>
      <c r="M365" s="319">
        <f>SUM(L351:L365)</f>
        <v>35514.537661929353</v>
      </c>
      <c r="N365" s="318">
        <v>43099</v>
      </c>
    </row>
    <row r="366" spans="1:14" ht="15" thickBot="1" x14ac:dyDescent="0.4">
      <c r="A366" s="277"/>
      <c r="B366" s="227" t="s">
        <v>138</v>
      </c>
      <c r="C366" s="349">
        <f>SUM(C9:C365)</f>
        <v>48474.92</v>
      </c>
      <c r="D366" s="349">
        <f>SUM(D9:D365)</f>
        <v>16641.600000000006</v>
      </c>
      <c r="E366" s="277"/>
      <c r="F366" s="277"/>
      <c r="G366" s="277"/>
      <c r="H366" s="349">
        <f>SUM(H9:H365)</f>
        <v>959835.12</v>
      </c>
      <c r="I366" s="349">
        <f>SUM(I9:I365)</f>
        <v>326912.34855161532</v>
      </c>
      <c r="J366" s="277"/>
      <c r="K366" s="277"/>
      <c r="M366" s="360">
        <f>SUM(M17:M365)</f>
        <v>326912.34855161502</v>
      </c>
    </row>
    <row r="367" spans="1:14" s="216" customFormat="1" ht="15" thickTop="1" x14ac:dyDescent="0.35">
      <c r="A367" s="9"/>
      <c r="B367" s="234"/>
      <c r="C367" s="361"/>
      <c r="D367" s="361"/>
      <c r="E367" s="9"/>
      <c r="F367" s="9"/>
      <c r="G367" s="9"/>
      <c r="H367" s="361"/>
      <c r="I367" s="361"/>
      <c r="J367" s="9"/>
      <c r="K367" s="9"/>
      <c r="M367" s="361"/>
    </row>
    <row r="368" spans="1:14" x14ac:dyDescent="0.35">
      <c r="A368" s="202" t="s">
        <v>629</v>
      </c>
      <c r="B368" s="234"/>
      <c r="C368" s="233"/>
      <c r="D368" s="233"/>
      <c r="E368" s="233"/>
      <c r="F368" s="233"/>
      <c r="G368" s="251"/>
      <c r="H368" s="251"/>
      <c r="I368" s="251"/>
      <c r="J368" s="251"/>
      <c r="M368" s="326"/>
    </row>
    <row r="369" spans="1:10" x14ac:dyDescent="0.35">
      <c r="A369" s="202" t="s">
        <v>631</v>
      </c>
      <c r="B369" s="234"/>
      <c r="C369" s="233"/>
      <c r="D369" s="233"/>
      <c r="E369" s="233"/>
      <c r="F369" s="233"/>
      <c r="G369" s="251"/>
      <c r="H369" s="251"/>
      <c r="I369" s="251"/>
      <c r="J369" s="174">
        <f>+E365*F148</f>
        <v>674953.02395322151</v>
      </c>
    </row>
    <row r="370" spans="1:10" x14ac:dyDescent="0.35">
      <c r="A370" s="202" t="s">
        <v>630</v>
      </c>
      <c r="B370" s="234"/>
      <c r="C370" s="233"/>
      <c r="D370" s="233"/>
      <c r="E370" s="233"/>
      <c r="F370" s="233"/>
      <c r="G370" s="251"/>
      <c r="H370" s="251"/>
      <c r="I370" s="251"/>
      <c r="J370" s="203">
        <f>+J365</f>
        <v>632922.77144838485</v>
      </c>
    </row>
    <row r="371" spans="1:10" ht="15" thickBot="1" x14ac:dyDescent="0.4">
      <c r="A371" s="202"/>
      <c r="B371" s="234" t="s">
        <v>29</v>
      </c>
      <c r="C371" s="233"/>
      <c r="D371" s="233"/>
      <c r="E371" s="233"/>
      <c r="F371" s="233"/>
      <c r="G371" s="251"/>
      <c r="H371" s="251"/>
      <c r="I371" s="251"/>
      <c r="J371" s="206">
        <f>+J369-J370</f>
        <v>42030.252504836651</v>
      </c>
    </row>
    <row r="372" spans="1:10" ht="15" thickTop="1" x14ac:dyDescent="0.35"/>
  </sheetData>
  <mergeCells count="5">
    <mergeCell ref="C7:E7"/>
    <mergeCell ref="F7:G7"/>
    <mergeCell ref="H7:J7"/>
    <mergeCell ref="A5:K5"/>
    <mergeCell ref="A6:K6"/>
  </mergeCells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  <ignoredErrors>
    <ignoredError sqref="D9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N34"/>
  <sheetViews>
    <sheetView workbookViewId="0">
      <selection sqref="A1:N35"/>
    </sheetView>
  </sheetViews>
  <sheetFormatPr baseColWidth="10" defaultRowHeight="14.5" x14ac:dyDescent="0.35"/>
  <cols>
    <col min="2" max="2" width="34.1796875" customWidth="1"/>
  </cols>
  <sheetData>
    <row r="1" spans="1:14" s="216" customFormat="1" x14ac:dyDescent="0.35">
      <c r="A1" s="217" t="s">
        <v>0</v>
      </c>
      <c r="B1" s="218"/>
      <c r="C1" s="231"/>
      <c r="D1" s="231"/>
      <c r="E1" s="231"/>
      <c r="F1" s="231"/>
      <c r="G1" s="231"/>
      <c r="H1" s="232" t="s">
        <v>1</v>
      </c>
      <c r="I1" s="231"/>
      <c r="J1" s="231"/>
      <c r="K1" s="175"/>
    </row>
    <row r="2" spans="1:14" s="216" customFormat="1" x14ac:dyDescent="0.35">
      <c r="A2" s="219" t="s">
        <v>2</v>
      </c>
      <c r="B2" s="220"/>
      <c r="C2" s="233"/>
      <c r="D2" s="141"/>
      <c r="E2" s="141"/>
      <c r="F2" s="141"/>
      <c r="G2" s="233"/>
      <c r="H2" s="234" t="s">
        <v>675</v>
      </c>
      <c r="I2" s="233"/>
      <c r="J2" s="233"/>
      <c r="K2" s="177"/>
    </row>
    <row r="3" spans="1:14" s="216" customFormat="1" x14ac:dyDescent="0.35">
      <c r="A3" s="221" t="s">
        <v>3</v>
      </c>
      <c r="B3" s="222"/>
      <c r="C3" s="233"/>
      <c r="D3" s="141"/>
      <c r="E3" s="141"/>
      <c r="F3" s="141"/>
      <c r="G3" s="233"/>
      <c r="H3" s="234" t="s">
        <v>4</v>
      </c>
      <c r="I3" s="233"/>
      <c r="J3" s="233"/>
      <c r="K3" s="177"/>
    </row>
    <row r="4" spans="1:14" s="216" customFormat="1" x14ac:dyDescent="0.35">
      <c r="K4" s="311"/>
    </row>
    <row r="5" spans="1:14" x14ac:dyDescent="0.35">
      <c r="A5" s="144"/>
      <c r="B5" s="148"/>
      <c r="C5" s="148"/>
      <c r="D5" s="382" t="s">
        <v>5</v>
      </c>
      <c r="E5" s="382"/>
      <c r="F5" s="382"/>
      <c r="G5" s="382"/>
      <c r="H5" s="382"/>
      <c r="I5" s="148"/>
      <c r="J5" s="148"/>
      <c r="K5" s="149"/>
      <c r="L5" s="169"/>
      <c r="M5" s="169"/>
      <c r="N5" s="169"/>
    </row>
    <row r="6" spans="1:14" x14ac:dyDescent="0.35">
      <c r="A6" s="144"/>
      <c r="B6" s="150"/>
      <c r="C6" s="148"/>
      <c r="D6" s="389" t="s">
        <v>61</v>
      </c>
      <c r="E6" s="389"/>
      <c r="F6" s="389"/>
      <c r="G6" s="389"/>
      <c r="H6" s="148"/>
      <c r="I6" s="148"/>
      <c r="J6" s="148"/>
      <c r="K6" s="149"/>
      <c r="L6" s="169"/>
      <c r="M6" s="169"/>
      <c r="N6" s="169"/>
    </row>
    <row r="7" spans="1:14" x14ac:dyDescent="0.35">
      <c r="A7" s="144"/>
      <c r="B7" s="150"/>
      <c r="C7" s="148"/>
      <c r="D7" s="398" t="s">
        <v>6</v>
      </c>
      <c r="E7" s="398"/>
      <c r="F7" s="398"/>
      <c r="G7" s="398"/>
      <c r="H7" s="148"/>
      <c r="I7" s="148"/>
      <c r="J7" s="148"/>
      <c r="K7" s="149"/>
      <c r="L7" s="169"/>
      <c r="M7" s="169"/>
      <c r="N7" s="169"/>
    </row>
    <row r="8" spans="1:14" x14ac:dyDescent="0.35">
      <c r="A8" s="145" t="s">
        <v>7</v>
      </c>
      <c r="B8" s="151" t="s">
        <v>8</v>
      </c>
      <c r="C8" s="383" t="s">
        <v>9</v>
      </c>
      <c r="D8" s="383"/>
      <c r="E8" s="384"/>
      <c r="F8" s="385" t="s">
        <v>10</v>
      </c>
      <c r="G8" s="385"/>
      <c r="H8" s="386" t="s">
        <v>11</v>
      </c>
      <c r="I8" s="387"/>
      <c r="J8" s="387"/>
      <c r="K8" s="170" t="s">
        <v>12</v>
      </c>
      <c r="L8" s="169"/>
      <c r="M8" s="169"/>
      <c r="N8" s="169"/>
    </row>
    <row r="9" spans="1:14" x14ac:dyDescent="0.35">
      <c r="A9" s="146"/>
      <c r="B9" s="152"/>
      <c r="C9" s="152" t="s">
        <v>13</v>
      </c>
      <c r="D9" s="153" t="s">
        <v>14</v>
      </c>
      <c r="E9" s="154" t="s">
        <v>15</v>
      </c>
      <c r="F9" s="155" t="s">
        <v>16</v>
      </c>
      <c r="G9" s="155" t="s">
        <v>17</v>
      </c>
      <c r="H9" s="153" t="s">
        <v>18</v>
      </c>
      <c r="I9" s="156" t="s">
        <v>19</v>
      </c>
      <c r="J9" s="157" t="s">
        <v>20</v>
      </c>
      <c r="K9" s="171"/>
      <c r="L9" s="169"/>
      <c r="M9" s="169"/>
      <c r="N9" s="169"/>
    </row>
    <row r="10" spans="1:14" x14ac:dyDescent="0.35">
      <c r="A10" s="147">
        <v>42737</v>
      </c>
      <c r="B10" s="163" t="s">
        <v>28</v>
      </c>
      <c r="C10" s="161">
        <v>507.25</v>
      </c>
      <c r="D10" s="158"/>
      <c r="E10" s="164">
        <f>+C10</f>
        <v>507.25</v>
      </c>
      <c r="F10" s="158">
        <f>+H10/C10</f>
        <v>25.772439625431247</v>
      </c>
      <c r="G10" s="158"/>
      <c r="H10" s="159">
        <f>+J10</f>
        <v>13073.07</v>
      </c>
      <c r="I10" s="162"/>
      <c r="J10" s="162">
        <v>13073.07</v>
      </c>
      <c r="K10" s="160"/>
      <c r="L10" s="169"/>
      <c r="M10" s="169"/>
      <c r="N10" s="169"/>
    </row>
    <row r="11" spans="1:14" s="296" customFormat="1" x14ac:dyDescent="0.35">
      <c r="A11" s="304">
        <v>42745</v>
      </c>
      <c r="B11" s="244" t="s">
        <v>652</v>
      </c>
      <c r="C11" s="246"/>
      <c r="D11" s="246">
        <f>3.5</f>
        <v>3.5</v>
      </c>
      <c r="E11" s="305">
        <f>+E10-D11</f>
        <v>503.75</v>
      </c>
      <c r="F11" s="246"/>
      <c r="G11" s="246">
        <f>+J10/E10</f>
        <v>25.772439625431247</v>
      </c>
      <c r="H11" s="246"/>
      <c r="I11" s="246">
        <f>+D11*G11</f>
        <v>90.203538689009363</v>
      </c>
      <c r="J11" s="246">
        <f>+J10-I11</f>
        <v>12982.86646131099</v>
      </c>
      <c r="K11" s="250"/>
      <c r="L11" s="252">
        <f>SUM(I11)</f>
        <v>90.203538689009363</v>
      </c>
      <c r="M11" s="200"/>
      <c r="N11" s="253">
        <v>42750</v>
      </c>
    </row>
    <row r="12" spans="1:14" s="296" customFormat="1" x14ac:dyDescent="0.35">
      <c r="A12" s="304">
        <v>42762</v>
      </c>
      <c r="B12" s="244" t="s">
        <v>653</v>
      </c>
      <c r="C12" s="246"/>
      <c r="D12" s="246">
        <f>4*4+3</f>
        <v>19</v>
      </c>
      <c r="E12" s="305">
        <f t="shared" ref="E12:E14" si="0">+E11-D12</f>
        <v>484.75</v>
      </c>
      <c r="F12" s="246"/>
      <c r="G12" s="246">
        <f t="shared" ref="G12:G14" si="1">+J11/E11</f>
        <v>25.772439625431247</v>
      </c>
      <c r="H12" s="246"/>
      <c r="I12" s="246">
        <f t="shared" ref="I12:I14" si="2">+D12*G12</f>
        <v>489.67635288319366</v>
      </c>
      <c r="J12" s="246">
        <f t="shared" ref="J12:J14" si="3">+J11-I12</f>
        <v>12493.190108427796</v>
      </c>
      <c r="K12" s="250"/>
      <c r="L12" s="252">
        <f>SUM(I12)</f>
        <v>489.67635288319366</v>
      </c>
      <c r="M12" s="252">
        <f>SUM(L11:L12)</f>
        <v>579.87989157220306</v>
      </c>
      <c r="N12" s="253">
        <v>42766</v>
      </c>
    </row>
    <row r="13" spans="1:14" s="216" customFormat="1" x14ac:dyDescent="0.35">
      <c r="A13" s="165">
        <v>42783</v>
      </c>
      <c r="B13" s="237" t="s">
        <v>654</v>
      </c>
      <c r="C13" s="166"/>
      <c r="D13" s="187">
        <f>8*2.6</f>
        <v>20.8</v>
      </c>
      <c r="E13" s="167">
        <f t="shared" si="0"/>
        <v>463.95</v>
      </c>
      <c r="F13" s="187"/>
      <c r="G13" s="187">
        <f t="shared" si="1"/>
        <v>25.772439625431247</v>
      </c>
      <c r="H13" s="187"/>
      <c r="I13" s="187">
        <f t="shared" si="2"/>
        <v>536.06674420896991</v>
      </c>
      <c r="J13" s="166">
        <f t="shared" si="3"/>
        <v>11957.123364218825</v>
      </c>
      <c r="K13" s="168"/>
      <c r="L13" s="251"/>
      <c r="M13" s="251"/>
      <c r="N13" s="251"/>
    </row>
    <row r="14" spans="1:14" s="296" customFormat="1" x14ac:dyDescent="0.35">
      <c r="A14" s="304">
        <v>42791</v>
      </c>
      <c r="B14" s="244" t="s">
        <v>655</v>
      </c>
      <c r="C14" s="246"/>
      <c r="D14" s="246">
        <v>3.6</v>
      </c>
      <c r="E14" s="305">
        <f t="shared" si="0"/>
        <v>460.34999999999997</v>
      </c>
      <c r="F14" s="246"/>
      <c r="G14" s="246">
        <f t="shared" si="1"/>
        <v>25.772439625431243</v>
      </c>
      <c r="H14" s="246"/>
      <c r="I14" s="246">
        <f t="shared" si="2"/>
        <v>92.780782651552471</v>
      </c>
      <c r="J14" s="246">
        <f t="shared" si="3"/>
        <v>11864.342581567273</v>
      </c>
      <c r="K14" s="250"/>
      <c r="L14" s="252">
        <f>SUM(I13:I14)</f>
        <v>628.84752686052241</v>
      </c>
      <c r="M14" s="252">
        <f>SUM(L14)</f>
        <v>628.84752686052241</v>
      </c>
      <c r="N14" s="253">
        <v>42794</v>
      </c>
    </row>
    <row r="15" spans="1:14" s="296" customFormat="1" x14ac:dyDescent="0.35">
      <c r="A15" s="304">
        <v>42821</v>
      </c>
      <c r="B15" s="244" t="s">
        <v>656</v>
      </c>
      <c r="C15" s="246"/>
      <c r="D15" s="246">
        <f>4</f>
        <v>4</v>
      </c>
      <c r="E15" s="305">
        <f t="shared" ref="E15" si="4">+E14-D15</f>
        <v>456.34999999999997</v>
      </c>
      <c r="F15" s="246"/>
      <c r="G15" s="246">
        <f t="shared" ref="G15" si="5">+J14/E14</f>
        <v>25.772439625431243</v>
      </c>
      <c r="H15" s="246"/>
      <c r="I15" s="246">
        <f t="shared" ref="I15" si="6">+D15*G15</f>
        <v>103.08975850172497</v>
      </c>
      <c r="J15" s="246">
        <f t="shared" ref="J15" si="7">+J14-I15</f>
        <v>11761.252823065548</v>
      </c>
      <c r="K15" s="250"/>
      <c r="L15" s="252">
        <f>SUM(I15)</f>
        <v>103.08975850172497</v>
      </c>
      <c r="M15" s="252">
        <f>SUM(L15)</f>
        <v>103.08975850172497</v>
      </c>
      <c r="N15" s="253">
        <v>42825</v>
      </c>
    </row>
    <row r="16" spans="1:14" s="296" customFormat="1" x14ac:dyDescent="0.35">
      <c r="A16" s="304">
        <v>42844</v>
      </c>
      <c r="B16" s="244" t="s">
        <v>664</v>
      </c>
      <c r="C16" s="246"/>
      <c r="D16" s="246">
        <f>9*7.5+7*4</f>
        <v>95.5</v>
      </c>
      <c r="E16" s="305">
        <f t="shared" ref="E16:E17" si="8">+E15-D16</f>
        <v>360.84999999999997</v>
      </c>
      <c r="F16" s="246"/>
      <c r="G16" s="246">
        <f t="shared" ref="G16:G17" si="9">+J15/E15</f>
        <v>25.772439625431247</v>
      </c>
      <c r="H16" s="246"/>
      <c r="I16" s="246">
        <f t="shared" ref="I16:I17" si="10">+D16*G16</f>
        <v>2461.2679842286839</v>
      </c>
      <c r="J16" s="246">
        <f t="shared" ref="J16:J17" si="11">+J15-I16</f>
        <v>9299.9848388368646</v>
      </c>
      <c r="K16" s="250"/>
      <c r="L16" s="252">
        <f>SUM(I16)</f>
        <v>2461.2679842286839</v>
      </c>
      <c r="M16" s="252">
        <f>SUM(L16)</f>
        <v>2461.2679842286839</v>
      </c>
      <c r="N16" s="253">
        <v>42855</v>
      </c>
    </row>
    <row r="17" spans="1:14" s="216" customFormat="1" x14ac:dyDescent="0.35">
      <c r="A17" s="165">
        <v>42860</v>
      </c>
      <c r="B17" s="237" t="s">
        <v>657</v>
      </c>
      <c r="C17" s="166"/>
      <c r="D17" s="187">
        <f>7.1+4.13+6.15</f>
        <v>17.380000000000003</v>
      </c>
      <c r="E17" s="167">
        <f t="shared" si="8"/>
        <v>343.46999999999997</v>
      </c>
      <c r="F17" s="187"/>
      <c r="G17" s="187">
        <f t="shared" si="9"/>
        <v>25.772439625431247</v>
      </c>
      <c r="H17" s="187"/>
      <c r="I17" s="187">
        <f t="shared" si="10"/>
        <v>447.92500068999516</v>
      </c>
      <c r="J17" s="166">
        <f t="shared" si="11"/>
        <v>8852.0598381468699</v>
      </c>
      <c r="K17" s="168"/>
      <c r="L17" s="251"/>
      <c r="M17" s="251"/>
      <c r="N17" s="251"/>
    </row>
    <row r="18" spans="1:14" s="296" customFormat="1" x14ac:dyDescent="0.35">
      <c r="A18" s="304">
        <v>42864</v>
      </c>
      <c r="B18" s="244" t="s">
        <v>658</v>
      </c>
      <c r="C18" s="246"/>
      <c r="D18" s="246">
        <f>18*4</f>
        <v>72</v>
      </c>
      <c r="E18" s="167">
        <f t="shared" ref="E18" si="12">+E17-D18</f>
        <v>271.46999999999997</v>
      </c>
      <c r="F18" s="187"/>
      <c r="G18" s="187">
        <f t="shared" ref="G18" si="13">+J17/E17</f>
        <v>25.772439625431247</v>
      </c>
      <c r="H18" s="187"/>
      <c r="I18" s="187">
        <f t="shared" ref="I18" si="14">+D18*G18</f>
        <v>1855.6156530310498</v>
      </c>
      <c r="J18" s="166">
        <f t="shared" ref="J18" si="15">+J17-I18</f>
        <v>6996.4441851158199</v>
      </c>
      <c r="K18" s="250"/>
      <c r="L18" s="252">
        <f>SUM(I17:I18)</f>
        <v>2303.5406537210447</v>
      </c>
      <c r="M18" s="252"/>
      <c r="N18" s="253">
        <v>42870</v>
      </c>
    </row>
    <row r="19" spans="1:14" s="296" customFormat="1" x14ac:dyDescent="0.35">
      <c r="A19" s="304">
        <v>42885</v>
      </c>
      <c r="B19" s="244" t="s">
        <v>663</v>
      </c>
      <c r="C19" s="246"/>
      <c r="D19" s="246">
        <f>9*5</f>
        <v>45</v>
      </c>
      <c r="E19" s="305">
        <f t="shared" ref="E19:E26" si="16">+E18-D19</f>
        <v>226.46999999999997</v>
      </c>
      <c r="F19" s="246"/>
      <c r="G19" s="246">
        <f t="shared" ref="G19:G26" si="17">+J18/E18</f>
        <v>25.772439625431247</v>
      </c>
      <c r="H19" s="246"/>
      <c r="I19" s="246">
        <f t="shared" ref="I19:I26" si="18">+D19*G19</f>
        <v>1159.7597831444061</v>
      </c>
      <c r="J19" s="246">
        <f t="shared" ref="J19:J26" si="19">+J18-I19</f>
        <v>5836.6844019714135</v>
      </c>
      <c r="K19" s="250"/>
      <c r="L19" s="252">
        <f>SUM(I19)</f>
        <v>1159.7597831444061</v>
      </c>
      <c r="M19" s="252">
        <f>SUM(L18:L19)</f>
        <v>3463.300436865451</v>
      </c>
      <c r="N19" s="253">
        <v>42886</v>
      </c>
    </row>
    <row r="20" spans="1:14" s="216" customFormat="1" x14ac:dyDescent="0.35">
      <c r="A20" s="165">
        <v>42889</v>
      </c>
      <c r="B20" s="237" t="s">
        <v>659</v>
      </c>
      <c r="C20" s="166"/>
      <c r="D20" s="187">
        <v>4.2</v>
      </c>
      <c r="E20" s="167">
        <f t="shared" si="16"/>
        <v>222.26999999999998</v>
      </c>
      <c r="F20" s="187"/>
      <c r="G20" s="187">
        <f t="shared" si="17"/>
        <v>25.772439625431247</v>
      </c>
      <c r="H20" s="187"/>
      <c r="I20" s="187">
        <f t="shared" si="18"/>
        <v>108.24424642681124</v>
      </c>
      <c r="J20" s="166">
        <f t="shared" si="19"/>
        <v>5728.440155544602</v>
      </c>
      <c r="K20" s="168"/>
      <c r="L20" s="251"/>
      <c r="M20" s="251"/>
      <c r="N20" s="251"/>
    </row>
    <row r="21" spans="1:14" s="296" customFormat="1" x14ac:dyDescent="0.35">
      <c r="A21" s="304">
        <v>42891</v>
      </c>
      <c r="B21" s="244" t="s">
        <v>662</v>
      </c>
      <c r="C21" s="246"/>
      <c r="D21" s="246">
        <f>47*0.7</f>
        <v>32.9</v>
      </c>
      <c r="E21" s="305">
        <f t="shared" si="16"/>
        <v>189.36999999999998</v>
      </c>
      <c r="F21" s="246"/>
      <c r="G21" s="246">
        <f t="shared" si="17"/>
        <v>25.772439625431243</v>
      </c>
      <c r="H21" s="246"/>
      <c r="I21" s="246">
        <f t="shared" si="18"/>
        <v>847.91326367668785</v>
      </c>
      <c r="J21" s="246">
        <f t="shared" si="19"/>
        <v>4880.5268918679139</v>
      </c>
      <c r="K21" s="250"/>
      <c r="L21" s="252">
        <f>SUM(I20:I21)</f>
        <v>956.15751010349913</v>
      </c>
      <c r="M21" s="200"/>
      <c r="N21" s="253">
        <v>42901</v>
      </c>
    </row>
    <row r="22" spans="1:14" s="216" customFormat="1" x14ac:dyDescent="0.35">
      <c r="A22" s="165">
        <v>42905</v>
      </c>
      <c r="B22" s="237" t="s">
        <v>660</v>
      </c>
      <c r="C22" s="166"/>
      <c r="D22" s="187">
        <f>8*4.5+6*3.5</f>
        <v>57</v>
      </c>
      <c r="E22" s="167">
        <f t="shared" si="16"/>
        <v>132.36999999999998</v>
      </c>
      <c r="F22" s="187"/>
      <c r="G22" s="187">
        <f t="shared" si="17"/>
        <v>25.772439625431243</v>
      </c>
      <c r="H22" s="187"/>
      <c r="I22" s="187">
        <f t="shared" si="18"/>
        <v>1469.0290586495807</v>
      </c>
      <c r="J22" s="166">
        <f t="shared" si="19"/>
        <v>3411.4978332183332</v>
      </c>
      <c r="K22" s="168"/>
      <c r="L22" s="251"/>
      <c r="M22" s="251"/>
      <c r="N22" s="251"/>
    </row>
    <row r="23" spans="1:14" s="296" customFormat="1" x14ac:dyDescent="0.35">
      <c r="A23" s="304">
        <v>42906</v>
      </c>
      <c r="B23" s="244" t="s">
        <v>661</v>
      </c>
      <c r="C23" s="246"/>
      <c r="D23" s="246">
        <v>2</v>
      </c>
      <c r="E23" s="305">
        <f t="shared" si="16"/>
        <v>130.36999999999998</v>
      </c>
      <c r="F23" s="246"/>
      <c r="G23" s="246">
        <f t="shared" si="17"/>
        <v>25.772439625431243</v>
      </c>
      <c r="H23" s="246"/>
      <c r="I23" s="246">
        <f t="shared" si="18"/>
        <v>51.544879250862486</v>
      </c>
      <c r="J23" s="246">
        <f t="shared" si="19"/>
        <v>3359.9529539674709</v>
      </c>
      <c r="K23" s="250"/>
      <c r="L23" s="252">
        <f>SUM(I22:I23)</f>
        <v>1520.5739379004433</v>
      </c>
      <c r="M23" s="252">
        <f>SUM(L21:L23)</f>
        <v>2476.7314480039422</v>
      </c>
      <c r="N23" s="253">
        <v>42916</v>
      </c>
    </row>
    <row r="24" spans="1:14" s="216" customFormat="1" x14ac:dyDescent="0.35">
      <c r="A24" s="165">
        <v>42921</v>
      </c>
      <c r="B24" s="237" t="s">
        <v>665</v>
      </c>
      <c r="C24" s="166"/>
      <c r="D24" s="187">
        <f>6*3+6*2.5+7*2.22+4*2.8+0.03</f>
        <v>59.769999999999996</v>
      </c>
      <c r="E24" s="167">
        <f t="shared" si="16"/>
        <v>70.59999999999998</v>
      </c>
      <c r="F24" s="187"/>
      <c r="G24" s="187">
        <f t="shared" si="17"/>
        <v>25.772439625431247</v>
      </c>
      <c r="H24" s="187"/>
      <c r="I24" s="187">
        <f t="shared" si="18"/>
        <v>1540.4187164120256</v>
      </c>
      <c r="J24" s="166">
        <f t="shared" si="19"/>
        <v>1819.5342375554453</v>
      </c>
      <c r="K24" s="168"/>
      <c r="L24" s="251"/>
      <c r="M24" s="251"/>
      <c r="N24" s="251"/>
    </row>
    <row r="25" spans="1:14" s="296" customFormat="1" x14ac:dyDescent="0.35">
      <c r="A25" s="304">
        <v>42929</v>
      </c>
      <c r="B25" s="244" t="s">
        <v>137</v>
      </c>
      <c r="C25" s="246"/>
      <c r="D25" s="246">
        <v>0</v>
      </c>
      <c r="E25" s="305">
        <f t="shared" si="16"/>
        <v>70.59999999999998</v>
      </c>
      <c r="F25" s="246"/>
      <c r="G25" s="246">
        <f t="shared" si="17"/>
        <v>25.772439625431243</v>
      </c>
      <c r="H25" s="246"/>
      <c r="I25" s="246">
        <f t="shared" si="18"/>
        <v>0</v>
      </c>
      <c r="J25" s="246">
        <f t="shared" si="19"/>
        <v>1819.5342375554453</v>
      </c>
      <c r="K25" s="250"/>
      <c r="L25" s="252">
        <f>SUM(I24:I25)</f>
        <v>1540.4187164120256</v>
      </c>
      <c r="M25" s="200"/>
      <c r="N25" s="253">
        <v>42931</v>
      </c>
    </row>
    <row r="26" spans="1:14" s="296" customFormat="1" x14ac:dyDescent="0.35">
      <c r="A26" s="304">
        <v>42934</v>
      </c>
      <c r="B26" s="244" t="s">
        <v>666</v>
      </c>
      <c r="C26" s="246"/>
      <c r="D26" s="246">
        <f>14*4.6+2*3.1</f>
        <v>70.599999999999994</v>
      </c>
      <c r="E26" s="305">
        <f t="shared" si="16"/>
        <v>0</v>
      </c>
      <c r="F26" s="246"/>
      <c r="G26" s="246">
        <f t="shared" si="17"/>
        <v>25.772439625431243</v>
      </c>
      <c r="H26" s="246"/>
      <c r="I26" s="246">
        <f t="shared" si="18"/>
        <v>1819.5342375554455</v>
      </c>
      <c r="J26" s="246">
        <f t="shared" si="19"/>
        <v>0</v>
      </c>
      <c r="K26" s="250"/>
      <c r="L26" s="252">
        <f>SUM(I26)</f>
        <v>1819.5342375554455</v>
      </c>
      <c r="M26" s="252">
        <f>SUM(L25:L26)</f>
        <v>3359.9529539674713</v>
      </c>
      <c r="N26" s="253">
        <v>42947</v>
      </c>
    </row>
    <row r="27" spans="1:14" s="216" customFormat="1" ht="15" thickBot="1" x14ac:dyDescent="0.4">
      <c r="A27" s="165"/>
      <c r="B27" s="237" t="s">
        <v>138</v>
      </c>
      <c r="C27" s="166">
        <f>SUM(C10:C26)</f>
        <v>507.25</v>
      </c>
      <c r="D27" s="166">
        <f>SUM(D10:D26)</f>
        <v>507.24999999999989</v>
      </c>
      <c r="E27" s="167"/>
      <c r="F27" s="187"/>
      <c r="G27" s="187"/>
      <c r="H27" s="166">
        <f t="shared" ref="H27:I27" si="20">SUM(H10:H26)</f>
        <v>13073.07</v>
      </c>
      <c r="I27" s="166">
        <f t="shared" si="20"/>
        <v>13073.07</v>
      </c>
      <c r="J27" s="166"/>
      <c r="K27" s="168"/>
      <c r="L27" s="251"/>
      <c r="M27" s="348">
        <f>SUM(M12:M26)</f>
        <v>13073.069999999998</v>
      </c>
      <c r="N27" s="251"/>
    </row>
    <row r="28" spans="1:14" ht="15" thickTop="1" x14ac:dyDescent="0.35"/>
    <row r="30" spans="1:14" x14ac:dyDescent="0.35">
      <c r="A30" s="202" t="s">
        <v>629</v>
      </c>
      <c r="B30" s="234"/>
      <c r="C30" s="233"/>
      <c r="D30" s="233"/>
      <c r="E30" s="233"/>
      <c r="F30" s="233"/>
      <c r="G30" s="251"/>
      <c r="H30" s="251"/>
      <c r="I30" s="251"/>
      <c r="J30" s="251"/>
    </row>
    <row r="31" spans="1:14" x14ac:dyDescent="0.35">
      <c r="A31" s="202" t="s">
        <v>631</v>
      </c>
      <c r="B31" s="234"/>
      <c r="C31" s="233"/>
      <c r="D31" s="233"/>
      <c r="E31" s="233"/>
      <c r="F31" s="233"/>
      <c r="G31" s="251"/>
      <c r="H31" s="251"/>
      <c r="I31" s="251"/>
      <c r="J31" s="174">
        <f>+E26*F10</f>
        <v>0</v>
      </c>
    </row>
    <row r="32" spans="1:14" x14ac:dyDescent="0.35">
      <c r="A32" s="202" t="s">
        <v>630</v>
      </c>
      <c r="B32" s="234"/>
      <c r="C32" s="233"/>
      <c r="D32" s="233"/>
      <c r="E32" s="233"/>
      <c r="F32" s="233"/>
      <c r="G32" s="251"/>
      <c r="H32" s="251"/>
      <c r="I32" s="251"/>
      <c r="J32" s="203">
        <f>+J26</f>
        <v>0</v>
      </c>
    </row>
    <row r="33" spans="1:10" ht="15" thickBot="1" x14ac:dyDescent="0.4">
      <c r="A33" s="202"/>
      <c r="B33" s="234" t="s">
        <v>29</v>
      </c>
      <c r="C33" s="233"/>
      <c r="D33" s="233"/>
      <c r="E33" s="233"/>
      <c r="F33" s="233"/>
      <c r="G33" s="251"/>
      <c r="H33" s="251"/>
      <c r="I33" s="251"/>
      <c r="J33" s="206">
        <f>+J31-J32</f>
        <v>0</v>
      </c>
    </row>
    <row r="34" spans="1:10" ht="15" thickTop="1" x14ac:dyDescent="0.35"/>
  </sheetData>
  <mergeCells count="6">
    <mergeCell ref="D5:H5"/>
    <mergeCell ref="C8:E8"/>
    <mergeCell ref="F8:G8"/>
    <mergeCell ref="H8:J8"/>
    <mergeCell ref="D6:G6"/>
    <mergeCell ref="D7:G7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5"/>
  <sheetViews>
    <sheetView workbookViewId="0">
      <selection activeCell="L24" sqref="L24"/>
    </sheetView>
  </sheetViews>
  <sheetFormatPr baseColWidth="10" defaultRowHeight="14.5" x14ac:dyDescent="0.35"/>
  <cols>
    <col min="2" max="2" width="32.08984375" customWidth="1"/>
  </cols>
  <sheetData>
    <row r="1" spans="1:14" x14ac:dyDescent="0.35">
      <c r="A1" s="217" t="s">
        <v>0</v>
      </c>
      <c r="B1" s="218"/>
      <c r="C1" s="363"/>
      <c r="D1" s="231"/>
      <c r="E1" s="231"/>
      <c r="F1" s="231"/>
      <c r="G1" s="231"/>
      <c r="H1" s="232" t="s">
        <v>1</v>
      </c>
      <c r="I1" s="231"/>
      <c r="J1" s="231"/>
      <c r="K1" s="175"/>
      <c r="L1" s="196"/>
      <c r="M1" s="196"/>
      <c r="N1" s="196"/>
    </row>
    <row r="2" spans="1:14" x14ac:dyDescent="0.35">
      <c r="A2" s="219" t="s">
        <v>2</v>
      </c>
      <c r="B2" s="220"/>
      <c r="C2" s="233"/>
      <c r="D2" s="233"/>
      <c r="E2" s="233"/>
      <c r="F2" s="233"/>
      <c r="G2" s="233"/>
      <c r="H2" s="234" t="s">
        <v>30</v>
      </c>
      <c r="I2" s="233"/>
      <c r="J2" s="233"/>
      <c r="K2" s="177"/>
      <c r="L2" s="196"/>
      <c r="M2" s="196"/>
      <c r="N2" s="196"/>
    </row>
    <row r="3" spans="1:14" x14ac:dyDescent="0.35">
      <c r="A3" s="221" t="s">
        <v>3</v>
      </c>
      <c r="B3" s="222"/>
      <c r="C3" s="9"/>
      <c r="D3" s="233"/>
      <c r="E3" s="233"/>
      <c r="F3" s="233"/>
      <c r="G3" s="233"/>
      <c r="H3" s="234" t="s">
        <v>4</v>
      </c>
      <c r="I3" s="233"/>
      <c r="J3" s="233"/>
      <c r="K3" s="177"/>
      <c r="L3" s="196"/>
      <c r="M3" s="196"/>
      <c r="N3" s="196"/>
    </row>
    <row r="4" spans="1:14" x14ac:dyDescent="0.35">
      <c r="A4" s="223"/>
      <c r="B4" s="233"/>
      <c r="C4" s="233"/>
      <c r="D4" s="382" t="s">
        <v>5</v>
      </c>
      <c r="E4" s="382"/>
      <c r="F4" s="382"/>
      <c r="G4" s="382"/>
      <c r="H4" s="382"/>
      <c r="I4" s="233"/>
      <c r="J4" s="233"/>
      <c r="K4" s="177"/>
      <c r="L4" s="196"/>
      <c r="M4" s="196"/>
      <c r="N4" s="196"/>
    </row>
    <row r="5" spans="1:14" x14ac:dyDescent="0.35">
      <c r="A5" s="223"/>
      <c r="B5" s="235"/>
      <c r="C5" s="233"/>
      <c r="D5" s="389" t="s">
        <v>61</v>
      </c>
      <c r="E5" s="389"/>
      <c r="F5" s="389"/>
      <c r="G5" s="389"/>
      <c r="H5" s="233"/>
      <c r="I5" s="233"/>
      <c r="J5" s="233"/>
      <c r="K5" s="177"/>
      <c r="L5" s="196"/>
      <c r="M5" s="196"/>
      <c r="N5" s="196"/>
    </row>
    <row r="6" spans="1:14" x14ac:dyDescent="0.35">
      <c r="A6" s="223"/>
      <c r="B6" s="235"/>
      <c r="C6" s="233"/>
      <c r="D6" s="398" t="s">
        <v>6</v>
      </c>
      <c r="E6" s="398"/>
      <c r="F6" s="398"/>
      <c r="G6" s="398"/>
      <c r="H6" s="233"/>
      <c r="I6" s="233"/>
      <c r="J6" s="233"/>
      <c r="K6" s="177"/>
      <c r="L6" s="196"/>
      <c r="M6" s="196"/>
      <c r="N6" s="196"/>
    </row>
    <row r="7" spans="1:14" x14ac:dyDescent="0.35">
      <c r="A7" s="172" t="s">
        <v>7</v>
      </c>
      <c r="B7" s="178" t="s">
        <v>8</v>
      </c>
      <c r="C7" s="383" t="s">
        <v>9</v>
      </c>
      <c r="D7" s="383"/>
      <c r="E7" s="384"/>
      <c r="F7" s="385" t="s">
        <v>10</v>
      </c>
      <c r="G7" s="385"/>
      <c r="H7" s="386" t="s">
        <v>11</v>
      </c>
      <c r="I7" s="387"/>
      <c r="J7" s="410"/>
      <c r="K7" s="201" t="s">
        <v>12</v>
      </c>
      <c r="L7" s="196"/>
      <c r="M7" s="196"/>
      <c r="N7" s="196"/>
    </row>
    <row r="8" spans="1:14" x14ac:dyDescent="0.35">
      <c r="A8" s="173"/>
      <c r="B8" s="179"/>
      <c r="C8" s="179" t="s">
        <v>13</v>
      </c>
      <c r="D8" s="180" t="s">
        <v>14</v>
      </c>
      <c r="E8" s="181" t="s">
        <v>15</v>
      </c>
      <c r="F8" s="182" t="s">
        <v>16</v>
      </c>
      <c r="G8" s="182" t="s">
        <v>17</v>
      </c>
      <c r="H8" s="180" t="s">
        <v>18</v>
      </c>
      <c r="I8" s="183" t="s">
        <v>19</v>
      </c>
      <c r="J8" s="184" t="s">
        <v>20</v>
      </c>
      <c r="K8" s="370"/>
      <c r="L8" s="196"/>
      <c r="M8" s="196"/>
      <c r="N8" s="196"/>
    </row>
    <row r="9" spans="1:14" x14ac:dyDescent="0.35">
      <c r="A9" s="224">
        <v>42737</v>
      </c>
      <c r="B9" s="191" t="s">
        <v>64</v>
      </c>
      <c r="C9" s="188">
        <v>2950.2</v>
      </c>
      <c r="D9" s="185"/>
      <c r="E9" s="192">
        <f>+C9</f>
        <v>2950.2</v>
      </c>
      <c r="F9" s="185">
        <f>+H9/C9</f>
        <v>19.821283302826927</v>
      </c>
      <c r="G9" s="185"/>
      <c r="H9" s="236">
        <v>58476.75</v>
      </c>
      <c r="I9" s="190"/>
      <c r="J9" s="190">
        <f>+H9</f>
        <v>58476.75</v>
      </c>
      <c r="K9" s="267"/>
      <c r="L9" s="196"/>
      <c r="M9" s="196"/>
      <c r="N9" s="196"/>
    </row>
    <row r="10" spans="1:14" s="296" customFormat="1" x14ac:dyDescent="0.35">
      <c r="A10" s="293">
        <v>42739</v>
      </c>
      <c r="B10" s="241" t="s">
        <v>667</v>
      </c>
      <c r="C10" s="195"/>
      <c r="D10" s="195">
        <f>4*3</f>
        <v>12</v>
      </c>
      <c r="E10" s="194">
        <f>+E9-D10</f>
        <v>2938.2</v>
      </c>
      <c r="F10" s="246"/>
      <c r="G10" s="195">
        <f>+J9/E9</f>
        <v>19.821283302826927</v>
      </c>
      <c r="H10" s="246"/>
      <c r="I10" s="195">
        <f>D10*G10</f>
        <v>237.85539963392313</v>
      </c>
      <c r="J10" s="195">
        <f>+J9-I10</f>
        <v>58238.894600366075</v>
      </c>
      <c r="K10" s="364"/>
      <c r="L10" s="252">
        <f>SUM(I10)</f>
        <v>237.85539963392313</v>
      </c>
      <c r="M10" s="200"/>
      <c r="N10" s="253">
        <v>42750</v>
      </c>
    </row>
    <row r="11" spans="1:14" x14ac:dyDescent="0.35">
      <c r="A11" s="224">
        <v>42763</v>
      </c>
      <c r="B11" s="66" t="s">
        <v>42</v>
      </c>
      <c r="C11" s="195"/>
      <c r="D11" s="185">
        <v>0</v>
      </c>
      <c r="E11" s="189">
        <f t="shared" ref="E11:E12" si="0">+E10-D11</f>
        <v>2938.2</v>
      </c>
      <c r="F11" s="187"/>
      <c r="G11" s="185">
        <f t="shared" ref="G11:G12" si="1">+J10/E10</f>
        <v>19.821283302826927</v>
      </c>
      <c r="H11" s="187"/>
      <c r="I11" s="185">
        <f t="shared" ref="I11:I12" si="2">+D11*G11</f>
        <v>0</v>
      </c>
      <c r="J11" s="190">
        <f t="shared" ref="J11:J12" si="3">+J10-I11</f>
        <v>58238.894600366075</v>
      </c>
      <c r="K11" s="230"/>
      <c r="L11" s="197"/>
      <c r="M11" s="200"/>
      <c r="N11" s="198"/>
    </row>
    <row r="12" spans="1:14" s="296" customFormat="1" x14ac:dyDescent="0.35">
      <c r="A12" s="293">
        <v>42763</v>
      </c>
      <c r="B12" s="241" t="s">
        <v>668</v>
      </c>
      <c r="C12" s="195"/>
      <c r="D12" s="195">
        <f>4*3</f>
        <v>12</v>
      </c>
      <c r="E12" s="194">
        <f t="shared" si="0"/>
        <v>2926.2</v>
      </c>
      <c r="F12" s="246"/>
      <c r="G12" s="195">
        <f t="shared" si="1"/>
        <v>19.821283302826927</v>
      </c>
      <c r="H12" s="246"/>
      <c r="I12" s="195">
        <f t="shared" si="2"/>
        <v>237.85539963392313</v>
      </c>
      <c r="J12" s="195">
        <f t="shared" si="3"/>
        <v>58001.03920073215</v>
      </c>
      <c r="K12" s="193"/>
      <c r="L12" s="252">
        <f t="shared" ref="L12:L17" si="4">SUM(I12)</f>
        <v>237.85539963392313</v>
      </c>
      <c r="M12" s="252">
        <f>SUM(L10:L12)</f>
        <v>475.71079926784626</v>
      </c>
      <c r="N12" s="253">
        <v>42766</v>
      </c>
    </row>
    <row r="13" spans="1:14" s="296" customFormat="1" x14ac:dyDescent="0.35">
      <c r="A13" s="293">
        <v>42998</v>
      </c>
      <c r="B13" s="241" t="s">
        <v>669</v>
      </c>
      <c r="C13" s="195"/>
      <c r="D13" s="195">
        <f>20*3</f>
        <v>60</v>
      </c>
      <c r="E13" s="194">
        <f t="shared" ref="E13" si="5">+E12-D13</f>
        <v>2866.2</v>
      </c>
      <c r="F13" s="246"/>
      <c r="G13" s="195">
        <f t="shared" ref="G13" si="6">+J12/E12</f>
        <v>19.821283302826927</v>
      </c>
      <c r="H13" s="246"/>
      <c r="I13" s="195">
        <f t="shared" ref="I13" si="7">+D13*G13</f>
        <v>1189.2769981696156</v>
      </c>
      <c r="J13" s="195">
        <f t="shared" ref="J13" si="8">+J12-I13</f>
        <v>56811.762202562531</v>
      </c>
      <c r="K13" s="193"/>
      <c r="L13" s="252">
        <f t="shared" si="4"/>
        <v>1189.2769981696156</v>
      </c>
      <c r="M13" s="252">
        <f>SUM(L13)</f>
        <v>1189.2769981696156</v>
      </c>
      <c r="N13" s="253">
        <v>43008</v>
      </c>
    </row>
    <row r="14" spans="1:14" s="296" customFormat="1" x14ac:dyDescent="0.35">
      <c r="A14" s="293">
        <v>43019</v>
      </c>
      <c r="B14" s="241" t="s">
        <v>670</v>
      </c>
      <c r="C14" s="195"/>
      <c r="D14" s="195">
        <f>6*3</f>
        <v>18</v>
      </c>
      <c r="E14" s="194">
        <f t="shared" ref="E14:E16" si="9">+E13-D14</f>
        <v>2848.2</v>
      </c>
      <c r="F14" s="246"/>
      <c r="G14" s="195">
        <f t="shared" ref="G14:G16" si="10">+J13/E13</f>
        <v>19.821283302826927</v>
      </c>
      <c r="H14" s="246"/>
      <c r="I14" s="195">
        <f t="shared" ref="I14:I16" si="11">+D14*G14</f>
        <v>356.78309945088472</v>
      </c>
      <c r="J14" s="195">
        <f t="shared" ref="J14:J16" si="12">+J13-I14</f>
        <v>56454.979103111647</v>
      </c>
      <c r="K14" s="364"/>
      <c r="L14" s="252">
        <f t="shared" si="4"/>
        <v>356.78309945088472</v>
      </c>
      <c r="M14" s="200"/>
      <c r="N14" s="253">
        <v>43023</v>
      </c>
    </row>
    <row r="15" spans="1:14" s="296" customFormat="1" x14ac:dyDescent="0.35">
      <c r="A15" s="293">
        <v>43027</v>
      </c>
      <c r="B15" s="241" t="s">
        <v>671</v>
      </c>
      <c r="C15" s="195"/>
      <c r="D15" s="195">
        <f>24*3</f>
        <v>72</v>
      </c>
      <c r="E15" s="194">
        <f t="shared" si="9"/>
        <v>2776.2</v>
      </c>
      <c r="F15" s="246"/>
      <c r="G15" s="195">
        <f t="shared" si="10"/>
        <v>19.821283302826927</v>
      </c>
      <c r="H15" s="246"/>
      <c r="I15" s="195">
        <f t="shared" si="11"/>
        <v>1427.1323978035389</v>
      </c>
      <c r="J15" s="195">
        <f t="shared" si="12"/>
        <v>55027.846705308111</v>
      </c>
      <c r="K15" s="193"/>
      <c r="L15" s="252">
        <f t="shared" si="4"/>
        <v>1427.1323978035389</v>
      </c>
      <c r="M15" s="252">
        <f>SUM(L14:L15)</f>
        <v>1783.9154972544236</v>
      </c>
      <c r="N15" s="253">
        <v>43039</v>
      </c>
    </row>
    <row r="16" spans="1:14" s="296" customFormat="1" x14ac:dyDescent="0.35">
      <c r="A16" s="293">
        <v>43069</v>
      </c>
      <c r="B16" s="241" t="s">
        <v>672</v>
      </c>
      <c r="C16" s="195"/>
      <c r="D16" s="195">
        <f>400*3</f>
        <v>1200</v>
      </c>
      <c r="E16" s="194">
        <f t="shared" si="9"/>
        <v>1576.1999999999998</v>
      </c>
      <c r="F16" s="246"/>
      <c r="G16" s="195">
        <f t="shared" si="10"/>
        <v>19.821283302826927</v>
      </c>
      <c r="H16" s="246"/>
      <c r="I16" s="195">
        <f t="shared" si="11"/>
        <v>23785.539963392312</v>
      </c>
      <c r="J16" s="195">
        <f t="shared" si="12"/>
        <v>31242.3067419158</v>
      </c>
      <c r="K16" s="193"/>
      <c r="L16" s="252">
        <f t="shared" si="4"/>
        <v>23785.539963392312</v>
      </c>
      <c r="M16" s="252">
        <f>SUM(L16)</f>
        <v>23785.539963392312</v>
      </c>
      <c r="N16" s="253">
        <v>43069</v>
      </c>
    </row>
    <row r="17" spans="1:14" s="296" customFormat="1" x14ac:dyDescent="0.35">
      <c r="A17" s="293">
        <v>43081</v>
      </c>
      <c r="B17" s="241" t="s">
        <v>673</v>
      </c>
      <c r="C17" s="195"/>
      <c r="D17" s="195">
        <f>5*3</f>
        <v>15</v>
      </c>
      <c r="E17" s="194">
        <f t="shared" ref="E17" si="13">+E16-D17</f>
        <v>1561.1999999999998</v>
      </c>
      <c r="F17" s="246"/>
      <c r="G17" s="195">
        <f t="shared" ref="G17" si="14">+J16/E16</f>
        <v>19.821283302826927</v>
      </c>
      <c r="H17" s="246"/>
      <c r="I17" s="195">
        <f t="shared" ref="I17" si="15">+D17*G17</f>
        <v>297.3192495424039</v>
      </c>
      <c r="J17" s="195">
        <f t="shared" ref="J17" si="16">+J16-I17</f>
        <v>30944.987492373395</v>
      </c>
      <c r="K17" s="193"/>
      <c r="L17" s="252">
        <f t="shared" si="4"/>
        <v>297.3192495424039</v>
      </c>
      <c r="M17" s="252">
        <f>SUM(L17)</f>
        <v>297.3192495424039</v>
      </c>
      <c r="N17" s="253">
        <v>43084</v>
      </c>
    </row>
    <row r="18" spans="1:14" ht="15" thickBot="1" x14ac:dyDescent="0.4">
      <c r="A18" s="365"/>
      <c r="B18" s="366" t="s">
        <v>138</v>
      </c>
      <c r="C18" s="211">
        <f>SUM(C9:C17)</f>
        <v>2950.2</v>
      </c>
      <c r="D18" s="211">
        <f>SUM(D9:D17)</f>
        <v>1389</v>
      </c>
      <c r="E18" s="367"/>
      <c r="F18" s="368"/>
      <c r="G18" s="369"/>
      <c r="H18" s="211">
        <f>SUM(H9:H17)</f>
        <v>58476.75</v>
      </c>
      <c r="I18" s="211">
        <f>SUM(I9:I17)</f>
        <v>27531.762507626601</v>
      </c>
      <c r="J18" s="369"/>
      <c r="K18" s="212"/>
      <c r="L18" s="196"/>
      <c r="M18" s="348">
        <f>SUM(M10:M17)</f>
        <v>27531.762507626601</v>
      </c>
      <c r="N18" s="196"/>
    </row>
    <row r="19" spans="1:14" s="9" customFormat="1" x14ac:dyDescent="0.35">
      <c r="A19" s="356"/>
      <c r="B19" s="357"/>
      <c r="C19" s="210"/>
      <c r="D19" s="210"/>
      <c r="E19" s="208"/>
      <c r="F19" s="204"/>
      <c r="G19" s="209"/>
      <c r="H19" s="210"/>
      <c r="I19" s="210"/>
      <c r="J19" s="210"/>
      <c r="K19" s="207"/>
      <c r="L19" s="261"/>
      <c r="M19" s="261"/>
      <c r="N19" s="233"/>
    </row>
    <row r="20" spans="1:14" s="9" customFormat="1" x14ac:dyDescent="0.35">
      <c r="A20" s="356"/>
      <c r="B20" s="234"/>
      <c r="C20" s="210"/>
      <c r="D20" s="210"/>
      <c r="E20" s="208"/>
      <c r="F20" s="204"/>
      <c r="G20" s="209"/>
      <c r="H20" s="204"/>
      <c r="I20" s="209"/>
      <c r="J20" s="210"/>
      <c r="K20" s="207"/>
      <c r="L20" s="233"/>
      <c r="M20" s="261"/>
      <c r="N20" s="233"/>
    </row>
    <row r="21" spans="1:14" s="9" customFormat="1" x14ac:dyDescent="0.35">
      <c r="A21" s="356"/>
      <c r="B21" s="234"/>
      <c r="C21" s="210"/>
      <c r="D21" s="210"/>
      <c r="E21" s="208"/>
      <c r="F21" s="204"/>
      <c r="G21" s="209"/>
      <c r="H21" s="204"/>
      <c r="I21" s="209"/>
      <c r="J21" s="210"/>
      <c r="K21" s="207"/>
      <c r="L21" s="233"/>
      <c r="M21" s="233"/>
      <c r="N21" s="233"/>
    </row>
    <row r="22" spans="1:14" x14ac:dyDescent="0.35">
      <c r="A22" s="202" t="s">
        <v>629</v>
      </c>
      <c r="B22" s="234"/>
      <c r="C22" s="233"/>
      <c r="D22" s="233"/>
      <c r="E22" s="233"/>
      <c r="F22" s="233"/>
      <c r="G22" s="251"/>
      <c r="H22" s="251"/>
      <c r="I22" s="251"/>
      <c r="J22" s="251"/>
      <c r="K22" s="207"/>
      <c r="L22" s="176"/>
      <c r="M22" s="176"/>
      <c r="N22" s="176"/>
    </row>
    <row r="23" spans="1:14" x14ac:dyDescent="0.35">
      <c r="A23" s="202" t="s">
        <v>631</v>
      </c>
      <c r="B23" s="234"/>
      <c r="C23" s="233"/>
      <c r="D23" s="233"/>
      <c r="E23" s="233"/>
      <c r="F23" s="233"/>
      <c r="G23" s="251"/>
      <c r="H23" s="251"/>
      <c r="I23" s="251"/>
      <c r="J23" s="174">
        <f>+E17*F9</f>
        <v>30944.987492373395</v>
      </c>
      <c r="K23" s="207"/>
      <c r="L23" s="176"/>
      <c r="M23" s="176"/>
      <c r="N23" s="176"/>
    </row>
    <row r="24" spans="1:14" x14ac:dyDescent="0.35">
      <c r="A24" s="202" t="s">
        <v>630</v>
      </c>
      <c r="B24" s="234"/>
      <c r="C24" s="233"/>
      <c r="D24" s="233"/>
      <c r="E24" s="233"/>
      <c r="F24" s="233"/>
      <c r="G24" s="251"/>
      <c r="H24" s="251"/>
      <c r="I24" s="251"/>
      <c r="J24" s="203">
        <f>+J17</f>
        <v>30944.987492373395</v>
      </c>
      <c r="K24" s="207"/>
      <c r="L24" s="176"/>
      <c r="M24" s="176"/>
      <c r="N24" s="176"/>
    </row>
    <row r="25" spans="1:14" ht="15" thickBot="1" x14ac:dyDescent="0.4">
      <c r="A25" s="202"/>
      <c r="B25" s="234" t="s">
        <v>29</v>
      </c>
      <c r="C25" s="233"/>
      <c r="D25" s="233"/>
      <c r="E25" s="233"/>
      <c r="F25" s="233"/>
      <c r="G25" s="251"/>
      <c r="H25" s="251"/>
      <c r="I25" s="251"/>
      <c r="J25" s="206">
        <f>+J23-J24</f>
        <v>0</v>
      </c>
      <c r="K25" s="207"/>
      <c r="L25" s="176"/>
      <c r="M25" s="176"/>
      <c r="N25" s="176"/>
    </row>
  </sheetData>
  <mergeCells count="6">
    <mergeCell ref="D4:H4"/>
    <mergeCell ref="C7:E7"/>
    <mergeCell ref="F7:G7"/>
    <mergeCell ref="H7:J7"/>
    <mergeCell ref="D5:G5"/>
    <mergeCell ref="D6:G6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2"/>
  <sheetViews>
    <sheetView workbookViewId="0">
      <selection sqref="A1:M91"/>
    </sheetView>
  </sheetViews>
  <sheetFormatPr baseColWidth="10" defaultRowHeight="14.5" x14ac:dyDescent="0.35"/>
  <cols>
    <col min="2" max="2" width="31" customWidth="1"/>
    <col min="3" max="3" width="12.81640625" bestFit="1" customWidth="1"/>
    <col min="11" max="11" width="11.08984375" bestFit="1" customWidth="1"/>
  </cols>
  <sheetData>
    <row r="1" spans="1:13" x14ac:dyDescent="0.35">
      <c r="A1" s="217" t="s">
        <v>0</v>
      </c>
      <c r="B1" s="218"/>
      <c r="C1" s="231"/>
      <c r="D1" s="231"/>
      <c r="E1" s="231"/>
      <c r="F1" s="231"/>
      <c r="G1" s="231"/>
      <c r="H1" s="232" t="s">
        <v>1</v>
      </c>
      <c r="I1" s="231"/>
      <c r="J1" s="254"/>
      <c r="K1" s="251"/>
      <c r="L1" s="251"/>
      <c r="M1" s="251"/>
    </row>
    <row r="2" spans="1:13" x14ac:dyDescent="0.35">
      <c r="A2" s="219" t="s">
        <v>2</v>
      </c>
      <c r="B2" s="220"/>
      <c r="C2" s="233"/>
      <c r="D2" s="233"/>
      <c r="E2" s="233"/>
      <c r="F2" s="233"/>
      <c r="G2" s="233"/>
      <c r="H2" s="234" t="s">
        <v>31</v>
      </c>
      <c r="I2" s="233"/>
      <c r="J2" s="255"/>
      <c r="K2" s="251"/>
      <c r="L2" s="251"/>
      <c r="M2" s="251"/>
    </row>
    <row r="3" spans="1:13" x14ac:dyDescent="0.35">
      <c r="A3" s="221" t="s">
        <v>3</v>
      </c>
      <c r="B3" s="222"/>
      <c r="C3" s="233"/>
      <c r="D3" s="233"/>
      <c r="E3" s="233"/>
      <c r="F3" s="233"/>
      <c r="G3" s="233"/>
      <c r="H3" s="234" t="s">
        <v>32</v>
      </c>
      <c r="I3" s="233"/>
      <c r="J3" s="255"/>
      <c r="K3" s="251"/>
      <c r="L3" s="251"/>
      <c r="M3" s="251"/>
    </row>
    <row r="4" spans="1:13" x14ac:dyDescent="0.35">
      <c r="A4" s="223"/>
      <c r="B4" s="233"/>
      <c r="C4" s="233"/>
      <c r="D4" s="382" t="s">
        <v>5</v>
      </c>
      <c r="E4" s="382"/>
      <c r="F4" s="382"/>
      <c r="G4" s="382"/>
      <c r="H4" s="382"/>
      <c r="I4" s="234"/>
      <c r="J4" s="255"/>
      <c r="K4" s="251"/>
      <c r="L4" s="251"/>
      <c r="M4" s="251"/>
    </row>
    <row r="5" spans="1:13" x14ac:dyDescent="0.35">
      <c r="A5" s="223"/>
      <c r="B5" s="235"/>
      <c r="C5" s="233"/>
      <c r="D5" s="389" t="s">
        <v>60</v>
      </c>
      <c r="E5" s="389"/>
      <c r="F5" s="389"/>
      <c r="G5" s="389"/>
      <c r="H5" s="233"/>
      <c r="I5" s="234"/>
      <c r="J5" s="255"/>
      <c r="K5" s="251"/>
      <c r="L5" s="251"/>
      <c r="M5" s="251"/>
    </row>
    <row r="6" spans="1:13" x14ac:dyDescent="0.35">
      <c r="A6" s="223"/>
      <c r="B6" s="235"/>
      <c r="C6" s="233"/>
      <c r="D6" s="233" t="s">
        <v>6</v>
      </c>
      <c r="E6" s="235"/>
      <c r="F6" s="235"/>
      <c r="G6" s="233"/>
      <c r="H6" s="233"/>
      <c r="I6" s="234"/>
      <c r="J6" s="255"/>
      <c r="K6" s="251"/>
      <c r="L6" s="251"/>
      <c r="M6" s="251"/>
    </row>
    <row r="7" spans="1:13" x14ac:dyDescent="0.35">
      <c r="A7" s="223" t="s">
        <v>7</v>
      </c>
      <c r="B7" s="213" t="s">
        <v>8</v>
      </c>
      <c r="C7" s="411" t="s">
        <v>9</v>
      </c>
      <c r="D7" s="391"/>
      <c r="E7" s="412"/>
      <c r="F7" s="411" t="s">
        <v>10</v>
      </c>
      <c r="G7" s="412"/>
      <c r="H7" s="411" t="s">
        <v>11</v>
      </c>
      <c r="I7" s="391"/>
      <c r="J7" s="392"/>
      <c r="K7" s="251"/>
      <c r="L7" s="251"/>
      <c r="M7" s="251"/>
    </row>
    <row r="8" spans="1:13" x14ac:dyDescent="0.35">
      <c r="A8" s="256"/>
      <c r="B8" s="257"/>
      <c r="C8" s="308" t="s">
        <v>26</v>
      </c>
      <c r="D8" s="308" t="s">
        <v>14</v>
      </c>
      <c r="E8" s="308" t="s">
        <v>20</v>
      </c>
      <c r="F8" s="308" t="s">
        <v>16</v>
      </c>
      <c r="G8" s="308" t="s">
        <v>17</v>
      </c>
      <c r="H8" s="308" t="s">
        <v>18</v>
      </c>
      <c r="I8" s="308" t="s">
        <v>19</v>
      </c>
      <c r="J8" s="308" t="s">
        <v>20</v>
      </c>
      <c r="K8" s="251"/>
      <c r="L8" s="251"/>
      <c r="M8" s="251"/>
    </row>
    <row r="9" spans="1:13" x14ac:dyDescent="0.35">
      <c r="A9" s="238">
        <v>42737</v>
      </c>
      <c r="B9" s="239" t="s">
        <v>33</v>
      </c>
      <c r="C9" s="258">
        <v>1084811</v>
      </c>
      <c r="D9" s="258"/>
      <c r="E9" s="258">
        <f>+C9</f>
        <v>1084811</v>
      </c>
      <c r="F9" s="258">
        <f>+H9/C9</f>
        <v>0.19772340988430243</v>
      </c>
      <c r="G9" s="214"/>
      <c r="H9" s="215">
        <v>214492.53</v>
      </c>
      <c r="I9" s="258"/>
      <c r="J9" s="259">
        <f>+H9</f>
        <v>214492.53</v>
      </c>
      <c r="K9" s="251"/>
      <c r="L9" s="251"/>
      <c r="M9" s="251"/>
    </row>
    <row r="10" spans="1:13" x14ac:dyDescent="0.35">
      <c r="A10" s="238">
        <v>42746</v>
      </c>
      <c r="B10" s="239" t="s">
        <v>36</v>
      </c>
      <c r="C10" s="258"/>
      <c r="D10" s="258">
        <v>100</v>
      </c>
      <c r="E10" s="258">
        <f>+E9-D10</f>
        <v>1084711</v>
      </c>
      <c r="F10" s="258"/>
      <c r="G10" s="258">
        <f>+J9/E9</f>
        <v>0.19772340988430243</v>
      </c>
      <c r="H10" s="258"/>
      <c r="I10" s="258">
        <f>+D10*G10</f>
        <v>19.772340988430244</v>
      </c>
      <c r="J10" s="259">
        <f>+J9-I10</f>
        <v>214472.75765901158</v>
      </c>
      <c r="K10" s="251"/>
      <c r="L10" s="251"/>
      <c r="M10" s="251"/>
    </row>
    <row r="11" spans="1:13" s="296" customFormat="1" x14ac:dyDescent="0.35">
      <c r="A11" s="247">
        <v>42746</v>
      </c>
      <c r="B11" s="297" t="s">
        <v>37</v>
      </c>
      <c r="C11" s="306"/>
      <c r="D11" s="306">
        <v>25</v>
      </c>
      <c r="E11" s="306">
        <f t="shared" ref="E11:E14" si="0">+E10-D11</f>
        <v>1084686</v>
      </c>
      <c r="F11" s="306"/>
      <c r="G11" s="306">
        <f t="shared" ref="G11:G14" si="1">+J10/E10</f>
        <v>0.19772340988430243</v>
      </c>
      <c r="H11" s="306"/>
      <c r="I11" s="306">
        <f t="shared" ref="I11:I14" si="2">+D11*G11</f>
        <v>4.943085247107561</v>
      </c>
      <c r="J11" s="307">
        <f t="shared" ref="J11:J14" si="3">+J10-I11</f>
        <v>214467.81457376448</v>
      </c>
      <c r="K11" s="312">
        <f>SUM(I10:I11)</f>
        <v>24.715426235537805</v>
      </c>
      <c r="L11" s="200"/>
      <c r="M11" s="253">
        <v>42750</v>
      </c>
    </row>
    <row r="12" spans="1:13" s="216" customFormat="1" x14ac:dyDescent="0.35">
      <c r="A12" s="238">
        <v>42751</v>
      </c>
      <c r="B12" s="239" t="s">
        <v>38</v>
      </c>
      <c r="C12" s="258"/>
      <c r="D12" s="258">
        <v>550</v>
      </c>
      <c r="E12" s="258">
        <f t="shared" si="0"/>
        <v>1084136</v>
      </c>
      <c r="F12" s="258"/>
      <c r="G12" s="258">
        <f t="shared" si="1"/>
        <v>0.19772340988430245</v>
      </c>
      <c r="H12" s="258"/>
      <c r="I12" s="258">
        <f t="shared" si="2"/>
        <v>108.74787543636634</v>
      </c>
      <c r="J12" s="259">
        <f t="shared" si="3"/>
        <v>214359.06669832813</v>
      </c>
      <c r="K12" s="251"/>
      <c r="L12" s="251"/>
      <c r="M12" s="251"/>
    </row>
    <row r="13" spans="1:13" s="216" customFormat="1" x14ac:dyDescent="0.35">
      <c r="A13" s="238">
        <v>42763</v>
      </c>
      <c r="B13" s="239" t="s">
        <v>40</v>
      </c>
      <c r="C13" s="258"/>
      <c r="D13" s="258">
        <v>250</v>
      </c>
      <c r="E13" s="258">
        <f t="shared" si="0"/>
        <v>1083886</v>
      </c>
      <c r="F13" s="258"/>
      <c r="G13" s="258">
        <f t="shared" si="1"/>
        <v>0.19772340988430245</v>
      </c>
      <c r="H13" s="258"/>
      <c r="I13" s="258">
        <f t="shared" si="2"/>
        <v>49.43085247107561</v>
      </c>
      <c r="J13" s="259">
        <f t="shared" si="3"/>
        <v>214309.63584585706</v>
      </c>
      <c r="K13" s="251"/>
      <c r="L13" s="251"/>
      <c r="M13" s="251"/>
    </row>
    <row r="14" spans="1:13" s="216" customFormat="1" x14ac:dyDescent="0.35">
      <c r="A14" s="238">
        <v>42763</v>
      </c>
      <c r="B14" s="239" t="s">
        <v>41</v>
      </c>
      <c r="C14" s="258"/>
      <c r="D14" s="258">
        <v>150</v>
      </c>
      <c r="E14" s="258">
        <f t="shared" si="0"/>
        <v>1083736</v>
      </c>
      <c r="F14" s="258"/>
      <c r="G14" s="258">
        <f t="shared" si="1"/>
        <v>0.19772340988430245</v>
      </c>
      <c r="H14" s="258"/>
      <c r="I14" s="258">
        <f t="shared" si="2"/>
        <v>29.65851148264537</v>
      </c>
      <c r="J14" s="259">
        <f t="shared" si="3"/>
        <v>214279.97733437442</v>
      </c>
      <c r="K14" s="251"/>
      <c r="L14" s="251"/>
      <c r="M14" s="251"/>
    </row>
    <row r="15" spans="1:13" s="216" customFormat="1" x14ac:dyDescent="0.35">
      <c r="A15" s="238">
        <v>42766</v>
      </c>
      <c r="B15" s="239" t="s">
        <v>66</v>
      </c>
      <c r="C15" s="258"/>
      <c r="D15" s="258">
        <v>50</v>
      </c>
      <c r="E15" s="258">
        <f t="shared" ref="E15:E78" si="4">+E14-D15</f>
        <v>1083686</v>
      </c>
      <c r="F15" s="258"/>
      <c r="G15" s="258">
        <f t="shared" ref="G15:G78" si="5">+J14/E14</f>
        <v>0.19772340988430245</v>
      </c>
      <c r="H15" s="258"/>
      <c r="I15" s="258">
        <f t="shared" ref="I15:I78" si="6">+D15*G15</f>
        <v>9.8861704942151221</v>
      </c>
      <c r="J15" s="259">
        <f t="shared" ref="J15:J78" si="7">+J14-I15</f>
        <v>214270.09116388019</v>
      </c>
      <c r="K15" s="251"/>
      <c r="L15" s="251"/>
      <c r="M15" s="251"/>
    </row>
    <row r="16" spans="1:13" s="296" customFormat="1" x14ac:dyDescent="0.35">
      <c r="A16" s="247">
        <v>42766</v>
      </c>
      <c r="B16" s="297" t="s">
        <v>43</v>
      </c>
      <c r="C16" s="306"/>
      <c r="D16" s="306">
        <v>250</v>
      </c>
      <c r="E16" s="258">
        <f t="shared" si="4"/>
        <v>1083436</v>
      </c>
      <c r="F16" s="258"/>
      <c r="G16" s="258">
        <f t="shared" si="5"/>
        <v>0.19772340988430245</v>
      </c>
      <c r="H16" s="258"/>
      <c r="I16" s="258">
        <f t="shared" si="6"/>
        <v>49.43085247107561</v>
      </c>
      <c r="J16" s="259">
        <f t="shared" si="7"/>
        <v>214220.66031140913</v>
      </c>
      <c r="K16" s="312">
        <f>SUM(I12:I16)</f>
        <v>247.15426235537805</v>
      </c>
      <c r="L16" s="312">
        <f>SUM(K11:K16)</f>
        <v>271.86968859091587</v>
      </c>
      <c r="M16" s="253">
        <v>42766</v>
      </c>
    </row>
    <row r="17" spans="1:13" s="216" customFormat="1" x14ac:dyDescent="0.35">
      <c r="A17" s="238">
        <v>42767</v>
      </c>
      <c r="B17" s="239" t="s">
        <v>45</v>
      </c>
      <c r="C17" s="258"/>
      <c r="D17" s="258">
        <v>50</v>
      </c>
      <c r="E17" s="258">
        <f t="shared" si="4"/>
        <v>1083386</v>
      </c>
      <c r="F17" s="258"/>
      <c r="G17" s="258">
        <f t="shared" si="5"/>
        <v>0.19772340988430245</v>
      </c>
      <c r="H17" s="258"/>
      <c r="I17" s="258">
        <f t="shared" si="6"/>
        <v>9.8861704942151221</v>
      </c>
      <c r="J17" s="259">
        <f t="shared" si="7"/>
        <v>214210.7741409149</v>
      </c>
      <c r="K17" s="251"/>
      <c r="L17" s="251"/>
      <c r="M17" s="251"/>
    </row>
    <row r="18" spans="1:13" s="296" customFormat="1" x14ac:dyDescent="0.35">
      <c r="A18" s="247">
        <v>42775</v>
      </c>
      <c r="B18" s="297" t="s">
        <v>46</v>
      </c>
      <c r="C18" s="306"/>
      <c r="D18" s="306">
        <v>600</v>
      </c>
      <c r="E18" s="258">
        <f t="shared" si="4"/>
        <v>1082786</v>
      </c>
      <c r="F18" s="258"/>
      <c r="G18" s="258">
        <f t="shared" si="5"/>
        <v>0.19772340988430245</v>
      </c>
      <c r="H18" s="258"/>
      <c r="I18" s="258">
        <f t="shared" si="6"/>
        <v>118.63404593058148</v>
      </c>
      <c r="J18" s="259">
        <f t="shared" si="7"/>
        <v>214092.14009498432</v>
      </c>
      <c r="K18" s="312">
        <f>SUM(I17:I18)</f>
        <v>128.52021642479662</v>
      </c>
      <c r="L18" s="200"/>
      <c r="M18" s="253">
        <v>42781</v>
      </c>
    </row>
    <row r="19" spans="1:13" s="296" customFormat="1" x14ac:dyDescent="0.35">
      <c r="A19" s="247">
        <v>42782</v>
      </c>
      <c r="B19" s="297" t="s">
        <v>47</v>
      </c>
      <c r="C19" s="306"/>
      <c r="D19" s="306">
        <v>50</v>
      </c>
      <c r="E19" s="258">
        <f t="shared" si="4"/>
        <v>1082736</v>
      </c>
      <c r="F19" s="258"/>
      <c r="G19" s="258">
        <f t="shared" si="5"/>
        <v>0.19772340988430245</v>
      </c>
      <c r="H19" s="258"/>
      <c r="I19" s="258">
        <f t="shared" si="6"/>
        <v>9.8861704942151221</v>
      </c>
      <c r="J19" s="259">
        <f t="shared" si="7"/>
        <v>214082.2539244901</v>
      </c>
      <c r="K19" s="312">
        <f>SUM(I19)</f>
        <v>9.8861704942151221</v>
      </c>
      <c r="L19" s="312">
        <f>SUM(K18:K19)</f>
        <v>138.40638691901174</v>
      </c>
      <c r="M19" s="253">
        <v>42794</v>
      </c>
    </row>
    <row r="20" spans="1:13" s="216" customFormat="1" x14ac:dyDescent="0.35">
      <c r="A20" s="238">
        <v>42811</v>
      </c>
      <c r="B20" s="239" t="s">
        <v>53</v>
      </c>
      <c r="C20" s="258"/>
      <c r="D20" s="258">
        <v>300</v>
      </c>
      <c r="E20" s="258">
        <f t="shared" si="4"/>
        <v>1082436</v>
      </c>
      <c r="F20" s="258"/>
      <c r="G20" s="258">
        <f t="shared" si="5"/>
        <v>0.19772340988430245</v>
      </c>
      <c r="H20" s="258"/>
      <c r="I20" s="258">
        <f t="shared" si="6"/>
        <v>59.317022965290739</v>
      </c>
      <c r="J20" s="259">
        <f t="shared" si="7"/>
        <v>214022.93690152481</v>
      </c>
      <c r="K20" s="251"/>
      <c r="L20" s="251"/>
      <c r="M20" s="251"/>
    </row>
    <row r="21" spans="1:13" s="216" customFormat="1" x14ac:dyDescent="0.35">
      <c r="A21" s="238">
        <v>42814</v>
      </c>
      <c r="B21" s="239" t="s">
        <v>55</v>
      </c>
      <c r="C21" s="258"/>
      <c r="D21" s="258">
        <v>150</v>
      </c>
      <c r="E21" s="258">
        <f t="shared" si="4"/>
        <v>1082286</v>
      </c>
      <c r="F21" s="258"/>
      <c r="G21" s="258">
        <f t="shared" si="5"/>
        <v>0.19772340988430245</v>
      </c>
      <c r="H21" s="258"/>
      <c r="I21" s="258">
        <f t="shared" si="6"/>
        <v>29.65851148264537</v>
      </c>
      <c r="J21" s="259">
        <f t="shared" si="7"/>
        <v>213993.27839004216</v>
      </c>
      <c r="K21" s="251"/>
      <c r="L21" s="251"/>
      <c r="M21" s="251"/>
    </row>
    <row r="22" spans="1:13" s="216" customFormat="1" x14ac:dyDescent="0.35">
      <c r="A22" s="238">
        <v>42818</v>
      </c>
      <c r="B22" s="239" t="s">
        <v>58</v>
      </c>
      <c r="C22" s="258"/>
      <c r="D22" s="258">
        <v>200</v>
      </c>
      <c r="E22" s="258">
        <f t="shared" si="4"/>
        <v>1082086</v>
      </c>
      <c r="F22" s="258"/>
      <c r="G22" s="258">
        <f t="shared" si="5"/>
        <v>0.19772340988430245</v>
      </c>
      <c r="H22" s="258"/>
      <c r="I22" s="258">
        <f t="shared" si="6"/>
        <v>39.544681976860488</v>
      </c>
      <c r="J22" s="259">
        <f t="shared" si="7"/>
        <v>213953.73370806529</v>
      </c>
      <c r="K22" s="251"/>
      <c r="L22" s="251"/>
      <c r="M22" s="251"/>
    </row>
    <row r="23" spans="1:13" s="296" customFormat="1" x14ac:dyDescent="0.35">
      <c r="A23" s="247">
        <v>42825</v>
      </c>
      <c r="B23" s="297" t="s">
        <v>71</v>
      </c>
      <c r="C23" s="306"/>
      <c r="D23" s="306">
        <v>50</v>
      </c>
      <c r="E23" s="258">
        <f t="shared" si="4"/>
        <v>1082036</v>
      </c>
      <c r="F23" s="258"/>
      <c r="G23" s="258">
        <f t="shared" si="5"/>
        <v>0.19772340988430245</v>
      </c>
      <c r="H23" s="258"/>
      <c r="I23" s="258">
        <f t="shared" si="6"/>
        <v>9.8861704942151221</v>
      </c>
      <c r="J23" s="259">
        <f t="shared" si="7"/>
        <v>213943.84753757107</v>
      </c>
      <c r="K23" s="312">
        <f>SUM(I20:I23)</f>
        <v>138.40638691901174</v>
      </c>
      <c r="L23" s="312">
        <f>SUM(K23)</f>
        <v>138.40638691901174</v>
      </c>
      <c r="M23" s="253">
        <v>42809</v>
      </c>
    </row>
    <row r="24" spans="1:13" s="216" customFormat="1" x14ac:dyDescent="0.35">
      <c r="A24" s="238">
        <v>42826</v>
      </c>
      <c r="B24" s="239" t="s">
        <v>72</v>
      </c>
      <c r="C24" s="258"/>
      <c r="D24" s="258">
        <v>200</v>
      </c>
      <c r="E24" s="258">
        <f t="shared" si="4"/>
        <v>1081836</v>
      </c>
      <c r="F24" s="258"/>
      <c r="G24" s="258">
        <f t="shared" si="5"/>
        <v>0.19772340988430243</v>
      </c>
      <c r="H24" s="258"/>
      <c r="I24" s="258">
        <f t="shared" si="6"/>
        <v>39.544681976860488</v>
      </c>
      <c r="J24" s="259">
        <f t="shared" si="7"/>
        <v>213904.3028555942</v>
      </c>
      <c r="K24" s="251"/>
      <c r="L24" s="251"/>
      <c r="M24" s="251"/>
    </row>
    <row r="25" spans="1:13" s="216" customFormat="1" x14ac:dyDescent="0.35">
      <c r="A25" s="238">
        <v>42830</v>
      </c>
      <c r="B25" s="239" t="s">
        <v>75</v>
      </c>
      <c r="C25" s="258"/>
      <c r="D25" s="258">
        <v>250</v>
      </c>
      <c r="E25" s="258">
        <f t="shared" si="4"/>
        <v>1081586</v>
      </c>
      <c r="F25" s="258"/>
      <c r="G25" s="258">
        <f t="shared" si="5"/>
        <v>0.19772340988430243</v>
      </c>
      <c r="H25" s="258"/>
      <c r="I25" s="258">
        <f t="shared" si="6"/>
        <v>49.430852471075603</v>
      </c>
      <c r="J25" s="259">
        <f t="shared" si="7"/>
        <v>213854.87200312314</v>
      </c>
      <c r="K25" s="251"/>
      <c r="L25" s="251"/>
      <c r="M25" s="251"/>
    </row>
    <row r="26" spans="1:13" s="216" customFormat="1" x14ac:dyDescent="0.35">
      <c r="A26" s="238">
        <v>42830</v>
      </c>
      <c r="B26" s="239" t="s">
        <v>77</v>
      </c>
      <c r="C26" s="258"/>
      <c r="D26" s="258">
        <v>350</v>
      </c>
      <c r="E26" s="258">
        <f t="shared" si="4"/>
        <v>1081236</v>
      </c>
      <c r="F26" s="258"/>
      <c r="G26" s="258">
        <f t="shared" si="5"/>
        <v>0.19772340988430243</v>
      </c>
      <c r="H26" s="258"/>
      <c r="I26" s="258">
        <f t="shared" si="6"/>
        <v>69.203193459505854</v>
      </c>
      <c r="J26" s="259">
        <f t="shared" si="7"/>
        <v>213785.66880966362</v>
      </c>
      <c r="K26" s="251"/>
      <c r="L26" s="251"/>
      <c r="M26" s="251"/>
    </row>
    <row r="27" spans="1:13" s="216" customFormat="1" x14ac:dyDescent="0.35">
      <c r="A27" s="238">
        <v>42831</v>
      </c>
      <c r="B27" s="239" t="s">
        <v>78</v>
      </c>
      <c r="C27" s="258"/>
      <c r="D27" s="258">
        <v>25</v>
      </c>
      <c r="E27" s="258">
        <f t="shared" si="4"/>
        <v>1081211</v>
      </c>
      <c r="F27" s="258"/>
      <c r="G27" s="258">
        <f t="shared" si="5"/>
        <v>0.19772340988430243</v>
      </c>
      <c r="H27" s="258"/>
      <c r="I27" s="258">
        <f t="shared" si="6"/>
        <v>4.943085247107561</v>
      </c>
      <c r="J27" s="259">
        <f t="shared" si="7"/>
        <v>213780.72572441652</v>
      </c>
      <c r="K27" s="251"/>
      <c r="L27" s="251"/>
      <c r="M27" s="251"/>
    </row>
    <row r="28" spans="1:13" s="216" customFormat="1" x14ac:dyDescent="0.35">
      <c r="A28" s="238">
        <v>42837</v>
      </c>
      <c r="B28" s="239" t="s">
        <v>79</v>
      </c>
      <c r="C28" s="258"/>
      <c r="D28" s="258">
        <v>350</v>
      </c>
      <c r="E28" s="258">
        <f t="shared" si="4"/>
        <v>1080861</v>
      </c>
      <c r="F28" s="258"/>
      <c r="G28" s="258">
        <f t="shared" si="5"/>
        <v>0.19772340988430243</v>
      </c>
      <c r="H28" s="258"/>
      <c r="I28" s="258">
        <f t="shared" si="6"/>
        <v>69.203193459505854</v>
      </c>
      <c r="J28" s="259">
        <f t="shared" si="7"/>
        <v>213711.52253095701</v>
      </c>
      <c r="K28" s="251"/>
      <c r="L28" s="251"/>
      <c r="M28" s="251"/>
    </row>
    <row r="29" spans="1:13" s="216" customFormat="1" x14ac:dyDescent="0.35">
      <c r="A29" s="238">
        <v>42838</v>
      </c>
      <c r="B29" s="239" t="s">
        <v>80</v>
      </c>
      <c r="C29" s="258"/>
      <c r="D29" s="258">
        <v>400</v>
      </c>
      <c r="E29" s="258">
        <f t="shared" si="4"/>
        <v>1080461</v>
      </c>
      <c r="F29" s="258"/>
      <c r="G29" s="258">
        <f t="shared" si="5"/>
        <v>0.19772340988430243</v>
      </c>
      <c r="H29" s="258"/>
      <c r="I29" s="258">
        <f t="shared" si="6"/>
        <v>79.089363953720976</v>
      </c>
      <c r="J29" s="259">
        <f t="shared" si="7"/>
        <v>213632.4331670033</v>
      </c>
      <c r="K29" s="251"/>
      <c r="L29" s="251"/>
      <c r="M29" s="251"/>
    </row>
    <row r="30" spans="1:13" s="296" customFormat="1" x14ac:dyDescent="0.35">
      <c r="A30" s="247">
        <v>42838</v>
      </c>
      <c r="B30" s="297" t="s">
        <v>82</v>
      </c>
      <c r="C30" s="306"/>
      <c r="D30" s="306">
        <v>100</v>
      </c>
      <c r="E30" s="258">
        <f t="shared" si="4"/>
        <v>1080361</v>
      </c>
      <c r="F30" s="258"/>
      <c r="G30" s="258">
        <f t="shared" si="5"/>
        <v>0.19772340988430245</v>
      </c>
      <c r="H30" s="258"/>
      <c r="I30" s="258">
        <f t="shared" si="6"/>
        <v>19.772340988430244</v>
      </c>
      <c r="J30" s="259">
        <f t="shared" si="7"/>
        <v>213612.66082601488</v>
      </c>
      <c r="K30" s="312">
        <f>SUM(I24:I30)</f>
        <v>331.1867115562066</v>
      </c>
      <c r="L30" s="200"/>
      <c r="M30" s="253">
        <v>42840</v>
      </c>
    </row>
    <row r="31" spans="1:13" s="216" customFormat="1" x14ac:dyDescent="0.35">
      <c r="A31" s="238">
        <v>42842</v>
      </c>
      <c r="B31" s="239" t="s">
        <v>84</v>
      </c>
      <c r="C31" s="258"/>
      <c r="D31" s="258">
        <v>50</v>
      </c>
      <c r="E31" s="258">
        <f t="shared" si="4"/>
        <v>1080311</v>
      </c>
      <c r="F31" s="258"/>
      <c r="G31" s="258">
        <f t="shared" si="5"/>
        <v>0.19772340988430245</v>
      </c>
      <c r="H31" s="258"/>
      <c r="I31" s="258">
        <f t="shared" si="6"/>
        <v>9.8861704942151221</v>
      </c>
      <c r="J31" s="259">
        <f t="shared" si="7"/>
        <v>213602.77465552065</v>
      </c>
      <c r="K31" s="251"/>
      <c r="L31" s="251"/>
      <c r="M31" s="251"/>
    </row>
    <row r="32" spans="1:13" s="216" customFormat="1" x14ac:dyDescent="0.35">
      <c r="A32" s="238">
        <v>42843</v>
      </c>
      <c r="B32" s="239" t="s">
        <v>86</v>
      </c>
      <c r="C32" s="258"/>
      <c r="D32" s="258">
        <v>200</v>
      </c>
      <c r="E32" s="258">
        <f t="shared" si="4"/>
        <v>1080111</v>
      </c>
      <c r="F32" s="258"/>
      <c r="G32" s="258">
        <f t="shared" si="5"/>
        <v>0.19772340988430245</v>
      </c>
      <c r="H32" s="258"/>
      <c r="I32" s="258">
        <f t="shared" si="6"/>
        <v>39.544681976860488</v>
      </c>
      <c r="J32" s="259">
        <f t="shared" si="7"/>
        <v>213563.22997354378</v>
      </c>
      <c r="K32" s="251"/>
      <c r="L32" s="251"/>
      <c r="M32" s="251"/>
    </row>
    <row r="33" spans="1:13" s="216" customFormat="1" x14ac:dyDescent="0.35">
      <c r="A33" s="238">
        <v>42844</v>
      </c>
      <c r="B33" s="239" t="s">
        <v>87</v>
      </c>
      <c r="C33" s="258"/>
      <c r="D33" s="258">
        <v>250</v>
      </c>
      <c r="E33" s="258">
        <f t="shared" si="4"/>
        <v>1079861</v>
      </c>
      <c r="F33" s="258"/>
      <c r="G33" s="258">
        <f t="shared" si="5"/>
        <v>0.19772340988430243</v>
      </c>
      <c r="H33" s="258"/>
      <c r="I33" s="258">
        <f t="shared" si="6"/>
        <v>49.430852471075603</v>
      </c>
      <c r="J33" s="259">
        <f t="shared" si="7"/>
        <v>213513.79912107272</v>
      </c>
      <c r="K33" s="251"/>
      <c r="L33" s="251"/>
      <c r="M33" s="251"/>
    </row>
    <row r="34" spans="1:13" s="216" customFormat="1" x14ac:dyDescent="0.35">
      <c r="A34" s="238">
        <v>42845</v>
      </c>
      <c r="B34" s="239" t="s">
        <v>93</v>
      </c>
      <c r="C34" s="258"/>
      <c r="D34" s="258">
        <v>50</v>
      </c>
      <c r="E34" s="258">
        <f t="shared" si="4"/>
        <v>1079811</v>
      </c>
      <c r="F34" s="258"/>
      <c r="G34" s="258">
        <f t="shared" si="5"/>
        <v>0.19772340988430245</v>
      </c>
      <c r="H34" s="258"/>
      <c r="I34" s="258">
        <f t="shared" si="6"/>
        <v>9.8861704942151221</v>
      </c>
      <c r="J34" s="259">
        <f t="shared" si="7"/>
        <v>213503.91295057849</v>
      </c>
      <c r="K34" s="251"/>
      <c r="L34" s="251"/>
      <c r="M34" s="251"/>
    </row>
    <row r="35" spans="1:13" s="296" customFormat="1" x14ac:dyDescent="0.35">
      <c r="A35" s="247">
        <v>42847</v>
      </c>
      <c r="B35" s="297" t="s">
        <v>96</v>
      </c>
      <c r="C35" s="306"/>
      <c r="D35" s="306">
        <v>100</v>
      </c>
      <c r="E35" s="258">
        <f t="shared" si="4"/>
        <v>1079711</v>
      </c>
      <c r="F35" s="258"/>
      <c r="G35" s="258">
        <f t="shared" si="5"/>
        <v>0.19772340988430243</v>
      </c>
      <c r="H35" s="258"/>
      <c r="I35" s="258">
        <f t="shared" si="6"/>
        <v>19.772340988430244</v>
      </c>
      <c r="J35" s="259">
        <f t="shared" si="7"/>
        <v>213484.14060959007</v>
      </c>
      <c r="K35" s="312">
        <f>SUM(I31:I35)</f>
        <v>128.52021642479659</v>
      </c>
      <c r="L35" s="312">
        <f>SUM(K30:K35)</f>
        <v>459.70692798100322</v>
      </c>
      <c r="M35" s="253">
        <v>42855</v>
      </c>
    </row>
    <row r="36" spans="1:13" s="296" customFormat="1" x14ac:dyDescent="0.35">
      <c r="A36" s="247">
        <v>42861</v>
      </c>
      <c r="B36" s="297" t="s">
        <v>105</v>
      </c>
      <c r="C36" s="306"/>
      <c r="D36" s="306">
        <v>1250</v>
      </c>
      <c r="E36" s="258">
        <f t="shared" si="4"/>
        <v>1078461</v>
      </c>
      <c r="F36" s="258"/>
      <c r="G36" s="258">
        <f t="shared" si="5"/>
        <v>0.19772340988430245</v>
      </c>
      <c r="H36" s="258"/>
      <c r="I36" s="258">
        <f t="shared" si="6"/>
        <v>247.15426235537808</v>
      </c>
      <c r="J36" s="259">
        <f t="shared" si="7"/>
        <v>213236.98634723469</v>
      </c>
      <c r="K36" s="312">
        <f>SUM(I36)</f>
        <v>247.15426235537808</v>
      </c>
      <c r="L36" s="200"/>
      <c r="M36" s="253">
        <v>42870</v>
      </c>
    </row>
    <row r="37" spans="1:13" s="216" customFormat="1" x14ac:dyDescent="0.35">
      <c r="A37" s="238">
        <v>42873</v>
      </c>
      <c r="B37" s="239" t="s">
        <v>114</v>
      </c>
      <c r="C37" s="258"/>
      <c r="D37" s="258">
        <v>300</v>
      </c>
      <c r="E37" s="258">
        <f t="shared" si="4"/>
        <v>1078161</v>
      </c>
      <c r="F37" s="258"/>
      <c r="G37" s="258">
        <f t="shared" si="5"/>
        <v>0.19772340988430243</v>
      </c>
      <c r="H37" s="258"/>
      <c r="I37" s="258">
        <f t="shared" si="6"/>
        <v>59.317022965290725</v>
      </c>
      <c r="J37" s="259">
        <f t="shared" si="7"/>
        <v>213177.6693242694</v>
      </c>
    </row>
    <row r="38" spans="1:13" s="216" customFormat="1" x14ac:dyDescent="0.35">
      <c r="A38" s="238">
        <v>42874</v>
      </c>
      <c r="B38" s="239" t="s">
        <v>116</v>
      </c>
      <c r="C38" s="258"/>
      <c r="D38" s="258">
        <v>650</v>
      </c>
      <c r="E38" s="258">
        <f t="shared" si="4"/>
        <v>1077511</v>
      </c>
      <c r="F38" s="258"/>
      <c r="G38" s="258">
        <f t="shared" si="5"/>
        <v>0.19772340988430243</v>
      </c>
      <c r="H38" s="258"/>
      <c r="I38" s="258">
        <f t="shared" si="6"/>
        <v>128.52021642479659</v>
      </c>
      <c r="J38" s="259">
        <f t="shared" si="7"/>
        <v>213049.1491078446</v>
      </c>
    </row>
    <row r="39" spans="1:13" s="296" customFormat="1" x14ac:dyDescent="0.35">
      <c r="A39" s="247">
        <v>42884</v>
      </c>
      <c r="B39" s="297" t="s">
        <v>118</v>
      </c>
      <c r="C39" s="306"/>
      <c r="D39" s="306">
        <v>50</v>
      </c>
      <c r="E39" s="258">
        <f t="shared" si="4"/>
        <v>1077461</v>
      </c>
      <c r="F39" s="258"/>
      <c r="G39" s="258">
        <f t="shared" si="5"/>
        <v>0.19772340988430243</v>
      </c>
      <c r="H39" s="258"/>
      <c r="I39" s="258">
        <f t="shared" si="6"/>
        <v>9.8861704942151221</v>
      </c>
      <c r="J39" s="259">
        <f t="shared" si="7"/>
        <v>213039.26293735037</v>
      </c>
      <c r="K39" s="312">
        <f>SUM(I37:I39)</f>
        <v>197.72340988430244</v>
      </c>
      <c r="L39" s="312">
        <f>SUM(K36:K39)</f>
        <v>444.87767223968052</v>
      </c>
      <c r="M39" s="253">
        <v>42886</v>
      </c>
    </row>
    <row r="40" spans="1:13" s="216" customFormat="1" x14ac:dyDescent="0.35">
      <c r="A40" s="238">
        <v>42895</v>
      </c>
      <c r="B40" s="239" t="s">
        <v>119</v>
      </c>
      <c r="C40" s="258"/>
      <c r="D40" s="258">
        <v>25</v>
      </c>
      <c r="E40" s="258">
        <f t="shared" si="4"/>
        <v>1077436</v>
      </c>
      <c r="F40" s="258"/>
      <c r="G40" s="258">
        <f t="shared" si="5"/>
        <v>0.19772340988430243</v>
      </c>
      <c r="H40" s="258"/>
      <c r="I40" s="258">
        <f t="shared" si="6"/>
        <v>4.943085247107561</v>
      </c>
      <c r="J40" s="259">
        <f t="shared" si="7"/>
        <v>213034.31985210328</v>
      </c>
    </row>
    <row r="41" spans="1:13" s="216" customFormat="1" x14ac:dyDescent="0.35">
      <c r="A41" s="238">
        <v>42895</v>
      </c>
      <c r="B41" s="239" t="s">
        <v>120</v>
      </c>
      <c r="C41" s="258"/>
      <c r="D41" s="258">
        <v>100</v>
      </c>
      <c r="E41" s="258">
        <f t="shared" si="4"/>
        <v>1077336</v>
      </c>
      <c r="F41" s="258"/>
      <c r="G41" s="258">
        <f t="shared" si="5"/>
        <v>0.19772340988430243</v>
      </c>
      <c r="H41" s="258"/>
      <c r="I41" s="258">
        <f t="shared" si="6"/>
        <v>19.772340988430244</v>
      </c>
      <c r="J41" s="259">
        <f t="shared" si="7"/>
        <v>213014.54751111486</v>
      </c>
    </row>
    <row r="42" spans="1:13" s="216" customFormat="1" x14ac:dyDescent="0.35">
      <c r="A42" s="238">
        <v>42896</v>
      </c>
      <c r="B42" s="239" t="s">
        <v>121</v>
      </c>
      <c r="C42" s="258"/>
      <c r="D42" s="258">
        <v>900</v>
      </c>
      <c r="E42" s="258">
        <f t="shared" si="4"/>
        <v>1076436</v>
      </c>
      <c r="F42" s="258"/>
      <c r="G42" s="258">
        <f t="shared" si="5"/>
        <v>0.19772340988430245</v>
      </c>
      <c r="H42" s="258"/>
      <c r="I42" s="258">
        <f t="shared" si="6"/>
        <v>177.9510688958722</v>
      </c>
      <c r="J42" s="259">
        <f t="shared" si="7"/>
        <v>212836.59644221899</v>
      </c>
    </row>
    <row r="43" spans="1:13" s="296" customFormat="1" x14ac:dyDescent="0.35">
      <c r="A43" s="247">
        <v>42898</v>
      </c>
      <c r="B43" s="297" t="s">
        <v>122</v>
      </c>
      <c r="C43" s="306"/>
      <c r="D43" s="306">
        <v>50</v>
      </c>
      <c r="E43" s="258">
        <f t="shared" si="4"/>
        <v>1076386</v>
      </c>
      <c r="F43" s="258"/>
      <c r="G43" s="258">
        <f t="shared" si="5"/>
        <v>0.19772340988430245</v>
      </c>
      <c r="H43" s="258"/>
      <c r="I43" s="258">
        <f t="shared" si="6"/>
        <v>9.8861704942151221</v>
      </c>
      <c r="J43" s="259">
        <f t="shared" si="7"/>
        <v>212826.71027172476</v>
      </c>
      <c r="K43" s="312">
        <f>SUM(I40:I43)</f>
        <v>212.55266562562511</v>
      </c>
      <c r="M43" s="253">
        <v>42901</v>
      </c>
    </row>
    <row r="44" spans="1:13" s="216" customFormat="1" x14ac:dyDescent="0.35">
      <c r="A44" s="238">
        <v>42902</v>
      </c>
      <c r="B44" s="239" t="s">
        <v>123</v>
      </c>
      <c r="C44" s="258"/>
      <c r="D44" s="258">
        <v>50</v>
      </c>
      <c r="E44" s="258">
        <f t="shared" si="4"/>
        <v>1076336</v>
      </c>
      <c r="F44" s="258"/>
      <c r="G44" s="258">
        <f t="shared" si="5"/>
        <v>0.19772340988430243</v>
      </c>
      <c r="H44" s="258"/>
      <c r="I44" s="258">
        <f t="shared" si="6"/>
        <v>9.8861704942151221</v>
      </c>
      <c r="J44" s="259">
        <f t="shared" si="7"/>
        <v>212816.82410123054</v>
      </c>
    </row>
    <row r="45" spans="1:13" s="216" customFormat="1" x14ac:dyDescent="0.35">
      <c r="A45" s="238">
        <v>42908</v>
      </c>
      <c r="B45" s="239" t="s">
        <v>125</v>
      </c>
      <c r="C45" s="258"/>
      <c r="D45" s="258">
        <v>150</v>
      </c>
      <c r="E45" s="258">
        <f t="shared" si="4"/>
        <v>1076186</v>
      </c>
      <c r="F45" s="258"/>
      <c r="G45" s="258">
        <f t="shared" si="5"/>
        <v>0.19772340988430243</v>
      </c>
      <c r="H45" s="258"/>
      <c r="I45" s="258">
        <f t="shared" si="6"/>
        <v>29.658511482645363</v>
      </c>
      <c r="J45" s="259">
        <f t="shared" si="7"/>
        <v>212787.16558974789</v>
      </c>
    </row>
    <row r="46" spans="1:13" s="216" customFormat="1" x14ac:dyDescent="0.35">
      <c r="A46" s="238">
        <v>42913</v>
      </c>
      <c r="B46" s="239" t="s">
        <v>128</v>
      </c>
      <c r="C46" s="258"/>
      <c r="D46" s="258">
        <v>0</v>
      </c>
      <c r="E46" s="258">
        <f t="shared" si="4"/>
        <v>1076186</v>
      </c>
      <c r="F46" s="258"/>
      <c r="G46" s="258">
        <f t="shared" si="5"/>
        <v>0.19772340988430243</v>
      </c>
      <c r="H46" s="258"/>
      <c r="I46" s="258">
        <f t="shared" si="6"/>
        <v>0</v>
      </c>
      <c r="J46" s="259">
        <f t="shared" si="7"/>
        <v>212787.16558974789</v>
      </c>
    </row>
    <row r="47" spans="1:13" s="296" customFormat="1" x14ac:dyDescent="0.35">
      <c r="A47" s="317">
        <v>42913</v>
      </c>
      <c r="B47" s="297" t="s">
        <v>129</v>
      </c>
      <c r="C47" s="306"/>
      <c r="D47" s="306">
        <v>100</v>
      </c>
      <c r="E47" s="258">
        <f t="shared" si="4"/>
        <v>1076086</v>
      </c>
      <c r="F47" s="258"/>
      <c r="G47" s="258">
        <f t="shared" si="5"/>
        <v>0.19772340988430243</v>
      </c>
      <c r="H47" s="258"/>
      <c r="I47" s="258">
        <f t="shared" si="6"/>
        <v>19.772340988430244</v>
      </c>
      <c r="J47" s="259">
        <f t="shared" si="7"/>
        <v>212767.39324875947</v>
      </c>
      <c r="K47" s="312">
        <f>SUM(I44:I47)</f>
        <v>59.317022965290732</v>
      </c>
      <c r="L47" s="312">
        <f>SUM(K43:K47)</f>
        <v>271.86968859091587</v>
      </c>
      <c r="M47" s="253">
        <v>42916</v>
      </c>
    </row>
    <row r="48" spans="1:13" x14ac:dyDescent="0.35">
      <c r="A48" s="316">
        <v>42917</v>
      </c>
      <c r="B48" s="239" t="s">
        <v>130</v>
      </c>
      <c r="C48" s="277"/>
      <c r="D48" s="215">
        <v>650</v>
      </c>
      <c r="E48" s="258">
        <f t="shared" si="4"/>
        <v>1075436</v>
      </c>
      <c r="F48" s="258"/>
      <c r="G48" s="258">
        <f t="shared" si="5"/>
        <v>0.19772340988430243</v>
      </c>
      <c r="H48" s="258"/>
      <c r="I48" s="258">
        <f t="shared" si="6"/>
        <v>128.52021642479659</v>
      </c>
      <c r="J48" s="259">
        <f t="shared" si="7"/>
        <v>212638.87303233467</v>
      </c>
      <c r="K48" s="251"/>
      <c r="L48" s="251"/>
      <c r="M48" s="251"/>
    </row>
    <row r="49" spans="1:13" x14ac:dyDescent="0.35">
      <c r="A49" s="316">
        <v>42919</v>
      </c>
      <c r="B49" s="239" t="s">
        <v>131</v>
      </c>
      <c r="C49" s="277"/>
      <c r="D49" s="215">
        <v>250</v>
      </c>
      <c r="E49" s="258">
        <f t="shared" si="4"/>
        <v>1075186</v>
      </c>
      <c r="F49" s="258"/>
      <c r="G49" s="258">
        <f t="shared" si="5"/>
        <v>0.19772340988430243</v>
      </c>
      <c r="H49" s="258"/>
      <c r="I49" s="258">
        <f t="shared" si="6"/>
        <v>49.430852471075603</v>
      </c>
      <c r="J49" s="259">
        <f t="shared" si="7"/>
        <v>212589.4421798636</v>
      </c>
      <c r="K49" s="251"/>
      <c r="L49" s="251"/>
      <c r="M49" s="251"/>
    </row>
    <row r="50" spans="1:13" x14ac:dyDescent="0.35">
      <c r="A50" s="316">
        <v>42919</v>
      </c>
      <c r="B50" s="239" t="s">
        <v>132</v>
      </c>
      <c r="C50" s="277"/>
      <c r="D50" s="215">
        <v>250</v>
      </c>
      <c r="E50" s="258">
        <f t="shared" si="4"/>
        <v>1074936</v>
      </c>
      <c r="F50" s="258"/>
      <c r="G50" s="258">
        <f t="shared" si="5"/>
        <v>0.19772340988430245</v>
      </c>
      <c r="H50" s="258"/>
      <c r="I50" s="258">
        <f t="shared" si="6"/>
        <v>49.43085247107561</v>
      </c>
      <c r="J50" s="259">
        <f t="shared" si="7"/>
        <v>212540.01132739254</v>
      </c>
      <c r="K50" s="251"/>
      <c r="L50" s="251"/>
      <c r="M50" s="251"/>
    </row>
    <row r="51" spans="1:13" x14ac:dyDescent="0.35">
      <c r="A51" s="316">
        <v>42920</v>
      </c>
      <c r="B51" s="239" t="s">
        <v>133</v>
      </c>
      <c r="C51" s="277"/>
      <c r="D51" s="215">
        <v>150</v>
      </c>
      <c r="E51" s="258">
        <f t="shared" si="4"/>
        <v>1074786</v>
      </c>
      <c r="F51" s="258"/>
      <c r="G51" s="258">
        <f t="shared" si="5"/>
        <v>0.19772340988430245</v>
      </c>
      <c r="H51" s="258"/>
      <c r="I51" s="258">
        <f t="shared" si="6"/>
        <v>29.65851148264537</v>
      </c>
      <c r="J51" s="259">
        <f t="shared" si="7"/>
        <v>212510.35281590989</v>
      </c>
      <c r="K51" s="251"/>
      <c r="L51" s="251"/>
      <c r="M51" s="251"/>
    </row>
    <row r="52" spans="1:13" x14ac:dyDescent="0.35">
      <c r="A52" s="316">
        <v>42920</v>
      </c>
      <c r="B52" s="239" t="s">
        <v>134</v>
      </c>
      <c r="C52" s="277"/>
      <c r="D52" s="215">
        <v>150</v>
      </c>
      <c r="E52" s="258">
        <f t="shared" si="4"/>
        <v>1074636</v>
      </c>
      <c r="F52" s="258"/>
      <c r="G52" s="258">
        <f t="shared" si="5"/>
        <v>0.19772340988430245</v>
      </c>
      <c r="H52" s="258"/>
      <c r="I52" s="258">
        <f t="shared" si="6"/>
        <v>29.65851148264537</v>
      </c>
      <c r="J52" s="259">
        <f t="shared" si="7"/>
        <v>212480.69430442725</v>
      </c>
      <c r="K52" s="251"/>
      <c r="L52" s="251"/>
      <c r="M52" s="251"/>
    </row>
    <row r="53" spans="1:13" s="296" customFormat="1" x14ac:dyDescent="0.35">
      <c r="A53" s="317">
        <v>42928</v>
      </c>
      <c r="B53" s="297" t="s">
        <v>136</v>
      </c>
      <c r="C53" s="320"/>
      <c r="D53" s="321">
        <v>150</v>
      </c>
      <c r="E53" s="258">
        <f t="shared" si="4"/>
        <v>1074486</v>
      </c>
      <c r="F53" s="258"/>
      <c r="G53" s="258">
        <f t="shared" si="5"/>
        <v>0.19772340988430245</v>
      </c>
      <c r="H53" s="258"/>
      <c r="I53" s="258">
        <f t="shared" si="6"/>
        <v>29.65851148264537</v>
      </c>
      <c r="J53" s="259">
        <f t="shared" si="7"/>
        <v>212451.0357929446</v>
      </c>
      <c r="K53" s="312">
        <f>SUM(I48:I53)</f>
        <v>316.35745581488396</v>
      </c>
      <c r="L53" s="200"/>
      <c r="M53" s="253">
        <v>42931</v>
      </c>
    </row>
    <row r="54" spans="1:13" s="296" customFormat="1" x14ac:dyDescent="0.35">
      <c r="A54" s="317">
        <v>42935</v>
      </c>
      <c r="B54" s="297" t="s">
        <v>139</v>
      </c>
      <c r="C54" s="320"/>
      <c r="D54" s="321">
        <v>25</v>
      </c>
      <c r="E54" s="258">
        <f t="shared" si="4"/>
        <v>1074461</v>
      </c>
      <c r="F54" s="258"/>
      <c r="G54" s="258">
        <f t="shared" si="5"/>
        <v>0.19772340988430245</v>
      </c>
      <c r="H54" s="258"/>
      <c r="I54" s="258">
        <f t="shared" si="6"/>
        <v>4.943085247107561</v>
      </c>
      <c r="J54" s="259">
        <f t="shared" si="7"/>
        <v>212446.09270769751</v>
      </c>
      <c r="K54" s="312">
        <f>SUM(I54)</f>
        <v>4.943085247107561</v>
      </c>
      <c r="L54" s="312">
        <f>SUM(K53:K54)</f>
        <v>321.30054106199151</v>
      </c>
      <c r="M54" s="253">
        <v>42947</v>
      </c>
    </row>
    <row r="55" spans="1:13" x14ac:dyDescent="0.35">
      <c r="A55" s="316">
        <v>42950</v>
      </c>
      <c r="B55" s="239" t="s">
        <v>146</v>
      </c>
      <c r="C55" s="277"/>
      <c r="D55" s="215">
        <v>150</v>
      </c>
      <c r="E55" s="258">
        <f t="shared" si="4"/>
        <v>1074311</v>
      </c>
      <c r="F55" s="258"/>
      <c r="G55" s="258">
        <f t="shared" si="5"/>
        <v>0.19772340988430245</v>
      </c>
      <c r="H55" s="258"/>
      <c r="I55" s="258">
        <f t="shared" si="6"/>
        <v>29.65851148264537</v>
      </c>
      <c r="J55" s="259">
        <f t="shared" si="7"/>
        <v>212416.43419621486</v>
      </c>
      <c r="K55" s="251"/>
      <c r="L55" s="251"/>
      <c r="M55" s="251"/>
    </row>
    <row r="56" spans="1:13" x14ac:dyDescent="0.35">
      <c r="A56" s="316">
        <v>42950</v>
      </c>
      <c r="B56" s="239" t="s">
        <v>147</v>
      </c>
      <c r="C56" s="277"/>
      <c r="D56" s="215">
        <v>300</v>
      </c>
      <c r="E56" s="258">
        <f t="shared" si="4"/>
        <v>1074011</v>
      </c>
      <c r="F56" s="258"/>
      <c r="G56" s="258">
        <f t="shared" si="5"/>
        <v>0.19772340988430245</v>
      </c>
      <c r="H56" s="258"/>
      <c r="I56" s="258">
        <f t="shared" si="6"/>
        <v>59.317022965290739</v>
      </c>
      <c r="J56" s="259">
        <f t="shared" si="7"/>
        <v>212357.11717324957</v>
      </c>
      <c r="K56" s="251"/>
      <c r="L56" s="251"/>
      <c r="M56" s="251"/>
    </row>
    <row r="57" spans="1:13" s="296" customFormat="1" x14ac:dyDescent="0.35">
      <c r="A57" s="317">
        <v>42951</v>
      </c>
      <c r="B57" s="297" t="s">
        <v>148</v>
      </c>
      <c r="C57" s="320"/>
      <c r="D57" s="321">
        <v>100</v>
      </c>
      <c r="E57" s="258">
        <f t="shared" si="4"/>
        <v>1073911</v>
      </c>
      <c r="F57" s="258"/>
      <c r="G57" s="258">
        <f t="shared" si="5"/>
        <v>0.19772340988430245</v>
      </c>
      <c r="H57" s="258"/>
      <c r="I57" s="258">
        <f t="shared" si="6"/>
        <v>19.772340988430244</v>
      </c>
      <c r="J57" s="259">
        <f t="shared" si="7"/>
        <v>212337.34483226115</v>
      </c>
      <c r="K57" s="312">
        <f>SUM(I55:I57)</f>
        <v>108.74787543636636</v>
      </c>
      <c r="L57" s="200"/>
      <c r="M57" s="253">
        <v>42962</v>
      </c>
    </row>
    <row r="58" spans="1:13" x14ac:dyDescent="0.35">
      <c r="A58" s="316">
        <v>42965</v>
      </c>
      <c r="B58" s="239" t="s">
        <v>149</v>
      </c>
      <c r="C58" s="277"/>
      <c r="D58" s="236">
        <v>150</v>
      </c>
      <c r="E58" s="258">
        <f t="shared" si="4"/>
        <v>1073761</v>
      </c>
      <c r="F58" s="258"/>
      <c r="G58" s="258">
        <f t="shared" si="5"/>
        <v>0.19772340988430248</v>
      </c>
      <c r="H58" s="258"/>
      <c r="I58" s="258">
        <f t="shared" si="6"/>
        <v>29.658511482645373</v>
      </c>
      <c r="J58" s="259">
        <f t="shared" si="7"/>
        <v>212307.68632077851</v>
      </c>
      <c r="K58" s="251"/>
      <c r="L58" s="251"/>
      <c r="M58" s="251"/>
    </row>
    <row r="59" spans="1:13" x14ac:dyDescent="0.35">
      <c r="A59" s="316">
        <v>42975</v>
      </c>
      <c r="B59" s="239" t="s">
        <v>151</v>
      </c>
      <c r="C59" s="277"/>
      <c r="D59" s="277">
        <v>250</v>
      </c>
      <c r="E59" s="258">
        <f t="shared" si="4"/>
        <v>1073511</v>
      </c>
      <c r="F59" s="258"/>
      <c r="G59" s="258">
        <f t="shared" si="5"/>
        <v>0.19772340988430248</v>
      </c>
      <c r="H59" s="258"/>
      <c r="I59" s="258">
        <f t="shared" si="6"/>
        <v>49.430852471075617</v>
      </c>
      <c r="J59" s="259">
        <f t="shared" si="7"/>
        <v>212258.25546830744</v>
      </c>
      <c r="K59" s="251"/>
      <c r="L59" s="251"/>
      <c r="M59" s="251"/>
    </row>
    <row r="60" spans="1:13" s="216" customFormat="1" x14ac:dyDescent="0.35">
      <c r="A60" s="316">
        <v>42976</v>
      </c>
      <c r="B60" s="239" t="s">
        <v>152</v>
      </c>
      <c r="C60" s="277"/>
      <c r="D60" s="277">
        <v>700</v>
      </c>
      <c r="E60" s="258">
        <f t="shared" si="4"/>
        <v>1072811</v>
      </c>
      <c r="F60" s="258"/>
      <c r="G60" s="258">
        <f t="shared" si="5"/>
        <v>0.19772340988430248</v>
      </c>
      <c r="H60" s="258"/>
      <c r="I60" s="258">
        <f t="shared" si="6"/>
        <v>138.40638691901174</v>
      </c>
      <c r="J60" s="259">
        <f t="shared" si="7"/>
        <v>212119.84908138844</v>
      </c>
      <c r="K60" s="251"/>
      <c r="L60" s="251"/>
      <c r="M60" s="251"/>
    </row>
    <row r="61" spans="1:13" s="296" customFormat="1" x14ac:dyDescent="0.35">
      <c r="A61" s="317">
        <v>42977</v>
      </c>
      <c r="B61" s="297" t="s">
        <v>153</v>
      </c>
      <c r="C61" s="320"/>
      <c r="D61" s="320">
        <v>600</v>
      </c>
      <c r="E61" s="258">
        <f t="shared" si="4"/>
        <v>1072211</v>
      </c>
      <c r="F61" s="258"/>
      <c r="G61" s="258">
        <f t="shared" si="5"/>
        <v>0.19772340988430248</v>
      </c>
      <c r="H61" s="258"/>
      <c r="I61" s="258">
        <f t="shared" si="6"/>
        <v>118.63404593058149</v>
      </c>
      <c r="J61" s="259">
        <f t="shared" si="7"/>
        <v>212001.21503545786</v>
      </c>
      <c r="K61" s="312">
        <f>SUM(I58:I61)</f>
        <v>336.12979680331421</v>
      </c>
      <c r="L61" s="312">
        <f>SUM(K57:K61)</f>
        <v>444.87767223968058</v>
      </c>
      <c r="M61" s="253">
        <v>42978</v>
      </c>
    </row>
    <row r="62" spans="1:13" s="216" customFormat="1" x14ac:dyDescent="0.35">
      <c r="A62" s="316">
        <v>42982</v>
      </c>
      <c r="B62" s="239" t="s">
        <v>155</v>
      </c>
      <c r="C62" s="277"/>
      <c r="D62" s="277">
        <v>250</v>
      </c>
      <c r="E62" s="258">
        <f t="shared" si="4"/>
        <v>1071961</v>
      </c>
      <c r="F62" s="258"/>
      <c r="G62" s="258">
        <f t="shared" si="5"/>
        <v>0.19772340988430248</v>
      </c>
      <c r="H62" s="258"/>
      <c r="I62" s="258">
        <f t="shared" si="6"/>
        <v>49.430852471075617</v>
      </c>
      <c r="J62" s="259">
        <f t="shared" si="7"/>
        <v>211951.7841829868</v>
      </c>
      <c r="K62" s="251"/>
      <c r="L62" s="251"/>
      <c r="M62" s="251"/>
    </row>
    <row r="63" spans="1:13" s="216" customFormat="1" x14ac:dyDescent="0.35">
      <c r="A63" s="316">
        <v>42984</v>
      </c>
      <c r="B63" s="239" t="s">
        <v>157</v>
      </c>
      <c r="C63" s="277"/>
      <c r="D63" s="277">
        <v>50</v>
      </c>
      <c r="E63" s="258">
        <f t="shared" si="4"/>
        <v>1071911</v>
      </c>
      <c r="F63" s="258"/>
      <c r="G63" s="258">
        <f t="shared" si="5"/>
        <v>0.19772340988430251</v>
      </c>
      <c r="H63" s="258"/>
      <c r="I63" s="258">
        <f t="shared" si="6"/>
        <v>9.8861704942151256</v>
      </c>
      <c r="J63" s="259">
        <f t="shared" si="7"/>
        <v>211941.89801249257</v>
      </c>
      <c r="K63" s="251"/>
      <c r="L63" s="251"/>
      <c r="M63" s="251"/>
    </row>
    <row r="64" spans="1:13" s="296" customFormat="1" x14ac:dyDescent="0.35">
      <c r="A64" s="317">
        <v>42986</v>
      </c>
      <c r="B64" s="297" t="s">
        <v>158</v>
      </c>
      <c r="C64" s="320"/>
      <c r="D64" s="320">
        <v>250</v>
      </c>
      <c r="E64" s="306">
        <f t="shared" si="4"/>
        <v>1071661</v>
      </c>
      <c r="F64" s="306"/>
      <c r="G64" s="306">
        <f t="shared" si="5"/>
        <v>0.19772340988430251</v>
      </c>
      <c r="H64" s="306"/>
      <c r="I64" s="306">
        <f t="shared" si="6"/>
        <v>49.430852471075625</v>
      </c>
      <c r="J64" s="307">
        <f t="shared" si="7"/>
        <v>211892.46716002151</v>
      </c>
      <c r="K64" s="312">
        <f>SUM(I62:I64)</f>
        <v>108.74787543636637</v>
      </c>
      <c r="L64" s="200"/>
      <c r="M64" s="253">
        <v>42993</v>
      </c>
    </row>
    <row r="65" spans="1:13" s="296" customFormat="1" x14ac:dyDescent="0.35">
      <c r="A65" s="317">
        <v>42996</v>
      </c>
      <c r="B65" s="297" t="s">
        <v>159</v>
      </c>
      <c r="C65" s="320"/>
      <c r="D65" s="320">
        <v>700</v>
      </c>
      <c r="E65" s="306">
        <f t="shared" si="4"/>
        <v>1070961</v>
      </c>
      <c r="F65" s="306"/>
      <c r="G65" s="306">
        <f t="shared" si="5"/>
        <v>0.19772340988430251</v>
      </c>
      <c r="H65" s="306"/>
      <c r="I65" s="306">
        <f t="shared" si="6"/>
        <v>138.40638691901177</v>
      </c>
      <c r="J65" s="307">
        <f t="shared" si="7"/>
        <v>211754.06077310251</v>
      </c>
      <c r="K65" s="312">
        <f>SUM(I65)</f>
        <v>138.40638691901177</v>
      </c>
      <c r="L65" s="312">
        <f>SUM(K64:K65)</f>
        <v>247.15426235537814</v>
      </c>
      <c r="M65" s="253">
        <v>43008</v>
      </c>
    </row>
    <row r="66" spans="1:13" s="216" customFormat="1" x14ac:dyDescent="0.35">
      <c r="A66" s="316">
        <v>43015</v>
      </c>
      <c r="B66" s="239" t="s">
        <v>164</v>
      </c>
      <c r="C66" s="277"/>
      <c r="D66" s="277">
        <v>100</v>
      </c>
      <c r="E66" s="258">
        <f t="shared" si="4"/>
        <v>1070861</v>
      </c>
      <c r="F66" s="258"/>
      <c r="G66" s="258">
        <f t="shared" si="5"/>
        <v>0.19772340988430251</v>
      </c>
      <c r="H66" s="258"/>
      <c r="I66" s="258">
        <f t="shared" si="6"/>
        <v>19.772340988430251</v>
      </c>
      <c r="J66" s="259">
        <f t="shared" si="7"/>
        <v>211734.28843211409</v>
      </c>
      <c r="K66" s="251"/>
      <c r="L66" s="251"/>
      <c r="M66" s="251"/>
    </row>
    <row r="67" spans="1:13" s="216" customFormat="1" x14ac:dyDescent="0.35">
      <c r="A67" s="316">
        <v>43018</v>
      </c>
      <c r="B67" s="239" t="s">
        <v>166</v>
      </c>
      <c r="C67" s="277"/>
      <c r="D67" s="277">
        <v>200</v>
      </c>
      <c r="E67" s="258">
        <f t="shared" si="4"/>
        <v>1070661</v>
      </c>
      <c r="F67" s="258"/>
      <c r="G67" s="258">
        <f t="shared" si="5"/>
        <v>0.19772340988430254</v>
      </c>
      <c r="H67" s="258"/>
      <c r="I67" s="258">
        <f t="shared" si="6"/>
        <v>39.54468197686051</v>
      </c>
      <c r="J67" s="259">
        <f t="shared" si="7"/>
        <v>211694.74375013722</v>
      </c>
      <c r="K67" s="251"/>
      <c r="L67" s="251"/>
      <c r="M67" s="251"/>
    </row>
    <row r="68" spans="1:13" s="216" customFormat="1" x14ac:dyDescent="0.35">
      <c r="A68" s="316">
        <v>43019</v>
      </c>
      <c r="B68" s="239" t="s">
        <v>167</v>
      </c>
      <c r="C68" s="277"/>
      <c r="D68" s="277">
        <v>300</v>
      </c>
      <c r="E68" s="258">
        <f t="shared" si="4"/>
        <v>1070361</v>
      </c>
      <c r="F68" s="258"/>
      <c r="G68" s="258">
        <f t="shared" si="5"/>
        <v>0.19772340988430251</v>
      </c>
      <c r="H68" s="258"/>
      <c r="I68" s="258">
        <f t="shared" si="6"/>
        <v>59.317022965290754</v>
      </c>
      <c r="J68" s="259">
        <f t="shared" si="7"/>
        <v>211635.42672717193</v>
      </c>
      <c r="K68" s="251"/>
      <c r="L68" s="251"/>
      <c r="M68" s="251"/>
    </row>
    <row r="69" spans="1:13" s="296" customFormat="1" x14ac:dyDescent="0.35">
      <c r="A69" s="317">
        <v>43022</v>
      </c>
      <c r="B69" s="297" t="s">
        <v>168</v>
      </c>
      <c r="C69" s="320"/>
      <c r="D69" s="320">
        <v>250</v>
      </c>
      <c r="E69" s="306">
        <f t="shared" si="4"/>
        <v>1070111</v>
      </c>
      <c r="F69" s="306"/>
      <c r="G69" s="306">
        <f t="shared" si="5"/>
        <v>0.19772340988430251</v>
      </c>
      <c r="H69" s="306"/>
      <c r="I69" s="306">
        <f t="shared" si="6"/>
        <v>49.430852471075625</v>
      </c>
      <c r="J69" s="307">
        <f t="shared" si="7"/>
        <v>211585.99587470086</v>
      </c>
      <c r="K69" s="312">
        <f>SUM(I66:I69)</f>
        <v>168.06489840165716</v>
      </c>
      <c r="L69" s="200"/>
      <c r="M69" s="253">
        <v>43023</v>
      </c>
    </row>
    <row r="70" spans="1:13" s="216" customFormat="1" x14ac:dyDescent="0.35">
      <c r="A70" s="316">
        <v>43024</v>
      </c>
      <c r="B70" s="239" t="s">
        <v>169</v>
      </c>
      <c r="C70" s="277"/>
      <c r="D70" s="277">
        <v>200</v>
      </c>
      <c r="E70" s="258">
        <f t="shared" si="4"/>
        <v>1069911</v>
      </c>
      <c r="F70" s="258"/>
      <c r="G70" s="258">
        <f t="shared" si="5"/>
        <v>0.19772340988430254</v>
      </c>
      <c r="H70" s="258"/>
      <c r="I70" s="258">
        <f t="shared" si="6"/>
        <v>39.54468197686051</v>
      </c>
      <c r="J70" s="259">
        <f t="shared" si="7"/>
        <v>211546.45119272399</v>
      </c>
      <c r="K70" s="251"/>
      <c r="L70" s="251"/>
      <c r="M70" s="251"/>
    </row>
    <row r="71" spans="1:13" s="216" customFormat="1" x14ac:dyDescent="0.35">
      <c r="A71" s="316">
        <v>43025</v>
      </c>
      <c r="B71" s="239" t="s">
        <v>170</v>
      </c>
      <c r="C71" s="277"/>
      <c r="D71" s="277">
        <v>100</v>
      </c>
      <c r="E71" s="258">
        <f t="shared" si="4"/>
        <v>1069811</v>
      </c>
      <c r="F71" s="258"/>
      <c r="G71" s="258">
        <f t="shared" si="5"/>
        <v>0.19772340988430251</v>
      </c>
      <c r="H71" s="258"/>
      <c r="I71" s="258">
        <f t="shared" si="6"/>
        <v>19.772340988430251</v>
      </c>
      <c r="J71" s="259">
        <f t="shared" si="7"/>
        <v>211526.67885173557</v>
      </c>
      <c r="K71" s="251"/>
      <c r="L71" s="251"/>
      <c r="M71" s="251"/>
    </row>
    <row r="72" spans="1:13" s="216" customFormat="1" x14ac:dyDescent="0.35">
      <c r="A72" s="316">
        <v>43027</v>
      </c>
      <c r="B72" s="239" t="s">
        <v>171</v>
      </c>
      <c r="C72" s="277"/>
      <c r="D72" s="277">
        <v>400</v>
      </c>
      <c r="E72" s="258">
        <f t="shared" si="4"/>
        <v>1069411</v>
      </c>
      <c r="F72" s="258"/>
      <c r="G72" s="258">
        <f t="shared" si="5"/>
        <v>0.19772340988430254</v>
      </c>
      <c r="H72" s="258"/>
      <c r="I72" s="258">
        <f t="shared" si="6"/>
        <v>79.089363953721019</v>
      </c>
      <c r="J72" s="259">
        <f t="shared" si="7"/>
        <v>211447.58948778186</v>
      </c>
      <c r="K72" s="251"/>
      <c r="L72" s="251"/>
      <c r="M72" s="251"/>
    </row>
    <row r="73" spans="1:13" s="216" customFormat="1" x14ac:dyDescent="0.35">
      <c r="A73" s="316">
        <v>43033</v>
      </c>
      <c r="B73" s="239" t="s">
        <v>172</v>
      </c>
      <c r="C73" s="277"/>
      <c r="D73" s="277">
        <v>50</v>
      </c>
      <c r="E73" s="258">
        <f t="shared" si="4"/>
        <v>1069361</v>
      </c>
      <c r="F73" s="258"/>
      <c r="G73" s="258">
        <f t="shared" si="5"/>
        <v>0.19772340988430254</v>
      </c>
      <c r="H73" s="258"/>
      <c r="I73" s="258">
        <f t="shared" si="6"/>
        <v>9.8861704942151274</v>
      </c>
      <c r="J73" s="259">
        <f t="shared" si="7"/>
        <v>211437.70331728764</v>
      </c>
      <c r="K73" s="251"/>
      <c r="L73" s="251"/>
      <c r="M73" s="251"/>
    </row>
    <row r="74" spans="1:13" s="216" customFormat="1" x14ac:dyDescent="0.35">
      <c r="A74" s="316">
        <v>43036</v>
      </c>
      <c r="B74" s="239" t="s">
        <v>173</v>
      </c>
      <c r="C74" s="277"/>
      <c r="D74" s="277">
        <v>100</v>
      </c>
      <c r="E74" s="258">
        <f t="shared" si="4"/>
        <v>1069261</v>
      </c>
      <c r="F74" s="258"/>
      <c r="G74" s="258">
        <f t="shared" si="5"/>
        <v>0.19772340988430254</v>
      </c>
      <c r="H74" s="258"/>
      <c r="I74" s="258">
        <f t="shared" si="6"/>
        <v>19.772340988430255</v>
      </c>
      <c r="J74" s="259">
        <f t="shared" si="7"/>
        <v>211417.93097629922</v>
      </c>
      <c r="K74" s="251"/>
      <c r="L74" s="251"/>
      <c r="M74" s="251"/>
    </row>
    <row r="75" spans="1:13" s="296" customFormat="1" x14ac:dyDescent="0.35">
      <c r="A75" s="317">
        <v>43039</v>
      </c>
      <c r="B75" s="297" t="s">
        <v>175</v>
      </c>
      <c r="C75" s="320"/>
      <c r="D75" s="320">
        <v>150</v>
      </c>
      <c r="E75" s="306">
        <f t="shared" si="4"/>
        <v>1069111</v>
      </c>
      <c r="F75" s="306"/>
      <c r="G75" s="306">
        <f t="shared" si="5"/>
        <v>0.19772340988430254</v>
      </c>
      <c r="H75" s="306"/>
      <c r="I75" s="306">
        <f t="shared" si="6"/>
        <v>29.65851148264538</v>
      </c>
      <c r="J75" s="307">
        <f t="shared" si="7"/>
        <v>211388.27246481657</v>
      </c>
      <c r="K75" s="312">
        <f>SUM(I70:I75)</f>
        <v>197.7234098843025</v>
      </c>
      <c r="L75" s="312">
        <f>SUM(K69:K75)</f>
        <v>365.78830828595966</v>
      </c>
      <c r="M75" s="253">
        <v>43039</v>
      </c>
    </row>
    <row r="76" spans="1:13" s="296" customFormat="1" x14ac:dyDescent="0.35">
      <c r="A76" s="317">
        <v>43050</v>
      </c>
      <c r="B76" s="297" t="s">
        <v>176</v>
      </c>
      <c r="C76" s="320"/>
      <c r="D76" s="320">
        <v>500</v>
      </c>
      <c r="E76" s="306">
        <f t="shared" si="4"/>
        <v>1068611</v>
      </c>
      <c r="F76" s="306"/>
      <c r="G76" s="306">
        <f t="shared" si="5"/>
        <v>0.19772340988430254</v>
      </c>
      <c r="H76" s="306"/>
      <c r="I76" s="306">
        <f t="shared" si="6"/>
        <v>98.861704942151263</v>
      </c>
      <c r="J76" s="307">
        <f t="shared" si="7"/>
        <v>211289.41075987442</v>
      </c>
      <c r="K76" s="312">
        <f>SUM(I76)</f>
        <v>98.861704942151263</v>
      </c>
      <c r="L76" s="200"/>
      <c r="M76" s="253">
        <v>43054</v>
      </c>
    </row>
    <row r="77" spans="1:13" s="296" customFormat="1" x14ac:dyDescent="0.35">
      <c r="A77" s="317">
        <v>43069</v>
      </c>
      <c r="B77" s="297" t="s">
        <v>182</v>
      </c>
      <c r="C77" s="320"/>
      <c r="D77" s="320">
        <v>1300</v>
      </c>
      <c r="E77" s="306">
        <f t="shared" si="4"/>
        <v>1067311</v>
      </c>
      <c r="F77" s="306"/>
      <c r="G77" s="306">
        <f t="shared" si="5"/>
        <v>0.19772340988430254</v>
      </c>
      <c r="H77" s="306"/>
      <c r="I77" s="306">
        <f t="shared" si="6"/>
        <v>257.04043284959329</v>
      </c>
      <c r="J77" s="307">
        <f t="shared" si="7"/>
        <v>211032.37032702484</v>
      </c>
      <c r="K77" s="312">
        <f>SUM(I77)</f>
        <v>257.04043284959329</v>
      </c>
      <c r="L77" s="312">
        <f>SUM(K76:K77)</f>
        <v>355.90213779174456</v>
      </c>
      <c r="M77" s="253">
        <v>43069</v>
      </c>
    </row>
    <row r="78" spans="1:13" s="216" customFormat="1" x14ac:dyDescent="0.35">
      <c r="A78" s="316">
        <v>43082</v>
      </c>
      <c r="B78" s="239" t="s">
        <v>186</v>
      </c>
      <c r="C78" s="277"/>
      <c r="D78" s="277">
        <v>500</v>
      </c>
      <c r="E78" s="258">
        <f t="shared" si="4"/>
        <v>1066811</v>
      </c>
      <c r="F78" s="258"/>
      <c r="G78" s="258">
        <f t="shared" si="5"/>
        <v>0.19772340988430254</v>
      </c>
      <c r="H78" s="258"/>
      <c r="I78" s="258">
        <f t="shared" si="6"/>
        <v>98.861704942151263</v>
      </c>
      <c r="J78" s="259">
        <f t="shared" si="7"/>
        <v>210933.50862208268</v>
      </c>
      <c r="K78" s="251"/>
      <c r="L78" s="251"/>
      <c r="M78" s="251"/>
    </row>
    <row r="79" spans="1:13" s="296" customFormat="1" x14ac:dyDescent="0.35">
      <c r="A79" s="317">
        <v>43083</v>
      </c>
      <c r="B79" s="297" t="s">
        <v>188</v>
      </c>
      <c r="C79" s="320"/>
      <c r="D79" s="320">
        <v>250</v>
      </c>
      <c r="E79" s="306">
        <f t="shared" ref="E79:E81" si="8">+E78-D79</f>
        <v>1066561</v>
      </c>
      <c r="F79" s="306"/>
      <c r="G79" s="306">
        <f t="shared" ref="G79:G81" si="9">+J78/E78</f>
        <v>0.19772340988430254</v>
      </c>
      <c r="H79" s="306"/>
      <c r="I79" s="306">
        <f t="shared" ref="I79:I81" si="10">+D79*G79</f>
        <v>49.430852471075632</v>
      </c>
      <c r="J79" s="307">
        <f t="shared" ref="J79:J81" si="11">+J78-I79</f>
        <v>210884.07776961161</v>
      </c>
      <c r="K79" s="312">
        <f>SUM(I78:I79)</f>
        <v>148.29255741322689</v>
      </c>
      <c r="L79" s="200"/>
      <c r="M79" s="253">
        <v>43084</v>
      </c>
    </row>
    <row r="80" spans="1:13" s="216" customFormat="1" x14ac:dyDescent="0.35">
      <c r="A80" s="316">
        <v>43092</v>
      </c>
      <c r="B80" s="239" t="s">
        <v>189</v>
      </c>
      <c r="C80" s="277"/>
      <c r="D80" s="277">
        <v>250</v>
      </c>
      <c r="E80" s="258">
        <f t="shared" si="8"/>
        <v>1066311</v>
      </c>
      <c r="F80" s="258"/>
      <c r="G80" s="258">
        <f t="shared" si="9"/>
        <v>0.19772340988430256</v>
      </c>
      <c r="H80" s="258"/>
      <c r="I80" s="258">
        <f t="shared" si="10"/>
        <v>49.430852471075639</v>
      </c>
      <c r="J80" s="259">
        <f t="shared" si="11"/>
        <v>210834.64691714055</v>
      </c>
      <c r="K80" s="251"/>
      <c r="L80" s="251"/>
      <c r="M80" s="251"/>
    </row>
    <row r="81" spans="1:15" s="216" customFormat="1" x14ac:dyDescent="0.35">
      <c r="A81" s="316">
        <v>43095</v>
      </c>
      <c r="B81" s="239" t="s">
        <v>194</v>
      </c>
      <c r="C81" s="277"/>
      <c r="D81" s="277">
        <v>100</v>
      </c>
      <c r="E81" s="258">
        <f t="shared" si="8"/>
        <v>1066211</v>
      </c>
      <c r="F81" s="258"/>
      <c r="G81" s="258">
        <f t="shared" si="9"/>
        <v>0.19772340988430256</v>
      </c>
      <c r="H81" s="258"/>
      <c r="I81" s="258">
        <f t="shared" si="10"/>
        <v>19.772340988430255</v>
      </c>
      <c r="J81" s="259">
        <f t="shared" si="11"/>
        <v>210814.87457615213</v>
      </c>
      <c r="K81" s="251"/>
      <c r="L81" s="251"/>
      <c r="M81" s="251"/>
    </row>
    <row r="82" spans="1:15" s="216" customFormat="1" x14ac:dyDescent="0.35">
      <c r="A82" s="316">
        <v>43096</v>
      </c>
      <c r="B82" s="239" t="s">
        <v>195</v>
      </c>
      <c r="C82" s="277"/>
      <c r="D82" s="277">
        <v>50</v>
      </c>
      <c r="E82" s="258">
        <f t="shared" ref="E82:E84" si="12">+E81-D82</f>
        <v>1066161</v>
      </c>
      <c r="F82" s="258"/>
      <c r="G82" s="258">
        <f t="shared" ref="G82:G84" si="13">+J81/E81</f>
        <v>0.19772340988430256</v>
      </c>
      <c r="H82" s="258"/>
      <c r="I82" s="258">
        <f t="shared" ref="I82:I84" si="14">+D82*G82</f>
        <v>9.8861704942151274</v>
      </c>
      <c r="J82" s="259">
        <f t="shared" ref="J82:J84" si="15">+J81-I82</f>
        <v>210804.9884056579</v>
      </c>
      <c r="K82" s="251"/>
      <c r="L82" s="251"/>
      <c r="M82" s="251"/>
    </row>
    <row r="83" spans="1:15" s="216" customFormat="1" x14ac:dyDescent="0.35">
      <c r="A83" s="316">
        <v>43097</v>
      </c>
      <c r="B83" s="239" t="s">
        <v>196</v>
      </c>
      <c r="C83" s="277"/>
      <c r="D83" s="277">
        <v>25</v>
      </c>
      <c r="E83" s="258">
        <f t="shared" si="12"/>
        <v>1066136</v>
      </c>
      <c r="F83" s="258"/>
      <c r="G83" s="258">
        <f t="shared" si="13"/>
        <v>0.19772340988430256</v>
      </c>
      <c r="H83" s="258"/>
      <c r="I83" s="258">
        <f t="shared" si="14"/>
        <v>4.9430852471075637</v>
      </c>
      <c r="J83" s="259">
        <f t="shared" si="15"/>
        <v>210800.04532041081</v>
      </c>
      <c r="K83" s="251"/>
      <c r="L83" s="251"/>
      <c r="M83" s="251"/>
    </row>
    <row r="84" spans="1:15" s="296" customFormat="1" x14ac:dyDescent="0.35">
      <c r="A84" s="317">
        <v>43099</v>
      </c>
      <c r="B84" s="297" t="s">
        <v>197</v>
      </c>
      <c r="C84" s="320"/>
      <c r="D84" s="320">
        <v>600</v>
      </c>
      <c r="E84" s="306">
        <f t="shared" si="12"/>
        <v>1065536</v>
      </c>
      <c r="F84" s="306"/>
      <c r="G84" s="306">
        <f t="shared" si="13"/>
        <v>0.19772340988430256</v>
      </c>
      <c r="H84" s="306"/>
      <c r="I84" s="306">
        <f t="shared" si="14"/>
        <v>118.63404593058154</v>
      </c>
      <c r="J84" s="307">
        <f t="shared" si="15"/>
        <v>210681.41127448023</v>
      </c>
      <c r="K84" s="312">
        <f>SUM(I80:I84)</f>
        <v>202.6664951314101</v>
      </c>
      <c r="L84" s="312">
        <f>SUM(K79:K84)</f>
        <v>350.95905254463696</v>
      </c>
      <c r="M84" s="253">
        <v>43099</v>
      </c>
    </row>
    <row r="85" spans="1:15" s="216" customFormat="1" x14ac:dyDescent="0.35">
      <c r="A85" s="239"/>
      <c r="B85" s="239" t="s">
        <v>138</v>
      </c>
      <c r="C85" s="358">
        <f>SUM(C9:C84)</f>
        <v>1084811</v>
      </c>
      <c r="D85" s="358">
        <f>SUM(D9:D84)</f>
        <v>19275</v>
      </c>
      <c r="E85" s="258"/>
      <c r="F85" s="258"/>
      <c r="G85" s="258"/>
      <c r="H85" s="358">
        <f t="shared" ref="H85:I85" si="16">SUM(H9:H84)</f>
        <v>214492.53</v>
      </c>
      <c r="I85" s="358">
        <f t="shared" si="16"/>
        <v>3811.1187255199284</v>
      </c>
      <c r="J85" s="259"/>
      <c r="K85" s="251"/>
      <c r="L85" s="199">
        <f>SUM(L11:L84)</f>
        <v>3811.1187255199306</v>
      </c>
      <c r="M85" s="251"/>
    </row>
    <row r="86" spans="1:15" x14ac:dyDescent="0.35">
      <c r="K86" s="251"/>
      <c r="L86" s="251"/>
      <c r="M86" s="251"/>
    </row>
    <row r="87" spans="1:15" x14ac:dyDescent="0.35">
      <c r="I87" s="329"/>
      <c r="K87" s="251"/>
      <c r="L87" s="330"/>
      <c r="M87" s="251"/>
      <c r="N87" s="359"/>
      <c r="O87" s="359"/>
    </row>
    <row r="88" spans="1:15" x14ac:dyDescent="0.35">
      <c r="A88" s="202" t="s">
        <v>629</v>
      </c>
      <c r="B88" s="234"/>
      <c r="C88" s="233"/>
      <c r="D88" s="233"/>
      <c r="E88" s="233"/>
      <c r="F88" s="233"/>
      <c r="G88" s="251"/>
      <c r="H88" s="251"/>
      <c r="I88" s="251"/>
      <c r="J88" s="251"/>
    </row>
    <row r="89" spans="1:15" x14ac:dyDescent="0.35">
      <c r="A89" s="202" t="s">
        <v>631</v>
      </c>
      <c r="B89" s="234"/>
      <c r="C89" s="233"/>
      <c r="D89" s="233"/>
      <c r="E89" s="233"/>
      <c r="F89" s="233"/>
      <c r="G89" s="251"/>
      <c r="H89" s="251"/>
      <c r="I89" s="251"/>
      <c r="J89" s="174">
        <f>+E84*F9</f>
        <v>210681.41127448008</v>
      </c>
    </row>
    <row r="90" spans="1:15" x14ac:dyDescent="0.35">
      <c r="A90" s="202" t="s">
        <v>630</v>
      </c>
      <c r="B90" s="234"/>
      <c r="C90" s="233"/>
      <c r="D90" s="233"/>
      <c r="E90" s="233"/>
      <c r="F90" s="233"/>
      <c r="G90" s="251"/>
      <c r="H90" s="251"/>
      <c r="I90" s="251"/>
      <c r="J90" s="203">
        <f>+J84</f>
        <v>210681.41127448023</v>
      </c>
    </row>
    <row r="91" spans="1:15" ht="15" thickBot="1" x14ac:dyDescent="0.4">
      <c r="A91" s="202"/>
      <c r="B91" s="234" t="s">
        <v>29</v>
      </c>
      <c r="C91" s="233"/>
      <c r="D91" s="233"/>
      <c r="E91" s="233"/>
      <c r="F91" s="233"/>
      <c r="G91" s="251"/>
      <c r="H91" s="251"/>
      <c r="I91" s="251"/>
      <c r="J91" s="206">
        <f>+J89-J90</f>
        <v>0</v>
      </c>
    </row>
    <row r="92" spans="1:15" ht="15" thickTop="1" x14ac:dyDescent="0.35"/>
  </sheetData>
  <mergeCells count="5">
    <mergeCell ref="D4:H4"/>
    <mergeCell ref="C7:E7"/>
    <mergeCell ref="F7:G7"/>
    <mergeCell ref="H7:J7"/>
    <mergeCell ref="D5:G5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9</vt:i4>
      </vt:variant>
    </vt:vector>
  </HeadingPairs>
  <TitlesOfParts>
    <vt:vector size="20" baseType="lpstr">
      <vt:lpstr>BLUE #28</vt:lpstr>
      <vt:lpstr>RAL28</vt:lpstr>
      <vt:lpstr>AGOTADO Clavos</vt:lpstr>
      <vt:lpstr>Clavos 2</vt:lpstr>
      <vt:lpstr>RAL #26</vt:lpstr>
      <vt:lpstr>zinc #28</vt:lpstr>
      <vt:lpstr>AGOTADO Blanco</vt:lpstr>
      <vt:lpstr>GALV.</vt:lpstr>
      <vt:lpstr>TIRAFONDOS 6,3X76,2</vt:lpstr>
      <vt:lpstr>TIRAFONDOS 6,3X63,5</vt:lpstr>
      <vt:lpstr>JUNTAS DE GOMA</vt:lpstr>
      <vt:lpstr>'AGOTADO Blanco'!Área_de_impresión</vt:lpstr>
      <vt:lpstr>'AGOTADO Clavos'!Área_de_impresión</vt:lpstr>
      <vt:lpstr>'BLUE #28'!Área_de_impresión</vt:lpstr>
      <vt:lpstr>GALV.!Área_de_impresión</vt:lpstr>
      <vt:lpstr>'RAL #26'!Área_de_impresión</vt:lpstr>
      <vt:lpstr>'RAL28'!Área_de_impresión</vt:lpstr>
      <vt:lpstr>'TIRAFONDOS 6,3X63,5'!Área_de_impresión</vt:lpstr>
      <vt:lpstr>'TIRAFONDOS 6,3X76,2'!Área_de_impresión</vt:lpstr>
      <vt:lpstr>'zinc #28'!Área_de_impresión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</cp:lastModifiedBy>
  <cp:lastPrinted>2018-03-28T16:11:18Z</cp:lastPrinted>
  <dcterms:created xsi:type="dcterms:W3CDTF">2017-03-17T14:21:26Z</dcterms:created>
  <dcterms:modified xsi:type="dcterms:W3CDTF">2023-12-06T20:11:45Z</dcterms:modified>
</cp:coreProperties>
</file>