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ocuments\Diplomado\Proyecto\Datos\Datos TC\Inventarios\Delgadillo\"/>
    </mc:Choice>
  </mc:AlternateContent>
  <xr:revisionPtr revIDLastSave="0" documentId="13_ncr:1_{A9AB1129-566E-422F-8F69-6C8EC381090B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BLUE " sheetId="1" r:id="rId1"/>
    <sheet name="RAL#28" sheetId="2" r:id="rId2"/>
    <sheet name="Clavos" sheetId="10" r:id="rId3"/>
    <sheet name="RAL#26" sheetId="3" r:id="rId4"/>
    <sheet name="ZINC#28" sheetId="4" r:id="rId5"/>
    <sheet name="GALV." sheetId="5" r:id="rId6"/>
    <sheet name="TIRAF. 6,3X76,2" sheetId="6" r:id="rId7"/>
    <sheet name="TIRAF. 6,3X63,5" sheetId="7" r:id="rId8"/>
    <sheet name="Hoja2" sheetId="9" r:id="rId9"/>
  </sheets>
  <definedNames>
    <definedName name="_xlnm.Print_Area" localSheetId="0">'BLUE '!$A$1:$N$51</definedName>
    <definedName name="_xlnm.Print_Area" localSheetId="5">GALV.!$A$1:$N$37</definedName>
    <definedName name="_xlnm.Print_Area" localSheetId="3">'RAL#26'!$A$1:$N$64</definedName>
    <definedName name="_xlnm.Print_Area" localSheetId="1">'RAL#28'!$A$1:$N$123</definedName>
    <definedName name="_xlnm.Print_Area" localSheetId="7">'TIRAF. 6,3X63,5'!$A$1:$M$59</definedName>
    <definedName name="_xlnm.Print_Area" localSheetId="6">'TIRAF. 6,3X76,2'!$A$1:$M$97</definedName>
    <definedName name="_xlnm.Print_Area" localSheetId="4">'ZINC#28'!$A$1:$N$409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3" i="4" l="1"/>
  <c r="H58" i="3"/>
  <c r="C58" i="3"/>
  <c r="D402" i="4"/>
  <c r="D401" i="4"/>
  <c r="D400" i="4"/>
  <c r="D399" i="4"/>
  <c r="D397" i="4"/>
  <c r="D396" i="4"/>
  <c r="D30" i="5"/>
  <c r="D395" i="4"/>
  <c r="D394" i="4"/>
  <c r="D393" i="4"/>
  <c r="D392" i="4"/>
  <c r="D44" i="1"/>
  <c r="D117" i="2"/>
  <c r="D390" i="4"/>
  <c r="D389" i="4"/>
  <c r="D388" i="4"/>
  <c r="D386" i="4"/>
  <c r="D384" i="4"/>
  <c r="D383" i="4"/>
  <c r="D116" i="2"/>
  <c r="D382" i="4"/>
  <c r="D381" i="4"/>
  <c r="D114" i="2"/>
  <c r="D28" i="5"/>
  <c r="D29" i="5"/>
  <c r="D380" i="4"/>
  <c r="D379" i="4"/>
  <c r="D43" i="1"/>
  <c r="D378" i="4"/>
  <c r="D113" i="2"/>
  <c r="D375" i="4"/>
  <c r="D374" i="4"/>
  <c r="D373" i="4"/>
  <c r="D372" i="4"/>
  <c r="D371" i="4"/>
  <c r="D370" i="4"/>
  <c r="D369" i="4"/>
  <c r="D368" i="4"/>
  <c r="D27" i="5"/>
  <c r="D366" i="4"/>
  <c r="D26" i="5"/>
  <c r="D365" i="4"/>
  <c r="D364" i="4"/>
  <c r="D363" i="4"/>
  <c r="D362" i="4"/>
  <c r="D112" i="2"/>
  <c r="D360" i="4" l="1"/>
  <c r="D359" i="4"/>
  <c r="D111" i="2"/>
  <c r="D357" i="4"/>
  <c r="D356" i="4"/>
  <c r="D110" i="2"/>
  <c r="D109" i="2"/>
  <c r="D355" i="4"/>
  <c r="D354" i="4"/>
  <c r="D353" i="4"/>
  <c r="D25" i="5"/>
  <c r="D350" i="4"/>
  <c r="D349" i="4"/>
  <c r="D348" i="4"/>
  <c r="D347" i="4"/>
  <c r="D345" i="4"/>
  <c r="D344" i="4"/>
  <c r="D342" i="4"/>
  <c r="D341" i="4"/>
  <c r="D340" i="4"/>
  <c r="H118" i="2" l="1"/>
  <c r="C118" i="2"/>
  <c r="D42" i="1"/>
  <c r="D24" i="5"/>
  <c r="D108" i="2"/>
  <c r="D107" i="2"/>
  <c r="D106" i="2"/>
  <c r="D339" i="4"/>
  <c r="D23" i="5"/>
  <c r="D337" i="4"/>
  <c r="D336" i="4"/>
  <c r="D22" i="5"/>
  <c r="D21" i="5" l="1"/>
  <c r="D335" i="4"/>
  <c r="D334" i="4"/>
  <c r="D104" i="2"/>
  <c r="D333" i="4"/>
  <c r="D332" i="4"/>
  <c r="D331" i="4"/>
  <c r="D330" i="4"/>
  <c r="D329" i="4"/>
  <c r="D328" i="4"/>
  <c r="D327" i="4"/>
  <c r="D326" i="4"/>
  <c r="D103" i="2"/>
  <c r="D41" i="1"/>
  <c r="D325" i="4"/>
  <c r="D324" i="4"/>
  <c r="D323" i="4"/>
  <c r="D322" i="4"/>
  <c r="D321" i="4" l="1"/>
  <c r="D320" i="4"/>
  <c r="D319" i="4"/>
  <c r="D318" i="4"/>
  <c r="D316" i="4"/>
  <c r="D315" i="4"/>
  <c r="D314" i="4"/>
  <c r="D312" i="4" l="1"/>
  <c r="D311" i="4"/>
  <c r="D309" i="4"/>
  <c r="D307" i="4"/>
  <c r="D306" i="4"/>
  <c r="D305" i="4"/>
  <c r="D304" i="4"/>
  <c r="D102" i="2"/>
  <c r="D303" i="4"/>
  <c r="D302" i="4"/>
  <c r="D301" i="4"/>
  <c r="D20" i="5"/>
  <c r="D300" i="4"/>
  <c r="D299" i="4"/>
  <c r="D298" i="4"/>
  <c r="D18" i="5"/>
  <c r="D19" i="5"/>
  <c r="D297" i="4"/>
  <c r="D295" i="4"/>
  <c r="D293" i="4" l="1"/>
  <c r="D292" i="4"/>
  <c r="D99" i="2"/>
  <c r="D98" i="2"/>
  <c r="D291" i="4"/>
  <c r="D290" i="4"/>
  <c r="D289" i="4"/>
  <c r="D288" i="4"/>
  <c r="D40" i="1"/>
  <c r="D287" i="4"/>
  <c r="D286" i="4"/>
  <c r="D285" i="4"/>
  <c r="D96" i="2"/>
  <c r="D17" i="5"/>
  <c r="D95" i="2"/>
  <c r="D284" i="4"/>
  <c r="D283" i="4"/>
  <c r="D94" i="2"/>
  <c r="D39" i="1"/>
  <c r="D282" i="4"/>
  <c r="D280" i="4"/>
  <c r="D278" i="4"/>
  <c r="D93" i="2"/>
  <c r="D92" i="2"/>
  <c r="D91" i="2"/>
  <c r="D277" i="4"/>
  <c r="D276" i="4"/>
  <c r="D275" i="4"/>
  <c r="D274" i="4"/>
  <c r="D273" i="4" l="1"/>
  <c r="D272" i="4"/>
  <c r="D55" i="3"/>
  <c r="D271" i="4"/>
  <c r="D270" i="4"/>
  <c r="D269" i="4"/>
  <c r="D268" i="4"/>
  <c r="D266" i="4"/>
  <c r="D90" i="2"/>
  <c r="D262" i="4" l="1"/>
  <c r="D261" i="4"/>
  <c r="D260" i="4"/>
  <c r="D16" i="5"/>
  <c r="D259" i="4"/>
  <c r="D258" i="4"/>
  <c r="D54" i="3"/>
  <c r="D89" i="2" l="1"/>
  <c r="D87" i="2"/>
  <c r="D253" i="4"/>
  <c r="D252" i="4"/>
  <c r="D38" i="1" l="1"/>
  <c r="D251" i="4"/>
  <c r="D250" i="4"/>
  <c r="D247" i="4"/>
  <c r="D246" i="4"/>
  <c r="D245" i="4"/>
  <c r="D37" i="1"/>
  <c r="D86" i="2"/>
  <c r="D243" i="4"/>
  <c r="D84" i="2"/>
  <c r="D239" i="4"/>
  <c r="D238" i="4"/>
  <c r="D237" i="4"/>
  <c r="D83" i="2"/>
  <c r="D82" i="2"/>
  <c r="D81" i="2"/>
  <c r="D236" i="4"/>
  <c r="D80" i="2"/>
  <c r="D235" i="4"/>
  <c r="D234" i="4"/>
  <c r="D233" i="4"/>
  <c r="D36" i="1"/>
  <c r="D232" i="4"/>
  <c r="D79" i="2"/>
  <c r="D78" i="2"/>
  <c r="D76" i="2"/>
  <c r="D75" i="2"/>
  <c r="D228" i="4" l="1"/>
  <c r="D227" i="4"/>
  <c r="D226" i="4"/>
  <c r="D74" i="2"/>
  <c r="D73" i="2"/>
  <c r="D72" i="2"/>
  <c r="D71" i="2"/>
  <c r="D225" i="4"/>
  <c r="D224" i="4"/>
  <c r="D223" i="4"/>
  <c r="D222" i="4"/>
  <c r="D221" i="4"/>
  <c r="D220" i="4"/>
  <c r="D219" i="4"/>
  <c r="D217" i="4"/>
  <c r="D70" i="2" l="1"/>
  <c r="D216" i="4"/>
  <c r="D69" i="2"/>
  <c r="D35" i="1"/>
  <c r="D215" i="4"/>
  <c r="D15" i="5"/>
  <c r="D213" i="4"/>
  <c r="D212" i="4"/>
  <c r="D211" i="4"/>
  <c r="D68" i="2"/>
  <c r="D67" i="2"/>
  <c r="D210" i="4"/>
  <c r="D209" i="4"/>
  <c r="D208" i="4"/>
  <c r="D207" i="4"/>
  <c r="D206" i="4" l="1"/>
  <c r="D205" i="4"/>
  <c r="D34" i="1"/>
  <c r="D204" i="4"/>
  <c r="D66" i="2"/>
  <c r="D203" i="4"/>
  <c r="D65" i="2"/>
  <c r="D202" i="4"/>
  <c r="D201" i="4"/>
  <c r="D200" i="4"/>
  <c r="D64" i="2"/>
  <c r="D199" i="4"/>
  <c r="D197" i="4"/>
  <c r="D63" i="2"/>
  <c r="D196" i="4"/>
  <c r="D195" i="4"/>
  <c r="D194" i="4"/>
  <c r="D193" i="4"/>
  <c r="D192" i="4"/>
  <c r="D62" i="2"/>
  <c r="D190" i="4"/>
  <c r="D187" i="4"/>
  <c r="D185" i="4" l="1"/>
  <c r="D60" i="2"/>
  <c r="D59" i="2"/>
  <c r="D61" i="2"/>
  <c r="D53" i="3"/>
  <c r="D184" i="4"/>
  <c r="D183" i="4"/>
  <c r="D182" i="4"/>
  <c r="D181" i="4"/>
  <c r="D180" i="4"/>
  <c r="D58" i="2"/>
  <c r="J11" i="9" l="1"/>
  <c r="J18" i="9" s="1"/>
  <c r="F11" i="9"/>
  <c r="E11" i="9"/>
  <c r="J17" i="9" l="1"/>
  <c r="J19" i="9" s="1"/>
  <c r="D57" i="2"/>
  <c r="D177" i="4"/>
  <c r="H53" i="7" l="1"/>
  <c r="D53" i="7"/>
  <c r="C53" i="7"/>
  <c r="H91" i="6"/>
  <c r="D91" i="6"/>
  <c r="C91" i="6"/>
  <c r="H31" i="5"/>
  <c r="C31" i="5"/>
  <c r="H403" i="4"/>
  <c r="D176" i="4"/>
  <c r="D51" i="3"/>
  <c r="D175" i="4"/>
  <c r="H46" i="1" l="1"/>
  <c r="C46" i="1"/>
  <c r="D50" i="3"/>
  <c r="D165" i="4"/>
  <c r="D127" i="4" l="1"/>
  <c r="D26" i="3"/>
  <c r="D22" i="3"/>
  <c r="D87" i="4"/>
  <c r="D56" i="2" l="1"/>
  <c r="D173" i="4"/>
  <c r="D172" i="4"/>
  <c r="D48" i="3"/>
  <c r="D171" i="4"/>
  <c r="F24" i="1" l="1"/>
  <c r="F39" i="2"/>
  <c r="F126" i="4"/>
  <c r="D169" i="4" l="1"/>
  <c r="D168" i="4"/>
  <c r="D47" i="3"/>
  <c r="D164" i="4"/>
  <c r="D54" i="2"/>
  <c r="D31" i="1"/>
  <c r="D163" i="4" l="1"/>
  <c r="D53" i="2"/>
  <c r="D52" i="2"/>
  <c r="D162" i="4"/>
  <c r="D161" i="4"/>
  <c r="D160" i="4"/>
  <c r="D30" i="1"/>
  <c r="D50" i="2"/>
  <c r="D158" i="4"/>
  <c r="D49" i="2"/>
  <c r="D157" i="4"/>
  <c r="D155" i="4" l="1"/>
  <c r="D154" i="4"/>
  <c r="D153" i="4"/>
  <c r="D48" i="2"/>
  <c r="D152" i="4"/>
  <c r="D151" i="4"/>
  <c r="D47" i="2"/>
  <c r="D46" i="3" l="1"/>
  <c r="D45" i="3"/>
  <c r="D149" i="4"/>
  <c r="D148" i="4"/>
  <c r="D44" i="2"/>
  <c r="D147" i="4"/>
  <c r="D43" i="2"/>
  <c r="D146" i="4"/>
  <c r="D145" i="4"/>
  <c r="D144" i="4"/>
  <c r="D143" i="4"/>
  <c r="D142" i="4"/>
  <c r="D140" i="4"/>
  <c r="D139" i="4"/>
  <c r="D138" i="4"/>
  <c r="D137" i="4" l="1"/>
  <c r="D28" i="1"/>
  <c r="D42" i="2"/>
  <c r="D13" i="5"/>
  <c r="D14" i="5"/>
  <c r="D41" i="2"/>
  <c r="D40" i="3"/>
  <c r="D39" i="3"/>
  <c r="D27" i="1"/>
  <c r="D38" i="3"/>
  <c r="D37" i="3"/>
  <c r="D26" i="1"/>
  <c r="D136" i="4"/>
  <c r="D135" i="4"/>
  <c r="D35" i="3"/>
  <c r="D34" i="3"/>
  <c r="D134" i="4"/>
  <c r="D33" i="3"/>
  <c r="D32" i="3"/>
  <c r="D31" i="3"/>
  <c r="D133" i="4"/>
  <c r="D132" i="4"/>
  <c r="D131" i="4"/>
  <c r="D30" i="3"/>
  <c r="D29" i="3"/>
  <c r="D25" i="1"/>
  <c r="D129" i="4"/>
  <c r="D28" i="3"/>
  <c r="D125" i="4"/>
  <c r="D25" i="3"/>
  <c r="D24" i="3"/>
  <c r="D123" i="4"/>
  <c r="D23" i="3" l="1"/>
  <c r="D37" i="2"/>
  <c r="D21" i="3"/>
  <c r="D20" i="3"/>
  <c r="D19" i="3"/>
  <c r="D120" i="4"/>
  <c r="D121" i="4"/>
  <c r="D35" i="2"/>
  <c r="D119" i="4"/>
  <c r="D18" i="3"/>
  <c r="D118" i="4"/>
  <c r="D34" i="2"/>
  <c r="D114" i="4"/>
  <c r="D16" i="3"/>
  <c r="D15" i="3"/>
  <c r="D14" i="3"/>
  <c r="D113" i="4"/>
  <c r="D13" i="3"/>
  <c r="D22" i="1"/>
  <c r="D33" i="2" l="1"/>
  <c r="D30" i="2" l="1"/>
  <c r="D12" i="3"/>
  <c r="D110" i="4"/>
  <c r="D29" i="2"/>
  <c r="D109" i="4"/>
  <c r="D108" i="4"/>
  <c r="D107" i="4"/>
  <c r="D28" i="2"/>
  <c r="D106" i="4"/>
  <c r="D11" i="3"/>
  <c r="D10" i="3"/>
  <c r="D58" i="3" s="1"/>
  <c r="D105" i="4"/>
  <c r="D104" i="4"/>
  <c r="D27" i="2" l="1"/>
  <c r="D26" i="2"/>
  <c r="D103" i="4"/>
  <c r="D102" i="4"/>
  <c r="D101" i="4"/>
  <c r="D100" i="4"/>
  <c r="D99" i="4"/>
  <c r="D98" i="4"/>
  <c r="D97" i="4"/>
  <c r="D94" i="4"/>
  <c r="D92" i="4"/>
  <c r="D91" i="4"/>
  <c r="D90" i="4"/>
  <c r="D89" i="4" l="1"/>
  <c r="D20" i="1"/>
  <c r="D88" i="4"/>
  <c r="D25" i="2"/>
  <c r="D86" i="4"/>
  <c r="D85" i="4"/>
  <c r="D24" i="2"/>
  <c r="D84" i="4"/>
  <c r="D83" i="4"/>
  <c r="D82" i="4"/>
  <c r="D23" i="2"/>
  <c r="D81" i="4"/>
  <c r="D80" i="4"/>
  <c r="D19" i="1"/>
  <c r="D22" i="2"/>
  <c r="D79" i="4"/>
  <c r="D21" i="2"/>
  <c r="D20" i="2"/>
  <c r="D78" i="4" l="1"/>
  <c r="D77" i="4"/>
  <c r="D76" i="4"/>
  <c r="D75" i="4"/>
  <c r="D74" i="4"/>
  <c r="D12" i="5"/>
  <c r="D18" i="1"/>
  <c r="D71" i="4"/>
  <c r="D70" i="4"/>
  <c r="D69" i="4"/>
  <c r="D68" i="4"/>
  <c r="D67" i="4"/>
  <c r="D18" i="2"/>
  <c r="D60" i="4"/>
  <c r="D58" i="4"/>
  <c r="D57" i="4"/>
  <c r="D19" i="2" l="1"/>
  <c r="D66" i="4"/>
  <c r="D65" i="4"/>
  <c r="D64" i="4"/>
  <c r="D63" i="4"/>
  <c r="D17" i="2"/>
  <c r="D17" i="1"/>
  <c r="D62" i="4"/>
  <c r="D61" i="4"/>
  <c r="D59" i="4"/>
  <c r="D56" i="4"/>
  <c r="D54" i="4"/>
  <c r="D53" i="4"/>
  <c r="D11" i="5"/>
  <c r="D31" i="5" s="1"/>
  <c r="D51" i="4"/>
  <c r="D50" i="4"/>
  <c r="D48" i="4"/>
  <c r="D13" i="1"/>
  <c r="D12" i="1"/>
  <c r="D46" i="4"/>
  <c r="D45" i="4"/>
  <c r="D14" i="2"/>
  <c r="D44" i="4" l="1"/>
  <c r="D43" i="4"/>
  <c r="D42" i="4" l="1"/>
  <c r="D11" i="1"/>
  <c r="D46" i="1" s="1"/>
  <c r="D41" i="4"/>
  <c r="D40" i="4"/>
  <c r="D39" i="4"/>
  <c r="D38" i="4"/>
  <c r="D37" i="4"/>
  <c r="D36" i="4"/>
  <c r="D34" i="4"/>
  <c r="E10" i="5" l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D33" i="4"/>
  <c r="D13" i="2" l="1"/>
  <c r="D32" i="4"/>
  <c r="D31" i="4"/>
  <c r="D30" i="4"/>
  <c r="D29" i="4"/>
  <c r="D28" i="4"/>
  <c r="D26" i="4"/>
  <c r="D25" i="4"/>
  <c r="D24" i="4"/>
  <c r="D23" i="4"/>
  <c r="D12" i="2"/>
  <c r="D22" i="4"/>
  <c r="D21" i="4"/>
  <c r="D20" i="4"/>
  <c r="D19" i="4"/>
  <c r="D11" i="2"/>
  <c r="D18" i="4"/>
  <c r="D17" i="4"/>
  <c r="D16" i="4"/>
  <c r="D15" i="4"/>
  <c r="D14" i="4"/>
  <c r="D10" i="2"/>
  <c r="D13" i="4"/>
  <c r="D12" i="4"/>
  <c r="D11" i="4"/>
  <c r="D10" i="4"/>
  <c r="D403" i="4" l="1"/>
  <c r="D118" i="2"/>
  <c r="F9" i="7"/>
  <c r="J9" i="7"/>
  <c r="E9" i="7"/>
  <c r="E10" i="7" s="1"/>
  <c r="E11" i="7" s="1"/>
  <c r="E12" i="7" s="1"/>
  <c r="E13" i="7" s="1"/>
  <c r="E14" i="7" s="1"/>
  <c r="E15" i="7" s="1"/>
  <c r="E16" i="7" s="1"/>
  <c r="E17" i="7" s="1"/>
  <c r="E18" i="7" s="1"/>
  <c r="F9" i="6"/>
  <c r="J9" i="6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F9" i="5"/>
  <c r="J35" i="5" s="1"/>
  <c r="J9" i="5"/>
  <c r="G10" i="5" s="1"/>
  <c r="I10" i="5" s="1"/>
  <c r="F9" i="4"/>
  <c r="J9" i="4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F9" i="3"/>
  <c r="J9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J62" i="3" s="1"/>
  <c r="F9" i="2"/>
  <c r="J9" i="2"/>
  <c r="E9" i="2"/>
  <c r="F9" i="1"/>
  <c r="J9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J95" i="6" l="1"/>
  <c r="J10" i="5"/>
  <c r="G11" i="5" s="1"/>
  <c r="I11" i="5" s="1"/>
  <c r="L10" i="5"/>
  <c r="M10" i="5" s="1"/>
  <c r="E19" i="7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G10" i="6"/>
  <c r="I10" i="6" s="1"/>
  <c r="L11" i="5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J49" i="1" s="1"/>
  <c r="G10" i="1"/>
  <c r="I10" i="1" s="1"/>
  <c r="G10" i="7"/>
  <c r="I10" i="7" s="1"/>
  <c r="J10" i="7" s="1"/>
  <c r="G11" i="7" s="1"/>
  <c r="I11" i="7" s="1"/>
  <c r="G10" i="2"/>
  <c r="I10" i="2" s="1"/>
  <c r="G10" i="3"/>
  <c r="I10" i="3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G10" i="4"/>
  <c r="I10" i="4" s="1"/>
  <c r="J10" i="4" s="1"/>
  <c r="G11" i="4" s="1"/>
  <c r="I11" i="4" s="1"/>
  <c r="J11" i="4" s="1"/>
  <c r="G12" i="4" l="1"/>
  <c r="I12" i="4" s="1"/>
  <c r="J12" i="4" s="1"/>
  <c r="J11" i="5"/>
  <c r="G12" i="5" s="1"/>
  <c r="I12" i="5" s="1"/>
  <c r="L12" i="5" s="1"/>
  <c r="M12" i="5" s="1"/>
  <c r="J10" i="1"/>
  <c r="G11" i="1" s="1"/>
  <c r="I11" i="1" s="1"/>
  <c r="L11" i="1" s="1"/>
  <c r="L10" i="1"/>
  <c r="E45" i="7"/>
  <c r="E46" i="7" s="1"/>
  <c r="E47" i="7" s="1"/>
  <c r="E48" i="7" s="1"/>
  <c r="E49" i="7" s="1"/>
  <c r="E50" i="7" s="1"/>
  <c r="E51" i="7" s="1"/>
  <c r="E52" i="7" s="1"/>
  <c r="J57" i="7" s="1"/>
  <c r="J11" i="7"/>
  <c r="K11" i="7"/>
  <c r="J10" i="2"/>
  <c r="E39" i="2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J10" i="6"/>
  <c r="K10" i="6"/>
  <c r="J10" i="3"/>
  <c r="G11" i="3" s="1"/>
  <c r="I11" i="3" s="1"/>
  <c r="J11" i="3" s="1"/>
  <c r="G12" i="3" s="1"/>
  <c r="I12" i="3" s="1"/>
  <c r="J12" i="3" s="1"/>
  <c r="J11" i="1"/>
  <c r="G12" i="1" s="1"/>
  <c r="I12" i="1" s="1"/>
  <c r="J12" i="1" s="1"/>
  <c r="G13" i="1" s="1"/>
  <c r="I13" i="1" s="1"/>
  <c r="J13" i="1" s="1"/>
  <c r="E126" i="4"/>
  <c r="G11" i="2"/>
  <c r="I11" i="2" s="1"/>
  <c r="J11" i="2" s="1"/>
  <c r="G12" i="2" s="1"/>
  <c r="I12" i="2" s="1"/>
  <c r="J12" i="2" s="1"/>
  <c r="G12" i="7"/>
  <c r="I12" i="7" s="1"/>
  <c r="G13" i="4" l="1"/>
  <c r="I13" i="4" s="1"/>
  <c r="J13" i="4" s="1"/>
  <c r="J11" i="6"/>
  <c r="G12" i="6" s="1"/>
  <c r="I12" i="6" s="1"/>
  <c r="J12" i="6" s="1"/>
  <c r="G13" i="6" s="1"/>
  <c r="I13" i="6" s="1"/>
  <c r="J13" i="6" s="1"/>
  <c r="G14" i="6" s="1"/>
  <c r="I14" i="6" s="1"/>
  <c r="J14" i="6" s="1"/>
  <c r="G11" i="6"/>
  <c r="I11" i="6" s="1"/>
  <c r="J12" i="5"/>
  <c r="G13" i="5" s="1"/>
  <c r="I13" i="5" s="1"/>
  <c r="L13" i="5" s="1"/>
  <c r="M13" i="5" s="1"/>
  <c r="M11" i="1"/>
  <c r="J12" i="7"/>
  <c r="G13" i="7" s="1"/>
  <c r="I13" i="7" s="1"/>
  <c r="J13" i="7" s="1"/>
  <c r="E84" i="2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J121" i="2" s="1"/>
  <c r="L12" i="2"/>
  <c r="E127" i="4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K12" i="6"/>
  <c r="L12" i="6" s="1"/>
  <c r="G13" i="3"/>
  <c r="I13" i="3" s="1"/>
  <c r="J13" i="3" s="1"/>
  <c r="G13" i="2"/>
  <c r="I13" i="2" s="1"/>
  <c r="G14" i="1"/>
  <c r="I14" i="1" s="1"/>
  <c r="J14" i="1" s="1"/>
  <c r="G14" i="4" l="1"/>
  <c r="I14" i="4" s="1"/>
  <c r="J14" i="4"/>
  <c r="J13" i="5"/>
  <c r="G14" i="5" s="1"/>
  <c r="I14" i="5" s="1"/>
  <c r="J14" i="5" s="1"/>
  <c r="G15" i="5" s="1"/>
  <c r="I15" i="5" s="1"/>
  <c r="G15" i="6"/>
  <c r="I15" i="6" s="1"/>
  <c r="J15" i="6" s="1"/>
  <c r="G16" i="6" s="1"/>
  <c r="I16" i="6" s="1"/>
  <c r="J16" i="6" s="1"/>
  <c r="G17" i="6" s="1"/>
  <c r="I17" i="6" s="1"/>
  <c r="J17" i="6" s="1"/>
  <c r="G18" i="6" s="1"/>
  <c r="I18" i="6" s="1"/>
  <c r="J18" i="6" s="1"/>
  <c r="J15" i="5"/>
  <c r="G16" i="5" s="1"/>
  <c r="I16" i="5" s="1"/>
  <c r="L15" i="5"/>
  <c r="M15" i="5" s="1"/>
  <c r="J13" i="2"/>
  <c r="L13" i="3"/>
  <c r="M13" i="3" s="1"/>
  <c r="L14" i="5"/>
  <c r="M14" i="5" s="1"/>
  <c r="G14" i="7"/>
  <c r="I14" i="7" s="1"/>
  <c r="G14" i="3"/>
  <c r="I14" i="3" s="1"/>
  <c r="G14" i="2"/>
  <c r="I14" i="2" s="1"/>
  <c r="J14" i="2" s="1"/>
  <c r="G15" i="1"/>
  <c r="I15" i="1" s="1"/>
  <c r="J15" i="1" s="1"/>
  <c r="G19" i="6" l="1"/>
  <c r="I19" i="6" s="1"/>
  <c r="J19" i="6" s="1"/>
  <c r="G20" i="6" s="1"/>
  <c r="I20" i="6" s="1"/>
  <c r="J20" i="6" s="1"/>
  <c r="G15" i="4"/>
  <c r="I15" i="4" s="1"/>
  <c r="J15" i="4" s="1"/>
  <c r="J16" i="5"/>
  <c r="G17" i="5" s="1"/>
  <c r="I17" i="5" s="1"/>
  <c r="L16" i="5"/>
  <c r="M16" i="5" s="1"/>
  <c r="J14" i="7"/>
  <c r="G15" i="7" s="1"/>
  <c r="I15" i="7" s="1"/>
  <c r="K14" i="7"/>
  <c r="L14" i="7" s="1"/>
  <c r="L14" i="2"/>
  <c r="M14" i="2" s="1"/>
  <c r="J14" i="3"/>
  <c r="G15" i="3" s="1"/>
  <c r="I15" i="3" s="1"/>
  <c r="J15" i="3" s="1"/>
  <c r="G15" i="2"/>
  <c r="I15" i="2" s="1"/>
  <c r="G16" i="1"/>
  <c r="I16" i="1" s="1"/>
  <c r="J16" i="1" s="1"/>
  <c r="G16" i="4" l="1"/>
  <c r="I16" i="4" s="1"/>
  <c r="J16" i="4"/>
  <c r="G21" i="6"/>
  <c r="I21" i="6" s="1"/>
  <c r="J21" i="6"/>
  <c r="G22" i="6" s="1"/>
  <c r="I22" i="6" s="1"/>
  <c r="J22" i="6" s="1"/>
  <c r="G23" i="6" s="1"/>
  <c r="I23" i="6" s="1"/>
  <c r="J23" i="6" s="1"/>
  <c r="G24" i="6" s="1"/>
  <c r="I24" i="6" s="1"/>
  <c r="J24" i="6" s="1"/>
  <c r="G25" i="6" s="1"/>
  <c r="I25" i="6" s="1"/>
  <c r="J25" i="6" s="1"/>
  <c r="G26" i="6" s="1"/>
  <c r="I26" i="6" s="1"/>
  <c r="J26" i="6" s="1"/>
  <c r="G27" i="6" s="1"/>
  <c r="I27" i="6" s="1"/>
  <c r="J27" i="6" s="1"/>
  <c r="G28" i="6" s="1"/>
  <c r="I28" i="6" s="1"/>
  <c r="J28" i="6" s="1"/>
  <c r="G29" i="6" s="1"/>
  <c r="I29" i="6" s="1"/>
  <c r="J29" i="6" s="1"/>
  <c r="J17" i="5"/>
  <c r="G18" i="5" s="1"/>
  <c r="I18" i="5" s="1"/>
  <c r="L17" i="5"/>
  <c r="J15" i="7"/>
  <c r="J15" i="2"/>
  <c r="G16" i="2" s="1"/>
  <c r="I16" i="2" s="1"/>
  <c r="J16" i="2" s="1"/>
  <c r="K15" i="6"/>
  <c r="L16" i="1"/>
  <c r="G16" i="7"/>
  <c r="I16" i="7" s="1"/>
  <c r="J16" i="7" s="1"/>
  <c r="G16" i="3"/>
  <c r="I16" i="3" s="1"/>
  <c r="G17" i="1"/>
  <c r="I17" i="1" s="1"/>
  <c r="G17" i="4" l="1"/>
  <c r="I17" i="4" s="1"/>
  <c r="J17" i="4"/>
  <c r="G30" i="6"/>
  <c r="I30" i="6" s="1"/>
  <c r="J30" i="6" s="1"/>
  <c r="J18" i="5"/>
  <c r="G19" i="5" s="1"/>
  <c r="I19" i="5" s="1"/>
  <c r="J19" i="5" s="1"/>
  <c r="G20" i="5" s="1"/>
  <c r="I20" i="5" s="1"/>
  <c r="J20" i="5" s="1"/>
  <c r="G21" i="5" s="1"/>
  <c r="I21" i="5" s="1"/>
  <c r="L20" i="5"/>
  <c r="M20" i="5" s="1"/>
  <c r="J16" i="3"/>
  <c r="G17" i="3" s="1"/>
  <c r="I17" i="3" s="1"/>
  <c r="J17" i="3" s="1"/>
  <c r="J17" i="1"/>
  <c r="G17" i="7"/>
  <c r="I17" i="7" s="1"/>
  <c r="J17" i="7" s="1"/>
  <c r="G17" i="2"/>
  <c r="I17" i="2" s="1"/>
  <c r="J17" i="2" s="1"/>
  <c r="G18" i="1"/>
  <c r="I18" i="1" s="1"/>
  <c r="J18" i="1" s="1"/>
  <c r="G31" i="6" l="1"/>
  <c r="I31" i="6" s="1"/>
  <c r="J31" i="6"/>
  <c r="G32" i="6" s="1"/>
  <c r="I32" i="6" s="1"/>
  <c r="J32" i="6" s="1"/>
  <c r="G33" i="6" s="1"/>
  <c r="I33" i="6" s="1"/>
  <c r="J33" i="6" s="1"/>
  <c r="J21" i="5"/>
  <c r="G22" i="5" s="1"/>
  <c r="I22" i="5" s="1"/>
  <c r="J22" i="5" s="1"/>
  <c r="G23" i="5" s="1"/>
  <c r="I23" i="5" s="1"/>
  <c r="J23" i="5" s="1"/>
  <c r="G24" i="5" s="1"/>
  <c r="I24" i="5" s="1"/>
  <c r="L23" i="5"/>
  <c r="G18" i="4"/>
  <c r="I18" i="4" s="1"/>
  <c r="J18" i="4"/>
  <c r="G18" i="7"/>
  <c r="I18" i="7" s="1"/>
  <c r="J18" i="7" s="1"/>
  <c r="G19" i="7" s="1"/>
  <c r="I19" i="7" s="1"/>
  <c r="G18" i="3"/>
  <c r="I18" i="3" s="1"/>
  <c r="G18" i="2"/>
  <c r="I18" i="2" s="1"/>
  <c r="J18" i="2" s="1"/>
  <c r="G19" i="1"/>
  <c r="I19" i="1" s="1"/>
  <c r="J19" i="1" s="1"/>
  <c r="J24" i="5" l="1"/>
  <c r="G25" i="5" s="1"/>
  <c r="I25" i="5" s="1"/>
  <c r="J25" i="5" s="1"/>
  <c r="G26" i="5" s="1"/>
  <c r="I26" i="5" s="1"/>
  <c r="L25" i="5"/>
  <c r="M25" i="5" s="1"/>
  <c r="G19" i="4"/>
  <c r="I19" i="4" s="1"/>
  <c r="J19" i="4" s="1"/>
  <c r="G34" i="6"/>
  <c r="I34" i="6" s="1"/>
  <c r="J34" i="6" s="1"/>
  <c r="J19" i="7"/>
  <c r="K19" i="7"/>
  <c r="K18" i="7"/>
  <c r="L19" i="7" s="1"/>
  <c r="J18" i="3"/>
  <c r="G19" i="3" s="1"/>
  <c r="I19" i="3" s="1"/>
  <c r="J19" i="3" s="1"/>
  <c r="K18" i="6"/>
  <c r="L18" i="6" s="1"/>
  <c r="L19" i="1"/>
  <c r="M19" i="1" s="1"/>
  <c r="G19" i="2"/>
  <c r="I19" i="2" s="1"/>
  <c r="J19" i="2" s="1"/>
  <c r="G20" i="1"/>
  <c r="I20" i="1" s="1"/>
  <c r="J20" i="1" s="1"/>
  <c r="G35" i="6" l="1"/>
  <c r="I35" i="6" s="1"/>
  <c r="J35" i="6"/>
  <c r="G36" i="6" s="1"/>
  <c r="I36" i="6" s="1"/>
  <c r="J36" i="6" s="1"/>
  <c r="G37" i="6" s="1"/>
  <c r="I37" i="6" s="1"/>
  <c r="J37" i="6" s="1"/>
  <c r="G38" i="6" s="1"/>
  <c r="I38" i="6" s="1"/>
  <c r="J38" i="6" s="1"/>
  <c r="G39" i="6" s="1"/>
  <c r="I39" i="6" s="1"/>
  <c r="J39" i="6" s="1"/>
  <c r="G40" i="6" s="1"/>
  <c r="I40" i="6" s="1"/>
  <c r="J40" i="6" s="1"/>
  <c r="G41" i="6" s="1"/>
  <c r="I41" i="6" s="1"/>
  <c r="J41" i="6" s="1"/>
  <c r="G42" i="6" s="1"/>
  <c r="I42" i="6" s="1"/>
  <c r="J42" i="6" s="1"/>
  <c r="G43" i="6" s="1"/>
  <c r="I43" i="6" s="1"/>
  <c r="J43" i="6" s="1"/>
  <c r="G44" i="6" s="1"/>
  <c r="I44" i="6" s="1"/>
  <c r="J44" i="6" s="1"/>
  <c r="G45" i="6" s="1"/>
  <c r="I45" i="6" s="1"/>
  <c r="J45" i="6" s="1"/>
  <c r="G46" i="6" s="1"/>
  <c r="I46" i="6" s="1"/>
  <c r="J46" i="6" s="1"/>
  <c r="G47" i="6" s="1"/>
  <c r="I47" i="6" s="1"/>
  <c r="J47" i="6" s="1"/>
  <c r="G20" i="4"/>
  <c r="I20" i="4" s="1"/>
  <c r="J20" i="4"/>
  <c r="J26" i="5"/>
  <c r="G27" i="5" s="1"/>
  <c r="I27" i="5" s="1"/>
  <c r="J27" i="5" s="1"/>
  <c r="G28" i="5" s="1"/>
  <c r="I28" i="5" s="1"/>
  <c r="J28" i="5" s="1"/>
  <c r="G29" i="5" s="1"/>
  <c r="I29" i="5" s="1"/>
  <c r="J29" i="5" s="1"/>
  <c r="G30" i="5" s="1"/>
  <c r="I30" i="5" s="1"/>
  <c r="L29" i="5"/>
  <c r="G20" i="3"/>
  <c r="I20" i="3" s="1"/>
  <c r="J20" i="3" s="1"/>
  <c r="G20" i="2"/>
  <c r="I20" i="2" s="1"/>
  <c r="J20" i="2" s="1"/>
  <c r="G21" i="1"/>
  <c r="I21" i="1" s="1"/>
  <c r="G21" i="4" l="1"/>
  <c r="I21" i="4" s="1"/>
  <c r="J21" i="4"/>
  <c r="G48" i="6"/>
  <c r="I48" i="6" s="1"/>
  <c r="J48" i="6"/>
  <c r="G49" i="6" s="1"/>
  <c r="I49" i="6" s="1"/>
  <c r="J49" i="6" s="1"/>
  <c r="G50" i="6" s="1"/>
  <c r="I50" i="6" s="1"/>
  <c r="J50" i="6" s="1"/>
  <c r="G51" i="6" s="1"/>
  <c r="I51" i="6" s="1"/>
  <c r="J51" i="6" s="1"/>
  <c r="G52" i="6" s="1"/>
  <c r="I52" i="6" s="1"/>
  <c r="J52" i="6" s="1"/>
  <c r="G53" i="6" s="1"/>
  <c r="I53" i="6" s="1"/>
  <c r="J53" i="6" s="1"/>
  <c r="G54" i="6" s="1"/>
  <c r="I54" i="6" s="1"/>
  <c r="J54" i="6" s="1"/>
  <c r="J30" i="5"/>
  <c r="J36" i="5" s="1"/>
  <c r="J37" i="5" s="1"/>
  <c r="L30" i="5"/>
  <c r="M30" i="5" s="1"/>
  <c r="M31" i="5" s="1"/>
  <c r="J21" i="1"/>
  <c r="G22" i="1" s="1"/>
  <c r="I22" i="1" s="1"/>
  <c r="L21" i="1"/>
  <c r="G20" i="7"/>
  <c r="I20" i="7" s="1"/>
  <c r="G21" i="3"/>
  <c r="I21" i="3" s="1"/>
  <c r="J21" i="3" s="1"/>
  <c r="G21" i="2"/>
  <c r="I21" i="2" s="1"/>
  <c r="J21" i="2" s="1"/>
  <c r="G22" i="4" l="1"/>
  <c r="I22" i="4" s="1"/>
  <c r="J22" i="4" s="1"/>
  <c r="G55" i="6"/>
  <c r="I55" i="6" s="1"/>
  <c r="J55" i="6"/>
  <c r="G56" i="6" s="1"/>
  <c r="I56" i="6" s="1"/>
  <c r="J56" i="6" s="1"/>
  <c r="G57" i="6" s="1"/>
  <c r="I57" i="6" s="1"/>
  <c r="J57" i="6" s="1"/>
  <c r="G58" i="6" s="1"/>
  <c r="I58" i="6" s="1"/>
  <c r="J58" i="6" s="1"/>
  <c r="G59" i="6" s="1"/>
  <c r="I59" i="6" s="1"/>
  <c r="J59" i="6" s="1"/>
  <c r="G60" i="6" s="1"/>
  <c r="I60" i="6" s="1"/>
  <c r="J60" i="6" s="1"/>
  <c r="G61" i="6" s="1"/>
  <c r="I61" i="6" s="1"/>
  <c r="J61" i="6" s="1"/>
  <c r="G62" i="6" s="1"/>
  <c r="I62" i="6" s="1"/>
  <c r="J62" i="6" s="1"/>
  <c r="G63" i="6" s="1"/>
  <c r="I63" i="6" s="1"/>
  <c r="J63" i="6" s="1"/>
  <c r="J20" i="7"/>
  <c r="K20" i="7"/>
  <c r="J22" i="1"/>
  <c r="G23" i="1" s="1"/>
  <c r="I23" i="1" s="1"/>
  <c r="J23" i="1" s="1"/>
  <c r="J24" i="1" s="1"/>
  <c r="G21" i="7"/>
  <c r="I21" i="7" s="1"/>
  <c r="G22" i="3"/>
  <c r="I22" i="3" s="1"/>
  <c r="J22" i="3" s="1"/>
  <c r="G22" i="2"/>
  <c r="I22" i="2" s="1"/>
  <c r="G23" i="4" l="1"/>
  <c r="I23" i="4" s="1"/>
  <c r="J23" i="4"/>
  <c r="G64" i="6"/>
  <c r="I64" i="6" s="1"/>
  <c r="J64" i="6" s="1"/>
  <c r="L23" i="1"/>
  <c r="M23" i="1" s="1"/>
  <c r="J21" i="7"/>
  <c r="G22" i="7" s="1"/>
  <c r="I22" i="7" s="1"/>
  <c r="J22" i="7" s="1"/>
  <c r="J22" i="2"/>
  <c r="G23" i="2" s="1"/>
  <c r="I23" i="2" s="1"/>
  <c r="L22" i="2"/>
  <c r="M22" i="2" s="1"/>
  <c r="G25" i="1"/>
  <c r="I25" i="1" s="1"/>
  <c r="J25" i="1" s="1"/>
  <c r="G26" i="1" s="1"/>
  <c r="I26" i="1" s="1"/>
  <c r="G23" i="3"/>
  <c r="I23" i="3" s="1"/>
  <c r="J23" i="3" s="1"/>
  <c r="G24" i="4" l="1"/>
  <c r="I24" i="4" s="1"/>
  <c r="J24" i="4"/>
  <c r="G65" i="6"/>
  <c r="I65" i="6" s="1"/>
  <c r="J65" i="6" s="1"/>
  <c r="J23" i="2"/>
  <c r="J26" i="1"/>
  <c r="G27" i="1" s="1"/>
  <c r="I27" i="1" s="1"/>
  <c r="J27" i="1" s="1"/>
  <c r="G23" i="7"/>
  <c r="I23" i="7" s="1"/>
  <c r="J23" i="7" s="1"/>
  <c r="G24" i="3"/>
  <c r="I24" i="3" s="1"/>
  <c r="J24" i="3" s="1"/>
  <c r="G24" i="2"/>
  <c r="I24" i="2" s="1"/>
  <c r="J24" i="2" s="1"/>
  <c r="G25" i="4" l="1"/>
  <c r="I25" i="4" s="1"/>
  <c r="J25" i="4" s="1"/>
  <c r="G66" i="6"/>
  <c r="I66" i="6" s="1"/>
  <c r="J66" i="6" s="1"/>
  <c r="K23" i="7"/>
  <c r="L23" i="7" s="1"/>
  <c r="G24" i="7"/>
  <c r="I24" i="7" s="1"/>
  <c r="G25" i="3"/>
  <c r="I25" i="3" s="1"/>
  <c r="J25" i="3" s="1"/>
  <c r="G25" i="2"/>
  <c r="I25" i="2" s="1"/>
  <c r="J25" i="2" s="1"/>
  <c r="G28" i="1"/>
  <c r="I28" i="1" s="1"/>
  <c r="G26" i="4" l="1"/>
  <c r="I26" i="4" s="1"/>
  <c r="J26" i="4" s="1"/>
  <c r="G67" i="6"/>
  <c r="I67" i="6" s="1"/>
  <c r="J67" i="6" s="1"/>
  <c r="J24" i="7"/>
  <c r="G25" i="7" s="1"/>
  <c r="I25" i="7" s="1"/>
  <c r="K24" i="7"/>
  <c r="L24" i="7" s="1"/>
  <c r="K25" i="6"/>
  <c r="J28" i="1"/>
  <c r="G29" i="1" s="1"/>
  <c r="I29" i="1" s="1"/>
  <c r="J29" i="1" s="1"/>
  <c r="G26" i="3"/>
  <c r="I26" i="3" s="1"/>
  <c r="J26" i="3" s="1"/>
  <c r="G26" i="2"/>
  <c r="I26" i="2" s="1"/>
  <c r="J26" i="2" s="1"/>
  <c r="G27" i="4" l="1"/>
  <c r="I27" i="4" s="1"/>
  <c r="J27" i="4" s="1"/>
  <c r="G68" i="6"/>
  <c r="I68" i="6" s="1"/>
  <c r="J68" i="6" s="1"/>
  <c r="L29" i="1"/>
  <c r="M29" i="1" s="1"/>
  <c r="J25" i="7"/>
  <c r="G26" i="7" s="1"/>
  <c r="I26" i="7" s="1"/>
  <c r="K26" i="7" s="1"/>
  <c r="L26" i="7" s="1"/>
  <c r="K25" i="7"/>
  <c r="L25" i="7" s="1"/>
  <c r="G27" i="3"/>
  <c r="I27" i="3" s="1"/>
  <c r="J27" i="3" s="1"/>
  <c r="G27" i="2"/>
  <c r="I27" i="2" s="1"/>
  <c r="J27" i="2" s="1"/>
  <c r="G30" i="1"/>
  <c r="I30" i="1" s="1"/>
  <c r="G28" i="4" l="1"/>
  <c r="I28" i="4" s="1"/>
  <c r="J28" i="4"/>
  <c r="G69" i="6"/>
  <c r="I69" i="6" s="1"/>
  <c r="J69" i="6" s="1"/>
  <c r="L27" i="2"/>
  <c r="J26" i="7"/>
  <c r="G27" i="7" s="1"/>
  <c r="I27" i="7" s="1"/>
  <c r="L27" i="4"/>
  <c r="J30" i="1"/>
  <c r="G31" i="1" s="1"/>
  <c r="I31" i="1" s="1"/>
  <c r="L30" i="1"/>
  <c r="M30" i="1" s="1"/>
  <c r="G28" i="3"/>
  <c r="I28" i="3" s="1"/>
  <c r="G28" i="2"/>
  <c r="I28" i="2" s="1"/>
  <c r="G29" i="4" l="1"/>
  <c r="I29" i="4" s="1"/>
  <c r="J29" i="4"/>
  <c r="G70" i="6"/>
  <c r="I70" i="6" s="1"/>
  <c r="J70" i="6" s="1"/>
  <c r="J27" i="7"/>
  <c r="K27" i="7"/>
  <c r="J28" i="2"/>
  <c r="J28" i="3"/>
  <c r="L28" i="3"/>
  <c r="K28" i="6"/>
  <c r="L28" i="6" s="1"/>
  <c r="J31" i="1"/>
  <c r="G32" i="1" s="1"/>
  <c r="I32" i="1" s="1"/>
  <c r="L32" i="1" s="1"/>
  <c r="L31" i="1"/>
  <c r="M31" i="1" s="1"/>
  <c r="G28" i="7"/>
  <c r="I28" i="7" s="1"/>
  <c r="G29" i="3"/>
  <c r="I29" i="3" s="1"/>
  <c r="G29" i="2"/>
  <c r="I29" i="2" s="1"/>
  <c r="J29" i="2" s="1"/>
  <c r="G30" i="4" l="1"/>
  <c r="I30" i="4" s="1"/>
  <c r="J30" i="4"/>
  <c r="G71" i="6"/>
  <c r="I71" i="6" s="1"/>
  <c r="J71" i="6" s="1"/>
  <c r="J28" i="7"/>
  <c r="K28" i="7"/>
  <c r="L28" i="7" s="1"/>
  <c r="J32" i="1"/>
  <c r="J29" i="3"/>
  <c r="G30" i="3" s="1"/>
  <c r="I30" i="3" s="1"/>
  <c r="J30" i="3" s="1"/>
  <c r="G29" i="7"/>
  <c r="I29" i="7" s="1"/>
  <c r="G30" i="2"/>
  <c r="I30" i="2" s="1"/>
  <c r="J30" i="2" s="1"/>
  <c r="G33" i="1"/>
  <c r="I33" i="1" s="1"/>
  <c r="G31" i="4" l="1"/>
  <c r="I31" i="4" s="1"/>
  <c r="J31" i="4" s="1"/>
  <c r="G72" i="6"/>
  <c r="I72" i="6" s="1"/>
  <c r="J72" i="6" s="1"/>
  <c r="J33" i="1"/>
  <c r="G34" i="1" s="1"/>
  <c r="I34" i="1" s="1"/>
  <c r="L34" i="1" s="1"/>
  <c r="M34" i="1" s="1"/>
  <c r="J29" i="7"/>
  <c r="G30" i="7" s="1"/>
  <c r="I30" i="7" s="1"/>
  <c r="K29" i="7"/>
  <c r="L29" i="7" s="1"/>
  <c r="G31" i="3"/>
  <c r="I31" i="3" s="1"/>
  <c r="J31" i="3" s="1"/>
  <c r="G31" i="2"/>
  <c r="I31" i="2" s="1"/>
  <c r="J31" i="2" s="1"/>
  <c r="G32" i="4" l="1"/>
  <c r="I32" i="4" s="1"/>
  <c r="J32" i="4"/>
  <c r="G73" i="6"/>
  <c r="I73" i="6" s="1"/>
  <c r="J73" i="6" s="1"/>
  <c r="J30" i="7"/>
  <c r="G31" i="7" s="1"/>
  <c r="I31" i="7" s="1"/>
  <c r="J31" i="7" s="1"/>
  <c r="J34" i="1"/>
  <c r="G35" i="1" s="1"/>
  <c r="I35" i="1" s="1"/>
  <c r="L35" i="1" s="1"/>
  <c r="G32" i="3"/>
  <c r="I32" i="3" s="1"/>
  <c r="J32" i="3" s="1"/>
  <c r="G32" i="2"/>
  <c r="I32" i="2" s="1"/>
  <c r="J32" i="2" s="1"/>
  <c r="G33" i="4" l="1"/>
  <c r="I33" i="4" s="1"/>
  <c r="J33" i="4"/>
  <c r="G74" i="6"/>
  <c r="I74" i="6" s="1"/>
  <c r="J74" i="6" s="1"/>
  <c r="J35" i="1"/>
  <c r="G36" i="1" s="1"/>
  <c r="I36" i="1" s="1"/>
  <c r="L36" i="1" s="1"/>
  <c r="M36" i="1" s="1"/>
  <c r="G32" i="7"/>
  <c r="I32" i="7" s="1"/>
  <c r="J32" i="7" s="1"/>
  <c r="G33" i="3"/>
  <c r="I33" i="3" s="1"/>
  <c r="J33" i="3" s="1"/>
  <c r="G33" i="2"/>
  <c r="I33" i="2" s="1"/>
  <c r="J33" i="2" s="1"/>
  <c r="G34" i="4" l="1"/>
  <c r="I34" i="4" s="1"/>
  <c r="J34" i="4" s="1"/>
  <c r="G75" i="6"/>
  <c r="I75" i="6" s="1"/>
  <c r="L33" i="2"/>
  <c r="M33" i="2" s="1"/>
  <c r="J36" i="1"/>
  <c r="G37" i="1" s="1"/>
  <c r="I37" i="1" s="1"/>
  <c r="G33" i="7"/>
  <c r="I33" i="7" s="1"/>
  <c r="J33" i="7" s="1"/>
  <c r="G34" i="3"/>
  <c r="I34" i="3" s="1"/>
  <c r="J34" i="3" s="1"/>
  <c r="G34" i="2"/>
  <c r="I34" i="2" s="1"/>
  <c r="G35" i="4" l="1"/>
  <c r="I35" i="4" s="1"/>
  <c r="J35" i="4"/>
  <c r="J75" i="6"/>
  <c r="J37" i="1"/>
  <c r="J34" i="2"/>
  <c r="G35" i="2" s="1"/>
  <c r="I35" i="2" s="1"/>
  <c r="J35" i="2" s="1"/>
  <c r="G34" i="7"/>
  <c r="I34" i="7" s="1"/>
  <c r="J34" i="7" s="1"/>
  <c r="G35" i="3"/>
  <c r="I35" i="3" s="1"/>
  <c r="J35" i="3" s="1"/>
  <c r="G38" i="1"/>
  <c r="I38" i="1" s="1"/>
  <c r="J38" i="1" s="1"/>
  <c r="G36" i="4" l="1"/>
  <c r="I36" i="4" s="1"/>
  <c r="J36" i="4"/>
  <c r="G76" i="6"/>
  <c r="I76" i="6" s="1"/>
  <c r="L38" i="1"/>
  <c r="M38" i="1" s="1"/>
  <c r="K34" i="7"/>
  <c r="L34" i="7" s="1"/>
  <c r="I31" i="5"/>
  <c r="G35" i="7"/>
  <c r="I35" i="7" s="1"/>
  <c r="G36" i="3"/>
  <c r="I36" i="3" s="1"/>
  <c r="J36" i="3" s="1"/>
  <c r="G36" i="2"/>
  <c r="I36" i="2" s="1"/>
  <c r="J36" i="2" s="1"/>
  <c r="G37" i="2" s="1"/>
  <c r="I37" i="2" s="1"/>
  <c r="J37" i="2" s="1"/>
  <c r="G38" i="2" s="1"/>
  <c r="I38" i="2" s="1"/>
  <c r="J38" i="2" s="1"/>
  <c r="G39" i="1"/>
  <c r="I39" i="1" s="1"/>
  <c r="J35" i="7" l="1"/>
  <c r="G37" i="4"/>
  <c r="I37" i="4" s="1"/>
  <c r="J37" i="4"/>
  <c r="J76" i="6"/>
  <c r="J39" i="1"/>
  <c r="L39" i="1"/>
  <c r="J39" i="2"/>
  <c r="L39" i="2"/>
  <c r="G36" i="7"/>
  <c r="I36" i="7" s="1"/>
  <c r="J36" i="7" s="1"/>
  <c r="G37" i="3"/>
  <c r="I37" i="3" s="1"/>
  <c r="J37" i="3" s="1"/>
  <c r="G40" i="1"/>
  <c r="I40" i="1" s="1"/>
  <c r="G38" i="4" l="1"/>
  <c r="I38" i="4" s="1"/>
  <c r="J38" i="4" s="1"/>
  <c r="G77" i="6"/>
  <c r="I77" i="6" s="1"/>
  <c r="J40" i="1"/>
  <c r="G41" i="1" s="1"/>
  <c r="I41" i="1" s="1"/>
  <c r="L40" i="1"/>
  <c r="M40" i="1" s="1"/>
  <c r="G40" i="2"/>
  <c r="I40" i="2" s="1"/>
  <c r="J40" i="2" s="1"/>
  <c r="K38" i="6"/>
  <c r="G37" i="7"/>
  <c r="I37" i="7" s="1"/>
  <c r="J37" i="7" s="1"/>
  <c r="G38" i="3"/>
  <c r="I38" i="3" s="1"/>
  <c r="J38" i="3" s="1"/>
  <c r="G39" i="4" l="1"/>
  <c r="I39" i="4" s="1"/>
  <c r="J39" i="4" s="1"/>
  <c r="J77" i="6"/>
  <c r="J41" i="1"/>
  <c r="G42" i="1" s="1"/>
  <c r="I42" i="1" s="1"/>
  <c r="L42" i="1" s="1"/>
  <c r="L41" i="1"/>
  <c r="G41" i="2"/>
  <c r="I41" i="2" s="1"/>
  <c r="J41" i="2" s="1"/>
  <c r="G42" i="2" s="1"/>
  <c r="I42" i="2" s="1"/>
  <c r="J42" i="2" s="1"/>
  <c r="G43" i="2" s="1"/>
  <c r="I43" i="2" s="1"/>
  <c r="G38" i="7"/>
  <c r="I38" i="7" s="1"/>
  <c r="J38" i="7" s="1"/>
  <c r="G39" i="3"/>
  <c r="I39" i="3" s="1"/>
  <c r="J39" i="3" s="1"/>
  <c r="G40" i="3" s="1"/>
  <c r="I40" i="3" s="1"/>
  <c r="J40" i="3" s="1"/>
  <c r="G40" i="4" l="1"/>
  <c r="I40" i="4" s="1"/>
  <c r="J40" i="4"/>
  <c r="G41" i="4" s="1"/>
  <c r="I41" i="4" s="1"/>
  <c r="J41" i="4" s="1"/>
  <c r="G42" i="4" s="1"/>
  <c r="I42" i="4" s="1"/>
  <c r="J42" i="4" s="1"/>
  <c r="G43" i="4" s="1"/>
  <c r="I43" i="4" s="1"/>
  <c r="J43" i="4" s="1"/>
  <c r="G44" i="4" s="1"/>
  <c r="I44" i="4" s="1"/>
  <c r="J44" i="4" s="1"/>
  <c r="G45" i="4" s="1"/>
  <c r="I45" i="4" s="1"/>
  <c r="J45" i="4" s="1"/>
  <c r="G46" i="4" s="1"/>
  <c r="I46" i="4" s="1"/>
  <c r="J46" i="4" s="1"/>
  <c r="G47" i="4" s="1"/>
  <c r="I47" i="4" s="1"/>
  <c r="J47" i="4" s="1"/>
  <c r="G48" i="4" s="1"/>
  <c r="I48" i="4" s="1"/>
  <c r="J48" i="4" s="1"/>
  <c r="G49" i="4" s="1"/>
  <c r="I49" i="4" s="1"/>
  <c r="J49" i="4" s="1"/>
  <c r="G50" i="4" s="1"/>
  <c r="I50" i="4" s="1"/>
  <c r="J50" i="4" s="1"/>
  <c r="G51" i="4" s="1"/>
  <c r="I51" i="4" s="1"/>
  <c r="J51" i="4" s="1"/>
  <c r="G52" i="4" s="1"/>
  <c r="I52" i="4" s="1"/>
  <c r="J52" i="4" s="1"/>
  <c r="G53" i="4" s="1"/>
  <c r="I53" i="4" s="1"/>
  <c r="J53" i="4" s="1"/>
  <c r="G54" i="4" s="1"/>
  <c r="I54" i="4" s="1"/>
  <c r="J54" i="4" s="1"/>
  <c r="G55" i="4" s="1"/>
  <c r="I55" i="4" s="1"/>
  <c r="J55" i="4" s="1"/>
  <c r="G56" i="4" s="1"/>
  <c r="I56" i="4" s="1"/>
  <c r="J56" i="4" s="1"/>
  <c r="G57" i="4" s="1"/>
  <c r="I57" i="4" s="1"/>
  <c r="J57" i="4" s="1"/>
  <c r="G58" i="4" s="1"/>
  <c r="I58" i="4" s="1"/>
  <c r="J58" i="4" s="1"/>
  <c r="G59" i="4" s="1"/>
  <c r="I59" i="4" s="1"/>
  <c r="J59" i="4" s="1"/>
  <c r="G60" i="4" s="1"/>
  <c r="I60" i="4" s="1"/>
  <c r="J60" i="4" s="1"/>
  <c r="G61" i="4" s="1"/>
  <c r="I61" i="4" s="1"/>
  <c r="J61" i="4" s="1"/>
  <c r="G62" i="4" s="1"/>
  <c r="I62" i="4" s="1"/>
  <c r="J62" i="4" s="1"/>
  <c r="G63" i="4" s="1"/>
  <c r="I63" i="4" s="1"/>
  <c r="J63" i="4" s="1"/>
  <c r="G64" i="4" s="1"/>
  <c r="I64" i="4" s="1"/>
  <c r="J64" i="4" s="1"/>
  <c r="G65" i="4" s="1"/>
  <c r="I65" i="4" s="1"/>
  <c r="J65" i="4" s="1"/>
  <c r="G66" i="4" s="1"/>
  <c r="I66" i="4" s="1"/>
  <c r="J66" i="4" s="1"/>
  <c r="G67" i="4" s="1"/>
  <c r="I67" i="4" s="1"/>
  <c r="J67" i="4" s="1"/>
  <c r="G68" i="4" s="1"/>
  <c r="I68" i="4" s="1"/>
  <c r="J68" i="4" s="1"/>
  <c r="G69" i="4" s="1"/>
  <c r="I69" i="4" s="1"/>
  <c r="J69" i="4" s="1"/>
  <c r="G70" i="4" s="1"/>
  <c r="I70" i="4" s="1"/>
  <c r="J70" i="4" s="1"/>
  <c r="G71" i="4" s="1"/>
  <c r="I71" i="4" s="1"/>
  <c r="J71" i="4" s="1"/>
  <c r="G72" i="4" s="1"/>
  <c r="I72" i="4" s="1"/>
  <c r="J72" i="4" s="1"/>
  <c r="G73" i="4" s="1"/>
  <c r="I73" i="4" s="1"/>
  <c r="J73" i="4" s="1"/>
  <c r="G74" i="4" s="1"/>
  <c r="I74" i="4" s="1"/>
  <c r="J74" i="4" s="1"/>
  <c r="G75" i="4" s="1"/>
  <c r="I75" i="4" s="1"/>
  <c r="J75" i="4" s="1"/>
  <c r="G76" i="4" s="1"/>
  <c r="I76" i="4" s="1"/>
  <c r="J76" i="4" s="1"/>
  <c r="G77" i="4" s="1"/>
  <c r="I77" i="4" s="1"/>
  <c r="J77" i="4" s="1"/>
  <c r="G78" i="4" s="1"/>
  <c r="I78" i="4" s="1"/>
  <c r="J78" i="4" s="1"/>
  <c r="G79" i="4" s="1"/>
  <c r="I79" i="4" s="1"/>
  <c r="J79" i="4" s="1"/>
  <c r="G80" i="4" s="1"/>
  <c r="I80" i="4" s="1"/>
  <c r="J80" i="4" s="1"/>
  <c r="G81" i="4" s="1"/>
  <c r="I81" i="4" s="1"/>
  <c r="J81" i="4" s="1"/>
  <c r="K38" i="7"/>
  <c r="M42" i="1"/>
  <c r="G78" i="6"/>
  <c r="I78" i="6" s="1"/>
  <c r="K78" i="6" s="1"/>
  <c r="J42" i="1"/>
  <c r="L42" i="2"/>
  <c r="M42" i="2" s="1"/>
  <c r="J43" i="2"/>
  <c r="G44" i="2" s="1"/>
  <c r="I44" i="2" s="1"/>
  <c r="J44" i="2" s="1"/>
  <c r="G45" i="2" s="1"/>
  <c r="I45" i="2" s="1"/>
  <c r="J45" i="2" s="1"/>
  <c r="G46" i="2" s="1"/>
  <c r="I46" i="2" s="1"/>
  <c r="J46" i="2" s="1"/>
  <c r="G47" i="2" s="1"/>
  <c r="I47" i="2" s="1"/>
  <c r="J47" i="2" s="1"/>
  <c r="G48" i="2" s="1"/>
  <c r="I48" i="2" s="1"/>
  <c r="J48" i="2" s="1"/>
  <c r="G49" i="2" s="1"/>
  <c r="I49" i="2" s="1"/>
  <c r="G41" i="3"/>
  <c r="I41" i="3" s="1"/>
  <c r="J41" i="3" s="1"/>
  <c r="G42" i="3" s="1"/>
  <c r="I42" i="3" s="1"/>
  <c r="J42" i="3" s="1"/>
  <c r="G43" i="3" s="1"/>
  <c r="I43" i="3" s="1"/>
  <c r="G39" i="7"/>
  <c r="I39" i="7" s="1"/>
  <c r="G43" i="1"/>
  <c r="I43" i="1" s="1"/>
  <c r="J43" i="1" l="1"/>
  <c r="L43" i="1"/>
  <c r="J39" i="7"/>
  <c r="G82" i="4"/>
  <c r="I82" i="4" s="1"/>
  <c r="J82" i="4" s="1"/>
  <c r="J78" i="6"/>
  <c r="J49" i="2"/>
  <c r="G50" i="2" s="1"/>
  <c r="I50" i="2" s="1"/>
  <c r="J50" i="2" s="1"/>
  <c r="G51" i="2" s="1"/>
  <c r="I51" i="2" s="1"/>
  <c r="J51" i="2" s="1"/>
  <c r="G52" i="2" s="1"/>
  <c r="I52" i="2" s="1"/>
  <c r="J52" i="2" s="1"/>
  <c r="G53" i="2" s="1"/>
  <c r="I53" i="2" s="1"/>
  <c r="J53" i="2" s="1"/>
  <c r="G54" i="2" s="1"/>
  <c r="I54" i="2" s="1"/>
  <c r="L48" i="2"/>
  <c r="J43" i="3"/>
  <c r="G44" i="3" s="1"/>
  <c r="I44" i="3" s="1"/>
  <c r="L43" i="3"/>
  <c r="M43" i="3" s="1"/>
  <c r="G40" i="7"/>
  <c r="I40" i="7" s="1"/>
  <c r="J40" i="7" s="1"/>
  <c r="G44" i="1"/>
  <c r="I44" i="1" s="1"/>
  <c r="J44" i="1" l="1"/>
  <c r="G83" i="4"/>
  <c r="I83" i="4" s="1"/>
  <c r="J83" i="4" s="1"/>
  <c r="G79" i="6"/>
  <c r="I79" i="6" s="1"/>
  <c r="K79" i="6" s="1"/>
  <c r="L79" i="6" s="1"/>
  <c r="J407" i="4"/>
  <c r="L53" i="2"/>
  <c r="M53" i="2" s="1"/>
  <c r="J54" i="2"/>
  <c r="G55" i="2" s="1"/>
  <c r="I55" i="2" s="1"/>
  <c r="L55" i="2" s="1"/>
  <c r="J44" i="3"/>
  <c r="G45" i="3" s="1"/>
  <c r="I45" i="3" s="1"/>
  <c r="J45" i="3" s="1"/>
  <c r="G46" i="3" s="1"/>
  <c r="I46" i="3" s="1"/>
  <c r="J46" i="3" s="1"/>
  <c r="G47" i="3" s="1"/>
  <c r="I47" i="3" s="1"/>
  <c r="G41" i="7"/>
  <c r="I41" i="7" s="1"/>
  <c r="J41" i="7" s="1"/>
  <c r="G45" i="1"/>
  <c r="I45" i="1" s="1"/>
  <c r="J45" i="1" s="1"/>
  <c r="J50" i="1" s="1"/>
  <c r="J51" i="1" s="1"/>
  <c r="L45" i="1" l="1"/>
  <c r="M45" i="1" s="1"/>
  <c r="M46" i="1" s="1"/>
  <c r="G84" i="4"/>
  <c r="I84" i="4" s="1"/>
  <c r="J84" i="4" s="1"/>
  <c r="J79" i="6"/>
  <c r="L46" i="3"/>
  <c r="M46" i="3" s="1"/>
  <c r="J55" i="2"/>
  <c r="G56" i="2" s="1"/>
  <c r="I56" i="2" s="1"/>
  <c r="J47" i="3"/>
  <c r="G48" i="3" s="1"/>
  <c r="I48" i="3" s="1"/>
  <c r="J48" i="3" s="1"/>
  <c r="G49" i="3" s="1"/>
  <c r="I49" i="3" s="1"/>
  <c r="G42" i="7"/>
  <c r="I42" i="7" s="1"/>
  <c r="J42" i="7" s="1"/>
  <c r="K42" i="7" l="1"/>
  <c r="L42" i="7" s="1"/>
  <c r="G85" i="4"/>
  <c r="I85" i="4" s="1"/>
  <c r="J85" i="4" s="1"/>
  <c r="G80" i="6"/>
  <c r="I80" i="6" s="1"/>
  <c r="J49" i="3"/>
  <c r="G50" i="3" s="1"/>
  <c r="I50" i="3" s="1"/>
  <c r="J50" i="3" s="1"/>
  <c r="L48" i="3"/>
  <c r="J56" i="2"/>
  <c r="G43" i="7"/>
  <c r="I43" i="7" s="1"/>
  <c r="J43" i="7" l="1"/>
  <c r="K43" i="7"/>
  <c r="G86" i="4"/>
  <c r="I86" i="4" s="1"/>
  <c r="J86" i="4" s="1"/>
  <c r="J80" i="6"/>
  <c r="K53" i="6"/>
  <c r="G57" i="2"/>
  <c r="I57" i="2" s="1"/>
  <c r="J57" i="2" s="1"/>
  <c r="G58" i="2" s="1"/>
  <c r="I58" i="2" s="1"/>
  <c r="J58" i="2" s="1"/>
  <c r="G59" i="2" s="1"/>
  <c r="I59" i="2" s="1"/>
  <c r="J59" i="2" s="1"/>
  <c r="G60" i="2" s="1"/>
  <c r="I60" i="2" s="1"/>
  <c r="K50" i="6"/>
  <c r="I46" i="1"/>
  <c r="G51" i="3"/>
  <c r="I51" i="3" s="1"/>
  <c r="L44" i="4"/>
  <c r="M44" i="4" s="1"/>
  <c r="G44" i="7"/>
  <c r="I44" i="7" s="1"/>
  <c r="J44" i="7" l="1"/>
  <c r="G45" i="7" s="1"/>
  <c r="I45" i="7" s="1"/>
  <c r="J45" i="7" s="1"/>
  <c r="G46" i="7" s="1"/>
  <c r="I46" i="7" s="1"/>
  <c r="G87" i="4"/>
  <c r="I87" i="4" s="1"/>
  <c r="J87" i="4" s="1"/>
  <c r="G81" i="6"/>
  <c r="I81" i="6" s="1"/>
  <c r="K81" i="6" s="1"/>
  <c r="L53" i="6"/>
  <c r="J60" i="2"/>
  <c r="G61" i="2" s="1"/>
  <c r="I61" i="2" s="1"/>
  <c r="J61" i="2" s="1"/>
  <c r="G62" i="2" s="1"/>
  <c r="I62" i="2" s="1"/>
  <c r="J62" i="2" s="1"/>
  <c r="G63" i="2" s="1"/>
  <c r="I63" i="2" s="1"/>
  <c r="J63" i="2" s="1"/>
  <c r="G64" i="2" s="1"/>
  <c r="I64" i="2" s="1"/>
  <c r="L59" i="2"/>
  <c r="M59" i="2" s="1"/>
  <c r="J51" i="3"/>
  <c r="G52" i="3" s="1"/>
  <c r="I52" i="3" s="1"/>
  <c r="J52" i="3" s="1"/>
  <c r="G53" i="3" s="1"/>
  <c r="I53" i="3" s="1"/>
  <c r="K45" i="7" l="1"/>
  <c r="L45" i="7" s="1"/>
  <c r="J46" i="7"/>
  <c r="G47" i="7" s="1"/>
  <c r="I47" i="7" s="1"/>
  <c r="J47" i="7" s="1"/>
  <c r="G48" i="7" s="1"/>
  <c r="I48" i="7" s="1"/>
  <c r="J48" i="7" s="1"/>
  <c r="G49" i="7" s="1"/>
  <c r="I49" i="7" s="1"/>
  <c r="K48" i="7"/>
  <c r="G88" i="4"/>
  <c r="I88" i="4" s="1"/>
  <c r="J88" i="4" s="1"/>
  <c r="J81" i="6"/>
  <c r="K59" i="6"/>
  <c r="J53" i="3"/>
  <c r="G54" i="3" s="1"/>
  <c r="I54" i="3" s="1"/>
  <c r="L53" i="3"/>
  <c r="M53" i="3" s="1"/>
  <c r="L52" i="3"/>
  <c r="M52" i="3" s="1"/>
  <c r="L63" i="2"/>
  <c r="J64" i="2"/>
  <c r="G65" i="2" s="1"/>
  <c r="I65" i="2" s="1"/>
  <c r="J49" i="7" l="1"/>
  <c r="G50" i="7" s="1"/>
  <c r="I50" i="7" s="1"/>
  <c r="G89" i="4"/>
  <c r="I89" i="4" s="1"/>
  <c r="J89" i="4" s="1"/>
  <c r="G82" i="6"/>
  <c r="I82" i="6" s="1"/>
  <c r="K62" i="6"/>
  <c r="L62" i="6" s="1"/>
  <c r="J54" i="3"/>
  <c r="G55" i="3" s="1"/>
  <c r="I55" i="3" s="1"/>
  <c r="L54" i="3"/>
  <c r="M54" i="3" s="1"/>
  <c r="J65" i="2"/>
  <c r="G66" i="2" s="1"/>
  <c r="I66" i="2" s="1"/>
  <c r="J50" i="7" l="1"/>
  <c r="G51" i="7" s="1"/>
  <c r="I51" i="7" s="1"/>
  <c r="J51" i="7" s="1"/>
  <c r="G52" i="7" s="1"/>
  <c r="I52" i="7" s="1"/>
  <c r="J52" i="7" s="1"/>
  <c r="J58" i="7" s="1"/>
  <c r="J59" i="7" s="1"/>
  <c r="I53" i="7"/>
  <c r="G90" i="4"/>
  <c r="I90" i="4" s="1"/>
  <c r="J90" i="4" s="1"/>
  <c r="J82" i="6"/>
  <c r="K64" i="6"/>
  <c r="J55" i="3"/>
  <c r="G56" i="3" s="1"/>
  <c r="I56" i="3" s="1"/>
  <c r="L55" i="3"/>
  <c r="M55" i="3" s="1"/>
  <c r="J66" i="2"/>
  <c r="G67" i="2" s="1"/>
  <c r="I67" i="2" s="1"/>
  <c r="K52" i="7" l="1"/>
  <c r="L52" i="7" s="1"/>
  <c r="L53" i="7" s="1"/>
  <c r="G91" i="4"/>
  <c r="I91" i="4" s="1"/>
  <c r="J91" i="4" s="1"/>
  <c r="G83" i="6"/>
  <c r="I83" i="6" s="1"/>
  <c r="K83" i="6" s="1"/>
  <c r="L83" i="6" s="1"/>
  <c r="K67" i="6"/>
  <c r="L67" i="6"/>
  <c r="J56" i="3"/>
  <c r="G57" i="3" s="1"/>
  <c r="I57" i="3" s="1"/>
  <c r="L56" i="3"/>
  <c r="M56" i="3" s="1"/>
  <c r="J67" i="2"/>
  <c r="G68" i="2" s="1"/>
  <c r="I68" i="2" s="1"/>
  <c r="J68" i="2" s="1"/>
  <c r="G69" i="2" s="1"/>
  <c r="I69" i="2" s="1"/>
  <c r="J57" i="3" l="1"/>
  <c r="J63" i="3" s="1"/>
  <c r="J64" i="3" s="1"/>
  <c r="L57" i="3"/>
  <c r="M57" i="3" s="1"/>
  <c r="M58" i="3" s="1"/>
  <c r="I58" i="3"/>
  <c r="G92" i="4"/>
  <c r="I92" i="4" s="1"/>
  <c r="J92" i="4" s="1"/>
  <c r="J83" i="6"/>
  <c r="L68" i="2"/>
  <c r="M68" i="2" s="1"/>
  <c r="J69" i="2"/>
  <c r="G70" i="2" s="1"/>
  <c r="I70" i="2" s="1"/>
  <c r="J70" i="2" s="1"/>
  <c r="G71" i="2" s="1"/>
  <c r="I71" i="2" s="1"/>
  <c r="L70" i="2"/>
  <c r="G93" i="4" l="1"/>
  <c r="I93" i="4" s="1"/>
  <c r="J93" i="4" s="1"/>
  <c r="J84" i="6"/>
  <c r="G84" i="6"/>
  <c r="I84" i="6" s="1"/>
  <c r="J71" i="2"/>
  <c r="G72" i="2" s="1"/>
  <c r="I72" i="2" s="1"/>
  <c r="J72" i="2" s="1"/>
  <c r="G73" i="2" s="1"/>
  <c r="I73" i="2" s="1"/>
  <c r="J73" i="2" s="1"/>
  <c r="G74" i="2" s="1"/>
  <c r="I74" i="2" s="1"/>
  <c r="J74" i="2" s="1"/>
  <c r="G75" i="2" s="1"/>
  <c r="I75" i="2" s="1"/>
  <c r="J75" i="2" s="1"/>
  <c r="G76" i="2" s="1"/>
  <c r="I76" i="2" s="1"/>
  <c r="J76" i="2" s="1"/>
  <c r="G77" i="2" s="1"/>
  <c r="I77" i="2" s="1"/>
  <c r="J77" i="2" s="1"/>
  <c r="G78" i="2" s="1"/>
  <c r="I78" i="2" s="1"/>
  <c r="J78" i="2" s="1"/>
  <c r="G79" i="2" s="1"/>
  <c r="I79" i="2" s="1"/>
  <c r="J79" i="2" s="1"/>
  <c r="G80" i="2" s="1"/>
  <c r="I80" i="2" s="1"/>
  <c r="J80" i="2" s="1"/>
  <c r="G81" i="2" s="1"/>
  <c r="I81" i="2" s="1"/>
  <c r="J81" i="2" s="1"/>
  <c r="G82" i="2" s="1"/>
  <c r="I82" i="2" s="1"/>
  <c r="J82" i="2" s="1"/>
  <c r="G83" i="2" s="1"/>
  <c r="I83" i="2" s="1"/>
  <c r="G94" i="4" l="1"/>
  <c r="I94" i="4" s="1"/>
  <c r="J94" i="4" s="1"/>
  <c r="G85" i="6"/>
  <c r="I85" i="6" s="1"/>
  <c r="L83" i="2"/>
  <c r="M83" i="2" s="1"/>
  <c r="J83" i="2"/>
  <c r="G95" i="4" l="1"/>
  <c r="I95" i="4" s="1"/>
  <c r="J95" i="4" s="1"/>
  <c r="J85" i="6"/>
  <c r="G84" i="2"/>
  <c r="G96" i="4" l="1"/>
  <c r="I96" i="4" s="1"/>
  <c r="J96" i="4" s="1"/>
  <c r="G86" i="6"/>
  <c r="I86" i="6" s="1"/>
  <c r="I84" i="2"/>
  <c r="G97" i="4" l="1"/>
  <c r="I97" i="4" s="1"/>
  <c r="J97" i="4" s="1"/>
  <c r="J86" i="6"/>
  <c r="J84" i="2"/>
  <c r="G98" i="4" l="1"/>
  <c r="I98" i="4" s="1"/>
  <c r="J98" i="4" s="1"/>
  <c r="G87" i="6"/>
  <c r="I87" i="6" s="1"/>
  <c r="K87" i="6" s="1"/>
  <c r="G85" i="2"/>
  <c r="G99" i="4" l="1"/>
  <c r="I99" i="4" s="1"/>
  <c r="J99" i="4" s="1"/>
  <c r="J87" i="6"/>
  <c r="I85" i="2"/>
  <c r="G100" i="4" l="1"/>
  <c r="I100" i="4" s="1"/>
  <c r="J100" i="4" s="1"/>
  <c r="G88" i="6"/>
  <c r="I88" i="6" s="1"/>
  <c r="J85" i="2"/>
  <c r="G101" i="4" l="1"/>
  <c r="I101" i="4" s="1"/>
  <c r="J101" i="4" s="1"/>
  <c r="J88" i="6"/>
  <c r="G86" i="2"/>
  <c r="G102" i="4" l="1"/>
  <c r="I102" i="4" s="1"/>
  <c r="J102" i="4" s="1"/>
  <c r="G89" i="6"/>
  <c r="I89" i="6" s="1"/>
  <c r="I86" i="2"/>
  <c r="L86" i="2" s="1"/>
  <c r="G103" i="4" l="1"/>
  <c r="I103" i="4" s="1"/>
  <c r="J103" i="4" s="1"/>
  <c r="J89" i="6"/>
  <c r="J86" i="2"/>
  <c r="G104" i="4" l="1"/>
  <c r="I104" i="4" s="1"/>
  <c r="J104" i="4" s="1"/>
  <c r="G90" i="6"/>
  <c r="I90" i="6" s="1"/>
  <c r="K90" i="6" s="1"/>
  <c r="L90" i="6" s="1"/>
  <c r="G87" i="2"/>
  <c r="G105" i="4" l="1"/>
  <c r="I105" i="4" s="1"/>
  <c r="J105" i="4" s="1"/>
  <c r="J90" i="6"/>
  <c r="J96" i="6" s="1"/>
  <c r="J97" i="6" s="1"/>
  <c r="I87" i="2"/>
  <c r="L62" i="4"/>
  <c r="G106" i="4" l="1"/>
  <c r="I106" i="4" s="1"/>
  <c r="J106" i="4" s="1"/>
  <c r="J87" i="2"/>
  <c r="G107" i="4" l="1"/>
  <c r="I107" i="4" s="1"/>
  <c r="J107" i="4" s="1"/>
  <c r="G88" i="2"/>
  <c r="G108" i="4" l="1"/>
  <c r="I108" i="4" s="1"/>
  <c r="J108" i="4" s="1"/>
  <c r="I88" i="2"/>
  <c r="G109" i="4" l="1"/>
  <c r="I109" i="4" s="1"/>
  <c r="J109" i="4" s="1"/>
  <c r="J88" i="2"/>
  <c r="G89" i="2" s="1"/>
  <c r="I89" i="2" s="1"/>
  <c r="J89" i="2" s="1"/>
  <c r="G90" i="2" s="1"/>
  <c r="I90" i="2" s="1"/>
  <c r="J90" i="2" s="1"/>
  <c r="G91" i="2" s="1"/>
  <c r="I91" i="2" s="1"/>
  <c r="G110" i="4" l="1"/>
  <c r="I110" i="4" s="1"/>
  <c r="J110" i="4" s="1"/>
  <c r="J91" i="2"/>
  <c r="G92" i="2" s="1"/>
  <c r="I92" i="2" s="1"/>
  <c r="J92" i="2" s="1"/>
  <c r="G93" i="2" s="1"/>
  <c r="I93" i="2" s="1"/>
  <c r="J93" i="2" s="1"/>
  <c r="G94" i="2" s="1"/>
  <c r="I94" i="2" s="1"/>
  <c r="J94" i="2" s="1"/>
  <c r="G95" i="2" s="1"/>
  <c r="I95" i="2" s="1"/>
  <c r="J95" i="2" s="1"/>
  <c r="G96" i="2" s="1"/>
  <c r="L90" i="2"/>
  <c r="M90" i="2" s="1"/>
  <c r="G111" i="4" l="1"/>
  <c r="I111" i="4" s="1"/>
  <c r="J111" i="4" s="1"/>
  <c r="I96" i="2"/>
  <c r="L96" i="2" s="1"/>
  <c r="G112" i="4" l="1"/>
  <c r="I112" i="4" s="1"/>
  <c r="J112" i="4" s="1"/>
  <c r="J96" i="2"/>
  <c r="G113" i="4" l="1"/>
  <c r="I113" i="4" s="1"/>
  <c r="J113" i="4" s="1"/>
  <c r="G97" i="2"/>
  <c r="G114" i="4" l="1"/>
  <c r="I114" i="4" s="1"/>
  <c r="J114" i="4" s="1"/>
  <c r="I97" i="2"/>
  <c r="G115" i="4" l="1"/>
  <c r="I115" i="4" s="1"/>
  <c r="J115" i="4" s="1"/>
  <c r="J97" i="2"/>
  <c r="G116" i="4" l="1"/>
  <c r="I116" i="4" s="1"/>
  <c r="J116" i="4" s="1"/>
  <c r="G98" i="2"/>
  <c r="G117" i="4" l="1"/>
  <c r="I117" i="4" s="1"/>
  <c r="J117" i="4" s="1"/>
  <c r="I98" i="2"/>
  <c r="G118" i="4" l="1"/>
  <c r="I118" i="4" s="1"/>
  <c r="J118" i="4" s="1"/>
  <c r="J98" i="2"/>
  <c r="G119" i="4" l="1"/>
  <c r="I119" i="4" s="1"/>
  <c r="J119" i="4" s="1"/>
  <c r="G99" i="2"/>
  <c r="G120" i="4" l="1"/>
  <c r="I120" i="4" s="1"/>
  <c r="J120" i="4" s="1"/>
  <c r="I99" i="2"/>
  <c r="G121" i="4" l="1"/>
  <c r="I121" i="4" s="1"/>
  <c r="J121" i="4" s="1"/>
  <c r="J99" i="2"/>
  <c r="L79" i="4"/>
  <c r="M79" i="4" s="1"/>
  <c r="G122" i="4" l="1"/>
  <c r="I122" i="4" s="1"/>
  <c r="J122" i="4" s="1"/>
  <c r="G100" i="2"/>
  <c r="G123" i="4" l="1"/>
  <c r="I123" i="4" s="1"/>
  <c r="J123" i="4" s="1"/>
  <c r="I100" i="2"/>
  <c r="L104" i="4"/>
  <c r="G124" i="4" l="1"/>
  <c r="I124" i="4" s="1"/>
  <c r="J124" i="4" s="1"/>
  <c r="J100" i="2"/>
  <c r="L113" i="4"/>
  <c r="M113" i="4" s="1"/>
  <c r="G125" i="4" l="1"/>
  <c r="I125" i="4" s="1"/>
  <c r="J125" i="4" s="1"/>
  <c r="J126" i="4" s="1"/>
  <c r="G127" i="4" s="1"/>
  <c r="I127" i="4" s="1"/>
  <c r="J127" i="4" s="1"/>
  <c r="G128" i="4" s="1"/>
  <c r="I128" i="4" s="1"/>
  <c r="J128" i="4" s="1"/>
  <c r="G129" i="4" s="1"/>
  <c r="I129" i="4" s="1"/>
  <c r="J129" i="4" s="1"/>
  <c r="G130" i="4" s="1"/>
  <c r="I130" i="4" s="1"/>
  <c r="J130" i="4" s="1"/>
  <c r="G131" i="4" s="1"/>
  <c r="I131" i="4" s="1"/>
  <c r="J131" i="4" s="1"/>
  <c r="G132" i="4" s="1"/>
  <c r="I132" i="4" s="1"/>
  <c r="J132" i="4" s="1"/>
  <c r="G133" i="4" s="1"/>
  <c r="I133" i="4" s="1"/>
  <c r="J133" i="4" s="1"/>
  <c r="G134" i="4" s="1"/>
  <c r="I134" i="4" s="1"/>
  <c r="J134" i="4" s="1"/>
  <c r="G135" i="4" s="1"/>
  <c r="I135" i="4" s="1"/>
  <c r="J135" i="4" s="1"/>
  <c r="G136" i="4" s="1"/>
  <c r="I136" i="4" s="1"/>
  <c r="J136" i="4" s="1"/>
  <c r="G137" i="4" s="1"/>
  <c r="I137" i="4" s="1"/>
  <c r="J137" i="4" s="1"/>
  <c r="G138" i="4" s="1"/>
  <c r="I138" i="4" s="1"/>
  <c r="J138" i="4" s="1"/>
  <c r="G139" i="4" s="1"/>
  <c r="I139" i="4" s="1"/>
  <c r="J139" i="4" s="1"/>
  <c r="G140" i="4" s="1"/>
  <c r="I140" i="4" s="1"/>
  <c r="J140" i="4" s="1"/>
  <c r="G141" i="4" s="1"/>
  <c r="I141" i="4" s="1"/>
  <c r="J141" i="4" s="1"/>
  <c r="G142" i="4" s="1"/>
  <c r="I142" i="4" s="1"/>
  <c r="J142" i="4" s="1"/>
  <c r="G143" i="4" s="1"/>
  <c r="I143" i="4" s="1"/>
  <c r="J143" i="4" s="1"/>
  <c r="G144" i="4" s="1"/>
  <c r="I144" i="4" s="1"/>
  <c r="J144" i="4" s="1"/>
  <c r="G145" i="4" s="1"/>
  <c r="I145" i="4" s="1"/>
  <c r="J145" i="4" s="1"/>
  <c r="G146" i="4" s="1"/>
  <c r="I146" i="4" s="1"/>
  <c r="J146" i="4" s="1"/>
  <c r="G147" i="4" s="1"/>
  <c r="I147" i="4" s="1"/>
  <c r="J147" i="4" s="1"/>
  <c r="G148" i="4" s="1"/>
  <c r="I148" i="4" s="1"/>
  <c r="J148" i="4" s="1"/>
  <c r="G149" i="4" s="1"/>
  <c r="I149" i="4" s="1"/>
  <c r="J149" i="4" s="1"/>
  <c r="G150" i="4" s="1"/>
  <c r="I150" i="4" s="1"/>
  <c r="J150" i="4" s="1"/>
  <c r="G151" i="4" s="1"/>
  <c r="I151" i="4" s="1"/>
  <c r="J151" i="4" s="1"/>
  <c r="G152" i="4" s="1"/>
  <c r="I152" i="4" s="1"/>
  <c r="J152" i="4" s="1"/>
  <c r="G101" i="2"/>
  <c r="G153" i="4" l="1"/>
  <c r="I153" i="4" s="1"/>
  <c r="J153" i="4" s="1"/>
  <c r="G154" i="4" s="1"/>
  <c r="I154" i="4" s="1"/>
  <c r="J154" i="4" s="1"/>
  <c r="G155" i="4" s="1"/>
  <c r="I155" i="4" s="1"/>
  <c r="J155" i="4" s="1"/>
  <c r="G156" i="4" s="1"/>
  <c r="I156" i="4" s="1"/>
  <c r="J156" i="4" s="1"/>
  <c r="L127" i="4"/>
  <c r="I101" i="2"/>
  <c r="G157" i="4" l="1"/>
  <c r="I157" i="4" s="1"/>
  <c r="J157" i="4"/>
  <c r="J101" i="2"/>
  <c r="G158" i="4" l="1"/>
  <c r="I158" i="4" s="1"/>
  <c r="J158" i="4"/>
  <c r="G102" i="2"/>
  <c r="I102" i="2" s="1"/>
  <c r="L145" i="4"/>
  <c r="M145" i="4" s="1"/>
  <c r="G159" i="4" l="1"/>
  <c r="I159" i="4" s="1"/>
  <c r="J159" i="4"/>
  <c r="J102" i="2"/>
  <c r="G103" i="2" s="1"/>
  <c r="I103" i="2" s="1"/>
  <c r="L102" i="2"/>
  <c r="M102" i="2" s="1"/>
  <c r="L153" i="4"/>
  <c r="G160" i="4" l="1"/>
  <c r="I160" i="4" s="1"/>
  <c r="J160" i="4"/>
  <c r="J103" i="2"/>
  <c r="G104" i="2" s="1"/>
  <c r="K44" i="6"/>
  <c r="L44" i="6" s="1"/>
  <c r="G161" i="4" l="1"/>
  <c r="I161" i="4" s="1"/>
  <c r="J161" i="4"/>
  <c r="I104" i="2"/>
  <c r="K45" i="6"/>
  <c r="G162" i="4" l="1"/>
  <c r="I162" i="4" s="1"/>
  <c r="J162" i="4"/>
  <c r="L105" i="2"/>
  <c r="J104" i="2"/>
  <c r="G105" i="2" s="1"/>
  <c r="I105" i="2" s="1"/>
  <c r="J105" i="2" s="1"/>
  <c r="G106" i="2" s="1"/>
  <c r="I106" i="2" s="1"/>
  <c r="K46" i="6"/>
  <c r="L46" i="6" s="1"/>
  <c r="J106" i="2" l="1"/>
  <c r="G107" i="2" s="1"/>
  <c r="I107" i="2" s="1"/>
  <c r="J107" i="2" s="1"/>
  <c r="G108" i="2" s="1"/>
  <c r="I108" i="2" s="1"/>
  <c r="J108" i="2" s="1"/>
  <c r="G109" i="2" s="1"/>
  <c r="I109" i="2" s="1"/>
  <c r="J109" i="2" s="1"/>
  <c r="G110" i="2" s="1"/>
  <c r="I110" i="2" s="1"/>
  <c r="J110" i="2" s="1"/>
  <c r="G111" i="2" s="1"/>
  <c r="I111" i="2" s="1"/>
  <c r="J111" i="2" s="1"/>
  <c r="G112" i="2" s="1"/>
  <c r="I112" i="2" s="1"/>
  <c r="G163" i="4"/>
  <c r="I163" i="4" s="1"/>
  <c r="L163" i="4" s="1"/>
  <c r="M163" i="4" s="1"/>
  <c r="K71" i="6"/>
  <c r="L111" i="2" l="1"/>
  <c r="M111" i="2" s="1"/>
  <c r="J112" i="2"/>
  <c r="G113" i="2" s="1"/>
  <c r="I113" i="2" s="1"/>
  <c r="J113" i="2" s="1"/>
  <c r="G114" i="2" s="1"/>
  <c r="I114" i="2" s="1"/>
  <c r="J114" i="2" s="1"/>
  <c r="G115" i="2" s="1"/>
  <c r="I115" i="2" s="1"/>
  <c r="J115" i="2" s="1"/>
  <c r="G116" i="2" s="1"/>
  <c r="I116" i="2" s="1"/>
  <c r="J116" i="2" s="1"/>
  <c r="G117" i="2" s="1"/>
  <c r="I117" i="2" s="1"/>
  <c r="J163" i="4"/>
  <c r="K74" i="6"/>
  <c r="L74" i="6" s="1"/>
  <c r="L91" i="6" s="1"/>
  <c r="L116" i="2" l="1"/>
  <c r="J117" i="2"/>
  <c r="J122" i="2" s="1"/>
  <c r="J123" i="2" s="1"/>
  <c r="L117" i="2"/>
  <c r="G164" i="4"/>
  <c r="I164" i="4" s="1"/>
  <c r="J164" i="4" l="1"/>
  <c r="M117" i="2"/>
  <c r="M118" i="2" s="1"/>
  <c r="I91" i="6"/>
  <c r="G165" i="4" l="1"/>
  <c r="I165" i="4" s="1"/>
  <c r="J165" i="4"/>
  <c r="G166" i="4" l="1"/>
  <c r="I166" i="4" s="1"/>
  <c r="J166" i="4" s="1"/>
  <c r="G167" i="4" l="1"/>
  <c r="I167" i="4" s="1"/>
  <c r="J167" i="4" l="1"/>
  <c r="G168" i="4" l="1"/>
  <c r="I168" i="4" s="1"/>
  <c r="J168" i="4"/>
  <c r="G118" i="2"/>
  <c r="G169" i="4" l="1"/>
  <c r="I169" i="4" s="1"/>
  <c r="J169" i="4" s="1"/>
  <c r="J118" i="2"/>
  <c r="G170" i="4" l="1"/>
  <c r="I170" i="4" s="1"/>
  <c r="J170" i="4"/>
  <c r="I118" i="2"/>
  <c r="G171" i="4" l="1"/>
  <c r="I171" i="4" s="1"/>
  <c r="J171" i="4" s="1"/>
  <c r="G172" i="4" l="1"/>
  <c r="I172" i="4" s="1"/>
  <c r="J172" i="4"/>
  <c r="G173" i="4" l="1"/>
  <c r="I173" i="4" s="1"/>
  <c r="L173" i="4" s="1"/>
  <c r="J173" i="4"/>
  <c r="G174" i="4" l="1"/>
  <c r="I174" i="4" s="1"/>
  <c r="J174" i="4"/>
  <c r="G175" i="4" l="1"/>
  <c r="I175" i="4" s="1"/>
  <c r="J175" i="4" s="1"/>
  <c r="G176" i="4" l="1"/>
  <c r="I176" i="4" s="1"/>
  <c r="J176" i="4"/>
  <c r="G177" i="4" l="1"/>
  <c r="I177" i="4" s="1"/>
  <c r="J177" i="4" s="1"/>
  <c r="G178" i="4" l="1"/>
  <c r="I178" i="4" s="1"/>
  <c r="J178" i="4"/>
  <c r="G179" i="4" l="1"/>
  <c r="I179" i="4" s="1"/>
  <c r="J179" i="4" s="1"/>
  <c r="G180" i="4" l="1"/>
  <c r="I180" i="4" s="1"/>
  <c r="J180" i="4"/>
  <c r="G181" i="4" l="1"/>
  <c r="I181" i="4" s="1"/>
  <c r="J181" i="4" s="1"/>
  <c r="G182" i="4" l="1"/>
  <c r="I182" i="4" s="1"/>
  <c r="J182" i="4" s="1"/>
  <c r="G183" i="4" l="1"/>
  <c r="I183" i="4" s="1"/>
  <c r="L183" i="4" s="1"/>
  <c r="M183" i="4" s="1"/>
  <c r="J183" i="4"/>
  <c r="G184" i="4" l="1"/>
  <c r="I184" i="4" s="1"/>
  <c r="J184" i="4"/>
  <c r="G185" i="4" l="1"/>
  <c r="I185" i="4" s="1"/>
  <c r="J185" i="4"/>
  <c r="G186" i="4" l="1"/>
  <c r="I186" i="4" s="1"/>
  <c r="J186" i="4" l="1"/>
  <c r="G187" i="4" l="1"/>
  <c r="I187" i="4" s="1"/>
  <c r="J187" i="4" l="1"/>
  <c r="G188" i="4" l="1"/>
  <c r="I188" i="4" s="1"/>
  <c r="J188" i="4"/>
  <c r="G189" i="4" l="1"/>
  <c r="I189" i="4" s="1"/>
  <c r="J189" i="4"/>
  <c r="G190" i="4" l="1"/>
  <c r="I190" i="4" s="1"/>
  <c r="J190" i="4"/>
  <c r="G191" i="4" l="1"/>
  <c r="I191" i="4" s="1"/>
  <c r="J191" i="4"/>
  <c r="G192" i="4" l="1"/>
  <c r="I192" i="4" s="1"/>
  <c r="J192" i="4"/>
  <c r="G193" i="4" l="1"/>
  <c r="I193" i="4" s="1"/>
  <c r="J193" i="4" s="1"/>
  <c r="G194" i="4" l="1"/>
  <c r="I194" i="4" s="1"/>
  <c r="J194" i="4" s="1"/>
  <c r="G195" i="4" s="1"/>
  <c r="I195" i="4" s="1"/>
  <c r="J195" i="4" s="1"/>
  <c r="G196" i="4" s="1"/>
  <c r="I196" i="4" s="1"/>
  <c r="J196" i="4" l="1"/>
  <c r="L196" i="4"/>
  <c r="G197" i="4" l="1"/>
  <c r="I197" i="4" s="1"/>
  <c r="J197" i="4" l="1"/>
  <c r="G198" i="4" s="1"/>
  <c r="I198" i="4" s="1"/>
  <c r="J198" i="4" s="1"/>
  <c r="G199" i="4" s="1"/>
  <c r="I199" i="4" s="1"/>
  <c r="J199" i="4" s="1"/>
  <c r="G200" i="4" s="1"/>
  <c r="I200" i="4" s="1"/>
  <c r="J200" i="4" s="1"/>
  <c r="G201" i="4" l="1"/>
  <c r="I201" i="4" s="1"/>
  <c r="J201" i="4" s="1"/>
  <c r="G202" i="4" l="1"/>
  <c r="I202" i="4" s="1"/>
  <c r="J202" i="4"/>
  <c r="G203" i="4" l="1"/>
  <c r="I203" i="4" s="1"/>
  <c r="J203" i="4" l="1"/>
  <c r="G204" i="4" l="1"/>
  <c r="I204" i="4" s="1"/>
  <c r="J204" i="4" s="1"/>
  <c r="G205" i="4" l="1"/>
  <c r="I205" i="4" s="1"/>
  <c r="J205" i="4" s="1"/>
  <c r="G206" i="4" s="1"/>
  <c r="I206" i="4" s="1"/>
  <c r="J206" i="4" s="1"/>
  <c r="G207" i="4" l="1"/>
  <c r="I207" i="4" s="1"/>
  <c r="J207" i="4" s="1"/>
  <c r="G208" i="4" s="1"/>
  <c r="I208" i="4" s="1"/>
  <c r="J208" i="4" s="1"/>
  <c r="J209" i="4" l="1"/>
  <c r="G209" i="4"/>
  <c r="I209" i="4" s="1"/>
  <c r="G210" i="4" l="1"/>
  <c r="I210" i="4" s="1"/>
  <c r="J210" i="4"/>
  <c r="G211" i="4" l="1"/>
  <c r="I211" i="4" s="1"/>
  <c r="L211" i="4" s="1"/>
  <c r="M211" i="4" s="1"/>
  <c r="J211" i="4"/>
  <c r="G212" i="4" l="1"/>
  <c r="I212" i="4" s="1"/>
  <c r="J212" i="4"/>
  <c r="G213" i="4" s="1"/>
  <c r="I213" i="4" s="1"/>
  <c r="J213" i="4" s="1"/>
  <c r="G214" i="4" s="1"/>
  <c r="I214" i="4" s="1"/>
  <c r="J214" i="4" s="1"/>
  <c r="G215" i="4" s="1"/>
  <c r="I215" i="4" s="1"/>
  <c r="J215" i="4" s="1"/>
  <c r="G216" i="4" s="1"/>
  <c r="I216" i="4" s="1"/>
  <c r="J216" i="4" s="1"/>
  <c r="G217" i="4" s="1"/>
  <c r="I217" i="4" s="1"/>
  <c r="J217" i="4" s="1"/>
  <c r="G218" i="4" s="1"/>
  <c r="I218" i="4" s="1"/>
  <c r="J218" i="4" s="1"/>
  <c r="G219" i="4" s="1"/>
  <c r="I219" i="4" s="1"/>
  <c r="J219" i="4" s="1"/>
  <c r="G220" i="4" s="1"/>
  <c r="I220" i="4" s="1"/>
  <c r="J220" i="4" s="1"/>
  <c r="G221" i="4" s="1"/>
  <c r="I221" i="4" s="1"/>
  <c r="J221" i="4" s="1"/>
  <c r="G222" i="4" s="1"/>
  <c r="I222" i="4" s="1"/>
  <c r="J222" i="4" s="1"/>
  <c r="G223" i="4" s="1"/>
  <c r="I223" i="4" s="1"/>
  <c r="J223" i="4" s="1"/>
  <c r="G224" i="4" s="1"/>
  <c r="I224" i="4" s="1"/>
  <c r="J224" i="4" l="1"/>
  <c r="G225" i="4" s="1"/>
  <c r="I225" i="4" s="1"/>
  <c r="J225" i="4" s="1"/>
  <c r="G226" i="4" s="1"/>
  <c r="I226" i="4" s="1"/>
  <c r="J226" i="4" s="1"/>
  <c r="G227" i="4" s="1"/>
  <c r="I227" i="4" s="1"/>
  <c r="J227" i="4" s="1"/>
  <c r="L223" i="4"/>
  <c r="G228" i="4" l="1"/>
  <c r="I228" i="4" s="1"/>
  <c r="J228" i="4" l="1"/>
  <c r="G229" i="4" s="1"/>
  <c r="I229" i="4" s="1"/>
  <c r="J229" i="4" s="1"/>
  <c r="G230" i="4" s="1"/>
  <c r="I230" i="4" s="1"/>
  <c r="J230" i="4" s="1"/>
  <c r="G231" i="4" l="1"/>
  <c r="I231" i="4" s="1"/>
  <c r="J231" i="4"/>
  <c r="G232" i="4" l="1"/>
  <c r="I232" i="4" s="1"/>
  <c r="J232" i="4" s="1"/>
  <c r="G233" i="4" l="1"/>
  <c r="I233" i="4" s="1"/>
  <c r="J233" i="4" s="1"/>
  <c r="G234" i="4" l="1"/>
  <c r="I234" i="4" s="1"/>
  <c r="J234" i="4"/>
  <c r="G235" i="4" l="1"/>
  <c r="I235" i="4" s="1"/>
  <c r="J235" i="4"/>
  <c r="G236" i="4" l="1"/>
  <c r="I236" i="4" s="1"/>
  <c r="J236" i="4"/>
  <c r="G237" i="4" l="1"/>
  <c r="I237" i="4" s="1"/>
  <c r="J237" i="4" s="1"/>
  <c r="G238" i="4" l="1"/>
  <c r="I238" i="4" s="1"/>
  <c r="J238" i="4"/>
  <c r="G239" i="4" l="1"/>
  <c r="I239" i="4" s="1"/>
  <c r="L239" i="4" s="1"/>
  <c r="M239" i="4" s="1"/>
  <c r="J239" i="4"/>
  <c r="G240" i="4" l="1"/>
  <c r="I240" i="4" s="1"/>
  <c r="J240" i="4"/>
  <c r="G241" i="4" l="1"/>
  <c r="I241" i="4" s="1"/>
  <c r="J241" i="4" s="1"/>
  <c r="G242" i="4" l="1"/>
  <c r="I242" i="4" s="1"/>
  <c r="J242" i="4" s="1"/>
  <c r="G243" i="4" l="1"/>
  <c r="I243" i="4" s="1"/>
  <c r="J243" i="4"/>
  <c r="G244" i="4" l="1"/>
  <c r="I244" i="4" s="1"/>
  <c r="J244" i="4" s="1"/>
  <c r="G245" i="4" l="1"/>
  <c r="I245" i="4" s="1"/>
  <c r="J245" i="4" s="1"/>
  <c r="G246" i="4" l="1"/>
  <c r="I246" i="4" s="1"/>
  <c r="J246" i="4"/>
  <c r="J247" i="4" l="1"/>
  <c r="G247" i="4"/>
  <c r="I247" i="4" s="1"/>
  <c r="G248" i="4" l="1"/>
  <c r="I248" i="4" s="1"/>
  <c r="J248" i="4"/>
  <c r="G249" i="4" s="1"/>
  <c r="I249" i="4" s="1"/>
  <c r="J249" i="4" s="1"/>
  <c r="G250" i="4" l="1"/>
  <c r="I250" i="4" s="1"/>
  <c r="J250" i="4"/>
  <c r="G251" i="4" l="1"/>
  <c r="I251" i="4" s="1"/>
  <c r="J251" i="4"/>
  <c r="G252" i="4" l="1"/>
  <c r="I252" i="4" s="1"/>
  <c r="J252" i="4"/>
  <c r="G253" i="4" l="1"/>
  <c r="I253" i="4" s="1"/>
  <c r="J253" i="4" s="1"/>
  <c r="G254" i="4" l="1"/>
  <c r="I254" i="4" s="1"/>
  <c r="J254" i="4"/>
  <c r="G255" i="4" l="1"/>
  <c r="I255" i="4" s="1"/>
  <c r="J255" i="4" s="1"/>
  <c r="G256" i="4" l="1"/>
  <c r="I256" i="4" s="1"/>
  <c r="J256" i="4" s="1"/>
  <c r="G257" i="4" l="1"/>
  <c r="I257" i="4" s="1"/>
  <c r="L257" i="4" s="1"/>
  <c r="J257" i="4"/>
  <c r="G258" i="4" l="1"/>
  <c r="I258" i="4" s="1"/>
  <c r="J258" i="4"/>
  <c r="G259" i="4" l="1"/>
  <c r="I259" i="4" s="1"/>
  <c r="J259" i="4"/>
  <c r="J260" i="4" l="1"/>
  <c r="G261" i="4" s="1"/>
  <c r="I261" i="4" s="1"/>
  <c r="J261" i="4" s="1"/>
  <c r="G260" i="4"/>
  <c r="I260" i="4" s="1"/>
  <c r="G262" i="4" l="1"/>
  <c r="I262" i="4" s="1"/>
  <c r="J262" i="4" s="1"/>
  <c r="G263" i="4" l="1"/>
  <c r="I263" i="4" s="1"/>
  <c r="J263" i="4"/>
  <c r="G264" i="4" l="1"/>
  <c r="I264" i="4" s="1"/>
  <c r="L264" i="4" s="1"/>
  <c r="M264" i="4" s="1"/>
  <c r="J264" i="4"/>
  <c r="G265" i="4" l="1"/>
  <c r="I265" i="4" s="1"/>
  <c r="J265" i="4" s="1"/>
  <c r="G266" i="4" s="1"/>
  <c r="I266" i="4" s="1"/>
  <c r="J266" i="4" s="1"/>
  <c r="G267" i="4" l="1"/>
  <c r="I267" i="4" s="1"/>
  <c r="J267" i="4"/>
  <c r="G268" i="4" l="1"/>
  <c r="I268" i="4" s="1"/>
  <c r="J268" i="4" s="1"/>
  <c r="G269" i="4" s="1"/>
  <c r="I269" i="4" s="1"/>
  <c r="J269" i="4" s="1"/>
  <c r="G270" i="4" l="1"/>
  <c r="I270" i="4" s="1"/>
  <c r="J270" i="4" s="1"/>
  <c r="G271" i="4" l="1"/>
  <c r="I271" i="4" s="1"/>
  <c r="J271" i="4" s="1"/>
  <c r="G272" i="4" s="1"/>
  <c r="I272" i="4" s="1"/>
  <c r="J272" i="4" s="1"/>
  <c r="G273" i="4" s="1"/>
  <c r="I273" i="4" s="1"/>
  <c r="J273" i="4" s="1"/>
  <c r="G274" i="4" s="1"/>
  <c r="I274" i="4" s="1"/>
  <c r="J274" i="4" s="1"/>
  <c r="G275" i="4" s="1"/>
  <c r="I275" i="4" s="1"/>
  <c r="J275" i="4" s="1"/>
  <c r="G276" i="4" s="1"/>
  <c r="I276" i="4" s="1"/>
  <c r="J276" i="4" s="1"/>
  <c r="G277" i="4" s="1"/>
  <c r="I277" i="4" s="1"/>
  <c r="J277" i="4" s="1"/>
  <c r="G278" i="4" s="1"/>
  <c r="I278" i="4" s="1"/>
  <c r="J278" i="4" s="1"/>
  <c r="G279" i="4" s="1"/>
  <c r="I279" i="4" s="1"/>
  <c r="J279" i="4" s="1"/>
  <c r="G280" i="4" l="1"/>
  <c r="I280" i="4" s="1"/>
  <c r="J280" i="4" s="1"/>
  <c r="G281" i="4" s="1"/>
  <c r="I281" i="4" s="1"/>
  <c r="J281" i="4" s="1"/>
  <c r="G282" i="4" s="1"/>
  <c r="I282" i="4" s="1"/>
  <c r="J282" i="4" s="1"/>
  <c r="G283" i="4" s="1"/>
  <c r="I283" i="4" s="1"/>
  <c r="J283" i="4" s="1"/>
  <c r="G284" i="4" s="1"/>
  <c r="I284" i="4" s="1"/>
  <c r="J284" i="4" s="1"/>
  <c r="G285" i="4" s="1"/>
  <c r="I285" i="4" s="1"/>
  <c r="J285" i="4" s="1"/>
  <c r="G286" i="4" s="1"/>
  <c r="I286" i="4" s="1"/>
  <c r="J286" i="4" s="1"/>
  <c r="G287" i="4" l="1"/>
  <c r="I287" i="4" s="1"/>
  <c r="L287" i="4" s="1"/>
  <c r="J287" i="4"/>
  <c r="G288" i="4" l="1"/>
  <c r="I288" i="4" s="1"/>
  <c r="J288" i="4"/>
  <c r="G289" i="4" l="1"/>
  <c r="I289" i="4" s="1"/>
  <c r="J289" i="4" s="1"/>
  <c r="G290" i="4" l="1"/>
  <c r="I290" i="4" s="1"/>
  <c r="J290" i="4" s="1"/>
  <c r="G291" i="4" s="1"/>
  <c r="I291" i="4" s="1"/>
  <c r="J291" i="4" s="1"/>
  <c r="G292" i="4" s="1"/>
  <c r="I292" i="4" s="1"/>
  <c r="J292" i="4" s="1"/>
  <c r="G293" i="4" s="1"/>
  <c r="I293" i="4" s="1"/>
  <c r="J293" i="4" s="1"/>
  <c r="G294" i="4" s="1"/>
  <c r="I294" i="4" s="1"/>
  <c r="J294" i="4" s="1"/>
  <c r="G295" i="4" s="1"/>
  <c r="I295" i="4" s="1"/>
  <c r="J295" i="4" s="1"/>
  <c r="G296" i="4" s="1"/>
  <c r="I296" i="4" s="1"/>
  <c r="J296" i="4" s="1"/>
  <c r="G297" i="4" s="1"/>
  <c r="I297" i="4" s="1"/>
  <c r="J297" i="4" s="1"/>
  <c r="G298" i="4" s="1"/>
  <c r="I298" i="4" s="1"/>
  <c r="J298" i="4" s="1"/>
  <c r="G299" i="4" s="1"/>
  <c r="I299" i="4" s="1"/>
  <c r="J299" i="4" s="1"/>
  <c r="G300" i="4" s="1"/>
  <c r="I300" i="4" s="1"/>
  <c r="J300" i="4" s="1"/>
  <c r="G301" i="4" s="1"/>
  <c r="I301" i="4" s="1"/>
  <c r="J301" i="4" s="1"/>
  <c r="G302" i="4" s="1"/>
  <c r="I302" i="4" s="1"/>
  <c r="J302" i="4" s="1"/>
  <c r="G303" i="4" s="1"/>
  <c r="I303" i="4" s="1"/>
  <c r="J303" i="4" s="1"/>
  <c r="G304" i="4" s="1"/>
  <c r="I304" i="4" s="1"/>
  <c r="J304" i="4" s="1"/>
  <c r="G305" i="4" s="1"/>
  <c r="I305" i="4" s="1"/>
  <c r="J305" i="4" s="1"/>
  <c r="G306" i="4" s="1"/>
  <c r="I306" i="4" s="1"/>
  <c r="J306" i="4" s="1"/>
  <c r="G307" i="4" s="1"/>
  <c r="I307" i="4" s="1"/>
  <c r="J307" i="4" s="1"/>
  <c r="G308" i="4" s="1"/>
  <c r="I308" i="4" s="1"/>
  <c r="J308" i="4" s="1"/>
  <c r="G309" i="4" s="1"/>
  <c r="I309" i="4" s="1"/>
  <c r="J309" i="4" s="1"/>
  <c r="G310" i="4" s="1"/>
  <c r="I310" i="4" s="1"/>
  <c r="J310" i="4" s="1"/>
  <c r="G311" i="4" l="1"/>
  <c r="I311" i="4" s="1"/>
  <c r="L311" i="4" s="1"/>
  <c r="M311" i="4" s="1"/>
  <c r="J311" i="4" l="1"/>
  <c r="G312" i="4" l="1"/>
  <c r="I312" i="4" s="1"/>
  <c r="J312" i="4" s="1"/>
  <c r="G313" i="4" l="1"/>
  <c r="I313" i="4" s="1"/>
  <c r="J313" i="4"/>
  <c r="G314" i="4" l="1"/>
  <c r="I314" i="4" s="1"/>
  <c r="J314" i="4"/>
  <c r="G315" i="4" s="1"/>
  <c r="I315" i="4" s="1"/>
  <c r="J315" i="4" s="1"/>
  <c r="G316" i="4" s="1"/>
  <c r="I316" i="4" s="1"/>
  <c r="J316" i="4" s="1"/>
  <c r="G317" i="4" l="1"/>
  <c r="I317" i="4" s="1"/>
  <c r="J317" i="4" s="1"/>
  <c r="G318" i="4" s="1"/>
  <c r="I318" i="4" s="1"/>
  <c r="J318" i="4" s="1"/>
  <c r="G319" i="4" s="1"/>
  <c r="I319" i="4" s="1"/>
  <c r="J319" i="4" s="1"/>
  <c r="G320" i="4" s="1"/>
  <c r="I320" i="4" s="1"/>
  <c r="J320" i="4" s="1"/>
  <c r="G321" i="4" s="1"/>
  <c r="I321" i="4" s="1"/>
  <c r="J321" i="4" s="1"/>
  <c r="G322" i="4" s="1"/>
  <c r="I322" i="4" s="1"/>
  <c r="J322" i="4" s="1"/>
  <c r="G323" i="4" s="1"/>
  <c r="I323" i="4" s="1"/>
  <c r="J323" i="4" s="1"/>
  <c r="G324" i="4" s="1"/>
  <c r="I324" i="4" s="1"/>
  <c r="J324" i="4" s="1"/>
  <c r="G325" i="4" s="1"/>
  <c r="I325" i="4" s="1"/>
  <c r="J325" i="4" s="1"/>
  <c r="G326" i="4" s="1"/>
  <c r="I326" i="4" s="1"/>
  <c r="J326" i="4" s="1"/>
  <c r="G327" i="4" s="1"/>
  <c r="I327" i="4" s="1"/>
  <c r="J327" i="4" s="1"/>
  <c r="G328" i="4" s="1"/>
  <c r="I328" i="4" s="1"/>
  <c r="J328" i="4" s="1"/>
  <c r="G329" i="4" s="1"/>
  <c r="I329" i="4" s="1"/>
  <c r="J329" i="4" s="1"/>
  <c r="G330" i="4" s="1"/>
  <c r="I330" i="4" s="1"/>
  <c r="J330" i="4" s="1"/>
  <c r="G331" i="4" s="1"/>
  <c r="I331" i="4" s="1"/>
  <c r="J331" i="4" s="1"/>
  <c r="G332" i="4" s="1"/>
  <c r="I332" i="4" s="1"/>
  <c r="J332" i="4" s="1"/>
  <c r="G333" i="4" s="1"/>
  <c r="I333" i="4" s="1"/>
  <c r="J333" i="4" s="1"/>
  <c r="G334" i="4" s="1"/>
  <c r="I334" i="4" s="1"/>
  <c r="J334" i="4" s="1"/>
  <c r="G335" i="4" s="1"/>
  <c r="I335" i="4" s="1"/>
  <c r="J335" i="4" s="1"/>
  <c r="G336" i="4" s="1"/>
  <c r="I336" i="4" s="1"/>
  <c r="J336" i="4" s="1"/>
  <c r="G337" i="4" l="1"/>
  <c r="I337" i="4" s="1"/>
  <c r="J337" i="4"/>
  <c r="G338" i="4"/>
  <c r="I338" i="4" s="1"/>
  <c r="J338" i="4" s="1"/>
  <c r="G339" i="4" l="1"/>
  <c r="I339" i="4" s="1"/>
  <c r="J339" i="4" s="1"/>
  <c r="G340" i="4" l="1"/>
  <c r="I340" i="4" s="1"/>
  <c r="J340" i="4" s="1"/>
  <c r="G341" i="4" l="1"/>
  <c r="I341" i="4" s="1"/>
  <c r="J341" i="4" s="1"/>
  <c r="G342" i="4" l="1"/>
  <c r="I342" i="4" s="1"/>
  <c r="J342" i="4" s="1"/>
  <c r="G343" i="4" l="1"/>
  <c r="I343" i="4" s="1"/>
  <c r="L343" i="4" s="1"/>
  <c r="J343" i="4" l="1"/>
  <c r="G344" i="4" l="1"/>
  <c r="I344" i="4" s="1"/>
  <c r="J344" i="4" l="1"/>
  <c r="G345" i="4" l="1"/>
  <c r="I345" i="4" s="1"/>
  <c r="J345" i="4" l="1"/>
  <c r="G346" i="4" l="1"/>
  <c r="I346" i="4" s="1"/>
  <c r="J346" i="4" l="1"/>
  <c r="G347" i="4" l="1"/>
  <c r="I347" i="4" s="1"/>
  <c r="J347" i="4" s="1"/>
  <c r="G348" i="4" l="1"/>
  <c r="I348" i="4" s="1"/>
  <c r="J348" i="4" s="1"/>
  <c r="G349" i="4" l="1"/>
  <c r="I349" i="4" s="1"/>
  <c r="J349" i="4" s="1"/>
  <c r="G350" i="4" l="1"/>
  <c r="I350" i="4" s="1"/>
  <c r="J350" i="4" s="1"/>
  <c r="G351" i="4" l="1"/>
  <c r="I351" i="4" s="1"/>
  <c r="J351" i="4" s="1"/>
  <c r="G352" i="4" l="1"/>
  <c r="I352" i="4" s="1"/>
  <c r="J352" i="4" s="1"/>
  <c r="G353" i="4" l="1"/>
  <c r="I353" i="4" s="1"/>
  <c r="J353" i="4" s="1"/>
  <c r="G354" i="4" l="1"/>
  <c r="I354" i="4" s="1"/>
  <c r="J354" i="4" s="1"/>
  <c r="G355" i="4" l="1"/>
  <c r="I355" i="4" s="1"/>
  <c r="J355" i="4" s="1"/>
  <c r="G356" i="4" l="1"/>
  <c r="I356" i="4" s="1"/>
  <c r="J356" i="4" s="1"/>
  <c r="G357" i="4" l="1"/>
  <c r="I357" i="4" s="1"/>
  <c r="J357" i="4" s="1"/>
  <c r="G358" i="4" l="1"/>
  <c r="I358" i="4" s="1"/>
  <c r="J358" i="4" s="1"/>
  <c r="G359" i="4" l="1"/>
  <c r="I359" i="4" s="1"/>
  <c r="J359" i="4" s="1"/>
  <c r="G360" i="4" l="1"/>
  <c r="I360" i="4" s="1"/>
  <c r="L360" i="4" s="1"/>
  <c r="M360" i="4" s="1"/>
  <c r="J360" i="4" l="1"/>
  <c r="G361" i="4"/>
  <c r="I361" i="4" s="1"/>
  <c r="J361" i="4" l="1"/>
  <c r="G362" i="4" l="1"/>
  <c r="I362" i="4" s="1"/>
  <c r="J362" i="4" l="1"/>
  <c r="G363" i="4" l="1"/>
  <c r="I363" i="4" s="1"/>
  <c r="J363" i="4" l="1"/>
  <c r="G364" i="4" l="1"/>
  <c r="I364" i="4" s="1"/>
  <c r="J364" i="4" s="1"/>
  <c r="G365" i="4" l="1"/>
  <c r="I365" i="4" s="1"/>
  <c r="J365" i="4" s="1"/>
  <c r="G366" i="4" l="1"/>
  <c r="I366" i="4" s="1"/>
  <c r="J366" i="4" s="1"/>
  <c r="G367" i="4" l="1"/>
  <c r="I367" i="4" s="1"/>
  <c r="J367" i="4" s="1"/>
  <c r="G368" i="4" l="1"/>
  <c r="I368" i="4" s="1"/>
  <c r="J368" i="4" s="1"/>
  <c r="G369" i="4" l="1"/>
  <c r="I369" i="4" s="1"/>
  <c r="J369" i="4" s="1"/>
  <c r="G370" i="4" l="1"/>
  <c r="I370" i="4" s="1"/>
  <c r="J370" i="4" s="1"/>
  <c r="G371" i="4" l="1"/>
  <c r="I371" i="4" s="1"/>
  <c r="J371" i="4" s="1"/>
  <c r="G372" i="4" l="1"/>
  <c r="I372" i="4" s="1"/>
  <c r="J372" i="4" s="1"/>
  <c r="G373" i="4" l="1"/>
  <c r="I373" i="4" s="1"/>
  <c r="J373" i="4" s="1"/>
  <c r="G374" i="4" l="1"/>
  <c r="I374" i="4" s="1"/>
  <c r="J374" i="4" s="1"/>
  <c r="G375" i="4" l="1"/>
  <c r="I375" i="4" s="1"/>
  <c r="J375" i="4" s="1"/>
  <c r="G376" i="4" l="1"/>
  <c r="I376" i="4" s="1"/>
  <c r="J376" i="4" s="1"/>
  <c r="G377" i="4" l="1"/>
  <c r="I377" i="4" s="1"/>
  <c r="J377" i="4" s="1"/>
  <c r="G378" i="4" l="1"/>
  <c r="I378" i="4" s="1"/>
  <c r="J378" i="4" s="1"/>
  <c r="G379" i="4" l="1"/>
  <c r="I379" i="4" s="1"/>
  <c r="J379" i="4" s="1"/>
  <c r="G380" i="4" l="1"/>
  <c r="I380" i="4" s="1"/>
  <c r="J380" i="4" s="1"/>
  <c r="G381" i="4" l="1"/>
  <c r="I381" i="4" s="1"/>
  <c r="J381" i="4" s="1"/>
  <c r="J382" i="4" l="1"/>
  <c r="G382" i="4"/>
  <c r="I382" i="4" s="1"/>
  <c r="G383" i="4" l="1"/>
  <c r="I383" i="4" s="1"/>
  <c r="J383" i="4" s="1"/>
  <c r="G384" i="4" l="1"/>
  <c r="I384" i="4" s="1"/>
  <c r="L384" i="4" s="1"/>
  <c r="J384" i="4" l="1"/>
  <c r="G385" i="4" l="1"/>
  <c r="I385" i="4" s="1"/>
  <c r="J385" i="4" l="1"/>
  <c r="G386" i="4" l="1"/>
  <c r="I386" i="4" s="1"/>
  <c r="J386" i="4" l="1"/>
  <c r="G387" i="4" l="1"/>
  <c r="I387" i="4" s="1"/>
  <c r="J387" i="4" l="1"/>
  <c r="G388" i="4" l="1"/>
  <c r="I388" i="4" s="1"/>
  <c r="J388" i="4" s="1"/>
  <c r="G389" i="4" l="1"/>
  <c r="I389" i="4" s="1"/>
  <c r="J389" i="4" s="1"/>
  <c r="G390" i="4" l="1"/>
  <c r="I390" i="4" s="1"/>
  <c r="J390" i="4" s="1"/>
  <c r="G391" i="4" l="1"/>
  <c r="I391" i="4" s="1"/>
  <c r="J391" i="4" s="1"/>
  <c r="G392" i="4" l="1"/>
  <c r="I392" i="4" s="1"/>
  <c r="J392" i="4" s="1"/>
  <c r="G393" i="4" l="1"/>
  <c r="I393" i="4" s="1"/>
  <c r="J393" i="4" s="1"/>
  <c r="G394" i="4" l="1"/>
  <c r="I394" i="4" s="1"/>
  <c r="J394" i="4" s="1"/>
  <c r="G395" i="4" l="1"/>
  <c r="I395" i="4" s="1"/>
  <c r="J395" i="4" s="1"/>
  <c r="G396" i="4" l="1"/>
  <c r="I396" i="4" s="1"/>
  <c r="J396" i="4" s="1"/>
  <c r="G397" i="4" l="1"/>
  <c r="I397" i="4" s="1"/>
  <c r="J397" i="4" s="1"/>
  <c r="G398" i="4" l="1"/>
  <c r="I398" i="4" s="1"/>
  <c r="J398" i="4" s="1"/>
  <c r="G399" i="4" l="1"/>
  <c r="I399" i="4" s="1"/>
  <c r="J399" i="4" s="1"/>
  <c r="G400" i="4" l="1"/>
  <c r="I400" i="4" s="1"/>
  <c r="J400" i="4" s="1"/>
  <c r="G401" i="4" l="1"/>
  <c r="I401" i="4" s="1"/>
  <c r="J401" i="4" s="1"/>
  <c r="G402" i="4" l="1"/>
  <c r="I402" i="4" s="1"/>
  <c r="I403" i="4" l="1"/>
  <c r="L402" i="4"/>
  <c r="M402" i="4" s="1"/>
  <c r="M403" i="4" s="1"/>
  <c r="J402" i="4"/>
  <c r="J408" i="4" s="1"/>
  <c r="J409" i="4" s="1"/>
</calcChain>
</file>

<file path=xl/sharedStrings.xml><?xml version="1.0" encoding="utf-8"?>
<sst xmlns="http://schemas.openxmlformats.org/spreadsheetml/2006/main" count="1111" uniqueCount="906">
  <si>
    <t>FELIX DELGADILLO MEJIA</t>
  </si>
  <si>
    <t>Metodo:Promedio Ponderado</t>
  </si>
  <si>
    <t>NIT  358900018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</si>
  <si>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</si>
  <si>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</si>
  <si>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</si>
  <si>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</si>
  <si>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</si>
  <si>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</si>
  <si>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</si>
  <si>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</si>
  <si>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</si>
  <si>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OBSERVACIONES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</si>
  <si>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</si>
  <si>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</si>
  <si>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</si>
  <si>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</si>
  <si>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</si>
  <si>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</si>
  <si>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</si>
  <si>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</si>
  <si>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 xml:space="preserve">                Practicado al 31 de diciembre DE 2018</t>
  </si>
  <si>
    <t xml:space="preserve">INVENTARIO INICIAL </t>
  </si>
  <si>
    <t xml:space="preserve">inventario inicial </t>
  </si>
  <si>
    <t xml:space="preserve">Inventario Inicial </t>
  </si>
  <si>
    <t xml:space="preserve">                Practicado al 31 diciembre 2018</t>
  </si>
  <si>
    <t>Mercaderia:Tirafondos 6.3*76.2c/gomas</t>
  </si>
  <si>
    <t>Unidad de Medida:Uds.</t>
  </si>
  <si>
    <t xml:space="preserve">ENTRADA </t>
  </si>
  <si>
    <t>INVENTARIO INICIAL</t>
  </si>
  <si>
    <t xml:space="preserve">                Practicado al 31 de diciembre de 2018</t>
  </si>
  <si>
    <t>Mercaderia:Tirafondos 6.3*63.5c/gomas</t>
  </si>
  <si>
    <t>INENTARIO INICIAL</t>
  </si>
  <si>
    <t>Venta tirafondos 63*63.5 c/gomas F- 1208</t>
  </si>
  <si>
    <t>Venta tirafondos 63*63.5 c/gomas F- 1210</t>
  </si>
  <si>
    <t>Venta tirafondos 63*76.2 c/gomas F- 1219</t>
  </si>
  <si>
    <t>Venta Calamina  0.35x1000mm SEA BLUE F- 1223</t>
  </si>
  <si>
    <t>Venta tirafondos 63*76.2 c/gomas F- 1224</t>
  </si>
  <si>
    <t>Venta tirafondos 63*63.5 c/gomas F- 1226</t>
  </si>
  <si>
    <t>Venta tirafondos 63*63.5 c/gomas F- 1227</t>
  </si>
  <si>
    <t>Venta tirafondos 63*76.2 c/gomas F- 1228</t>
  </si>
  <si>
    <t>Venta Calamina Galvanizada F- 1229</t>
  </si>
  <si>
    <t>Inventario Inicial</t>
  </si>
  <si>
    <t>ANULADA F- 1231</t>
  </si>
  <si>
    <t>Venta Calamina  0.35x1000mm SEA BLUE F- 1238</t>
  </si>
  <si>
    <t>Venta tirafondos 63*63.5 c/gomas F- 1241</t>
  </si>
  <si>
    <t>ANULADA F- 1243</t>
  </si>
  <si>
    <t>Venta Calamina  0.35x1000mm SEA BLUE F- 1247</t>
  </si>
  <si>
    <t>Venta Calamina  0.35x1000mm SEA BLUE F- 1248</t>
  </si>
  <si>
    <t>Venta tirafondos 63*76.2 c/gomas F- 1249</t>
  </si>
  <si>
    <t>Venta tirafondos 63*63.5 c/gomas F- 1250</t>
  </si>
  <si>
    <t>ANULADA F- 1251</t>
  </si>
  <si>
    <t>Venta Calamina  0.35x1000mm SEA BLUE F- 1252</t>
  </si>
  <si>
    <t>ANULADA F- 1253</t>
  </si>
  <si>
    <t>Venta tirafondos 63*76.2 c/gomas F- 1255</t>
  </si>
  <si>
    <t>Venta tirafondos 63*63.5 c/gomas F- 1256</t>
  </si>
  <si>
    <t>Venta Calamina Galvanizada F- 1258</t>
  </si>
  <si>
    <t>ANULADA F- 1259</t>
  </si>
  <si>
    <t>Venta tirafondos 63*63.5 c/gomas F- 1262</t>
  </si>
  <si>
    <t>ANULADA  F- 1263</t>
  </si>
  <si>
    <t>Venta tirafondos 63*63.5 c/gomas F- 1265</t>
  </si>
  <si>
    <t>Venta tirafondos 63*76.2 c/gomas F- 1267</t>
  </si>
  <si>
    <t>Venta Calamina  0.35x1000mm SEA BLUE F- 1270</t>
  </si>
  <si>
    <t>Venta Calamina  0.35x1000mm SEA BLUE F- 1275</t>
  </si>
  <si>
    <t>Venta tirafondos 63*63.5 c/gomas F- 1280</t>
  </si>
  <si>
    <t>Venta Calamina  0.35x1000mm SEA BLUE F- 1288</t>
  </si>
  <si>
    <t>Venta Calamina Galvanizada F- 1289</t>
  </si>
  <si>
    <t>ANULADA F- 1290</t>
  </si>
  <si>
    <t>Venta tirafondos 63*76.2 c/gomas F- 1294</t>
  </si>
  <si>
    <t>Venta tirafondos 63*76.2 c/gomas F- 1299</t>
  </si>
  <si>
    <t>Venta tirafondos 63*76.2 c/gomas F- 1303</t>
  </si>
  <si>
    <t>Venta Calamina  0.35x1000mm SEA BLUE F- 1304</t>
  </si>
  <si>
    <t>Venta tirafondos 63*76.2 c/gomas F- 1305</t>
  </si>
  <si>
    <t>Venta Calamina  0.35x1000mm SEA BLUE F- 1316</t>
  </si>
  <si>
    <t>Venta tirafondos 63*76.2 c/gomas F- 1318</t>
  </si>
  <si>
    <t>Venta tirafondos 63*76.2 c/gomas F- 1319</t>
  </si>
  <si>
    <t>Venta tirafondos 63*76.2 c/gomas F- 1320</t>
  </si>
  <si>
    <t>Venta tirafondos 63*76.2 c/gomas F- 1322</t>
  </si>
  <si>
    <t>Venta Calamina Galvanizada F- 1326</t>
  </si>
  <si>
    <t>Venta tirafondos 63*76.2 c/gomas F- 1332</t>
  </si>
  <si>
    <t>Venta tirafondos 63*63.5 c/gomas F- 1335</t>
  </si>
  <si>
    <t>Venta tirafondos 63*76.2 c/gomas F- 1341</t>
  </si>
  <si>
    <t>Venta tirafondos 63*76.2 c/gomas F- 1346</t>
  </si>
  <si>
    <t>Venta tirafondos 63*76.2 c/gomas F- 1347</t>
  </si>
  <si>
    <t>Venta tirafondos 63*63.5 c/gomas F- 1348</t>
  </si>
  <si>
    <t>ANULADA F- 1358</t>
  </si>
  <si>
    <t>Venta tirafondos 63*63.5 c/gomas F- 1360</t>
  </si>
  <si>
    <t>Venta tirafondos 63*76.2 c/gomas F- 1365</t>
  </si>
  <si>
    <t>Venta Calamina  0.35x1000mm SEA BLUE F- 1362</t>
  </si>
  <si>
    <t>Venta tirafondos 63*63.5 c/gomas F- 1366</t>
  </si>
  <si>
    <t>Venta tirafondos 63*76.2 c/gomas F- 1367</t>
  </si>
  <si>
    <t>Venta tirafondos 63*76.2 c/gomas F- 1368</t>
  </si>
  <si>
    <t>Venta tirafondos 63*76.2 c/gomas F- 1369</t>
  </si>
  <si>
    <t>ANULADA F- 1374</t>
  </si>
  <si>
    <t>Venta tirafondos 63*76.2 c/gomas F- 1376</t>
  </si>
  <si>
    <t>Venta tirafondos 63*76.2 c/gomas F- 1377</t>
  </si>
  <si>
    <t>Venta tirafondos 63*76.2 c/gomas F- 1383</t>
  </si>
  <si>
    <t>Venta tirafondos 63*76.2 c/gomas F- 1388</t>
  </si>
  <si>
    <t>ANULADA F- 1392</t>
  </si>
  <si>
    <t>Venta tirafondos 63*76.2 c/gomas F- 1396</t>
  </si>
  <si>
    <t>Venta tirafondos 63*76.2 c/gomas F- 1398</t>
  </si>
  <si>
    <t>Venta Calamina  0.35x1000mm SEA BLUE F- 1401</t>
  </si>
  <si>
    <t>Venta tirafondos 63*76.2 c/gomas F- 1404</t>
  </si>
  <si>
    <t>Venta tirafondos 63*76.2 c/gomas F- 1405</t>
  </si>
  <si>
    <t>Venta tirafondos 63*76.2 c/gomas F- 1411</t>
  </si>
  <si>
    <t>Venta Calamina  0.35x1000mm SEA BLUE F- 1417</t>
  </si>
  <si>
    <t>ANULADA F- 1418</t>
  </si>
  <si>
    <t>Venta Calamina  0.35x1000mm SEA BLUE F- 1422</t>
  </si>
  <si>
    <t>Venta tirafondos 63*76.2 c/gomas F- 1424</t>
  </si>
  <si>
    <t>Venta tirafondos 63*63.5 c/gomas F- 1427</t>
  </si>
  <si>
    <t>Venta Calamina Galvanizada F- 1428</t>
  </si>
  <si>
    <t>Venta Calamina  0.35x1000mm SEA BLUE F- 1430</t>
  </si>
  <si>
    <t>Venta tirafondos 63*76.2 c/gomas F- 1433</t>
  </si>
  <si>
    <t>Venta Calamina  0.35x1000mm SEA BLUE F- 1437</t>
  </si>
  <si>
    <t>Venta tirafondos 63*76.2 c/gomas F- 1446</t>
  </si>
  <si>
    <t>Venta tirafondos 63*63.5 c/gomas F- 1461</t>
  </si>
  <si>
    <t>Venta tirafondos 63*76.2 c/gomas F- 1463</t>
  </si>
  <si>
    <t>Venta Calamina  0.35x1000mm SEA BLUE F- 1466</t>
  </si>
  <si>
    <t>Venta Calamina  0.35x1000mm SEA BLUE F- 1474</t>
  </si>
  <si>
    <t>Venta tirafondos 63*76.2 c/gomas F- 1476</t>
  </si>
  <si>
    <t>Venta tirafondos 63*76.2 c/gomas F- 1482</t>
  </si>
  <si>
    <t>Venta tirafondos 63*76.2 c/gomas F- 1485</t>
  </si>
  <si>
    <t>Compra Bobinas de acero N°280.35*1000mm C-6646</t>
  </si>
  <si>
    <t>Compra Bobinas de acero N°280.35*1000mmRAL2009 C-6646</t>
  </si>
  <si>
    <t>Compra Bobinas de acero N°280.35*1000mmSEA BLUE C-6646</t>
  </si>
  <si>
    <t>28/02/20018</t>
  </si>
  <si>
    <t>Venta tirafondos 63*76.2 c/gomas F- 1490</t>
  </si>
  <si>
    <t>Venta tirafondos 63*76.2 c/gomas F- 1494</t>
  </si>
  <si>
    <t>ANULADA F- 1321</t>
  </si>
  <si>
    <t>Venta Calamina  0.35x1000mm SEA BLUE F- 1364</t>
  </si>
  <si>
    <t>Venta tirafondos 63*76.2 c/gomas F- 1395</t>
  </si>
  <si>
    <t>ANULADA F- 1399</t>
  </si>
  <si>
    <t>ANULADA F- 1402</t>
  </si>
  <si>
    <t>Venta tirafondos 63*76.2 c/gomas F- 1420</t>
  </si>
  <si>
    <t>ANULADA F- 1496</t>
  </si>
  <si>
    <t>TOTAL</t>
  </si>
  <si>
    <t>Venta Calamina  0.35*1000mm RAL2009 F- 1205</t>
  </si>
  <si>
    <t>Venta Calamina  0.35*1000mm RAL2009 F- 1199</t>
  </si>
  <si>
    <t>Venta Calamina  0.35*1000mm RAL2009 F- 1210</t>
  </si>
  <si>
    <t>Venta Calamina  0.35*1000mm RAL2009 F- 1222</t>
  </si>
  <si>
    <t>Venta Calamina  0.35*1000mm RAL2009 F- 1242</t>
  </si>
  <si>
    <t>Venta Calamina  0.35*1000mm RAL2009 F- 1274</t>
  </si>
  <si>
    <t>Venta Calamina  0.35*1000mm RAL2009 F- 1276</t>
  </si>
  <si>
    <t>Venta Calamina  0.35*1000mm RAL2009 F- 1281</t>
  </si>
  <si>
    <t>Venta Calamina  0.35*1000mm RAL2009 F- 1283</t>
  </si>
  <si>
    <t>Venta Calamina  0.35*1000mm RAL2009 F- 1298</t>
  </si>
  <si>
    <t>Venta Calamina  0.35*1000mm RAL2009 F- 1300</t>
  </si>
  <si>
    <t>Venta Calamina  0.35*1000mm RAL2009 F- 1302</t>
  </si>
  <si>
    <t>Venta Calamina  0.35*1000mm RAL2009 F- 1308</t>
  </si>
  <si>
    <t>Venta Calamina  0.35*1000mm RAL2009 F- 1312</t>
  </si>
  <si>
    <t>Venta Calamina  0.35*1000mm RAL2009 F- 1315</t>
  </si>
  <si>
    <t>Venta Calamina  0.35*1000mm RAL2009 F- 1340</t>
  </si>
  <si>
    <t>Venta Calamina  0.35*1000mm RAL2009 F- 1342</t>
  </si>
  <si>
    <t>Venta Calamina  0.35*1000mm RAL2009 F- 1349</t>
  </si>
  <si>
    <t>Venta Calamina  0.35*1000mm RAL2009 F- 1353</t>
  </si>
  <si>
    <t>Venta Calamina  0.35*1000mm RAL2009 F- 1357</t>
  </si>
  <si>
    <t>Venta Calamina  0.35*1000mm RAL2009 F- 1359</t>
  </si>
  <si>
    <t>Venta Calamina  0.35*1000mm RAL2009 F- 1361</t>
  </si>
  <si>
    <t>Venta Calamina  0.35*1000mm RAL2009 F-1373</t>
  </si>
  <si>
    <t>Venta Calamina  0.35*1000mm RAL2009 F- 1378</t>
  </si>
  <si>
    <t>Venta Calamina  0.35*1000mm RAL2009 F- 1379</t>
  </si>
  <si>
    <t>Venta Calamina  0.35*1000mm RAL2009 F- 1386</t>
  </si>
  <si>
    <t xml:space="preserve">Venta Calamina  0.35*1000mm RAL2009 F-1421 </t>
  </si>
  <si>
    <t>Venta Calamina  0.35*1000mm RAL2009 F- 1425</t>
  </si>
  <si>
    <t>Venta Calamina  0.35*1000mm RAL2009 F- 1429</t>
  </si>
  <si>
    <t>Venta Calamina  0.35*1000mm RAL2009 F- 1444</t>
  </si>
  <si>
    <t>Venta Calamina  0.35*1000mm RAL2009 F- 1446</t>
  </si>
  <si>
    <t>Venta Calamina  0.35*1000mm RAL2009 F- 1450</t>
  </si>
  <si>
    <t>Venta Calamina  0.35*1000mm RAL2009 F- 1451</t>
  </si>
  <si>
    <t>Venta Calamina  0.35*1000mm RAL2009 F- 1452</t>
  </si>
  <si>
    <t>Venta Calamina  0.35*1000mm RAL2009 F- 1455</t>
  </si>
  <si>
    <t>Venta Calamina  0.35*1000mm RAL2009 F- 1461</t>
  </si>
  <si>
    <t>Venta Calamina  0.35*1000mm RAL2009 F- 1464</t>
  </si>
  <si>
    <t>Venta Calamina  0.35*1000mm RAL2009 F- 1469</t>
  </si>
  <si>
    <t>Venta Calamina  0.35*1000mm RAL2009 F- 1471</t>
  </si>
  <si>
    <t>Venta Calamina  0.35*1000mm RAL2009 F- 1472</t>
  </si>
  <si>
    <t>Venta Calamina  0.35*1000mm RAL2009 F- 1475</t>
  </si>
  <si>
    <t>Venta Calamina  0.35*1000mm RAL2009 F- 1480</t>
  </si>
  <si>
    <t>Venta Calamina  0.35*1000mm RAL2009 F- 1495</t>
  </si>
  <si>
    <t>Venta Calamina 0.40*1000mm RAL2009 F- 1345</t>
  </si>
  <si>
    <t>Venta Calamina 0.40*1000mm RAL2009 F- 1347</t>
  </si>
  <si>
    <t>Venta Calamina 0.40*1000mm RAL2009 F- 1356</t>
  </si>
  <si>
    <t>Venta Calamina 0.40*1000mm RAL2009 F- 1365</t>
  </si>
  <si>
    <t>Venta Calamina 0.40*1000mm RAL2009 F- 1367</t>
  </si>
  <si>
    <t>Venta Calamina 0.40*1000mm RAL2009 F- 1368</t>
  </si>
  <si>
    <t>Venta Calamina 0.40*1000mm RAL2009 F- 1369</t>
  </si>
  <si>
    <t>Venta Calamina 0.40*1000mm RAL1000 F- 1373</t>
  </si>
  <si>
    <t>Venta Calamina 0.40*1000mm RAL2009 F- 1376</t>
  </si>
  <si>
    <t>Venta Calamina 0.40*1000mm RAL2009 F- 1383</t>
  </si>
  <si>
    <t xml:space="preserve">Venta Calamina 0.40*1000mm RAL2009 F-1384 </t>
  </si>
  <si>
    <t>Venta Calamina 0.40*1000mm RAL2009 F- 1385</t>
  </si>
  <si>
    <t>Venta Calamina 0.40*1000mm RAL2009 F- 1387</t>
  </si>
  <si>
    <t>Venta Calamina 0.40*1000mm RAL2009 F- 1388</t>
  </si>
  <si>
    <t>Venta Calamina 0.40*1000mm RAL2009 F- 1390</t>
  </si>
  <si>
    <t>Venta Calamina 0.40*1000mm RAL2009 F- 1393</t>
  </si>
  <si>
    <t>Venta Calamina 0.40*1000mm RAL2009 F- 1395</t>
  </si>
  <si>
    <t>Venta Calamina 0.40*1000mm RAL2009 F- 1397</t>
  </si>
  <si>
    <t>Venta Calamina 0.40*1000mm RAL2009 F- 1398</t>
  </si>
  <si>
    <t>Venta Calamina 0.40*1000mm RAL2009 F- 1403</t>
  </si>
  <si>
    <t xml:space="preserve">Venta Calamina 0.40*1000mm RAL2009 F-1404 </t>
  </si>
  <si>
    <t>Venta Calamina 0.40*1000mm RAL2009 F- 1409</t>
  </si>
  <si>
    <t>Venta Calamina 0.40*1000mm RAL2009 F- 1410</t>
  </si>
  <si>
    <t>Venta Calamina 0.40*1000mm RAL2009 F- 1411</t>
  </si>
  <si>
    <t>Venta Calamina 0.40*1000mm RAL2009 F- 1413</t>
  </si>
  <si>
    <t>Venta Calamina 0.40*1000mm RAL2009 F- 1414</t>
  </si>
  <si>
    <t>Venta Calamina 0.40*1000mm RAL2009 F- 1419</t>
  </si>
  <si>
    <t>Venta Calamina 0.40*1000mm RAL2009  F- 1420</t>
  </si>
  <si>
    <t>Venta Calamina 0.40*1000mm RAL2009 F- 1423</t>
  </si>
  <si>
    <t>Venta Calamina 0.40*1000mm RAL2009 F- 1424</t>
  </si>
  <si>
    <t>Venta Calamina 0.40*1000mm RAL2009 F- 1426</t>
  </si>
  <si>
    <t>Venta Calamina 0.40*1000mm RAL2009 F- 1433</t>
  </si>
  <si>
    <t>Venta Calamina 0.40*1000mm RAL2009 F- 1434</t>
  </si>
  <si>
    <t>Venta Calamina 0.40*1000mm RAL2009 F- 1444</t>
  </si>
  <si>
    <t>Venta Calamina 0.40*1000mm RAL2009 F- 1449</t>
  </si>
  <si>
    <t>Venta Calamina 0.40*1000mm RAL2009 F- 1450</t>
  </si>
  <si>
    <t>Venta Calamina 0.40*1000mm RAL2009 F- 1481</t>
  </si>
  <si>
    <t>Venta Calamina 0.40*1000mm RAL2009 F- 1489</t>
  </si>
  <si>
    <t>Venta Calamina 0.40*1000mm RAL2009 F- 1497</t>
  </si>
  <si>
    <t>Mercaderia:Bobinas de acero galvanizado prepintado 0.35x1000mmRAL2009</t>
  </si>
  <si>
    <t>Mercaderia:Bobinas de acero galvanizado prepintado 0.40x1000mmRAL2009</t>
  </si>
  <si>
    <t>Mercaderia:Bobinas de acero galvanizado prepintado 0.35x1000mmSEA BLUE</t>
  </si>
  <si>
    <t>Mercaderia:Bobinas de acero galvanizado 0.35x1000mm</t>
  </si>
  <si>
    <t>Mercaderia:Planchas Galvanizada Cortadas</t>
  </si>
  <si>
    <t>Venta tirafondos 63*76.2 c/gomas F- 1499</t>
  </si>
  <si>
    <t>Venta Calamina 0.40*1000mm RAL2009 F- 1499</t>
  </si>
  <si>
    <t>Venta Calamina  0.35*1000mm RAL2009 F- 1502</t>
  </si>
  <si>
    <t>Venta Calamina 0.40*1000mm RAL2009 F- 1502</t>
  </si>
  <si>
    <t>ANULADA F- 1503</t>
  </si>
  <si>
    <t>ANULADA F- 1504</t>
  </si>
  <si>
    <t>Mercaderia:Juntas de goma</t>
  </si>
  <si>
    <t>VALORACIÓN INVENTARIO FINAL, PRECIO DE LAS FACTURAS DE COMPRAS (ULTIMAS COMPRAS) Art..9 del D.S. 24051</t>
  </si>
  <si>
    <t>INVENTARIO FINAL AL COSTO HISTORICO</t>
  </si>
  <si>
    <t>AJUSTE</t>
  </si>
  <si>
    <t>INVENTARIO FINAL AL 31/12/2018</t>
  </si>
  <si>
    <t>Calamina 0.35*1000mm  F- 1195</t>
  </si>
  <si>
    <t>Calamina 0.35*1000mm  F- 1196</t>
  </si>
  <si>
    <t>Calamina 0.35*1000mm  F- 1197</t>
  </si>
  <si>
    <t>Calamina 0.35*1000mm F- 1198</t>
  </si>
  <si>
    <t>Calamina 0.35*1000mm F- 1200</t>
  </si>
  <si>
    <t>Calamina 0.35*1000mm  F- 1201</t>
  </si>
  <si>
    <t>Calamina 0.35*1000mm F- 1202</t>
  </si>
  <si>
    <t>Calamina 0.35*1000mm  F- 1203</t>
  </si>
  <si>
    <t>Calamina 0.35*1000mm F- 1204</t>
  </si>
  <si>
    <t>Calamina 0.35*1000mm F- 1206</t>
  </si>
  <si>
    <t>Calamina 0.35*1000mm F- 1207</t>
  </si>
  <si>
    <t>Calamina 0.35*1000mm F- 1208</t>
  </si>
  <si>
    <t>Calamina 0.35*1000mm F- 1209</t>
  </si>
  <si>
    <t>Calamina 0.35*1000mm F- 1211</t>
  </si>
  <si>
    <t>Calamina 0.35*1000mm F- 1212</t>
  </si>
  <si>
    <t>Calamina 0.35*1000mm F- 1213</t>
  </si>
  <si>
    <t>Calamina 0.35*1000mm F- 1214</t>
  </si>
  <si>
    <t>Calamina 0.35*1000mm  F- 1215</t>
  </si>
  <si>
    <t>Calamina 0.35*1000mm F- 1216</t>
  </si>
  <si>
    <t>Calamina 0.35*1000mm  F- 1217</t>
  </si>
  <si>
    <t>Calamina 0.35*1000mm F- 1218</t>
  </si>
  <si>
    <t>Calamina 0.35*1000mm F- 1220</t>
  </si>
  <si>
    <t>Calamina 0.35*1000mm F- 1221</t>
  </si>
  <si>
    <t>Calamina 0.35*1000mm F- 1225</t>
  </si>
  <si>
    <t>Calamina 0.35*1000mm  F- 1230</t>
  </si>
  <si>
    <t>Calamina 0.35*1000mm F- 1232</t>
  </si>
  <si>
    <t>Calamina 0.35*1000mm F- 1233</t>
  </si>
  <si>
    <t>Calamina 0.35*1000mm F- 1234</t>
  </si>
  <si>
    <t>Calamina 0.35*1000mm F- 1235</t>
  </si>
  <si>
    <t>Calamina 0.35*1000mm F- 1236</t>
  </si>
  <si>
    <t>Calamina 0.35*1000mm F- 1237</t>
  </si>
  <si>
    <t>Calamina 0.35*1000mm F- 1239</t>
  </si>
  <si>
    <t>Calamina 0.35*1000mm F- 1240</t>
  </si>
  <si>
    <t>Calamina 0.35*1000mm F- 1241</t>
  </si>
  <si>
    <t>Calamina 0.35*1000mm F- 1244</t>
  </si>
  <si>
    <t>Calamina 0.35*1000mm  F- 1245</t>
  </si>
  <si>
    <t>Calamina 0.35*1000mm F- 1246</t>
  </si>
  <si>
    <t>Calamina 0.35*1000mm F- 1250</t>
  </si>
  <si>
    <t>Calamina 0.35*1000mm F- 1254</t>
  </si>
  <si>
    <t>Calamina 0.35*1000mm F- 1257</t>
  </si>
  <si>
    <t>Calamina 0.35*1000mm F- 1260</t>
  </si>
  <si>
    <t>Calamina 0.35*1000mm F- 1261</t>
  </si>
  <si>
    <t>Calamina 0.35*1000mm F- 1264</t>
  </si>
  <si>
    <t>Calamina 0.35*1000mm F- 1266</t>
  </si>
  <si>
    <t>Calamina 0.35*1000mm F- 1268</t>
  </si>
  <si>
    <t>Calamina 0.35*1000mm F- 1269</t>
  </si>
  <si>
    <t>Calamina 0.35*1000mm F- 1271</t>
  </si>
  <si>
    <t>Calamina 0.35*1000mm F- 1272</t>
  </si>
  <si>
    <t>Calamina 0.35*1000mm F- 1273</t>
  </si>
  <si>
    <t>Calamina 0.35*1000mm F- 1277</t>
  </si>
  <si>
    <t>Calamina 0.35*1000mm F- 1278</t>
  </si>
  <si>
    <t>Calamina 0.35*1000mm F- 1279</t>
  </si>
  <si>
    <t>Calamina 0.35*1000mm F- 1280</t>
  </si>
  <si>
    <t>Calamina 0.35*1000mm F- 1282</t>
  </si>
  <si>
    <t>Calamina 0.35*1000mm F- 1284</t>
  </si>
  <si>
    <t>Calamina 0.35*1000mm F- 1285</t>
  </si>
  <si>
    <t>Calamina 0.35*1000mm F- 1286</t>
  </si>
  <si>
    <t>Calamina 0.35*1000mm F- 1287</t>
  </si>
  <si>
    <t>Calamina 0.35*1000mmF- 1291</t>
  </si>
  <si>
    <t>Calamina 0.35*1000mm F- 1292</t>
  </si>
  <si>
    <t>Calamina 0.35*1000mm F- 1293</t>
  </si>
  <si>
    <t>Calamina 0.35*1000mm F- 1295</t>
  </si>
  <si>
    <t>Calamina 0.35*1000mm F- 1296</t>
  </si>
  <si>
    <t>Calamina 0.35*1000mm F- 1297</t>
  </si>
  <si>
    <t>Calamina 0.35*1000mm F- 1301</t>
  </si>
  <si>
    <t>Calamina 0.35*1000mm F- 1306</t>
  </si>
  <si>
    <t>Calamina 0.35*1000mm F- 1307</t>
  </si>
  <si>
    <t>Calamina 0.35*1000mm F- 1309</t>
  </si>
  <si>
    <t>Calamina 0.35*1000mm F- 1310</t>
  </si>
  <si>
    <t>Calamina 0.35*1000mm F- 1311</t>
  </si>
  <si>
    <t>Calamina 0.35*1000mm F- 1313</t>
  </si>
  <si>
    <t>Calamina 0.35*1000mm F- 1314</t>
  </si>
  <si>
    <t>Calamina 0.35*1000mm F- 1315</t>
  </si>
  <si>
    <t>Calamina 0.35*1000mm F- 1316</t>
  </si>
  <si>
    <t>Calamina 0.35*1000mm F- 1317</t>
  </si>
  <si>
    <t>Calamina 0.35*1000mm F- 1323</t>
  </si>
  <si>
    <t>Calamina 0.35*1000mm F- 1324</t>
  </si>
  <si>
    <t>Calamina 0.35*1000mm  F- 1325</t>
  </si>
  <si>
    <t>Calamina 0.35*1000mm F- 1327</t>
  </si>
  <si>
    <t>Calamina 0.35*1000mm F- 1328</t>
  </si>
  <si>
    <t>Calamina 0.35*1000mm  F- 1329</t>
  </si>
  <si>
    <t>Calamina 0.35*1000mm F- 1330</t>
  </si>
  <si>
    <t>Calamina 0.35*1000mm F- 1331</t>
  </si>
  <si>
    <t>Calamina 0.35*1000mm F- 1333</t>
  </si>
  <si>
    <t>Calamina 0.35*1000mm F- 1336</t>
  </si>
  <si>
    <t>Calamina 0.35*1000mm F- 1337</t>
  </si>
  <si>
    <t>Calamina 0.35*1000mm F- 1338</t>
  </si>
  <si>
    <t>Calamina 0.35*1000mm F- 1339</t>
  </si>
  <si>
    <t>Calamina 0.35*1000mm F- 1334</t>
  </si>
  <si>
    <t>Calamina 0.35*1000mm F- 1343</t>
  </si>
  <si>
    <t>Calamina 0.35*1000mm F- 1344</t>
  </si>
  <si>
    <t>Calamina 0.35*1000mm F- 1348</t>
  </si>
  <si>
    <t>Calamina 0.35*1000mm F- 1350</t>
  </si>
  <si>
    <t>Calamina 0.35*1000mm F- 1351</t>
  </si>
  <si>
    <t>Calamina 0.35*1000mm F- 1352</t>
  </si>
  <si>
    <t>Calamina 0.35*1000mm F- 1354</t>
  </si>
  <si>
    <t>Calamina 0.35*1000mm F- 1355</t>
  </si>
  <si>
    <t>Calamina 0.35*1000mm F- 1363</t>
  </si>
  <si>
    <t>Calamina 0.35*1000mm F- 1366</t>
  </si>
  <si>
    <t>Calamina 0.35*1000mm F- 1370</t>
  </si>
  <si>
    <t>Calamina 0.35*1000mm F- 1371</t>
  </si>
  <si>
    <t>Calamina 0.35*1000mm F- 1372</t>
  </si>
  <si>
    <t>Calamina 0.35*1000mm F- 1375</t>
  </si>
  <si>
    <t>Calamina 0.35*1000mm F- 1377</t>
  </si>
  <si>
    <t>Calamina 0.35*1000mm F- 1380</t>
  </si>
  <si>
    <t>Calamina 0.35*1000mm F- 1381</t>
  </si>
  <si>
    <t xml:space="preserve">Calamina 0.35*1000mm F-1382 </t>
  </si>
  <si>
    <t>Calamina 0.35*1000mm F- 1389</t>
  </si>
  <si>
    <t>Calamina 0.35*1000mm F- 1391</t>
  </si>
  <si>
    <t>Calamina 0.35*1000mm F- 1394</t>
  </si>
  <si>
    <t>Calamina 0.35*1000mm F- 1396</t>
  </si>
  <si>
    <t>Calamina 0.35*1000mm F- 1400</t>
  </si>
  <si>
    <t>Calamina 0.35*1000mm F- 1406</t>
  </si>
  <si>
    <t>Calamina 0.35*1000mm F- 1407</t>
  </si>
  <si>
    <t>Calamina 0.35*1000mm F- 1408</t>
  </si>
  <si>
    <t>Calamina 0.35*1000mm F- 1412</t>
  </si>
  <si>
    <t>Calamina 0.35*1000mm F- 1415</t>
  </si>
  <si>
    <t>Calamina 0.35*1000mm F- 1416</t>
  </si>
  <si>
    <t>Calamina 0.35*1000mm F- 1431</t>
  </si>
  <si>
    <t>Calamina 0.35*1000mm F- 1432</t>
  </si>
  <si>
    <t>Calamina 0.35*1000mm F- 1435</t>
  </si>
  <si>
    <t>Calamina 0.35*1000mm F- 1436</t>
  </si>
  <si>
    <t>Calamina 0.35*1000mm F- 1438</t>
  </si>
  <si>
    <t>Calamina 0.35*1000mm F- 1439</t>
  </si>
  <si>
    <t>Calamina 0.35*1000mm F- 1440</t>
  </si>
  <si>
    <t>Calamina 0.35*1000mm F- 1442</t>
  </si>
  <si>
    <t>Calamina 0.35*1000mm F- 1441</t>
  </si>
  <si>
    <t>Calamina 0.35*1000mm F- 1443</t>
  </si>
  <si>
    <t>Calamina 0.35*1000mm F- 1445</t>
  </si>
  <si>
    <t>Calamina 0.35*1000mm F- 1447</t>
  </si>
  <si>
    <t>Calamina 0.35*1000mm F- 1448</t>
  </si>
  <si>
    <t>Calamina 0.35*1000mm F- 1452</t>
  </si>
  <si>
    <t>Calamina 0.35*1000mm F- 1453</t>
  </si>
  <si>
    <t>Calamina 0.35*1000mm F- 1454</t>
  </si>
  <si>
    <t>Calamina 0.35*1000mm F- 1456</t>
  </si>
  <si>
    <t>Calamina 0.35*1000mm F- 1457</t>
  </si>
  <si>
    <t>Calamina 0.35*1000mm  F- 1458</t>
  </si>
  <si>
    <t>Calamina 0.35*1000mm  F- 1459</t>
  </si>
  <si>
    <t>Calamina 0.35*1000mm  F- 1460</t>
  </si>
  <si>
    <t>Calamina 0.35*1000mm  F- 1462</t>
  </si>
  <si>
    <t>Calamina 0.35*1000mm  F- 1465</t>
  </si>
  <si>
    <t>Calamina 0.35*1000mm  F- 1467</t>
  </si>
  <si>
    <t>Calamina 0.35*1000mm  F- 1468</t>
  </si>
  <si>
    <t>Calamina 0.35*1000mm  F- 1470</t>
  </si>
  <si>
    <t>Calamina 0.35*1000mm F- 1473</t>
  </si>
  <si>
    <t>Calamina 0.35*1000mm  F- 1477</t>
  </si>
  <si>
    <t>Calamina 0.35*1000mm F- 1478</t>
  </si>
  <si>
    <t>Calamina 0.35*1000mm F- 1479</t>
  </si>
  <si>
    <t>Calamina 0.35*1000mm F- 1483</t>
  </si>
  <si>
    <t>Calamina 0.35*1000mm F- 1484</t>
  </si>
  <si>
    <t>Calamina 0.35*1000mm F- 1486</t>
  </si>
  <si>
    <t>Calamina 0.35*1000mm F- 1487</t>
  </si>
  <si>
    <t>Calamina 0.35*1000mm F- 1488</t>
  </si>
  <si>
    <t>Calamina 0.35*1000mm F- 1491</t>
  </si>
  <si>
    <t>Calamina 0.35*1000mm  F- 1492</t>
  </si>
  <si>
    <t>Calamina 0.35*1000mm  F- 1493</t>
  </si>
  <si>
    <t>Calamina 0.35*1000mm  F- 1498</t>
  </si>
  <si>
    <t>Calamina 0.35*1000mm  F- 1500</t>
  </si>
  <si>
    <t>Calamina 0.35*1000mm  F- 1501</t>
  </si>
  <si>
    <t>Calamina 0.35*1000mm F- 1507</t>
  </si>
  <si>
    <t>Venta Calamina  0.35*1000mm RAL2009 F- 1505</t>
  </si>
  <si>
    <t>Calamina 0.35*1000mm  F- 1506</t>
  </si>
  <si>
    <t>Calamina 0.35*1000mm F- 1508</t>
  </si>
  <si>
    <t>Venta Calamina  0.35*1000mm RAL2009 F- 1509</t>
  </si>
  <si>
    <t>Venta tirafondos 63*76.2 c/gomas F- 1509</t>
  </si>
  <si>
    <t>Calamina 0.35*1000mm  F- 1510</t>
  </si>
  <si>
    <t>Calamina 0.35*1000mm  F- 1511</t>
  </si>
  <si>
    <t>Venta Calamina  0.35*1000mm RAL2009 F- 1512</t>
  </si>
  <si>
    <t>Venta tirafondos 63*63.5 c/gomas F- 1502</t>
  </si>
  <si>
    <t>Venta tirafondos 63*63.5 c/gomas F- 1513</t>
  </si>
  <si>
    <t>Venta Calamina 0.40*1000mm RAL2009 F- 1514</t>
  </si>
  <si>
    <t>Venta tirafondos 63*76.2 c/gomas F- 1514</t>
  </si>
  <si>
    <t>Venta tirafondos 63*76.2 c/gomas F- 1515</t>
  </si>
  <si>
    <t>Venta Calamina  0.35*1000mm RAL2009 F- 1516</t>
  </si>
  <si>
    <t>Calamina 0.35*1000mm  F- 1517</t>
  </si>
  <si>
    <t>Venta tirafondos 63*76.2 c/gomas F- 1518</t>
  </si>
  <si>
    <t>Calamina 0.35*1000mm  F- 1519</t>
  </si>
  <si>
    <t>Calamina 0.35*1000mm  F- 1520</t>
  </si>
  <si>
    <t>Calamina 0.35*1000mm  F- 1521</t>
  </si>
  <si>
    <t>Calamina 0.35*1000mm  F- 1522</t>
  </si>
  <si>
    <t>Venta tirafondos 63*76.2 c/gomas F- 1523</t>
  </si>
  <si>
    <t>Calamina 0.35*1000mm  F- 1524</t>
  </si>
  <si>
    <t>Calamina 0.35*1000mm  F- 1525</t>
  </si>
  <si>
    <t>Venta Calamina  0.35*1000mm RAL2009 F- 1526</t>
  </si>
  <si>
    <t>Calamina 0.35*1000mm  F- 1527</t>
  </si>
  <si>
    <t>Venta tirafondos 63*76.2 c/gomas F- 1528</t>
  </si>
  <si>
    <t>Calamina 0.35*1000mm  F- 1529</t>
  </si>
  <si>
    <t>Calamina 0.35*1000mm  F- 1530</t>
  </si>
  <si>
    <t>Calamina 0.35*1000mm  F- 1531</t>
  </si>
  <si>
    <t>Calamina 0.35*1000mm  F- 1532</t>
  </si>
  <si>
    <t>Venta tirafondos 63*76.2 c/gomas F- 1533</t>
  </si>
  <si>
    <t>Venta Calamina  0.35x1000mm SEA BLUE F- 1534</t>
  </si>
  <si>
    <t>Venta Calamina  0.35*1000mm RAL2009 F- 1535</t>
  </si>
  <si>
    <t>Calamina 0.35*1000mm  F- 1536</t>
  </si>
  <si>
    <t>Calamina 0.35*1000mm  F- 1537</t>
  </si>
  <si>
    <t>Calamina 0.35*1000mm  F- 1538</t>
  </si>
  <si>
    <t>Venta Calamina  0.35*1000mm RAL2009 F- 1539</t>
  </si>
  <si>
    <t>Calamina 0.35*1000mm  F- 1539</t>
  </si>
  <si>
    <t>Calamina 0.35*1000mm  F- 1540</t>
  </si>
  <si>
    <t>Venta tirafondos 63*76.2 c/gomas F- 1541</t>
  </si>
  <si>
    <t>Calamina 0.35*1000mm  F- 1542</t>
  </si>
  <si>
    <t>Venta Calamina  0.35*1000mm RAL2009 F- 1543</t>
  </si>
  <si>
    <t>Calamina 0.35*1000mm  F- 1544</t>
  </si>
  <si>
    <t>Venta Calamina  0.35x1000mm SEA BLUE F- 1545</t>
  </si>
  <si>
    <t xml:space="preserve">Venta Calamina  0.35*1000mm RAL2009 F-1546 </t>
  </si>
  <si>
    <t>Venta tirafondos 63*63.5 c/gomas F- 1546</t>
  </si>
  <si>
    <t>Calamina 0.35*1000mm  F- 1547</t>
  </si>
  <si>
    <t>Venta Calamina  0.35x1000mm SEA BLUE F- 1548</t>
  </si>
  <si>
    <t>Calamina 0.35*1000mm  F- 1549</t>
  </si>
  <si>
    <t>Calamina 0.35*1000mm  F- 1550</t>
  </si>
  <si>
    <t>Calamina 0.35*1000mm  F- 1551</t>
  </si>
  <si>
    <t>Calamina 0.35*1000mm  F- 1552</t>
  </si>
  <si>
    <t>Calamina 0.35*1000mm  F- 1553</t>
  </si>
  <si>
    <t>Calamina 0.35*1000mm  F- 1554</t>
  </si>
  <si>
    <t>Venta tirafondos 63*76.2 c/gomas F- 1554</t>
  </si>
  <si>
    <t>Venta Calamina  0.35*1000mm RAL2009 F- 1556</t>
  </si>
  <si>
    <t>Venta Calamina  0.35*1000mm RAL2009 F- 1557</t>
  </si>
  <si>
    <t>Venta tirafondos 63*76.2 c/gomas F- 1558</t>
  </si>
  <si>
    <t>Calamina 0.35*1000mm  F- 1555</t>
  </si>
  <si>
    <t>Calamina 0.35*1000mm  F- 1559</t>
  </si>
  <si>
    <t>Calamina 0.35*1000mm  F- 1560</t>
  </si>
  <si>
    <t>Calamina 0.35*1000mm  F- 1561</t>
  </si>
  <si>
    <t>Venta Calamina Galvanizada F- 1562</t>
  </si>
  <si>
    <t>Calamina 0.35*1000mm  F- 1563</t>
  </si>
  <si>
    <t>Venta Calamina  0.35x1000mm SEA BLUE F- 1564</t>
  </si>
  <si>
    <t>Venta Calamina  0.35*1000mm RAL2009 F- 1564</t>
  </si>
  <si>
    <t>Venta tirafondos 63*76.2 c/gomas F- 1565</t>
  </si>
  <si>
    <t>Calamina 0.35*1000mm  F- 1566</t>
  </si>
  <si>
    <t>Venta Calamina  0.35*1000mm RAL2009 F- 1567</t>
  </si>
  <si>
    <t>Calamina 0.35*1000mm  F- 1568</t>
  </si>
  <si>
    <t>Calamina 0.35*1000mm  F- 1569</t>
  </si>
  <si>
    <t>Calamina 0.35*1000mm  F- 1570</t>
  </si>
  <si>
    <t>Calamina 0.35*1000mm  F- 1571</t>
  </si>
  <si>
    <t>Calamina 0.35*1000mm  F- 1572</t>
  </si>
  <si>
    <t>Calamina 0.35*1000mm  F- 1573</t>
  </si>
  <si>
    <t>Calamina 0.35*1000mm  F- 1574</t>
  </si>
  <si>
    <t>Venta tirafondos 63*76.2 c/gomas F- 1575</t>
  </si>
  <si>
    <t>Calamina 0.35*1000mm  F- 1576</t>
  </si>
  <si>
    <t>Calamina 0.35*1000mm  F- 1577</t>
  </si>
  <si>
    <t xml:space="preserve">Venta Calamina  0.35*1000mm RAL2009 F-1578 </t>
  </si>
  <si>
    <t>Venta Calamina  0.35*1000mm RAL2009 F- 1579</t>
  </si>
  <si>
    <t>Venta Calamina  0.35*1000mm RAL2009 F- 1580</t>
  </si>
  <si>
    <t>Venta tirafondos 63*63.5 c/gomas F- 1581</t>
  </si>
  <si>
    <t>Venta Calamina  0.35*1000mm RAL2009 F- 1582</t>
  </si>
  <si>
    <t>Calamina 0.35*1000mm  F- 1583</t>
  </si>
  <si>
    <t>Calamina 0.35*1000mm  F- 1584</t>
  </si>
  <si>
    <t>Calamina 0.35*1000mm  F- 1585</t>
  </si>
  <si>
    <t>Calamina 0.35*1000mm  F- 1586</t>
  </si>
  <si>
    <t>Venta Calamina  0.35*1000mm RAL2009 F- 1587</t>
  </si>
  <si>
    <t>Venta Calamina  0.35*1000mm RAL2009 F- 1588</t>
  </si>
  <si>
    <t>ANULADA F- 1589</t>
  </si>
  <si>
    <t>Calamina 0.35*1000mm  F- 1591</t>
  </si>
  <si>
    <t>Venta Calamina  0.35*1000mm RAL2009 F- 1592</t>
  </si>
  <si>
    <t>Calamina 0.35*1000mm  F- 1593</t>
  </si>
  <si>
    <t>Venta Calamina  0.35*1000mm RAL2009 F- 1594</t>
  </si>
  <si>
    <t>Calamina 0.35*1000mm  F- 1595</t>
  </si>
  <si>
    <t>Venta tirafondos 63*76.2 c/gomas F- 1596</t>
  </si>
  <si>
    <t>Venta tirafondos 63*76.2 c/gomas F- 1597</t>
  </si>
  <si>
    <t>Venta Calamina  0.35x1000mm SEA BLUE F- 1598</t>
  </si>
  <si>
    <t>Venta tirafondos 63*76.2 c/gomas F- 1599</t>
  </si>
  <si>
    <t>Calamina 0.35*1000mm  F- 1600</t>
  </si>
  <si>
    <t>Calamina 0.35*1000mm  F- 1601</t>
  </si>
  <si>
    <t>Calamina 0.35*1000mm  F- 1602</t>
  </si>
  <si>
    <t>Venta Calamina  0.35*1000mm RAL2009 F- 1603</t>
  </si>
  <si>
    <t>Calamina 0.35*1000mm  F- 1604</t>
  </si>
  <si>
    <t>Venta Calamina  0.35*1000mm RAL2009 F- 1605</t>
  </si>
  <si>
    <t>Venta Calamina  0.35*1000mm RAL2009 F- 1607</t>
  </si>
  <si>
    <t>Venta Calamina  0.35*1000mm RAL2009 F- 1606</t>
  </si>
  <si>
    <t>Calamina 0.35*1000mm  F- 1608</t>
  </si>
  <si>
    <t>Calamina 0.35*1000mm  F- 1609</t>
  </si>
  <si>
    <t>Calamina 0.35*1000mm  F- 1610</t>
  </si>
  <si>
    <t>Venta tirafondos 63*76.2 c/gomas F- 1611</t>
  </si>
  <si>
    <t>Venta Calamina  0.35*1000mm RAL2009 F- 1612</t>
  </si>
  <si>
    <t>Calamina 0.35*1000mm  F- 1612</t>
  </si>
  <si>
    <t>Calamina 0.35*1000mm  F- 1613</t>
  </si>
  <si>
    <t>Venta tirafondos 63*76.2 c/gomas F- 1614</t>
  </si>
  <si>
    <t>Calamina 0.35*1000mm  F- 1615</t>
  </si>
  <si>
    <t>Venta Calamina  0.35*1000mm RAL2009 F- 1616</t>
  </si>
  <si>
    <t>Calamina 0.35*1000mm  F- 1617</t>
  </si>
  <si>
    <t>Venta Calamina  0.35*1000mm RAL2009 F- 1618</t>
  </si>
  <si>
    <t>Venta Calamina  0.35x1000mm SEA BLUE F- 1619</t>
  </si>
  <si>
    <t>ANULADA  F- 1618</t>
  </si>
  <si>
    <t>Calamina 0.35*1000mm  F- 1621</t>
  </si>
  <si>
    <t xml:space="preserve">Venta tirafondos 63*76.2 c/gomas F-1622 </t>
  </si>
  <si>
    <t>Calamina 0.35*1000mm  F- 1623</t>
  </si>
  <si>
    <t>Venta tirafondos 63*76.2 c/gomas F- 1624</t>
  </si>
  <si>
    <t>Calamina 0.35*1000mm  F- 1625</t>
  </si>
  <si>
    <t>Calamina 0.35*1000mm  F- 1626</t>
  </si>
  <si>
    <t>Calamina 0.35*1000mm  F- 1627</t>
  </si>
  <si>
    <t>Calamina 0.35*1000mm  F- 1628</t>
  </si>
  <si>
    <t>Calamina 0.35*1000mm  F- 1629</t>
  </si>
  <si>
    <t>Venta Calamina  0.35x1000mm SEA BLUE F- 1630</t>
  </si>
  <si>
    <t>Calamina 0.35*1000mm  F- 1631</t>
  </si>
  <si>
    <t>Calamina 0.35*1000mm  F- 1632</t>
  </si>
  <si>
    <t xml:space="preserve">Calamina 0.35*1000mm  F-1633 </t>
  </si>
  <si>
    <t>ANULADA F- 1634</t>
  </si>
  <si>
    <t>Calamina 0.35*1000mm  F- 1635</t>
  </si>
  <si>
    <t>Venta Calamina  0.35*1000mm RAL2009 F- 1637</t>
  </si>
  <si>
    <t>Venta tirafondos 63*63.5 c/gomas F- 1637</t>
  </si>
  <si>
    <t>ANULADA  F- 1638</t>
  </si>
  <si>
    <t>Venta Calamina  0.35*1000mm RAL2009 F- 1639</t>
  </si>
  <si>
    <t>Venta Calamina 0.40*1000mm RAL2009 F- 1640</t>
  </si>
  <si>
    <t>Venta tirafondos 63*76.2 c/gomas F- 1641</t>
  </si>
  <si>
    <t>Calamina 0.35*1000mm  F- 1642</t>
  </si>
  <si>
    <t>Calamina 0.35*1000mm  F- 1643</t>
  </si>
  <si>
    <t>Venta tirafondos 63*63.5 c/gomas F- 1644</t>
  </si>
  <si>
    <t>Venta tirafondos 63*63.5 c/gomas F- 1645</t>
  </si>
  <si>
    <t>Venta Calamina Galvanizada F- 1646</t>
  </si>
  <si>
    <t>Calamina 0.35*1000mm  F- 1647</t>
  </si>
  <si>
    <t>Calamina 0.35*1000mm  F- 1648</t>
  </si>
  <si>
    <t>Calamina 0.35*1000mm  F- 1649</t>
  </si>
  <si>
    <t>Calamina 0.35*1000mm  F- 1650</t>
  </si>
  <si>
    <t>Venta Calamina  0.35*1000mm RAL2009 F- 1651</t>
  </si>
  <si>
    <t>Calamina 0.35*1000mm  F- 1652</t>
  </si>
  <si>
    <t>Venta tirafondos 63*63.5 c/gomas F- 1653</t>
  </si>
  <si>
    <t>Venta tirafondos 63*76.2 c/gomas F- 1654</t>
  </si>
  <si>
    <t>Venta tirafondos 63*63.5 c/gomas F- 1655</t>
  </si>
  <si>
    <t>Venta tirafondos 63*76.2 c/gomas F- 1656</t>
  </si>
  <si>
    <t>Calamina 0.35*1000mm  F- 1657</t>
  </si>
  <si>
    <t>Calamina 0.35*1000mm  F- 1658</t>
  </si>
  <si>
    <t>Calamina 0.35*1000mm  F- 1659</t>
  </si>
  <si>
    <t>Calamina 0.35*1000mm  F- 1660</t>
  </si>
  <si>
    <t>Calamina 0.35*1000mm  F- 1661</t>
  </si>
  <si>
    <t>Calamina 0.35*1000mm  F- 1662</t>
  </si>
  <si>
    <t>Calamina 0.35*1000mm  F- 1663</t>
  </si>
  <si>
    <t>Venta Calamina 0.40*1000mm RAL2009 F- 1664</t>
  </si>
  <si>
    <t>Calamina 0.35*1000mm  F- 1665</t>
  </si>
  <si>
    <t>Venta tirafondos 63*76.2 c/gomas F- 1666</t>
  </si>
  <si>
    <t>Calamina 0.35*1000mm  F- 1667</t>
  </si>
  <si>
    <t>ANULADA  F- 1336</t>
  </si>
  <si>
    <t>Calamina 0.35*1000mm  F- 1668</t>
  </si>
  <si>
    <t>Calamina 0.35*1000mm  F- 1669</t>
  </si>
  <si>
    <t>Venta tirafondos 63*63.5 c/gomas F- 1670</t>
  </si>
  <si>
    <t>Venta tirafondos 63*63.5 c/gomas F- 1671</t>
  </si>
  <si>
    <t>Calamina 0.35*1000mm  F- 1671</t>
  </si>
  <si>
    <t>Venta tirafondos 63*63.5 c/gomas F- 1672</t>
  </si>
  <si>
    <t>Calamina 0.35*1000mm  F- 1673</t>
  </si>
  <si>
    <t>Venta Calamina  0.35*1000mm RAL2009 F- 1674</t>
  </si>
  <si>
    <t>Venta tirafondos 63*63.5 c/gomas F- 1674</t>
  </si>
  <si>
    <t>Venta tirafondos 63*76.2 c/gomas F- 1675</t>
  </si>
  <si>
    <t>Venta Calamina  0.35*1000mm RAL2009 F- 1676</t>
  </si>
  <si>
    <t>Venta Calamina  0.35*1000mm RAL2009 F- 1677</t>
  </si>
  <si>
    <t>Calamina 0.35*1000mm  F- 1678</t>
  </si>
  <si>
    <t>ANULADA  F- 1679</t>
  </si>
  <si>
    <t>Calamina 0.35*1000mm  F- 1680</t>
  </si>
  <si>
    <t>Venta tirafondos 63*76.2 c/gomas F- 1681</t>
  </si>
  <si>
    <t>Venta tirafondos 63*76.2 c/gomas F- 1682</t>
  </si>
  <si>
    <t>Calamina 0.35*1000mm  F- 1683</t>
  </si>
  <si>
    <t>Calamina 0.35*1000mm  F- 1684</t>
  </si>
  <si>
    <t>Venta Calamina  0.35x1000mm SEA BLUE F- 1685</t>
  </si>
  <si>
    <t>Venta Calamina  0.35*1000mm RAL2009 F- 1686</t>
  </si>
  <si>
    <t>Calamina 0.35*1000mm  F- 1687</t>
  </si>
  <si>
    <t>Calamina 0.35*1000mm  F- 1688</t>
  </si>
  <si>
    <t>Venta Calamina  0.35*1000mm RAL2009 F- 1689</t>
  </si>
  <si>
    <t>Venta Calamina Galvanizada F- 1690</t>
  </si>
  <si>
    <t>Venta Calamina  0.35*1000mm RAL2009 F- 1691</t>
  </si>
  <si>
    <t>Calamina 0.35*1000mm  F- 1692</t>
  </si>
  <si>
    <t>Calamina 0.35*1000mm  F- 1693</t>
  </si>
  <si>
    <t>Calamina 0.35*1000mm  F- 1694</t>
  </si>
  <si>
    <t>Venta Calamina  0.35x1000mm SEA BLUE F- 1695</t>
  </si>
  <si>
    <t>Calamina 0.35*1000mm  F- 1696</t>
  </si>
  <si>
    <t>Calamina 0.35*1000mm  F- 1697</t>
  </si>
  <si>
    <t>Venta tirafondos 63*63.5 c/gomas F- 1698</t>
  </si>
  <si>
    <t>Calamina 0.35*1000mm  F- 1699</t>
  </si>
  <si>
    <t>Venta Calamina Galvanizada F- 1700</t>
  </si>
  <si>
    <t>Calamina 0.35*1000mm  F- 1701</t>
  </si>
  <si>
    <t xml:space="preserve">ANULADA F-1702 </t>
  </si>
  <si>
    <t>Venta Calamina  0.35*1000mm RAL2009 F- 1703</t>
  </si>
  <si>
    <t>Venta Calamina  0.35*1000mm RAL2009 F- 1705</t>
  </si>
  <si>
    <t>Calamina 0.35*1000mm  F- 1704</t>
  </si>
  <si>
    <t>Calamina 0.35*1000mm  F- 1706</t>
  </si>
  <si>
    <t>ANULADA  F- 1707</t>
  </si>
  <si>
    <t>Calamina 0.35*1000mm  F- 1708</t>
  </si>
  <si>
    <t>Calamina 0.35*1000mm  F- 1709</t>
  </si>
  <si>
    <t>Calamina 0.35*1000mm  F- 1710</t>
  </si>
  <si>
    <t>Venta Calamina Galvanizada F- 1710</t>
  </si>
  <si>
    <t>Calamina 0.35*1000mm  F- 1711</t>
  </si>
  <si>
    <t>Calamina 0.35*1000mm  F- 1712</t>
  </si>
  <si>
    <t>Venta tirafondos 63*63.5 c/gomas F- 1712</t>
  </si>
  <si>
    <t>Calamina 0.35*1000mm  F- 1713</t>
  </si>
  <si>
    <t>Venta Calamina Galvanizada F- 1713</t>
  </si>
  <si>
    <t>Calamina 0.35*1000mm  F- 1714</t>
  </si>
  <si>
    <t>Calamina 0.35*1000mm  F- 1715</t>
  </si>
  <si>
    <t>Venta tirafondos 63*76.2 c/gomas F- 1716</t>
  </si>
  <si>
    <t>Calamina 0.35*1000mm  F- 1717</t>
  </si>
  <si>
    <t>Venta Calamina  0.35*1000mm RAL2009 F- 1718</t>
  </si>
  <si>
    <t>Venta Calamina  0.35*1000mm RAL2009 F- 1719</t>
  </si>
  <si>
    <t>Venta tirafondos 63*63.5 c/gomas F- 1719</t>
  </si>
  <si>
    <t>Venta Calamina  0.35*1000mm RAL2009 F- 1720</t>
  </si>
  <si>
    <t>Calamina 0.35*1000mm  F- 1721</t>
  </si>
  <si>
    <t>Calamina 0.35*1000mm  F- 1722</t>
  </si>
  <si>
    <t>Calamina 0.35*1000mm  F- 1723</t>
  </si>
  <si>
    <t>Calamina 0.35*1000mm  F- 1724</t>
  </si>
  <si>
    <t>Venta tirafondos 63*63.5 c/gomas F- 1724</t>
  </si>
  <si>
    <t>Calamina 0.35*1000mm  F- 1725</t>
  </si>
  <si>
    <t>Calamina 0.35*1000mm  F- 1726</t>
  </si>
  <si>
    <t>Calamina 0.35*1000mm  F- 1727</t>
  </si>
  <si>
    <t>Calamina 0.35*1000mm  F- 1728</t>
  </si>
  <si>
    <t>Calamina 0.35*1000mm  F- 1729</t>
  </si>
  <si>
    <t>ANULADA  F- 1730</t>
  </si>
  <si>
    <t>Calamina 0.35*1000mm  F- 1731</t>
  </si>
  <si>
    <t>Calamina 0.35*1000mm  F- 1732</t>
  </si>
  <si>
    <t>Venta tirafondos 63*76.2 c/gomas F- 1733</t>
  </si>
  <si>
    <t>Calamina 0.35*1000mm  F- 1734</t>
  </si>
  <si>
    <t xml:space="preserve">Calamina 0.35*1000mm  F-1735 </t>
  </si>
  <si>
    <t>Calamina 0.35*1000mm  F- 1736</t>
  </si>
  <si>
    <t>Calamina 0.35*1000mm  F- 1737</t>
  </si>
  <si>
    <t>Calamina 0.35*1000mm  F- 1738</t>
  </si>
  <si>
    <t>Venta Calamina 0.40*1000mm RAL2009 F- 1738</t>
  </si>
  <si>
    <t>Calamina 0.35*1000mm  F- 1739</t>
  </si>
  <si>
    <t>Calamina 0.35*1000mm  F- 1740</t>
  </si>
  <si>
    <t>Calamina 0.35*1000mm  F- 1741</t>
  </si>
  <si>
    <t>Calamina 0.35*1000mm  F- 1742</t>
  </si>
  <si>
    <t>Calamina 0.35*1000mm  F- 1743</t>
  </si>
  <si>
    <t>Venta tirafondos 63*76.2 c/gomas F- 1744</t>
  </si>
  <si>
    <t>Venta Calamina  0.35x1000mm SEA BLUE F- 1745</t>
  </si>
  <si>
    <t>Venta Calamina  0.35*1000mm RAL2009 F- 1746</t>
  </si>
  <si>
    <t>Calamina 0.35*1000mm  F- 1747</t>
  </si>
  <si>
    <t>Calamina 0.35*1000mm  F- 1748</t>
  </si>
  <si>
    <t>Calamina 0.35*1000mm  F- 1749</t>
  </si>
  <si>
    <t>Calamina 0.35*1000mm  F- 1750</t>
  </si>
  <si>
    <t xml:space="preserve">Calamina 0.35*1000mm  F-1751 </t>
  </si>
  <si>
    <t xml:space="preserve">Calamina 0.35*1000mm  F-1752 </t>
  </si>
  <si>
    <t xml:space="preserve">Calamina 0.35*1000mm  F-1753 </t>
  </si>
  <si>
    <t>Calamina 0.35*1000mm  F- 1754</t>
  </si>
  <si>
    <t>Venta Calamina  0.35*1000mm RAL2009 F- 1755</t>
  </si>
  <si>
    <t>Calamina 0.35*1000mm  F- 1756</t>
  </si>
  <si>
    <t>Calamina 0.35*1000mm  F- 1757</t>
  </si>
  <si>
    <t>Venta Calamina Galvanizada F- 1758</t>
  </si>
  <si>
    <t>Venta Calamina Galvanizada F- 1759</t>
  </si>
  <si>
    <t>Venta tirafondos 63*63.5 c/gomas F- 1759</t>
  </si>
  <si>
    <t>Calamina 0.35*1000mm  F- 1760</t>
  </si>
  <si>
    <t>Calamina 0.35*1000mm  F- 1761</t>
  </si>
  <si>
    <t>Calamina 0.35*1000mm  F- 1762</t>
  </si>
  <si>
    <t>Venta Calamina Galvanizada F- 1763</t>
  </si>
  <si>
    <t>Calamina 0.35*1000mm  F- 1764</t>
  </si>
  <si>
    <t>Venta Calamina  0.35*1000mm RAL2009 F- 1771</t>
  </si>
  <si>
    <t xml:space="preserve">Venta tirafondos 63*76.2 c/gomas F-1772 </t>
  </si>
  <si>
    <t>Calamina 0.35*1000mm  F- 1773</t>
  </si>
  <si>
    <t>Calamina 0.35*1000mm  F- 1774</t>
  </si>
  <si>
    <t>Venta Calamina  0.35*1000mm RAL2009 F- 1775</t>
  </si>
  <si>
    <t>Venta Calamina  0.35*1000mm RAL2009 F- 1776</t>
  </si>
  <si>
    <t>Venta Calamina Galvanizada F- 1777</t>
  </si>
  <si>
    <t>Calamina 0.35*1000mm  F- 1778</t>
  </si>
  <si>
    <t>Venta Calamina  0.35x1000mm SEA BLUE F- 1780</t>
  </si>
  <si>
    <t xml:space="preserve"> Calamina 0.35*1000mm F- 1768</t>
  </si>
  <si>
    <t xml:space="preserve"> Calamina 0.35*1000mm F- 1769</t>
  </si>
  <si>
    <t>Calamina  0.35*1000mm F- 1766</t>
  </si>
  <si>
    <t>Calamina  0.35*1000mm  F- 1767</t>
  </si>
  <si>
    <t xml:space="preserve"> Venta Calamina  0.35*1000mm RAL2009F- 1765</t>
  </si>
  <si>
    <t>Calamina  0.35*1000mm F- 1770</t>
  </si>
  <si>
    <t>Calamina 0.35*1000mm  F- 1779</t>
  </si>
  <si>
    <t>Calamina 0.35*1000mm  F- 1781</t>
  </si>
  <si>
    <t>Calamina 0.35*1000mm  F- 1782</t>
  </si>
  <si>
    <t>Calamina 0.35*1000mm  F- 1783</t>
  </si>
  <si>
    <t>ANULADA  F- 1784</t>
  </si>
  <si>
    <t>Venta Calamina Galvanizada F- 1785</t>
  </si>
  <si>
    <t>Calamina 0.35*1000mm  F- 1786</t>
  </si>
  <si>
    <t>Calamina 0.35*1000mm  F- 1787</t>
  </si>
  <si>
    <t>Venta tirafondos 63*63.5 c/gomas F- 1787</t>
  </si>
  <si>
    <t>Calamina 0.35*1000mm  F- 1788</t>
  </si>
  <si>
    <t>Venta Calamina  0.35*1000mm RAL2009 F- 1789</t>
  </si>
  <si>
    <t>Venta tirafondos 63*63.5 c/gomas F- 1789</t>
  </si>
  <si>
    <t xml:space="preserve">Venta Calamina  0.35*1000mm RAL2009 F-1790 </t>
  </si>
  <si>
    <t>Calamina 0.35*1000mm  F- 1790</t>
  </si>
  <si>
    <t>Calamina 0.35*1000mm  F- 1791</t>
  </si>
  <si>
    <t>Calamina 0.35*1000mm  F- 1792</t>
  </si>
  <si>
    <t>Venta Calamina  0.35*1000mm RAL2009 F- 1792</t>
  </si>
  <si>
    <t>Calamina 0.35*1000mm  F- 1793</t>
  </si>
  <si>
    <t>Venta tirafondos 63*76.2 c/gomas F- 1794</t>
  </si>
  <si>
    <t>Calamina 0.35*1000mm  F- 1795</t>
  </si>
  <si>
    <t>Venta Calamina  0.35*1000mm RAL2009 F- 1796</t>
  </si>
  <si>
    <t>Calamina 0.35*1000mm  F- 1796</t>
  </si>
  <si>
    <t>Calamina 0.35*1000mm  F- 1797</t>
  </si>
  <si>
    <t>Calamina 0.35*1000mm  F- 1798</t>
  </si>
  <si>
    <t>Calamina 0.35*1000mm  F- 1799</t>
  </si>
  <si>
    <t>Calamina 0.35*1000mm  F- 1800</t>
  </si>
  <si>
    <t>Venta Calamina Galvanizada F- 1801</t>
  </si>
  <si>
    <t>Calamina 0.35*1000mm  F- 1802</t>
  </si>
  <si>
    <t>Calamina 0.35*1000mm  F- 1803</t>
  </si>
  <si>
    <t>Venta Calamina Galvanizada F- 1804</t>
  </si>
  <si>
    <t>Calamina 0.35*1000mm  F- 1805</t>
  </si>
  <si>
    <t>Calamina 0.35*1000mm  F- 1806</t>
  </si>
  <si>
    <t>Venta tirafondos 63*63.5 c/gomas F- 1807</t>
  </si>
  <si>
    <t>Venta tirafondos 63*76.2 c/gomas F- 1808</t>
  </si>
  <si>
    <t>Venta tirafondos 63*76.2 c/gomas F- 1809</t>
  </si>
  <si>
    <t>Calamina 0.35*1000mm  F- 1810</t>
  </si>
  <si>
    <t>Calamina 0.35*1000mm  F- 1811</t>
  </si>
  <si>
    <t>Calamina 0.35*1000mm  F- 1812</t>
  </si>
  <si>
    <t>Calamina 0.35*1000mm  F- 1813</t>
  </si>
  <si>
    <t>Venta Calamina Galvanizada F- 1814</t>
  </si>
  <si>
    <t>Calamina 0.35*1000mm  F- 1814</t>
  </si>
  <si>
    <t>Calamina 0.35*1000mm  F- 1815</t>
  </si>
  <si>
    <t>Venta Calamina  0.35*1000mm RAL2009 F- 1816</t>
  </si>
  <si>
    <t>Calamina 0.35*1000mm  F- 1817</t>
  </si>
  <si>
    <t>Calamina 0.35*1000mm  F- 1818</t>
  </si>
  <si>
    <t>Venta tirafondos 63*63.5 c/gomas F- 1819</t>
  </si>
  <si>
    <t>Calamina 0.35*1000mm  F- 1820</t>
  </si>
  <si>
    <t>Venta Calamina  0.35x1000mm SEA BLUE F- 1821</t>
  </si>
  <si>
    <t>Venta tirafondos 63*63.5 c/gomas F- 1821</t>
  </si>
  <si>
    <t>Calamina 0.35*1000mm  F- 1822</t>
  </si>
  <si>
    <t>Calamina 0.35*1000mm  F- 1823</t>
  </si>
  <si>
    <t>Venta Calamina Galvanizada F- 1824</t>
  </si>
  <si>
    <t>Venta Calamina  0.35*1000mm RAL2009 F- 1825</t>
  </si>
  <si>
    <t>Venta Calamina  0.35*1000mm RAL2009 F- 1826</t>
  </si>
  <si>
    <t>Calamina 0.35*1000mm  F- 1827</t>
  </si>
  <si>
    <t>Venta tirafondos 63*76.2 c/gomas F- 1828</t>
  </si>
  <si>
    <t>Calamina 0.35*1000mm  F- 1829</t>
  </si>
  <si>
    <t>Venta Calamina  0.35*1000mm RAL2009 F- 1830</t>
  </si>
  <si>
    <t>Venta tirafondos 63*76.2 c/gomas F- 1831</t>
  </si>
  <si>
    <t>Calamina 0.35*1000mm  F- 1832</t>
  </si>
  <si>
    <t>Calamina 0.35*1000mm  F- 1833</t>
  </si>
  <si>
    <t>Calamina 0.35*1000mm  F- 1834</t>
  </si>
  <si>
    <t>Calamina 0.35*1000mm  F- 1835</t>
  </si>
  <si>
    <t xml:space="preserve">ANULADA F-1836 </t>
  </si>
  <si>
    <t>Calamina 0.35*1000mm  F- 1837</t>
  </si>
  <si>
    <t>Venta tirafondos 63*63.5 c/gomas F- 1837</t>
  </si>
  <si>
    <t>Calamina 0.35*1000mm  F- 1838</t>
  </si>
  <si>
    <t>Venta tirafondos 63*63.5 c/gomas F- 1838</t>
  </si>
  <si>
    <t>Venta tirafondos 63*76.2 c/gomas F- 1839</t>
  </si>
  <si>
    <t>Calamina 0.35*1000mm  F- 1840</t>
  </si>
  <si>
    <t>Venta Calamina  0.35*1000mm RAL2009 F- 1841</t>
  </si>
  <si>
    <t>Venta Calamina  0.35x1000mm SEA BLUE F- 1842</t>
  </si>
  <si>
    <t>ANULADA  F- 1843</t>
  </si>
  <si>
    <t>Calamina 0.35*1000mm  F- 1844</t>
  </si>
  <si>
    <t>Venta tirafondos 63*63.5 c/gomas F- 1844</t>
  </si>
  <si>
    <t>Calamina 0.35*1000mm  F- 1845</t>
  </si>
  <si>
    <t>Calamina 0.35*1000mm  F- 1846</t>
  </si>
  <si>
    <t>Venta Calamina 0.40*1000mm RAL2009 F- 1847</t>
  </si>
  <si>
    <t>Venta tirafondos 63*76.2 c/gomas F- 1848</t>
  </si>
  <si>
    <t>Calamina 0.35*1000mm  F- 1849</t>
  </si>
  <si>
    <t>Venta Calamina Galvanizada F- 1850</t>
  </si>
  <si>
    <t>Calamina 0.35*1000mm  F- 1851</t>
  </si>
  <si>
    <t>Calamina 0.35*1000mm  F- 1852</t>
  </si>
  <si>
    <t>Calamina 0.35*1000mm  F- 1853</t>
  </si>
  <si>
    <t>Calamina 0.35*1000mm  F- 1854</t>
  </si>
  <si>
    <t xml:space="preserve">Calamina 0.35*1000mm  F-1855 </t>
  </si>
  <si>
    <t>Calamina 0.35*1000mm  F- 1856</t>
  </si>
  <si>
    <t>Venta Calamina  0.35x1000mm SEA BLUE F- 1857</t>
  </si>
  <si>
    <t>Venta tirafondos 63*76.2 c/gomas F- 1858</t>
  </si>
  <si>
    <t>Calamina 0.35*1000mm  F- 1859</t>
  </si>
  <si>
    <t>Venta tirafondos 63*63.5 c/gomas F- 1859</t>
  </si>
  <si>
    <t>ELVA FERNANDEZ DE DELGADILLO</t>
  </si>
  <si>
    <t>NIT  3733613014</t>
  </si>
  <si>
    <t>Mercaderia:Clavos de Calamina</t>
  </si>
  <si>
    <t>Peso: kg</t>
  </si>
  <si>
    <t>VENTA CLAVOS DE CALAMINA F- 1261</t>
  </si>
  <si>
    <t>VENTA CLAVOS DE CALAMINA F- 1265</t>
  </si>
  <si>
    <t>VENTA CLAVOS DE CALAMINA F- 1268</t>
  </si>
  <si>
    <t>VENTA CLAVOS DE CALAMINA F- 1269</t>
  </si>
  <si>
    <t>ANULADA F- 1270</t>
  </si>
  <si>
    <t>VENTA CLAVOS DE CALAMINA F- 1271</t>
  </si>
  <si>
    <t>VENTA CLAVOS DE CALAMINA F- 1277</t>
  </si>
  <si>
    <t>VENTA CLAVOS DE CALAMINA F- 1291</t>
  </si>
  <si>
    <t>VENTA CLAVOS DE CALAMINA F- 1295</t>
  </si>
  <si>
    <t>VENTA CLAVOS DE CALAMINA F- 1302</t>
  </si>
  <si>
    <t>VENTA CLAVOS DE CALAMINA F- 1306</t>
  </si>
  <si>
    <t>VENTA CLAVOS DE CALAMINA F- 1312</t>
  </si>
  <si>
    <t>VENTA CLAVOS DE CALAMINA F- 1314</t>
  </si>
  <si>
    <t>VENTA CLAVOS DE CALAMINA F- 1319</t>
  </si>
  <si>
    <t>VENTA CLAVOS DE CALAMINA F- 1324</t>
  </si>
  <si>
    <t>VENTA CLAVOS DE CALAMINA F- 1333</t>
  </si>
  <si>
    <t>VENTA CLAVOS DE CALAMINA F- 1335</t>
  </si>
  <si>
    <t>VENTA CLAVOS DE CALAMINA F- 1336</t>
  </si>
  <si>
    <t>VENTA CLAVOS DE CALAMINA F- 1343</t>
  </si>
  <si>
    <t>VENTA CLAVOS DE CALAMINA F- 1347</t>
  </si>
  <si>
    <t>VENTA CLAVOS DE CALAMINA F- 1349</t>
  </si>
  <si>
    <t>VENTA CLAVOS DE CALAMINA F- 1351</t>
  </si>
  <si>
    <t>VENTA CLAVOS DE CALAMINA F- 1353</t>
  </si>
  <si>
    <t>VENTA CLAVOS DE CALAMINA F- 1354</t>
  </si>
  <si>
    <t>VENTA CLAVOS DE CALAMINA F- 1358</t>
  </si>
  <si>
    <t>VENTA CLAVOS DE CALAMINA F- 1366</t>
  </si>
  <si>
    <t>VENTA CLAVOS DE CALAMINA F- 1367</t>
  </si>
  <si>
    <t>VENTA CLAVOS DE CALAMINA F- 1368</t>
  </si>
  <si>
    <t>VENTA CLAVOS DE CALAMINA F- 1369</t>
  </si>
  <si>
    <t>VENTA CLAVOS DE CALAMINA F- 1374</t>
  </si>
  <si>
    <t>VENTA CLAVOS DE CALAMINA F- 1375</t>
  </si>
  <si>
    <t>VENTA CLAVOS DE CALAMINA F- 1384</t>
  </si>
  <si>
    <t>ANULADA F-1386</t>
  </si>
  <si>
    <t>VENTA CLAVOS DE CALAMINA F- 1387</t>
  </si>
  <si>
    <t>VENTA CLAVOS DE CALAMINA F- 1389</t>
  </si>
  <si>
    <t>VENTA CLAVOS DE CALAMINA F- 1392</t>
  </si>
  <si>
    <t>VENTA CLAVOS DE CALAMINA F- 1396</t>
  </si>
  <si>
    <t>VENTA CLAVOS DE CALAMINA F- 1397</t>
  </si>
  <si>
    <t>VENTA CLAVOS DE CALAMINA F- 1398</t>
  </si>
  <si>
    <t>VENTA CLAVOS DE CALAMINA F- 1399</t>
  </si>
  <si>
    <t>VENTA CLAVOS DE CALAMINA F- 1400</t>
  </si>
  <si>
    <t>VENTA CLAVOS DE CALAMINA F- 1401</t>
  </si>
  <si>
    <t>VENTA CLAVOS DE CALAMINA F- 1402</t>
  </si>
  <si>
    <t>VENTA CLAVOS DE CALAMINA F- 1404</t>
  </si>
  <si>
    <t>VENTA CLAVOS DE CALAMINA F- 1405</t>
  </si>
  <si>
    <t>VENTA CLAVOS DE CALAMINA F-1407</t>
  </si>
  <si>
    <t>VENTA CLAVOS DE CALAMINA F- 1409</t>
  </si>
  <si>
    <t>VENTA CLAVOS DE CALAMINA F- 1414</t>
  </si>
  <si>
    <t>VENTA CLAVOS DE CALAMINA F- 1416</t>
  </si>
  <si>
    <t>VENTA CLAVOS DE CALAMINA F- 1426</t>
  </si>
  <si>
    <t>VENTA CLAVOS DE CALAMINA F- 1429</t>
  </si>
  <si>
    <t>ANULADA F- 1439</t>
  </si>
  <si>
    <t>VENTA CLAVOS DE CALAMINA F- 1440</t>
  </si>
  <si>
    <t xml:space="preserve">VENTA CLAVOS DE CALAMINA F-1442 </t>
  </si>
  <si>
    <t>VENTA CLAVOS DE CALAMINA F- 1444</t>
  </si>
  <si>
    <t>VENTA CLAVOS DE CALAMINA F- 1446</t>
  </si>
  <si>
    <t>VENTA CLAVOS DE CALAMINA F- 1447</t>
  </si>
  <si>
    <t>VENTA CLAVOS DE CALAMINA F- 1450</t>
  </si>
  <si>
    <t>ANULADA F- 1455</t>
  </si>
  <si>
    <t>VENTA CLAVOS DE CALAMINA F- 1456</t>
  </si>
  <si>
    <t>VENTA CLAVOS DE CALAMINA F- 1467</t>
  </si>
  <si>
    <t>VENTA CLAVOS DE CALAMINA F- 1468</t>
  </si>
  <si>
    <t>VENTA CLAVOS DE CALAMINA F- 1478</t>
  </si>
  <si>
    <t>VENTA CLAVOS DE CALAMINA F- 1480</t>
  </si>
  <si>
    <t>VENTA CLAVOS DE CALAMINA F- 1481</t>
  </si>
  <si>
    <t>VENTA CLAVOS DE CALAMINA F- 1483</t>
  </si>
  <si>
    <t>VENTA CLAVOS DE CALAMINA F- 1484</t>
  </si>
  <si>
    <t>VENTA CLAVOS DE CALAMINA F- 1489</t>
  </si>
  <si>
    <t>VENTA CLAVOS DE CALAMINA F- 1492</t>
  </si>
  <si>
    <t>VENTA CLAVOS DE CALAMINA F- 1493</t>
  </si>
  <si>
    <t>VENTA CLAVOS DE CALAMINA F- 1494</t>
  </si>
  <si>
    <t>VENTA CLAVOS DE CALAMINA F- 1496</t>
  </si>
  <si>
    <t>VENTA CLAVOS DE CALAMINA F- 1501</t>
  </si>
  <si>
    <t>VENTA CLAVOS DE CALAMINA F- 1502</t>
  </si>
  <si>
    <t>VENTA CLAVOS DE CALAMINA F- 1506</t>
  </si>
  <si>
    <t>VENTA CLAVOS DE CALAMINA F- 1507</t>
  </si>
  <si>
    <t>VENTA CLAVOS DE CALAMINA F- 1513</t>
  </si>
  <si>
    <t>VENTA CLAVOS DE CALAMINA F- 1515</t>
  </si>
  <si>
    <t>VENTA CLAVOS DE CALAMINA F- 1516</t>
  </si>
  <si>
    <t>VENTA CLAVOS DE CALAMINA F- 1517</t>
  </si>
  <si>
    <t>VENTA CLAVOS DE CALAMINA F- 1522</t>
  </si>
  <si>
    <t>VENTA CLAVOS DE CALAMINA F- 1525</t>
  </si>
  <si>
    <t>VENTA CLAVOS DE CALAMINA F- 1527</t>
  </si>
  <si>
    <t>VENTA CLAVOS DE CALAMINA F- 1537</t>
  </si>
  <si>
    <t>VENTA CLAVOS DE CALAMINA F- 1540</t>
  </si>
  <si>
    <t>VENTA CLAVOS DE CALAMINA F- 1541</t>
  </si>
  <si>
    <t>VENTA CLAVOS DE CALAMINA F- 1550</t>
  </si>
  <si>
    <t>VENTA CLAVOS DE CALAMINA F- 1555</t>
  </si>
  <si>
    <t>VENTA CLAVOS DE CALAMINA F- 1557</t>
  </si>
  <si>
    <t>VENTA CLAVOS DE CALAMINA F- 1606</t>
  </si>
  <si>
    <t>VENTA CLAVOS DE CALAMINA F- 1620</t>
  </si>
  <si>
    <t>VENTA CLAVOS DE CALAMINA F- 1629</t>
  </si>
  <si>
    <t>VENTA CLAVOS DE CALAMINA F- 1638</t>
  </si>
  <si>
    <t>VENTA CLAVOS DE CALAMINA F- 1639</t>
  </si>
  <si>
    <t>VENTA CLAVOS DE CALAMINA F- 1642</t>
  </si>
  <si>
    <t>VENTA CLAVOS DE CALAMINA F- 1645</t>
  </si>
  <si>
    <t>VENTA CLAVOS DE CALAMINA F- 1646</t>
  </si>
  <si>
    <t>VENTA CLAVOS DE CALAMINA F- 1649</t>
  </si>
  <si>
    <t>VENTA CLAVOS DE CALAMINA F- 1651</t>
  </si>
  <si>
    <t>VENTA CLAVOS DE CALAMINA F- 1653</t>
  </si>
  <si>
    <t>VENTA CLAVOS DE CALAMINA F- 1657</t>
  </si>
  <si>
    <t>VENTA CLAVOS DE CALAMINA F- 1663</t>
  </si>
  <si>
    <t>VENTA CLAVOS DE CALAMINA F- 1670</t>
  </si>
  <si>
    <t xml:space="preserve">VENTA CLAVOS DE CALAMINA F-1676 </t>
  </si>
  <si>
    <t>VENTA CLAVOS DE CALAMINA F- 1678</t>
  </si>
  <si>
    <t>VENTA CLAVOS DE CALAMINA F- 1679</t>
  </si>
  <si>
    <t>VENTA CLAVOS DE CALAMINA F- 1685</t>
  </si>
  <si>
    <t>VENTA CLAVOS DE CALAMINA F- 1688</t>
  </si>
  <si>
    <t>VENTA CLAVOS DE CALAMINA F- 1689</t>
  </si>
  <si>
    <t>VENTA CLAVOS DE CALAMINA F- 1690</t>
  </si>
  <si>
    <t>VENTA CLAVOS DE CALAMINA F- 1699</t>
  </si>
  <si>
    <t>VENTA CLAVOS DE CALAMINA F- 1702</t>
  </si>
  <si>
    <t>VENTA CLAVOS DE CALAMINA F- 1703</t>
  </si>
  <si>
    <t>VENTA CLAVOS DE CALAMINA F- 1709</t>
  </si>
  <si>
    <t>VENTA CLAVOS DE CALAMINA F- 1712</t>
  </si>
  <si>
    <t>VENTA CLAVOS DE CALAMINA F- 1714</t>
  </si>
  <si>
    <t>VENTA CLAVOS DE CALAMINA F- 1720</t>
  </si>
  <si>
    <t>VENTA CLAVOS DE CALAMINA F- 1722</t>
  </si>
  <si>
    <t>VENTA CLAVOS DE CALAMINA F- 1726</t>
  </si>
  <si>
    <t>VENTA CLAVOS DE CALAMINA F- 1731</t>
  </si>
  <si>
    <t>VENTA CLAVOS DE CALAMINA F- 1733</t>
  </si>
  <si>
    <t>ANULADA F- 1737</t>
  </si>
  <si>
    <t>VENTA CLAVOS DE CALAMINA F- 1738</t>
  </si>
  <si>
    <t>VENTA CLAVOS DE CALAMINA F- 1745</t>
  </si>
  <si>
    <t>VENTA CLAVOS DE CALAMINA F- 1755</t>
  </si>
  <si>
    <t>VALORACIÓN INVENTARIO FINAL, PERCIO DE LAS FACTURAS DE COMPRAS (ULTIMAS COMPRAS) Art..9 del D.S. 24051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</si>
</sst>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.00_-;\-* #,##0.00_-;_-* &quot;-&quot;??_-;_-@_-"/>
    <numFmt numFmtId="168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u/>
      <sz val="8"/>
      <name val="Arial"/>
      <family val="2"/>
    </font>
    <font>
      <b/>
      <u/>
      <sz val="14"/>
      <name val="Arial"/>
      <family val="2"/>
    </font>
    <font>
      <sz val="8"/>
      <color theme="1"/>
      <name val="Calibri"/>
      <family val="2"/>
      <scheme val="minor"/>
    </font>
    <font>
      <b/>
      <sz val="6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 tint="4.9989318521683403E-2"/>
      <name val="Arial"/>
      <family val="2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name val="Arial"/>
      <family val="2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428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7" fillId="0" borderId="4" xfId="0" applyFont="1" applyBorder="1"/>
    <xf numFmtId="0" fontId="7" fillId="0" borderId="2" xfId="0" applyFont="1" applyBorder="1"/>
    <xf numFmtId="0" fontId="9" fillId="0" borderId="2" xfId="0" applyFont="1" applyBorder="1"/>
    <xf numFmtId="0" fontId="10" fillId="0" borderId="3" xfId="0" applyFont="1" applyBorder="1"/>
    <xf numFmtId="0" fontId="7" fillId="0" borderId="0" xfId="0" applyFont="1" applyBorder="1"/>
    <xf numFmtId="0" fontId="9" fillId="0" borderId="0" xfId="0" applyFont="1" applyBorder="1"/>
    <xf numFmtId="0" fontId="10" fillId="0" borderId="5" xfId="0" applyFont="1" applyBorder="1"/>
    <xf numFmtId="0" fontId="2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7" xfId="0" applyFont="1" applyFill="1" applyBorder="1"/>
    <xf numFmtId="14" fontId="12" fillId="0" borderId="0" xfId="0" applyNumberFormat="1" applyFont="1"/>
    <xf numFmtId="0" fontId="9" fillId="2" borderId="16" xfId="0" applyFont="1" applyFill="1" applyBorder="1"/>
    <xf numFmtId="14" fontId="11" fillId="2" borderId="12" xfId="0" applyNumberFormat="1" applyFont="1" applyFill="1" applyBorder="1"/>
    <xf numFmtId="0" fontId="11" fillId="2" borderId="16" xfId="0" applyFont="1" applyFill="1" applyBorder="1"/>
    <xf numFmtId="0" fontId="11" fillId="2" borderId="18" xfId="0" applyFont="1" applyFill="1" applyBorder="1"/>
    <xf numFmtId="4" fontId="12" fillId="0" borderId="0" xfId="0" applyNumberFormat="1" applyFont="1"/>
    <xf numFmtId="0" fontId="10" fillId="2" borderId="16" xfId="0" applyFont="1" applyFill="1" applyBorder="1"/>
    <xf numFmtId="4" fontId="9" fillId="2" borderId="16" xfId="0" applyNumberFormat="1" applyFont="1" applyFill="1" applyBorder="1" applyAlignment="1">
      <alignment horizontal="right"/>
    </xf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7" fillId="0" borderId="4" xfId="0" applyFont="1" applyBorder="1"/>
    <xf numFmtId="0" fontId="7" fillId="0" borderId="2" xfId="0" applyFont="1" applyBorder="1"/>
    <xf numFmtId="0" fontId="9" fillId="0" borderId="2" xfId="0" applyFont="1" applyBorder="1"/>
    <xf numFmtId="0" fontId="10" fillId="0" borderId="3" xfId="0" applyFont="1" applyBorder="1"/>
    <xf numFmtId="0" fontId="7" fillId="0" borderId="0" xfId="0" applyFont="1" applyBorder="1"/>
    <xf numFmtId="0" fontId="9" fillId="0" borderId="0" xfId="0" applyFont="1" applyBorder="1"/>
    <xf numFmtId="0" fontId="10" fillId="0" borderId="5" xfId="0" applyFont="1" applyBorder="1"/>
    <xf numFmtId="0" fontId="2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0" fillId="0" borderId="16" xfId="0" applyFont="1" applyBorder="1"/>
    <xf numFmtId="0" fontId="2" fillId="2" borderId="17" xfId="0" applyFont="1" applyFill="1" applyBorder="1"/>
    <xf numFmtId="14" fontId="14" fillId="2" borderId="12" xfId="0" applyNumberFormat="1" applyFont="1" applyFill="1" applyBorder="1"/>
    <xf numFmtId="0" fontId="14" fillId="0" borderId="16" xfId="0" applyFont="1" applyBorder="1"/>
    <xf numFmtId="0" fontId="14" fillId="2" borderId="16" xfId="0" applyFont="1" applyFill="1" applyBorder="1"/>
    <xf numFmtId="4" fontId="14" fillId="2" borderId="16" xfId="0" applyNumberFormat="1" applyFont="1" applyFill="1" applyBorder="1" applyAlignment="1">
      <alignment horizontal="right"/>
    </xf>
    <xf numFmtId="2" fontId="14" fillId="2" borderId="16" xfId="0" applyNumberFormat="1" applyFont="1" applyFill="1" applyBorder="1"/>
    <xf numFmtId="4" fontId="14" fillId="2" borderId="16" xfId="0" applyNumberFormat="1" applyFont="1" applyFill="1" applyBorder="1"/>
    <xf numFmtId="0" fontId="14" fillId="2" borderId="18" xfId="0" applyFont="1" applyFill="1" applyBorder="1"/>
    <xf numFmtId="4" fontId="15" fillId="0" borderId="0" xfId="0" applyNumberFormat="1" applyFont="1"/>
    <xf numFmtId="14" fontId="15" fillId="0" borderId="0" xfId="0" applyNumberFormat="1" applyFont="1"/>
    <xf numFmtId="0" fontId="16" fillId="0" borderId="0" xfId="0" applyFont="1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9" fillId="0" borderId="12" xfId="0" applyNumberFormat="1" applyFont="1" applyBorder="1"/>
    <xf numFmtId="0" fontId="9" fillId="0" borderId="14" xfId="0" applyFont="1" applyBorder="1"/>
    <xf numFmtId="0" fontId="8" fillId="2" borderId="29" xfId="0" applyFont="1" applyFill="1" applyBorder="1" applyAlignment="1">
      <alignment horizontal="center"/>
    </xf>
    <xf numFmtId="0" fontId="7" fillId="0" borderId="4" xfId="0" applyFont="1" applyBorder="1"/>
    <xf numFmtId="0" fontId="9" fillId="0" borderId="16" xfId="0" applyFont="1" applyBorder="1"/>
    <xf numFmtId="0" fontId="7" fillId="0" borderId="2" xfId="0" applyFont="1" applyBorder="1"/>
    <xf numFmtId="0" fontId="9" fillId="0" borderId="2" xfId="0" applyFont="1" applyBorder="1"/>
    <xf numFmtId="0" fontId="10" fillId="0" borderId="3" xfId="0" applyFont="1" applyBorder="1"/>
    <xf numFmtId="0" fontId="7" fillId="0" borderId="0" xfId="0" applyFont="1" applyBorder="1"/>
    <xf numFmtId="0" fontId="9" fillId="0" borderId="0" xfId="0" applyFont="1" applyBorder="1"/>
    <xf numFmtId="0" fontId="10" fillId="0" borderId="5" xfId="0" applyFont="1" applyBorder="1"/>
    <xf numFmtId="0" fontId="2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4" fontId="9" fillId="0" borderId="19" xfId="0" applyNumberFormat="1" applyFont="1" applyBorder="1"/>
    <xf numFmtId="2" fontId="9" fillId="0" borderId="16" xfId="0" applyNumberFormat="1" applyFont="1" applyBorder="1"/>
    <xf numFmtId="2" fontId="7" fillId="0" borderId="16" xfId="0" applyNumberFormat="1" applyFont="1" applyBorder="1"/>
    <xf numFmtId="0" fontId="7" fillId="0" borderId="0" xfId="0" applyFont="1"/>
    <xf numFmtId="0" fontId="2" fillId="2" borderId="17" xfId="0" applyFont="1" applyFill="1" applyBorder="1"/>
    <xf numFmtId="2" fontId="9" fillId="2" borderId="16" xfId="0" applyNumberFormat="1" applyFont="1" applyFill="1" applyBorder="1"/>
    <xf numFmtId="2" fontId="9" fillId="0" borderId="16" xfId="0" applyNumberFormat="1" applyFont="1" applyFill="1" applyBorder="1"/>
    <xf numFmtId="2" fontId="10" fillId="0" borderId="16" xfId="0" applyNumberFormat="1" applyFont="1" applyBorder="1"/>
    <xf numFmtId="2" fontId="9" fillId="0" borderId="16" xfId="1" applyNumberFormat="1" applyFont="1" applyBorder="1"/>
    <xf numFmtId="2" fontId="9" fillId="0" borderId="16" xfId="1" applyNumberFormat="1" applyFont="1" applyBorder="1" applyAlignment="1">
      <alignment horizontal="right" vertical="center" wrapText="1"/>
    </xf>
    <xf numFmtId="2" fontId="10" fillId="0" borderId="16" xfId="1" applyNumberFormat="1" applyFont="1" applyBorder="1"/>
    <xf numFmtId="2" fontId="9" fillId="0" borderId="17" xfId="0" applyNumberFormat="1" applyFont="1" applyBorder="1"/>
    <xf numFmtId="2" fontId="9" fillId="0" borderId="16" xfId="1" applyNumberFormat="1" applyFont="1" applyFill="1" applyBorder="1"/>
    <xf numFmtId="2" fontId="9" fillId="0" borderId="16" xfId="1" applyNumberFormat="1" applyFont="1" applyBorder="1" applyAlignment="1">
      <alignment horizontal="right"/>
    </xf>
    <xf numFmtId="2" fontId="10" fillId="0" borderId="18" xfId="0" applyNumberFormat="1" applyFont="1" applyBorder="1"/>
    <xf numFmtId="0" fontId="7" fillId="2" borderId="0" xfId="0" applyFont="1" applyFill="1" applyBorder="1"/>
    <xf numFmtId="0" fontId="0" fillId="0" borderId="0" xfId="0"/>
    <xf numFmtId="0" fontId="0" fillId="0" borderId="2" xfId="0" applyBorder="1"/>
    <xf numFmtId="0" fontId="3" fillId="0" borderId="2" xfId="0" applyFont="1" applyBorder="1"/>
    <xf numFmtId="0" fontId="4" fillId="0" borderId="3" xfId="0" applyFont="1" applyBorder="1"/>
    <xf numFmtId="0" fontId="0" fillId="0" borderId="0" xfId="0" applyBorder="1"/>
    <xf numFmtId="0" fontId="3" fillId="0" borderId="0" xfId="0" applyFont="1" applyBorder="1"/>
    <xf numFmtId="0" fontId="4" fillId="0" borderId="5" xfId="0" applyFont="1" applyBorder="1"/>
    <xf numFmtId="0" fontId="0" fillId="0" borderId="4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3" fontId="8" fillId="2" borderId="14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4" fontId="9" fillId="0" borderId="16" xfId="0" applyNumberFormat="1" applyFont="1" applyFill="1" applyBorder="1"/>
    <xf numFmtId="4" fontId="9" fillId="0" borderId="16" xfId="0" applyNumberFormat="1" applyFont="1" applyBorder="1"/>
    <xf numFmtId="4" fontId="7" fillId="0" borderId="16" xfId="0" applyNumberFormat="1" applyFont="1" applyBorder="1"/>
    <xf numFmtId="4" fontId="10" fillId="0" borderId="16" xfId="0" applyNumberFormat="1" applyFont="1" applyBorder="1"/>
    <xf numFmtId="4" fontId="9" fillId="0" borderId="16" xfId="0" applyNumberFormat="1" applyFont="1" applyBorder="1" applyAlignment="1">
      <alignment horizontal="right"/>
    </xf>
    <xf numFmtId="4" fontId="9" fillId="2" borderId="16" xfId="0" applyNumberFormat="1" applyFont="1" applyFill="1" applyBorder="1"/>
    <xf numFmtId="0" fontId="9" fillId="0" borderId="17" xfId="0" applyFont="1" applyBorder="1"/>
    <xf numFmtId="0" fontId="8" fillId="2" borderId="17" xfId="0" applyFont="1" applyFill="1" applyBorder="1"/>
    <xf numFmtId="4" fontId="7" fillId="0" borderId="0" xfId="0" applyNumberFormat="1" applyFont="1" applyBorder="1"/>
    <xf numFmtId="0" fontId="9" fillId="0" borderId="16" xfId="0" applyFont="1" applyBorder="1"/>
    <xf numFmtId="0" fontId="6" fillId="0" borderId="0" xfId="0" applyFont="1" applyBorder="1" applyAlignment="1"/>
    <xf numFmtId="14" fontId="7" fillId="0" borderId="16" xfId="0" applyNumberFormat="1" applyFont="1" applyBorder="1"/>
    <xf numFmtId="14" fontId="14" fillId="0" borderId="12" xfId="0" applyNumberFormat="1" applyFont="1" applyBorder="1"/>
    <xf numFmtId="2" fontId="14" fillId="0" borderId="16" xfId="0" applyNumberFormat="1" applyFont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9" fillId="0" borderId="12" xfId="0" applyNumberFormat="1" applyFont="1" applyBorder="1"/>
    <xf numFmtId="0" fontId="9" fillId="0" borderId="14" xfId="0" applyFont="1" applyBorder="1"/>
    <xf numFmtId="0" fontId="8" fillId="2" borderId="29" xfId="0" applyFont="1" applyFill="1" applyBorder="1" applyAlignment="1">
      <alignment horizontal="center"/>
    </xf>
    <xf numFmtId="0" fontId="10" fillId="0" borderId="3" xfId="0" applyFont="1" applyBorder="1"/>
    <xf numFmtId="0" fontId="10" fillId="0" borderId="5" xfId="0" applyFont="1" applyBorder="1"/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9" fillId="0" borderId="16" xfId="0" applyNumberFormat="1" applyFont="1" applyBorder="1"/>
    <xf numFmtId="0" fontId="7" fillId="0" borderId="0" xfId="0" applyFont="1"/>
    <xf numFmtId="2" fontId="9" fillId="0" borderId="16" xfId="0" applyNumberFormat="1" applyFont="1" applyFill="1" applyBorder="1"/>
    <xf numFmtId="2" fontId="10" fillId="0" borderId="16" xfId="0" applyNumberFormat="1" applyFont="1" applyBorder="1"/>
    <xf numFmtId="2" fontId="9" fillId="0" borderId="16" xfId="0" applyNumberFormat="1" applyFont="1" applyBorder="1" applyAlignment="1">
      <alignment horizontal="right" vertical="center" wrapText="1"/>
    </xf>
    <xf numFmtId="0" fontId="11" fillId="0" borderId="18" xfId="0" applyFont="1" applyBorder="1"/>
    <xf numFmtId="0" fontId="14" fillId="0" borderId="18" xfId="0" applyFont="1" applyBorder="1"/>
    <xf numFmtId="0" fontId="15" fillId="0" borderId="0" xfId="0" applyFont="1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7" fillId="0" borderId="4" xfId="0" applyFont="1" applyBorder="1"/>
    <xf numFmtId="0" fontId="7" fillId="0" borderId="2" xfId="0" applyFont="1" applyBorder="1"/>
    <xf numFmtId="0" fontId="9" fillId="0" borderId="2" xfId="0" applyFont="1" applyBorder="1"/>
    <xf numFmtId="0" fontId="7" fillId="0" borderId="0" xfId="0" applyFont="1" applyBorder="1"/>
    <xf numFmtId="0" fontId="9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/>
    <xf numFmtId="14" fontId="7" fillId="0" borderId="19" xfId="0" applyNumberFormat="1" applyFont="1" applyBorder="1"/>
    <xf numFmtId="0" fontId="7" fillId="0" borderId="16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23" xfId="0" applyFont="1" applyBorder="1"/>
    <xf numFmtId="0" fontId="7" fillId="0" borderId="14" xfId="0" applyFont="1" applyBorder="1"/>
    <xf numFmtId="0" fontId="7" fillId="0" borderId="16" xfId="0" applyFont="1" applyBorder="1" applyAlignment="1">
      <alignment horizontal="center"/>
    </xf>
    <xf numFmtId="0" fontId="7" fillId="0" borderId="27" xfId="0" applyFont="1" applyBorder="1"/>
    <xf numFmtId="0" fontId="0" fillId="0" borderId="16" xfId="0" applyBorder="1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7" fillId="0" borderId="4" xfId="0" applyFont="1" applyBorder="1"/>
    <xf numFmtId="0" fontId="7" fillId="0" borderId="2" xfId="0" applyFont="1" applyBorder="1"/>
    <xf numFmtId="0" fontId="9" fillId="0" borderId="2" xfId="0" applyFont="1" applyBorder="1"/>
    <xf numFmtId="0" fontId="7" fillId="0" borderId="0" xfId="0" applyFont="1" applyBorder="1"/>
    <xf numFmtId="0" fontId="9" fillId="0" borderId="0" xfId="0" applyFont="1" applyBorder="1"/>
    <xf numFmtId="0" fontId="2" fillId="0" borderId="0" xfId="0" applyFont="1" applyBorder="1" applyAlignment="1">
      <alignment horizontal="center"/>
    </xf>
    <xf numFmtId="2" fontId="7" fillId="0" borderId="16" xfId="0" applyNumberFormat="1" applyFont="1" applyBorder="1"/>
    <xf numFmtId="0" fontId="7" fillId="0" borderId="0" xfId="0" applyFont="1"/>
    <xf numFmtId="14" fontId="7" fillId="0" borderId="19" xfId="0" applyNumberFormat="1" applyFont="1" applyBorder="1"/>
    <xf numFmtId="0" fontId="7" fillId="0" borderId="16" xfId="0" applyFont="1" applyBorder="1"/>
    <xf numFmtId="2" fontId="7" fillId="0" borderId="18" xfId="0" applyNumberFormat="1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23" xfId="0" applyFont="1" applyBorder="1"/>
    <xf numFmtId="0" fontId="7" fillId="0" borderId="14" xfId="0" applyFont="1" applyBorder="1"/>
    <xf numFmtId="0" fontId="7" fillId="0" borderId="20" xfId="0" applyFont="1" applyBorder="1"/>
    <xf numFmtId="0" fontId="7" fillId="0" borderId="11" xfId="0" applyFont="1" applyBorder="1"/>
    <xf numFmtId="0" fontId="7" fillId="0" borderId="16" xfId="0" applyFont="1" applyBorder="1" applyAlignment="1">
      <alignment horizontal="center"/>
    </xf>
    <xf numFmtId="2" fontId="7" fillId="0" borderId="0" xfId="0" applyNumberFormat="1" applyFont="1" applyBorder="1"/>
    <xf numFmtId="2" fontId="7" fillId="0" borderId="16" xfId="0" applyNumberFormat="1" applyFont="1" applyFill="1" applyBorder="1"/>
    <xf numFmtId="2" fontId="13" fillId="0" borderId="16" xfId="0" applyNumberFormat="1" applyFont="1" applyBorder="1"/>
    <xf numFmtId="2" fontId="13" fillId="0" borderId="18" xfId="0" applyNumberFormat="1" applyFont="1" applyBorder="1"/>
    <xf numFmtId="14" fontId="9" fillId="2" borderId="12" xfId="0" applyNumberFormat="1" applyFont="1" applyFill="1" applyBorder="1"/>
    <xf numFmtId="0" fontId="14" fillId="0" borderId="14" xfId="0" applyFont="1" applyBorder="1"/>
    <xf numFmtId="2" fontId="14" fillId="0" borderId="14" xfId="0" applyNumberFormat="1" applyFont="1" applyBorder="1"/>
    <xf numFmtId="4" fontId="11" fillId="2" borderId="16" xfId="0" applyNumberFormat="1" applyFont="1" applyFill="1" applyBorder="1" applyAlignment="1">
      <alignment horizontal="right"/>
    </xf>
    <xf numFmtId="2" fontId="11" fillId="2" borderId="16" xfId="0" applyNumberFormat="1" applyFont="1" applyFill="1" applyBorder="1"/>
    <xf numFmtId="4" fontId="11" fillId="2" borderId="16" xfId="0" applyNumberFormat="1" applyFont="1" applyFill="1" applyBorder="1"/>
    <xf numFmtId="0" fontId="17" fillId="0" borderId="0" xfId="0" applyFont="1"/>
    <xf numFmtId="0" fontId="11" fillId="0" borderId="16" xfId="0" applyFont="1" applyBorder="1"/>
    <xf numFmtId="0" fontId="12" fillId="0" borderId="0" xfId="0" applyFont="1"/>
    <xf numFmtId="14" fontId="12" fillId="0" borderId="16" xfId="0" applyNumberFormat="1" applyFont="1" applyBorder="1"/>
    <xf numFmtId="4" fontId="11" fillId="0" borderId="16" xfId="0" applyNumberFormat="1" applyFont="1" applyBorder="1"/>
    <xf numFmtId="4" fontId="11" fillId="0" borderId="16" xfId="0" applyNumberFormat="1" applyFont="1" applyBorder="1" applyAlignment="1">
      <alignment horizontal="right"/>
    </xf>
    <xf numFmtId="0" fontId="12" fillId="0" borderId="16" xfId="0" applyFont="1" applyBorder="1"/>
    <xf numFmtId="14" fontId="11" fillId="0" borderId="12" xfId="0" applyNumberFormat="1" applyFont="1" applyBorder="1"/>
    <xf numFmtId="2" fontId="11" fillId="0" borderId="16" xfId="0" applyNumberFormat="1" applyFont="1" applyBorder="1"/>
    <xf numFmtId="2" fontId="11" fillId="0" borderId="16" xfId="0" applyNumberFormat="1" applyFont="1" applyBorder="1" applyAlignment="1">
      <alignment horizontal="right"/>
    </xf>
    <xf numFmtId="2" fontId="12" fillId="0" borderId="0" xfId="0" applyNumberFormat="1" applyFont="1"/>
    <xf numFmtId="43" fontId="7" fillId="0" borderId="0" xfId="0" applyNumberFormat="1" applyFont="1"/>
    <xf numFmtId="43" fontId="12" fillId="0" borderId="0" xfId="0" applyNumberFormat="1" applyFont="1"/>
    <xf numFmtId="14" fontId="12" fillId="0" borderId="19" xfId="0" applyNumberFormat="1" applyFont="1" applyBorder="1"/>
    <xf numFmtId="2" fontId="12" fillId="0" borderId="16" xfId="0" applyNumberFormat="1" applyFont="1" applyBorder="1"/>
    <xf numFmtId="2" fontId="12" fillId="0" borderId="18" xfId="0" applyNumberFormat="1" applyFont="1" applyBorder="1"/>
    <xf numFmtId="0" fontId="9" fillId="2" borderId="18" xfId="0" applyFont="1" applyFill="1" applyBorder="1"/>
    <xf numFmtId="4" fontId="13" fillId="0" borderId="0" xfId="0" applyNumberFormat="1" applyFont="1"/>
    <xf numFmtId="0" fontId="19" fillId="0" borderId="0" xfId="0" applyFont="1"/>
    <xf numFmtId="0" fontId="13" fillId="0" borderId="0" xfId="0" applyFont="1"/>
    <xf numFmtId="4" fontId="7" fillId="0" borderId="0" xfId="0" applyNumberFormat="1" applyFont="1"/>
    <xf numFmtId="0" fontId="18" fillId="0" borderId="0" xfId="0" applyFont="1" applyBorder="1"/>
    <xf numFmtId="0" fontId="20" fillId="0" borderId="0" xfId="0" applyFont="1" applyBorder="1"/>
    <xf numFmtId="0" fontId="21" fillId="0" borderId="5" xfId="0" applyFont="1" applyBorder="1"/>
    <xf numFmtId="0" fontId="20" fillId="0" borderId="0" xfId="0" applyFont="1"/>
    <xf numFmtId="4" fontId="0" fillId="0" borderId="0" xfId="0" applyNumberFormat="1"/>
    <xf numFmtId="2" fontId="0" fillId="0" borderId="0" xfId="0" applyNumberFormat="1"/>
    <xf numFmtId="14" fontId="11" fillId="0" borderId="19" xfId="0" applyNumberFormat="1" applyFont="1" applyBorder="1"/>
    <xf numFmtId="2" fontId="11" fillId="0" borderId="16" xfId="1" applyNumberFormat="1" applyFont="1" applyFill="1" applyBorder="1"/>
    <xf numFmtId="2" fontId="11" fillId="0" borderId="16" xfId="1" applyNumberFormat="1" applyFont="1" applyBorder="1" applyAlignment="1">
      <alignment horizontal="right"/>
    </xf>
    <xf numFmtId="2" fontId="11" fillId="0" borderId="16" xfId="1" applyNumberFormat="1" applyFont="1" applyBorder="1"/>
    <xf numFmtId="2" fontId="11" fillId="0" borderId="18" xfId="0" applyNumberFormat="1" applyFont="1" applyBorder="1"/>
    <xf numFmtId="2" fontId="17" fillId="0" borderId="0" xfId="0" applyNumberFormat="1" applyFont="1"/>
    <xf numFmtId="14" fontId="17" fillId="0" borderId="0" xfId="0" applyNumberFormat="1" applyFont="1"/>
    <xf numFmtId="14" fontId="13" fillId="0" borderId="16" xfId="0" applyNumberFormat="1" applyFont="1" applyBorder="1"/>
    <xf numFmtId="0" fontId="13" fillId="0" borderId="16" xfId="0" applyFont="1" applyBorder="1"/>
    <xf numFmtId="2" fontId="0" fillId="0" borderId="16" xfId="0" applyNumberFormat="1" applyBorder="1"/>
    <xf numFmtId="0" fontId="7" fillId="0" borderId="16" xfId="0" applyFont="1" applyFill="1" applyBorder="1"/>
    <xf numFmtId="43" fontId="7" fillId="0" borderId="16" xfId="0" applyNumberFormat="1" applyFont="1" applyBorder="1"/>
    <xf numFmtId="43" fontId="7" fillId="0" borderId="16" xfId="1" applyNumberFormat="1" applyFont="1" applyBorder="1"/>
    <xf numFmtId="43" fontId="7" fillId="0" borderId="0" xfId="1" applyNumberFormat="1" applyFont="1" applyBorder="1"/>
    <xf numFmtId="43" fontId="7" fillId="0" borderId="16" xfId="1" applyNumberFormat="1" applyFont="1" applyFill="1" applyBorder="1"/>
    <xf numFmtId="43" fontId="7" fillId="0" borderId="18" xfId="1" applyNumberFormat="1" applyFont="1" applyBorder="1"/>
    <xf numFmtId="43" fontId="12" fillId="0" borderId="16" xfId="0" applyNumberFormat="1" applyFont="1" applyBorder="1"/>
    <xf numFmtId="43" fontId="12" fillId="0" borderId="16" xfId="1" applyNumberFormat="1" applyFont="1" applyBorder="1"/>
    <xf numFmtId="43" fontId="12" fillId="0" borderId="18" xfId="1" applyNumberFormat="1" applyFont="1" applyBorder="1"/>
    <xf numFmtId="43" fontId="13" fillId="0" borderId="16" xfId="0" applyNumberFormat="1" applyFont="1" applyBorder="1"/>
    <xf numFmtId="43" fontId="13" fillId="0" borderId="16" xfId="1" applyNumberFormat="1" applyFont="1" applyBorder="1"/>
    <xf numFmtId="43" fontId="13" fillId="0" borderId="18" xfId="1" applyNumberFormat="1" applyFont="1" applyBorder="1"/>
    <xf numFmtId="43" fontId="13" fillId="0" borderId="0" xfId="0" applyNumberFormat="1" applyFont="1"/>
    <xf numFmtId="2" fontId="7" fillId="0" borderId="0" xfId="0" applyNumberFormat="1" applyFont="1"/>
    <xf numFmtId="0" fontId="15" fillId="0" borderId="16" xfId="0" applyFont="1" applyBorder="1"/>
    <xf numFmtId="0" fontId="11" fillId="0" borderId="30" xfId="0" applyFont="1" applyBorder="1"/>
    <xf numFmtId="0" fontId="0" fillId="0" borderId="5" xfId="0" applyBorder="1"/>
    <xf numFmtId="0" fontId="7" fillId="0" borderId="31" xfId="0" applyFont="1" applyBorder="1"/>
    <xf numFmtId="0" fontId="14" fillId="0" borderId="32" xfId="0" applyFont="1" applyFill="1" applyBorder="1"/>
    <xf numFmtId="2" fontId="7" fillId="0" borderId="32" xfId="0" applyNumberFormat="1" applyFont="1" applyBorder="1"/>
    <xf numFmtId="0" fontId="7" fillId="0" borderId="32" xfId="0" applyFont="1" applyBorder="1"/>
    <xf numFmtId="0" fontId="7" fillId="0" borderId="33" xfId="0" applyFont="1" applyBorder="1"/>
    <xf numFmtId="0" fontId="0" fillId="0" borderId="3" xfId="0" applyBorder="1"/>
    <xf numFmtId="0" fontId="22" fillId="0" borderId="0" xfId="0" applyFont="1" applyBorder="1" applyAlignment="1">
      <alignment horizontal="center"/>
    </xf>
    <xf numFmtId="0" fontId="0" fillId="0" borderId="20" xfId="0" applyBorder="1"/>
    <xf numFmtId="0" fontId="0" fillId="0" borderId="11" xfId="0" applyBorder="1"/>
    <xf numFmtId="0" fontId="0" fillId="0" borderId="23" xfId="0" applyBorder="1"/>
    <xf numFmtId="0" fontId="0" fillId="0" borderId="14" xfId="0" applyBorder="1"/>
    <xf numFmtId="0" fontId="0" fillId="0" borderId="15" xfId="0" applyBorder="1"/>
    <xf numFmtId="0" fontId="0" fillId="0" borderId="24" xfId="0" applyBorder="1"/>
    <xf numFmtId="0" fontId="0" fillId="0" borderId="13" xfId="0" applyBorder="1"/>
    <xf numFmtId="0" fontId="0" fillId="0" borderId="25" xfId="0" applyBorder="1"/>
    <xf numFmtId="14" fontId="0" fillId="0" borderId="19" xfId="0" applyNumberFormat="1" applyBorder="1"/>
    <xf numFmtId="2" fontId="0" fillId="0" borderId="0" xfId="0" applyNumberFormat="1" applyBorder="1"/>
    <xf numFmtId="2" fontId="0" fillId="0" borderId="16" xfId="0" applyNumberFormat="1" applyFill="1" applyBorder="1"/>
    <xf numFmtId="2" fontId="0" fillId="0" borderId="18" xfId="0" applyNumberFormat="1" applyBorder="1"/>
    <xf numFmtId="14" fontId="0" fillId="0" borderId="19" xfId="0" applyNumberFormat="1" applyFont="1" applyBorder="1"/>
    <xf numFmtId="0" fontId="0" fillId="0" borderId="16" xfId="0" applyFont="1" applyBorder="1"/>
    <xf numFmtId="2" fontId="0" fillId="0" borderId="16" xfId="0" applyNumberFormat="1" applyFont="1" applyBorder="1"/>
    <xf numFmtId="2" fontId="0" fillId="0" borderId="18" xfId="0" applyNumberFormat="1" applyFont="1" applyBorder="1"/>
    <xf numFmtId="14" fontId="0" fillId="0" borderId="31" xfId="0" applyNumberFormat="1" applyFont="1" applyBorder="1"/>
    <xf numFmtId="0" fontId="0" fillId="0" borderId="32" xfId="0" applyFont="1" applyBorder="1"/>
    <xf numFmtId="2" fontId="0" fillId="0" borderId="32" xfId="0" applyNumberFormat="1" applyFont="1" applyBorder="1"/>
    <xf numFmtId="2" fontId="0" fillId="0" borderId="33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14" fontId="7" fillId="0" borderId="0" xfId="0" applyNumberFormat="1" applyFont="1" applyBorder="1"/>
    <xf numFmtId="4" fontId="7" fillId="0" borderId="24" xfId="0" applyNumberFormat="1" applyFont="1" applyBorder="1"/>
    <xf numFmtId="4" fontId="7" fillId="0" borderId="34" xfId="0" applyNumberFormat="1" applyFont="1" applyBorder="1"/>
    <xf numFmtId="14" fontId="13" fillId="0" borderId="0" xfId="0" applyNumberFormat="1" applyFont="1"/>
    <xf numFmtId="2" fontId="9" fillId="0" borderId="16" xfId="0" applyNumberFormat="1" applyFont="1" applyBorder="1" applyAlignment="1">
      <alignment horizontal="right"/>
    </xf>
    <xf numFmtId="0" fontId="14" fillId="0" borderId="16" xfId="0" applyFont="1" applyFill="1" applyBorder="1"/>
    <xf numFmtId="14" fontId="15" fillId="0" borderId="19" xfId="0" applyNumberFormat="1" applyFont="1" applyBorder="1"/>
    <xf numFmtId="2" fontId="15" fillId="0" borderId="16" xfId="0" applyNumberFormat="1" applyFont="1" applyBorder="1"/>
    <xf numFmtId="4" fontId="12" fillId="0" borderId="24" xfId="0" applyNumberFormat="1" applyFont="1" applyBorder="1"/>
    <xf numFmtId="14" fontId="11" fillId="0" borderId="16" xfId="0" applyNumberFormat="1" applyFont="1" applyBorder="1"/>
    <xf numFmtId="2" fontId="17" fillId="0" borderId="24" xfId="0" applyNumberFormat="1" applyFont="1" applyBorder="1"/>
    <xf numFmtId="2" fontId="0" fillId="0" borderId="34" xfId="0" applyNumberFormat="1" applyBorder="1"/>
    <xf numFmtId="14" fontId="9" fillId="0" borderId="16" xfId="0" applyNumberFormat="1" applyFont="1" applyBorder="1"/>
    <xf numFmtId="14" fontId="14" fillId="0" borderId="16" xfId="0" applyNumberFormat="1" applyFont="1" applyBorder="1"/>
    <xf numFmtId="2" fontId="12" fillId="0" borderId="24" xfId="0" applyNumberFormat="1" applyFont="1" applyBorder="1"/>
    <xf numFmtId="2" fontId="7" fillId="0" borderId="34" xfId="0" applyNumberFormat="1" applyFont="1" applyBorder="1"/>
    <xf numFmtId="2" fontId="7" fillId="0" borderId="35" xfId="0" applyNumberFormat="1" applyFont="1" applyBorder="1"/>
    <xf numFmtId="43" fontId="12" fillId="0" borderId="24" xfId="0" applyNumberFormat="1" applyFont="1" applyBorder="1"/>
    <xf numFmtId="0" fontId="5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0" xfId="0"/>
    <xf numFmtId="0" fontId="5" fillId="0" borderId="0" xfId="0" applyFont="1" applyBorder="1" applyAlignment="1"/>
    <xf numFmtId="0" fontId="7" fillId="0" borderId="0" xfId="0" applyFont="1" applyFill="1"/>
    <xf numFmtId="0" fontId="7" fillId="0" borderId="0" xfId="0" applyFont="1" applyBorder="1"/>
    <xf numFmtId="14" fontId="7" fillId="0" borderId="19" xfId="0" applyNumberFormat="1" applyFont="1" applyBorder="1"/>
    <xf numFmtId="2" fontId="7" fillId="0" borderId="16" xfId="0" applyNumberFormat="1" applyFont="1" applyBorder="1"/>
    <xf numFmtId="2" fontId="7" fillId="0" borderId="18" xfId="0" applyNumberFormat="1" applyFont="1" applyBorder="1"/>
    <xf numFmtId="0" fontId="7" fillId="0" borderId="16" xfId="0" applyFont="1" applyBorder="1"/>
    <xf numFmtId="0" fontId="7" fillId="0" borderId="20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3" xfId="0" applyFont="1" applyBorder="1"/>
    <xf numFmtId="0" fontId="7" fillId="0" borderId="25" xfId="0" applyFont="1" applyBorder="1"/>
    <xf numFmtId="2" fontId="12" fillId="0" borderId="0" xfId="0" applyNumberFormat="1" applyFont="1"/>
    <xf numFmtId="2" fontId="12" fillId="0" borderId="16" xfId="0" applyNumberFormat="1" applyFont="1" applyBorder="1"/>
    <xf numFmtId="0" fontId="7" fillId="0" borderId="5" xfId="0" applyFont="1" applyBorder="1"/>
    <xf numFmtId="2" fontId="12" fillId="0" borderId="0" xfId="0" applyNumberFormat="1" applyFont="1" applyFill="1"/>
    <xf numFmtId="2" fontId="13" fillId="0" borderId="16" xfId="0" applyNumberFormat="1" applyFont="1" applyBorder="1"/>
    <xf numFmtId="2" fontId="13" fillId="0" borderId="18" xfId="0" applyNumberFormat="1" applyFont="1" applyBorder="1"/>
    <xf numFmtId="14" fontId="13" fillId="0" borderId="19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2" fillId="0" borderId="4" xfId="0" applyFont="1" applyBorder="1"/>
    <xf numFmtId="0" fontId="5" fillId="0" borderId="4" xfId="0" applyFont="1" applyBorder="1"/>
    <xf numFmtId="0" fontId="2" fillId="0" borderId="0" xfId="0" applyFont="1" applyBorder="1"/>
    <xf numFmtId="0" fontId="5" fillId="0" borderId="0" xfId="0" applyFont="1" applyBorder="1"/>
    <xf numFmtId="0" fontId="9" fillId="0" borderId="0" xfId="0" applyFont="1" applyBorder="1"/>
    <xf numFmtId="0" fontId="7" fillId="0" borderId="23" xfId="0" applyFont="1" applyBorder="1"/>
    <xf numFmtId="0" fontId="7" fillId="0" borderId="24" xfId="0" applyFont="1" applyBorder="1"/>
    <xf numFmtId="14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7" fillId="0" borderId="2" xfId="0" applyFont="1" applyBorder="1"/>
    <xf numFmtId="0" fontId="13" fillId="0" borderId="16" xfId="0" applyFont="1" applyBorder="1"/>
    <xf numFmtId="14" fontId="12" fillId="0" borderId="19" xfId="0" applyNumberFormat="1" applyFont="1" applyBorder="1"/>
    <xf numFmtId="0" fontId="12" fillId="0" borderId="16" xfId="0" applyFont="1" applyBorder="1"/>
    <xf numFmtId="2" fontId="12" fillId="0" borderId="18" xfId="0" applyNumberFormat="1" applyFont="1" applyBorder="1"/>
    <xf numFmtId="0" fontId="7" fillId="0" borderId="0" xfId="0" applyFont="1"/>
    <xf numFmtId="0" fontId="12" fillId="0" borderId="0" xfId="0" applyFont="1"/>
    <xf numFmtId="14" fontId="7" fillId="0" borderId="16" xfId="0" applyNumberFormat="1" applyFont="1" applyBorder="1"/>
    <xf numFmtId="2" fontId="0" fillId="0" borderId="0" xfId="0" applyNumberFormat="1"/>
    <xf numFmtId="0" fontId="0" fillId="0" borderId="0" xfId="0" applyBorder="1"/>
    <xf numFmtId="167" fontId="7" fillId="0" borderId="0" xfId="0" applyNumberFormat="1" applyFont="1"/>
    <xf numFmtId="14" fontId="7" fillId="0" borderId="0" xfId="0" applyNumberFormat="1" applyFont="1" applyBorder="1"/>
    <xf numFmtId="4" fontId="0" fillId="0" borderId="0" xfId="0" applyNumberFormat="1"/>
    <xf numFmtId="4" fontId="0" fillId="0" borderId="24" xfId="0" applyNumberFormat="1" applyBorder="1"/>
    <xf numFmtId="4" fontId="0" fillId="0" borderId="34" xfId="0" applyNumberFormat="1" applyBorder="1"/>
    <xf numFmtId="14" fontId="13" fillId="0" borderId="0" xfId="0" applyNumberFormat="1" applyFont="1"/>
    <xf numFmtId="0" fontId="19" fillId="0" borderId="0" xfId="0" applyFont="1"/>
    <xf numFmtId="2" fontId="7" fillId="0" borderId="34" xfId="0" applyNumberFormat="1" applyFont="1" applyBorder="1"/>
    <xf numFmtId="2" fontId="13" fillId="0" borderId="0" xfId="0" applyNumberFormat="1" applyFont="1"/>
    <xf numFmtId="0" fontId="13" fillId="0" borderId="0" xfId="0" applyFont="1"/>
    <xf numFmtId="167" fontId="0" fillId="0" borderId="0" xfId="0" applyNumberFormat="1"/>
    <xf numFmtId="14" fontId="13" fillId="0" borderId="16" xfId="0" applyNumberFormat="1" applyFont="1" applyBorder="1"/>
    <xf numFmtId="14" fontId="12" fillId="0" borderId="16" xfId="0" applyNumberFormat="1" applyFont="1" applyBorder="1"/>
    <xf numFmtId="0" fontId="19" fillId="0" borderId="0" xfId="0" applyFont="1" applyBorder="1"/>
    <xf numFmtId="14" fontId="12" fillId="0" borderId="0" xfId="0" applyNumberFormat="1" applyFont="1" applyFill="1"/>
    <xf numFmtId="2" fontId="12" fillId="0" borderId="16" xfId="0" applyNumberFormat="1" applyFont="1" applyFill="1" applyBorder="1"/>
    <xf numFmtId="2" fontId="13" fillId="0" borderId="16" xfId="0" applyNumberFormat="1" applyFont="1" applyFill="1" applyBorder="1"/>
    <xf numFmtId="14" fontId="12" fillId="0" borderId="19" xfId="0" applyNumberFormat="1" applyFont="1" applyFill="1" applyBorder="1"/>
    <xf numFmtId="0" fontId="12" fillId="0" borderId="16" xfId="0" applyFont="1" applyFill="1" applyBorder="1"/>
    <xf numFmtId="2" fontId="12" fillId="0" borderId="18" xfId="0" applyNumberFormat="1" applyFont="1" applyFill="1" applyBorder="1"/>
    <xf numFmtId="0" fontId="7" fillId="0" borderId="4" xfId="0" applyFont="1" applyBorder="1" applyAlignment="1">
      <alignment horizontal="center"/>
    </xf>
  </cellXfs>
  <cellStyles count="4">
    <cellStyle name="Millares 2" xfId="1" xr:uid="{00000000-0005-0000-0000-000000000000}"/>
    <cellStyle name="Millares 2 2" xfId="3" xr:uid="{225F58DA-19F9-4AF3-8435-F450A9675763}"/>
    <cellStyle name="Millares 3" xfId="2" xr:uid="{0F508225-23C6-4A8E-AC1D-39C30005578B}"/>
    <cellStyle name="Normal" xfId="0" builtinId="0"/>
  </cellStyles>
  <dxfs count="0"/>
  <tableStyles count="0" defaultTableStyle="TableStyleMedium2" defaultPivotStyle="PivotStyleLight16"/>
  <colors>
    <mruColors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253"/>
  <sheetViews>
    <sheetView workbookViewId="0">
      <selection sqref="A1:N51"/>
    </sheetView>
  </sheetViews>
  <sheetFormatPr baseColWidth="10" defaultRowHeight="14.5" x14ac:dyDescent="0.35"/>
  <cols>
    <col min="2" max="2" width="36.36328125" customWidth="1"/>
  </cols>
  <sheetData>
    <row r="1" spans="1:15" x14ac:dyDescent="0.35">
      <c r="A1" s="2" t="s">
        <v>0</v>
      </c>
      <c r="B1" s="3"/>
      <c r="C1" s="12"/>
      <c r="D1" s="12"/>
      <c r="E1" s="12"/>
      <c r="F1" s="12"/>
      <c r="G1" s="12"/>
      <c r="H1" s="13" t="s">
        <v>1</v>
      </c>
      <c r="I1" s="12"/>
      <c r="J1" s="12"/>
      <c r="K1" s="14"/>
      <c r="L1" s="1"/>
      <c r="M1" s="1"/>
      <c r="N1" s="1"/>
    </row>
    <row r="2" spans="1:15" x14ac:dyDescent="0.35">
      <c r="A2" s="4" t="s">
        <v>2</v>
      </c>
      <c r="B2" s="5"/>
      <c r="C2" s="15"/>
      <c r="D2" s="15"/>
      <c r="E2" s="15"/>
      <c r="F2" s="15"/>
      <c r="G2" s="15"/>
      <c r="H2" s="246" t="s">
        <v>220</v>
      </c>
      <c r="I2" s="15"/>
      <c r="J2" s="15"/>
      <c r="K2" s="17"/>
      <c r="L2" s="1"/>
      <c r="M2" s="1"/>
      <c r="N2" s="1"/>
    </row>
    <row r="3" spans="1:15" x14ac:dyDescent="0.35">
      <c r="A3" s="6" t="s">
        <v>3</v>
      </c>
      <c r="B3" s="7"/>
      <c r="C3" s="15"/>
      <c r="D3" s="15"/>
      <c r="E3" s="15"/>
      <c r="F3" s="15"/>
      <c r="G3" s="15"/>
      <c r="H3" s="16" t="s">
        <v>4</v>
      </c>
      <c r="I3" s="15"/>
      <c r="J3" s="15"/>
      <c r="K3" s="17"/>
      <c r="L3" s="1"/>
      <c r="M3" s="1"/>
      <c r="N3" s="1"/>
    </row>
    <row r="4" spans="1:15" x14ac:dyDescent="0.35">
      <c r="A4" s="11"/>
      <c r="B4" s="15"/>
      <c r="C4" s="15"/>
      <c r="D4" s="327" t="s">
        <v>5</v>
      </c>
      <c r="E4" s="327"/>
      <c r="F4" s="327"/>
      <c r="G4" s="327"/>
      <c r="H4" s="327"/>
      <c r="I4" s="15"/>
      <c r="J4" s="15"/>
      <c r="K4" s="17"/>
      <c r="L4" s="1"/>
      <c r="M4" s="1"/>
      <c r="N4" s="1"/>
    </row>
    <row r="5" spans="1:15" x14ac:dyDescent="0.35">
      <c r="A5" s="11"/>
      <c r="B5" s="18"/>
      <c r="C5" s="15"/>
      <c r="D5" s="16" t="s">
        <v>30</v>
      </c>
      <c r="E5" s="18"/>
      <c r="F5" s="18"/>
      <c r="G5" s="15"/>
      <c r="H5" s="15"/>
      <c r="I5" s="15"/>
      <c r="J5" s="15"/>
      <c r="K5" s="17"/>
      <c r="L5" s="1"/>
      <c r="M5" s="1"/>
      <c r="N5" s="1"/>
    </row>
    <row r="6" spans="1:15" x14ac:dyDescent="0.35">
      <c r="A6" s="11"/>
      <c r="B6" s="18"/>
      <c r="C6" s="15"/>
      <c r="D6" s="15" t="s">
        <v>6</v>
      </c>
      <c r="E6" s="18"/>
      <c r="F6" s="18"/>
      <c r="G6" s="15"/>
      <c r="H6" s="15"/>
      <c r="I6" s="15"/>
      <c r="J6" s="15"/>
      <c r="K6" s="17"/>
      <c r="L6" s="1"/>
      <c r="M6" s="1"/>
      <c r="N6" s="1"/>
    </row>
    <row r="7" spans="1:15" x14ac:dyDescent="0.35">
      <c r="A7" s="8" t="s">
        <v>7</v>
      </c>
      <c r="B7" s="19" t="s">
        <v>8</v>
      </c>
      <c r="C7" s="328" t="s">
        <v>9</v>
      </c>
      <c r="D7" s="328"/>
      <c r="E7" s="329"/>
      <c r="F7" s="330" t="s">
        <v>10</v>
      </c>
      <c r="G7" s="330"/>
      <c r="H7" s="331" t="s">
        <v>11</v>
      </c>
      <c r="I7" s="332"/>
      <c r="J7" s="332"/>
      <c r="K7" s="10" t="s">
        <v>12</v>
      </c>
      <c r="L7" s="1"/>
      <c r="M7" s="1"/>
      <c r="N7" s="1"/>
    </row>
    <row r="8" spans="1:15" x14ac:dyDescent="0.35">
      <c r="A8" s="9"/>
      <c r="B8" s="20"/>
      <c r="C8" s="20" t="s">
        <v>13</v>
      </c>
      <c r="D8" s="21" t="s">
        <v>14</v>
      </c>
      <c r="E8" s="22" t="s">
        <v>15</v>
      </c>
      <c r="F8" s="23" t="s">
        <v>16</v>
      </c>
      <c r="G8" s="23" t="s">
        <v>17</v>
      </c>
      <c r="H8" s="21" t="s">
        <v>18</v>
      </c>
      <c r="I8" s="24" t="s">
        <v>19</v>
      </c>
      <c r="J8" s="25" t="s">
        <v>20</v>
      </c>
      <c r="K8" s="26"/>
      <c r="L8" s="1"/>
      <c r="M8" s="1"/>
      <c r="N8" s="1"/>
    </row>
    <row r="9" spans="1:15" x14ac:dyDescent="0.35">
      <c r="A9" s="100">
        <v>43102</v>
      </c>
      <c r="B9" s="140" t="s">
        <v>42</v>
      </c>
      <c r="C9" s="134">
        <v>3629.13</v>
      </c>
      <c r="D9" s="134"/>
      <c r="E9" s="135">
        <f>+C9</f>
        <v>3629.13</v>
      </c>
      <c r="F9" s="132">
        <f>+H9/C9</f>
        <v>26.503401641715779</v>
      </c>
      <c r="G9" s="139"/>
      <c r="H9" s="133">
        <v>96184.29</v>
      </c>
      <c r="I9" s="134"/>
      <c r="J9" s="134">
        <f>+H9</f>
        <v>96184.29</v>
      </c>
      <c r="K9" s="137"/>
      <c r="L9" s="204"/>
      <c r="M9" s="204"/>
      <c r="N9" s="204"/>
      <c r="O9" s="204"/>
    </row>
    <row r="10" spans="1:15" s="225" customFormat="1" x14ac:dyDescent="0.35">
      <c r="A10" s="29">
        <v>43119</v>
      </c>
      <c r="B10" s="30" t="s">
        <v>36</v>
      </c>
      <c r="C10" s="224"/>
      <c r="D10" s="224">
        <v>21</v>
      </c>
      <c r="E10" s="222">
        <f>+E9-D10</f>
        <v>3608.13</v>
      </c>
      <c r="F10" s="224"/>
      <c r="G10" s="224">
        <f>+J9/E9</f>
        <v>26.503401641715779</v>
      </c>
      <c r="H10" s="224"/>
      <c r="I10" s="224">
        <f>+D10*G10</f>
        <v>556.57143447603141</v>
      </c>
      <c r="J10" s="224">
        <f>+J9-I10</f>
        <v>95627.718565523959</v>
      </c>
      <c r="K10" s="31"/>
      <c r="L10" s="32">
        <f>SUM(I10)</f>
        <v>556.57143447603141</v>
      </c>
      <c r="M10" s="32"/>
      <c r="N10" s="27">
        <v>43115</v>
      </c>
      <c r="O10" s="227"/>
    </row>
    <row r="11" spans="1:15" s="225" customFormat="1" x14ac:dyDescent="0.35">
      <c r="A11" s="29">
        <v>43129</v>
      </c>
      <c r="B11" s="30" t="s">
        <v>44</v>
      </c>
      <c r="C11" s="224"/>
      <c r="D11" s="224">
        <f>15*5.15+3*4+4.69</f>
        <v>93.94</v>
      </c>
      <c r="E11" s="222">
        <f t="shared" ref="E11:E45" si="0">+E10-D11</f>
        <v>3514.19</v>
      </c>
      <c r="F11" s="224"/>
      <c r="G11" s="224">
        <f t="shared" ref="G11:G45" si="1">+J10/E10</f>
        <v>26.503401641715779</v>
      </c>
      <c r="H11" s="224"/>
      <c r="I11" s="224">
        <f t="shared" ref="I11:I45" si="2">+D11*G11</f>
        <v>2489.7295502227803</v>
      </c>
      <c r="J11" s="224">
        <f t="shared" ref="J11:J45" si="3">+J10-I11</f>
        <v>93137.98901530118</v>
      </c>
      <c r="K11" s="31"/>
      <c r="L11" s="32">
        <f>SUM(I11)</f>
        <v>2489.7295502227803</v>
      </c>
      <c r="M11" s="32">
        <f>SUM(L10:L11)</f>
        <v>3046.3009846988116</v>
      </c>
      <c r="N11" s="27">
        <v>43131</v>
      </c>
      <c r="O11" s="227"/>
    </row>
    <row r="12" spans="1:15" s="1" customFormat="1" x14ac:dyDescent="0.35">
      <c r="A12" s="219">
        <v>43133</v>
      </c>
      <c r="B12" s="33" t="s">
        <v>47</v>
      </c>
      <c r="C12" s="224"/>
      <c r="D12" s="136">
        <f>14*4.2+2*2.3+4.5</f>
        <v>67.900000000000006</v>
      </c>
      <c r="E12" s="34">
        <f t="shared" si="0"/>
        <v>3446.29</v>
      </c>
      <c r="F12" s="136"/>
      <c r="G12" s="136">
        <f t="shared" si="1"/>
        <v>26.503401641715779</v>
      </c>
      <c r="H12" s="136"/>
      <c r="I12" s="136">
        <f t="shared" si="2"/>
        <v>1799.5809714725015</v>
      </c>
      <c r="J12" s="136">
        <f t="shared" si="3"/>
        <v>91338.408043828676</v>
      </c>
      <c r="K12" s="31"/>
      <c r="L12" s="32"/>
      <c r="M12" s="32"/>
      <c r="N12" s="27"/>
      <c r="O12" s="204"/>
    </row>
    <row r="13" spans="1:15" s="1" customFormat="1" x14ac:dyDescent="0.35">
      <c r="A13" s="219">
        <v>43133</v>
      </c>
      <c r="B13" s="33" t="s">
        <v>48</v>
      </c>
      <c r="C13" s="224"/>
      <c r="D13" s="136">
        <f>5*4.1</f>
        <v>20.5</v>
      </c>
      <c r="E13" s="34">
        <f t="shared" si="0"/>
        <v>3425.79</v>
      </c>
      <c r="F13" s="136"/>
      <c r="G13" s="136">
        <f t="shared" si="1"/>
        <v>26.503401641715779</v>
      </c>
      <c r="H13" s="136"/>
      <c r="I13" s="136">
        <f t="shared" si="2"/>
        <v>543.31973365517342</v>
      </c>
      <c r="J13" s="136">
        <f t="shared" si="3"/>
        <v>90795.088310173509</v>
      </c>
      <c r="K13" s="31"/>
      <c r="L13" s="32"/>
      <c r="M13" s="32"/>
      <c r="N13" s="27"/>
      <c r="O13" s="204"/>
    </row>
    <row r="14" spans="1:15" s="1" customFormat="1" x14ac:dyDescent="0.35">
      <c r="A14" s="219">
        <v>43134</v>
      </c>
      <c r="B14" s="33" t="s">
        <v>51</v>
      </c>
      <c r="C14" s="224"/>
      <c r="D14" s="136">
        <v>0</v>
      </c>
      <c r="E14" s="34">
        <f t="shared" si="0"/>
        <v>3425.79</v>
      </c>
      <c r="F14" s="136"/>
      <c r="G14" s="136">
        <f t="shared" si="1"/>
        <v>26.503401641715783</v>
      </c>
      <c r="H14" s="136"/>
      <c r="I14" s="136">
        <f t="shared" si="2"/>
        <v>0</v>
      </c>
      <c r="J14" s="136">
        <f t="shared" si="3"/>
        <v>90795.088310173509</v>
      </c>
      <c r="K14" s="31"/>
      <c r="L14" s="32"/>
      <c r="M14" s="32"/>
      <c r="N14" s="27"/>
      <c r="O14" s="204"/>
    </row>
    <row r="15" spans="1:15" s="1" customFormat="1" x14ac:dyDescent="0.35">
      <c r="A15" s="219">
        <v>43134</v>
      </c>
      <c r="B15" s="33" t="s">
        <v>52</v>
      </c>
      <c r="C15" s="224"/>
      <c r="D15" s="136">
        <v>2.2999999999999998</v>
      </c>
      <c r="E15" s="34">
        <f t="shared" si="0"/>
        <v>3423.49</v>
      </c>
      <c r="F15" s="136"/>
      <c r="G15" s="136">
        <f t="shared" si="1"/>
        <v>26.503401641715783</v>
      </c>
      <c r="H15" s="136"/>
      <c r="I15" s="136">
        <f t="shared" si="2"/>
        <v>60.957823775946295</v>
      </c>
      <c r="J15" s="136">
        <f t="shared" si="3"/>
        <v>90734.130486397567</v>
      </c>
      <c r="K15" s="31"/>
      <c r="L15" s="32"/>
      <c r="M15" s="32"/>
      <c r="N15" s="27"/>
      <c r="O15" s="204"/>
    </row>
    <row r="16" spans="1:15" s="225" customFormat="1" x14ac:dyDescent="0.35">
      <c r="A16" s="29">
        <v>43141</v>
      </c>
      <c r="B16" s="30" t="s">
        <v>62</v>
      </c>
      <c r="C16" s="224"/>
      <c r="D16" s="224">
        <v>7</v>
      </c>
      <c r="E16" s="222">
        <f t="shared" si="0"/>
        <v>3416.49</v>
      </c>
      <c r="F16" s="224"/>
      <c r="G16" s="224">
        <f t="shared" si="1"/>
        <v>26.503401641715786</v>
      </c>
      <c r="H16" s="224"/>
      <c r="I16" s="224">
        <f t="shared" si="2"/>
        <v>185.52381149201051</v>
      </c>
      <c r="J16" s="224">
        <f t="shared" si="3"/>
        <v>90548.606674905561</v>
      </c>
      <c r="K16" s="31"/>
      <c r="L16" s="32">
        <f>SUM(I12:I16)</f>
        <v>2589.3823403956321</v>
      </c>
      <c r="M16" s="32"/>
      <c r="N16" s="27">
        <v>43146</v>
      </c>
      <c r="O16" s="227"/>
    </row>
    <row r="17" spans="1:15" s="1" customFormat="1" x14ac:dyDescent="0.35">
      <c r="A17" s="219">
        <v>43147</v>
      </c>
      <c r="B17" s="33" t="s">
        <v>63</v>
      </c>
      <c r="C17" s="224"/>
      <c r="D17" s="136">
        <f>9*4+3</f>
        <v>39</v>
      </c>
      <c r="E17" s="34">
        <f t="shared" si="0"/>
        <v>3377.49</v>
      </c>
      <c r="F17" s="136"/>
      <c r="G17" s="136">
        <f t="shared" si="1"/>
        <v>26.503401641715786</v>
      </c>
      <c r="H17" s="136"/>
      <c r="I17" s="136">
        <f t="shared" si="2"/>
        <v>1033.6326640269156</v>
      </c>
      <c r="J17" s="136">
        <f t="shared" si="3"/>
        <v>89514.97401087865</v>
      </c>
      <c r="K17" s="31"/>
      <c r="L17" s="32"/>
      <c r="M17" s="32"/>
      <c r="N17" s="27"/>
      <c r="O17" s="204"/>
    </row>
    <row r="18" spans="1:15" s="1" customFormat="1" x14ac:dyDescent="0.35">
      <c r="A18" s="219">
        <v>43153</v>
      </c>
      <c r="B18" s="33" t="s">
        <v>65</v>
      </c>
      <c r="C18" s="224"/>
      <c r="D18" s="136">
        <f>3*17.6+13.2</f>
        <v>66</v>
      </c>
      <c r="E18" s="34">
        <f t="shared" si="0"/>
        <v>3311.49</v>
      </c>
      <c r="F18" s="136"/>
      <c r="G18" s="136">
        <f t="shared" si="1"/>
        <v>26.503401641715786</v>
      </c>
      <c r="H18" s="136"/>
      <c r="I18" s="136">
        <f t="shared" si="2"/>
        <v>1749.2245083532418</v>
      </c>
      <c r="J18" s="136">
        <f t="shared" si="3"/>
        <v>87765.749502525403</v>
      </c>
      <c r="K18" s="31"/>
      <c r="L18" s="32"/>
      <c r="M18" s="32"/>
      <c r="N18" s="27"/>
      <c r="O18" s="204"/>
    </row>
    <row r="19" spans="1:15" s="225" customFormat="1" x14ac:dyDescent="0.35">
      <c r="A19" s="29">
        <v>43159</v>
      </c>
      <c r="B19" s="30" t="s">
        <v>71</v>
      </c>
      <c r="C19" s="224"/>
      <c r="D19" s="224">
        <f>14*4.7</f>
        <v>65.8</v>
      </c>
      <c r="E19" s="222">
        <f t="shared" si="0"/>
        <v>3245.6899999999996</v>
      </c>
      <c r="F19" s="224"/>
      <c r="G19" s="224">
        <f t="shared" si="1"/>
        <v>26.503401641715786</v>
      </c>
      <c r="H19" s="224"/>
      <c r="I19" s="224">
        <f t="shared" si="2"/>
        <v>1743.9238280248987</v>
      </c>
      <c r="J19" s="224">
        <f t="shared" si="3"/>
        <v>86021.825674500506</v>
      </c>
      <c r="K19" s="31"/>
      <c r="L19" s="32">
        <f>SUM(I17:I19)</f>
        <v>4526.7810004050561</v>
      </c>
      <c r="M19" s="32">
        <f>SUM(L16:L19)</f>
        <v>7116.1633408006883</v>
      </c>
      <c r="N19" s="27">
        <v>43159</v>
      </c>
      <c r="O19" s="227"/>
    </row>
    <row r="20" spans="1:15" s="1" customFormat="1" x14ac:dyDescent="0.35">
      <c r="A20" s="219">
        <v>43164</v>
      </c>
      <c r="B20" s="33" t="s">
        <v>73</v>
      </c>
      <c r="C20" s="224"/>
      <c r="D20" s="136">
        <f>4*3.75</f>
        <v>15</v>
      </c>
      <c r="E20" s="34">
        <f t="shared" si="0"/>
        <v>3230.6899999999996</v>
      </c>
      <c r="F20" s="136"/>
      <c r="G20" s="136">
        <f t="shared" si="1"/>
        <v>26.503401641715786</v>
      </c>
      <c r="H20" s="136"/>
      <c r="I20" s="136">
        <f t="shared" si="2"/>
        <v>397.55102462573677</v>
      </c>
      <c r="J20" s="136">
        <f t="shared" si="3"/>
        <v>85624.274649874773</v>
      </c>
      <c r="K20" s="31"/>
      <c r="L20" s="32"/>
      <c r="M20" s="32"/>
      <c r="N20" s="27"/>
      <c r="O20" s="204"/>
    </row>
    <row r="21" spans="1:15" s="225" customFormat="1" x14ac:dyDescent="0.35">
      <c r="A21" s="29">
        <v>43166</v>
      </c>
      <c r="B21" s="30" t="s">
        <v>128</v>
      </c>
      <c r="C21" s="224"/>
      <c r="D21" s="224">
        <v>0</v>
      </c>
      <c r="E21" s="222">
        <f t="shared" si="0"/>
        <v>3230.6899999999996</v>
      </c>
      <c r="F21" s="224"/>
      <c r="G21" s="224">
        <f t="shared" si="1"/>
        <v>26.50340164171579</v>
      </c>
      <c r="H21" s="224"/>
      <c r="I21" s="224">
        <f t="shared" si="2"/>
        <v>0</v>
      </c>
      <c r="J21" s="224">
        <f t="shared" si="3"/>
        <v>85624.274649874773</v>
      </c>
      <c r="K21" s="31"/>
      <c r="L21" s="32">
        <f>SUM(I20:I21)</f>
        <v>397.55102462573677</v>
      </c>
      <c r="M21" s="32"/>
      <c r="N21" s="27">
        <v>43174</v>
      </c>
      <c r="O21" s="227"/>
    </row>
    <row r="22" spans="1:15" s="243" customFormat="1" x14ac:dyDescent="0.35">
      <c r="A22" s="219">
        <v>43187</v>
      </c>
      <c r="B22" s="28" t="s">
        <v>88</v>
      </c>
      <c r="C22" s="136"/>
      <c r="D22" s="136">
        <f>14*3</f>
        <v>42</v>
      </c>
      <c r="E22" s="34">
        <f t="shared" si="0"/>
        <v>3188.6899999999996</v>
      </c>
      <c r="F22" s="136"/>
      <c r="G22" s="136">
        <f t="shared" si="1"/>
        <v>26.50340164171579</v>
      </c>
      <c r="H22" s="136"/>
      <c r="I22" s="136">
        <f t="shared" si="2"/>
        <v>1113.1428689520633</v>
      </c>
      <c r="J22" s="136">
        <f t="shared" si="3"/>
        <v>84511.131780922704</v>
      </c>
      <c r="K22" s="241"/>
      <c r="L22" s="242"/>
      <c r="M22" s="242"/>
      <c r="N22" s="244"/>
      <c r="O22" s="244"/>
    </row>
    <row r="23" spans="1:15" s="225" customFormat="1" x14ac:dyDescent="0.35">
      <c r="A23" s="29">
        <v>43187</v>
      </c>
      <c r="B23" s="30" t="s">
        <v>129</v>
      </c>
      <c r="C23" s="224"/>
      <c r="D23" s="224">
        <v>7</v>
      </c>
      <c r="E23" s="222">
        <f>+E22+D23</f>
        <v>3195.6899999999996</v>
      </c>
      <c r="F23" s="224"/>
      <c r="G23" s="224">
        <f t="shared" ref="G23" si="4">+J22/E22</f>
        <v>26.503401641715786</v>
      </c>
      <c r="H23" s="224"/>
      <c r="I23" s="224">
        <f t="shared" ref="I23" si="5">+D23*G23</f>
        <v>185.52381149201051</v>
      </c>
      <c r="J23" s="224">
        <f t="shared" ref="J23" si="6">+J22-I23</f>
        <v>84325.607969430697</v>
      </c>
      <c r="K23" s="31"/>
      <c r="L23" s="32">
        <f>SUM(I22:I23)</f>
        <v>1298.6666804440738</v>
      </c>
      <c r="M23" s="32">
        <f>SUM(L21:L23)</f>
        <v>1696.2177050698106</v>
      </c>
      <c r="N23" s="27">
        <v>43190</v>
      </c>
      <c r="O23" s="227"/>
    </row>
    <row r="24" spans="1:15" s="190" customFormat="1" x14ac:dyDescent="0.35">
      <c r="A24" s="219">
        <v>43203</v>
      </c>
      <c r="B24" s="140" t="s">
        <v>124</v>
      </c>
      <c r="C24" s="136">
        <v>16321.2</v>
      </c>
      <c r="D24" s="136"/>
      <c r="E24" s="34">
        <f>+E23+C24</f>
        <v>19516.89</v>
      </c>
      <c r="F24" s="136">
        <f>+H24/C24</f>
        <v>24.409308751807465</v>
      </c>
      <c r="G24" s="136"/>
      <c r="H24" s="136">
        <v>398389.21</v>
      </c>
      <c r="I24" s="136"/>
      <c r="J24" s="136">
        <f>+J23+H24</f>
        <v>482714.8179694307</v>
      </c>
      <c r="K24" s="31"/>
      <c r="L24" s="32"/>
      <c r="M24" s="32"/>
      <c r="N24" s="27"/>
      <c r="O24" s="204"/>
    </row>
    <row r="25" spans="1:15" s="243" customFormat="1" x14ac:dyDescent="0.35">
      <c r="A25" s="219">
        <v>43204</v>
      </c>
      <c r="B25" s="28" t="s">
        <v>101</v>
      </c>
      <c r="C25" s="136"/>
      <c r="D25" s="136">
        <f>5*4.75</f>
        <v>23.75</v>
      </c>
      <c r="E25" s="34">
        <f>+E24-D25</f>
        <v>19493.14</v>
      </c>
      <c r="F25" s="136"/>
      <c r="G25" s="136">
        <f>+J24/E24</f>
        <v>24.73318330786466</v>
      </c>
      <c r="H25" s="136"/>
      <c r="I25" s="136">
        <f t="shared" si="2"/>
        <v>587.41310356178565</v>
      </c>
      <c r="J25" s="136">
        <f>+J24-I25</f>
        <v>482127.40486586891</v>
      </c>
      <c r="K25" s="241"/>
      <c r="L25" s="242"/>
      <c r="M25" s="242"/>
      <c r="N25" s="312"/>
      <c r="O25" s="244"/>
    </row>
    <row r="26" spans="1:15" s="1" customFormat="1" x14ac:dyDescent="0.35">
      <c r="A26" s="219">
        <v>43209</v>
      </c>
      <c r="B26" s="33" t="s">
        <v>105</v>
      </c>
      <c r="C26" s="224"/>
      <c r="D26" s="136">
        <f>6*5.25+18*5.15+6*3.9</f>
        <v>147.6</v>
      </c>
      <c r="E26" s="34">
        <f t="shared" si="0"/>
        <v>19345.54</v>
      </c>
      <c r="F26" s="136"/>
      <c r="G26" s="136">
        <f t="shared" si="1"/>
        <v>24.73318330786466</v>
      </c>
      <c r="H26" s="136"/>
      <c r="I26" s="136">
        <f t="shared" si="2"/>
        <v>3650.6178562408236</v>
      </c>
      <c r="J26" s="136">
        <f t="shared" si="3"/>
        <v>478476.78700962808</v>
      </c>
      <c r="K26" s="31"/>
      <c r="L26" s="32"/>
      <c r="M26" s="32"/>
      <c r="N26" s="27"/>
      <c r="O26" s="204"/>
    </row>
    <row r="27" spans="1:15" s="1" customFormat="1" x14ac:dyDescent="0.35">
      <c r="A27" s="219">
        <v>43209</v>
      </c>
      <c r="B27" s="33" t="s">
        <v>107</v>
      </c>
      <c r="C27" s="224"/>
      <c r="D27" s="136">
        <f>9*4.75</f>
        <v>42.75</v>
      </c>
      <c r="E27" s="34">
        <f t="shared" si="0"/>
        <v>19302.79</v>
      </c>
      <c r="F27" s="136"/>
      <c r="G27" s="136">
        <f t="shared" si="1"/>
        <v>24.733183307864657</v>
      </c>
      <c r="H27" s="136"/>
      <c r="I27" s="136">
        <f t="shared" si="2"/>
        <v>1057.3435864112141</v>
      </c>
      <c r="J27" s="136">
        <f t="shared" si="3"/>
        <v>477419.44342321687</v>
      </c>
      <c r="K27" s="31"/>
      <c r="L27" s="32"/>
      <c r="M27" s="32"/>
      <c r="N27" s="27"/>
      <c r="O27" s="204"/>
    </row>
    <row r="28" spans="1:15" s="1" customFormat="1" x14ac:dyDescent="0.35">
      <c r="A28" s="219">
        <v>43214</v>
      </c>
      <c r="B28" s="33" t="s">
        <v>111</v>
      </c>
      <c r="C28" s="224"/>
      <c r="D28" s="136">
        <f>3.4+3.6+4.1</f>
        <v>11.1</v>
      </c>
      <c r="E28" s="34">
        <f t="shared" si="0"/>
        <v>19291.690000000002</v>
      </c>
      <c r="F28" s="136"/>
      <c r="G28" s="136">
        <f t="shared" si="1"/>
        <v>24.733183307864657</v>
      </c>
      <c r="H28" s="136"/>
      <c r="I28" s="136">
        <f t="shared" si="2"/>
        <v>274.53833471729769</v>
      </c>
      <c r="J28" s="136">
        <f t="shared" si="3"/>
        <v>477144.9050884996</v>
      </c>
      <c r="K28" s="31"/>
      <c r="L28" s="32"/>
      <c r="M28" s="32"/>
      <c r="N28" s="27"/>
      <c r="O28" s="204"/>
    </row>
    <row r="29" spans="1:15" s="225" customFormat="1" x14ac:dyDescent="0.35">
      <c r="A29" s="29">
        <v>43218</v>
      </c>
      <c r="B29" s="30" t="s">
        <v>113</v>
      </c>
      <c r="C29" s="224"/>
      <c r="D29" s="224">
        <v>1.5</v>
      </c>
      <c r="E29" s="222">
        <f t="shared" si="0"/>
        <v>19290.190000000002</v>
      </c>
      <c r="F29" s="224"/>
      <c r="G29" s="224">
        <f t="shared" si="1"/>
        <v>24.733183307864657</v>
      </c>
      <c r="H29" s="224"/>
      <c r="I29" s="224">
        <f t="shared" si="2"/>
        <v>37.099774961796982</v>
      </c>
      <c r="J29" s="224">
        <f t="shared" si="3"/>
        <v>477107.80531353777</v>
      </c>
      <c r="K29" s="31"/>
      <c r="L29" s="32">
        <f>SUM(I25:I29)</f>
        <v>5607.0126558929178</v>
      </c>
      <c r="M29" s="32">
        <f>SUM(L25:L29)</f>
        <v>5607.0126558929178</v>
      </c>
      <c r="N29" s="27">
        <v>43220</v>
      </c>
      <c r="O29" s="227"/>
    </row>
    <row r="30" spans="1:15" s="225" customFormat="1" x14ac:dyDescent="0.35">
      <c r="A30" s="29">
        <v>43249</v>
      </c>
      <c r="B30" s="30" t="s">
        <v>117</v>
      </c>
      <c r="C30" s="224"/>
      <c r="D30" s="224">
        <f>6*3.5+6*2.2</f>
        <v>34.200000000000003</v>
      </c>
      <c r="E30" s="222">
        <f t="shared" si="0"/>
        <v>19255.990000000002</v>
      </c>
      <c r="F30" s="224"/>
      <c r="G30" s="224">
        <f t="shared" si="1"/>
        <v>24.733183307864657</v>
      </c>
      <c r="H30" s="224"/>
      <c r="I30" s="224">
        <f t="shared" si="2"/>
        <v>845.87486912897134</v>
      </c>
      <c r="J30" s="224">
        <f t="shared" si="3"/>
        <v>476261.93044440879</v>
      </c>
      <c r="K30" s="31"/>
      <c r="L30" s="32">
        <f>SUM(I30)</f>
        <v>845.87486912897134</v>
      </c>
      <c r="M30" s="32">
        <f>SUM(L30)</f>
        <v>845.87486912897134</v>
      </c>
      <c r="N30" s="27">
        <v>43251</v>
      </c>
      <c r="O30" s="227"/>
    </row>
    <row r="31" spans="1:15" s="225" customFormat="1" x14ac:dyDescent="0.35">
      <c r="A31" s="29">
        <v>43252</v>
      </c>
      <c r="B31" s="30" t="s">
        <v>118</v>
      </c>
      <c r="C31" s="224"/>
      <c r="D31" s="224">
        <f>11*1.2</f>
        <v>13.2</v>
      </c>
      <c r="E31" s="222">
        <f t="shared" si="0"/>
        <v>19242.79</v>
      </c>
      <c r="F31" s="224"/>
      <c r="G31" s="224">
        <f t="shared" si="1"/>
        <v>24.733183307864657</v>
      </c>
      <c r="H31" s="224"/>
      <c r="I31" s="224">
        <f t="shared" si="2"/>
        <v>326.47801966381343</v>
      </c>
      <c r="J31" s="224">
        <f t="shared" si="3"/>
        <v>475935.45242474496</v>
      </c>
      <c r="K31" s="31"/>
      <c r="L31" s="32">
        <f>SUM(I31)</f>
        <v>326.47801966381343</v>
      </c>
      <c r="M31" s="32">
        <f>SUM(L31)</f>
        <v>326.47801966381343</v>
      </c>
      <c r="N31" s="27">
        <v>43266</v>
      </c>
      <c r="O31" s="227"/>
    </row>
    <row r="32" spans="1:15" s="225" customFormat="1" x14ac:dyDescent="0.35">
      <c r="A32" s="29">
        <v>43294</v>
      </c>
      <c r="B32" s="30" t="s">
        <v>425</v>
      </c>
      <c r="C32" s="224"/>
      <c r="D32" s="224">
        <v>6</v>
      </c>
      <c r="E32" s="222">
        <f t="shared" si="0"/>
        <v>19236.79</v>
      </c>
      <c r="F32" s="224"/>
      <c r="G32" s="224">
        <f t="shared" si="1"/>
        <v>24.733183307864657</v>
      </c>
      <c r="H32" s="224"/>
      <c r="I32" s="224">
        <f t="shared" si="2"/>
        <v>148.39909984718793</v>
      </c>
      <c r="J32" s="224">
        <f t="shared" si="3"/>
        <v>475787.05332489777</v>
      </c>
      <c r="K32" s="31"/>
      <c r="L32" s="32">
        <f>SUM(I32)</f>
        <v>148.39909984718793</v>
      </c>
      <c r="M32" s="32"/>
      <c r="N32" s="27">
        <v>43296</v>
      </c>
      <c r="O32" s="227"/>
    </row>
    <row r="33" spans="1:15" s="1" customFormat="1" x14ac:dyDescent="0.35">
      <c r="A33" s="219">
        <v>43301</v>
      </c>
      <c r="B33" s="33" t="s">
        <v>437</v>
      </c>
      <c r="C33" s="224"/>
      <c r="D33" s="136">
        <v>6</v>
      </c>
      <c r="E33" s="34">
        <f t="shared" si="0"/>
        <v>19230.79</v>
      </c>
      <c r="F33" s="136"/>
      <c r="G33" s="136">
        <f t="shared" si="1"/>
        <v>24.733183307864657</v>
      </c>
      <c r="H33" s="136"/>
      <c r="I33" s="136">
        <f t="shared" si="2"/>
        <v>148.39909984718793</v>
      </c>
      <c r="J33" s="136">
        <f t="shared" si="3"/>
        <v>475638.65422505059</v>
      </c>
      <c r="K33" s="31"/>
      <c r="L33" s="32"/>
      <c r="M33" s="32"/>
      <c r="N33" s="27"/>
      <c r="O33" s="204"/>
    </row>
    <row r="34" spans="1:15" s="225" customFormat="1" x14ac:dyDescent="0.35">
      <c r="A34" s="29">
        <v>43304</v>
      </c>
      <c r="B34" s="30" t="s">
        <v>441</v>
      </c>
      <c r="C34" s="224"/>
      <c r="D34" s="224">
        <f>13*5.7+6*3.2+13*4.4+13*5.8+7*5.4+7</f>
        <v>270.7</v>
      </c>
      <c r="E34" s="222">
        <f t="shared" si="0"/>
        <v>18960.09</v>
      </c>
      <c r="F34" s="224"/>
      <c r="G34" s="224">
        <f t="shared" si="1"/>
        <v>24.733183307864657</v>
      </c>
      <c r="H34" s="224"/>
      <c r="I34" s="224">
        <f t="shared" si="2"/>
        <v>6695.2727214389624</v>
      </c>
      <c r="J34" s="224">
        <f t="shared" si="3"/>
        <v>468943.38150361163</v>
      </c>
      <c r="K34" s="31"/>
      <c r="L34" s="32">
        <f>SUM(I33:I34)</f>
        <v>6843.6718212861506</v>
      </c>
      <c r="M34" s="32">
        <f>SUM(L32:L34)</f>
        <v>6992.0709211333387</v>
      </c>
      <c r="N34" s="27">
        <v>43312</v>
      </c>
      <c r="O34" s="227"/>
    </row>
    <row r="35" spans="1:15" s="225" customFormat="1" x14ac:dyDescent="0.35">
      <c r="A35" s="29">
        <v>43319</v>
      </c>
      <c r="B35" s="30" t="s">
        <v>458</v>
      </c>
      <c r="C35" s="224"/>
      <c r="D35" s="224">
        <f>5*4.6</f>
        <v>23</v>
      </c>
      <c r="E35" s="222">
        <f t="shared" si="0"/>
        <v>18937.09</v>
      </c>
      <c r="F35" s="224"/>
      <c r="G35" s="224">
        <f t="shared" si="1"/>
        <v>24.733183307864657</v>
      </c>
      <c r="H35" s="224"/>
      <c r="I35" s="224">
        <f t="shared" si="2"/>
        <v>568.86321608088713</v>
      </c>
      <c r="J35" s="224">
        <f t="shared" si="3"/>
        <v>468374.51828753075</v>
      </c>
      <c r="K35" s="31"/>
      <c r="L35" s="32">
        <f>SUM(I35)</f>
        <v>568.86321608088713</v>
      </c>
      <c r="M35" s="32"/>
      <c r="N35" s="27">
        <v>43327</v>
      </c>
      <c r="O35" s="227"/>
    </row>
    <row r="36" spans="1:15" s="225" customFormat="1" x14ac:dyDescent="0.35">
      <c r="A36" s="29">
        <v>43339</v>
      </c>
      <c r="B36" s="30" t="s">
        <v>492</v>
      </c>
      <c r="C36" s="224"/>
      <c r="D36" s="224">
        <f>6*2.5</f>
        <v>15</v>
      </c>
      <c r="E36" s="222">
        <f t="shared" si="0"/>
        <v>18922.09</v>
      </c>
      <c r="F36" s="224"/>
      <c r="G36" s="224">
        <f t="shared" si="1"/>
        <v>24.73318330786466</v>
      </c>
      <c r="H36" s="224"/>
      <c r="I36" s="224">
        <f t="shared" si="2"/>
        <v>370.99774961796993</v>
      </c>
      <c r="J36" s="224">
        <f t="shared" si="3"/>
        <v>468003.52053791279</v>
      </c>
      <c r="K36" s="31"/>
      <c r="L36" s="32">
        <f>SUM(I36)</f>
        <v>370.99774961796993</v>
      </c>
      <c r="M36" s="32">
        <f>SUM(L35:L36)</f>
        <v>939.86096569885706</v>
      </c>
      <c r="N36" s="27">
        <v>43343</v>
      </c>
      <c r="O36" s="227"/>
    </row>
    <row r="37" spans="1:15" s="1" customFormat="1" x14ac:dyDescent="0.35">
      <c r="A37" s="219">
        <v>43347</v>
      </c>
      <c r="B37" s="33" t="s">
        <v>514</v>
      </c>
      <c r="C37" s="224"/>
      <c r="D37" s="136">
        <f>8*5.5</f>
        <v>44</v>
      </c>
      <c r="E37" s="34">
        <f t="shared" si="0"/>
        <v>18878.09</v>
      </c>
      <c r="F37" s="136"/>
      <c r="G37" s="136">
        <f t="shared" si="1"/>
        <v>24.73318330786466</v>
      </c>
      <c r="H37" s="136"/>
      <c r="I37" s="136">
        <f t="shared" si="2"/>
        <v>1088.2600655460451</v>
      </c>
      <c r="J37" s="136">
        <f t="shared" si="3"/>
        <v>466915.26047236676</v>
      </c>
      <c r="K37" s="31"/>
      <c r="L37" s="32"/>
      <c r="M37" s="32"/>
      <c r="N37" s="27"/>
      <c r="O37" s="204"/>
    </row>
    <row r="38" spans="1:15" s="225" customFormat="1" x14ac:dyDescent="0.35">
      <c r="A38" s="29">
        <v>43350</v>
      </c>
      <c r="B38" s="30" t="s">
        <v>525</v>
      </c>
      <c r="C38" s="224"/>
      <c r="D38" s="224">
        <f>12*4.73</f>
        <v>56.760000000000005</v>
      </c>
      <c r="E38" s="222">
        <f t="shared" si="0"/>
        <v>18821.330000000002</v>
      </c>
      <c r="F38" s="224"/>
      <c r="G38" s="224">
        <f t="shared" si="1"/>
        <v>24.73318330786466</v>
      </c>
      <c r="H38" s="224"/>
      <c r="I38" s="224">
        <f t="shared" si="2"/>
        <v>1403.8554845543983</v>
      </c>
      <c r="J38" s="224">
        <f t="shared" si="3"/>
        <v>465511.40498781239</v>
      </c>
      <c r="K38" s="31"/>
      <c r="L38" s="32">
        <f>SUM(I37:I38)</f>
        <v>2492.1155501004432</v>
      </c>
      <c r="M38" s="32">
        <f>SUM(L38)</f>
        <v>2492.1155501004432</v>
      </c>
      <c r="N38" s="27">
        <v>43358</v>
      </c>
      <c r="O38" s="227"/>
    </row>
    <row r="39" spans="1:15" s="225" customFormat="1" x14ac:dyDescent="0.35">
      <c r="A39" s="29">
        <v>43385</v>
      </c>
      <c r="B39" s="30" t="s">
        <v>583</v>
      </c>
      <c r="C39" s="224"/>
      <c r="D39" s="224">
        <f>1*4.2+10*5.2+10*3.1+9*8</f>
        <v>159.19999999999999</v>
      </c>
      <c r="E39" s="222">
        <f t="shared" si="0"/>
        <v>18662.13</v>
      </c>
      <c r="F39" s="224"/>
      <c r="G39" s="224">
        <f t="shared" si="1"/>
        <v>24.73318330786466</v>
      </c>
      <c r="H39" s="224"/>
      <c r="I39" s="224">
        <f t="shared" si="2"/>
        <v>3937.5227826120536</v>
      </c>
      <c r="J39" s="224">
        <f t="shared" si="3"/>
        <v>461573.88220520032</v>
      </c>
      <c r="K39" s="31"/>
      <c r="L39" s="32">
        <f>SUM(I39)</f>
        <v>3937.5227826120536</v>
      </c>
      <c r="M39" s="32"/>
      <c r="N39" s="27">
        <v>43388</v>
      </c>
      <c r="O39" s="227"/>
    </row>
    <row r="40" spans="1:15" s="225" customFormat="1" x14ac:dyDescent="0.35">
      <c r="A40" s="29">
        <v>43389</v>
      </c>
      <c r="B40" s="30" t="s">
        <v>593</v>
      </c>
      <c r="C40" s="224"/>
      <c r="D40" s="224">
        <f>7*4.6+10*5.5</f>
        <v>87.199999999999989</v>
      </c>
      <c r="E40" s="222">
        <f t="shared" si="0"/>
        <v>18574.93</v>
      </c>
      <c r="F40" s="224"/>
      <c r="G40" s="224">
        <f t="shared" si="1"/>
        <v>24.73318330786466</v>
      </c>
      <c r="H40" s="224"/>
      <c r="I40" s="224">
        <f t="shared" si="2"/>
        <v>2156.733584445798</v>
      </c>
      <c r="J40" s="224">
        <f t="shared" si="3"/>
        <v>459417.14862075454</v>
      </c>
      <c r="K40" s="31"/>
      <c r="L40" s="32">
        <f>SUM(I40)</f>
        <v>2156.733584445798</v>
      </c>
      <c r="M40" s="32">
        <f>SUM(L39:L40)</f>
        <v>6094.2563670578511</v>
      </c>
      <c r="N40" s="27">
        <v>43404</v>
      </c>
      <c r="O40" s="227"/>
    </row>
    <row r="41" spans="1:15" s="225" customFormat="1" x14ac:dyDescent="0.35">
      <c r="A41" s="29">
        <v>43411</v>
      </c>
      <c r="B41" s="30" t="s">
        <v>649</v>
      </c>
      <c r="C41" s="224"/>
      <c r="D41" s="224">
        <f>3*4.6+3.2</f>
        <v>17</v>
      </c>
      <c r="E41" s="222">
        <f t="shared" si="0"/>
        <v>18557.93</v>
      </c>
      <c r="F41" s="224"/>
      <c r="G41" s="224">
        <f t="shared" si="1"/>
        <v>24.73318330786466</v>
      </c>
      <c r="H41" s="224"/>
      <c r="I41" s="224">
        <f t="shared" si="2"/>
        <v>420.4641162336992</v>
      </c>
      <c r="J41" s="224">
        <f t="shared" si="3"/>
        <v>458996.68450452085</v>
      </c>
      <c r="K41" s="31"/>
      <c r="L41" s="32">
        <f>SUM(I41)</f>
        <v>420.4641162336992</v>
      </c>
      <c r="M41" s="32"/>
      <c r="N41" s="27">
        <v>43419</v>
      </c>
      <c r="O41" s="227"/>
    </row>
    <row r="42" spans="1:15" s="225" customFormat="1" x14ac:dyDescent="0.35">
      <c r="A42" s="29">
        <v>43424</v>
      </c>
      <c r="B42" s="30" t="s">
        <v>678</v>
      </c>
      <c r="C42" s="224"/>
      <c r="D42" s="224">
        <f>22*2</f>
        <v>44</v>
      </c>
      <c r="E42" s="222">
        <f t="shared" si="0"/>
        <v>18513.93</v>
      </c>
      <c r="F42" s="224"/>
      <c r="G42" s="224">
        <f t="shared" si="1"/>
        <v>24.73318330786466</v>
      </c>
      <c r="H42" s="224"/>
      <c r="I42" s="224">
        <f t="shared" si="2"/>
        <v>1088.2600655460451</v>
      </c>
      <c r="J42" s="224">
        <f t="shared" si="3"/>
        <v>457908.42443897482</v>
      </c>
      <c r="K42" s="31"/>
      <c r="L42" s="32">
        <f>SUM(I42)</f>
        <v>1088.2600655460451</v>
      </c>
      <c r="M42" s="32">
        <f>SUM(L41:L42)</f>
        <v>1508.7241817797444</v>
      </c>
      <c r="N42" s="27">
        <v>43434</v>
      </c>
      <c r="O42" s="227"/>
    </row>
    <row r="43" spans="1:15" s="225" customFormat="1" x14ac:dyDescent="0.35">
      <c r="A43" s="29">
        <v>43446</v>
      </c>
      <c r="B43" s="30" t="s">
        <v>732</v>
      </c>
      <c r="C43" s="224"/>
      <c r="D43" s="224">
        <f>4*5.4+4*4</f>
        <v>37.6</v>
      </c>
      <c r="E43" s="222">
        <f t="shared" si="0"/>
        <v>18476.330000000002</v>
      </c>
      <c r="F43" s="224"/>
      <c r="G43" s="224">
        <f t="shared" si="1"/>
        <v>24.733183307864664</v>
      </c>
      <c r="H43" s="224"/>
      <c r="I43" s="224">
        <f t="shared" si="2"/>
        <v>929.96769237571141</v>
      </c>
      <c r="J43" s="224">
        <f t="shared" si="3"/>
        <v>456978.45674659911</v>
      </c>
      <c r="K43" s="31"/>
      <c r="L43" s="32">
        <f>SUM(I43)</f>
        <v>929.96769237571141</v>
      </c>
      <c r="M43" s="32"/>
      <c r="N43" s="27">
        <v>43449</v>
      </c>
      <c r="O43" s="227"/>
    </row>
    <row r="44" spans="1:15" s="1" customFormat="1" x14ac:dyDescent="0.35">
      <c r="A44" s="219">
        <v>43452</v>
      </c>
      <c r="B44" s="33" t="s">
        <v>756</v>
      </c>
      <c r="C44" s="224"/>
      <c r="D44" s="136">
        <f>33*5+10</f>
        <v>175</v>
      </c>
      <c r="E44" s="34">
        <f t="shared" si="0"/>
        <v>18301.330000000002</v>
      </c>
      <c r="F44" s="136"/>
      <c r="G44" s="136">
        <f t="shared" si="1"/>
        <v>24.73318330786466</v>
      </c>
      <c r="H44" s="136"/>
      <c r="I44" s="136">
        <f t="shared" si="2"/>
        <v>4328.3070788763152</v>
      </c>
      <c r="J44" s="136">
        <f t="shared" si="3"/>
        <v>452650.14966772281</v>
      </c>
      <c r="K44" s="31"/>
      <c r="L44" s="32"/>
      <c r="M44" s="32"/>
      <c r="N44" s="27"/>
      <c r="O44" s="204"/>
    </row>
    <row r="45" spans="1:15" s="225" customFormat="1" x14ac:dyDescent="0.35">
      <c r="A45" s="29">
        <v>43456</v>
      </c>
      <c r="B45" s="30" t="s">
        <v>772</v>
      </c>
      <c r="C45" s="224"/>
      <c r="D45" s="224">
        <v>10</v>
      </c>
      <c r="E45" s="222">
        <f t="shared" si="0"/>
        <v>18291.330000000002</v>
      </c>
      <c r="F45" s="224"/>
      <c r="G45" s="224">
        <f t="shared" si="1"/>
        <v>24.73318330786466</v>
      </c>
      <c r="H45" s="224"/>
      <c r="I45" s="224">
        <f t="shared" si="2"/>
        <v>247.33183307864661</v>
      </c>
      <c r="J45" s="224">
        <f t="shared" si="3"/>
        <v>452402.81783464417</v>
      </c>
      <c r="K45" s="31"/>
      <c r="L45" s="32">
        <f>SUM(I44:I45)</f>
        <v>4575.6389119549622</v>
      </c>
      <c r="M45" s="317">
        <f>SUM(L43:L45)</f>
        <v>5505.6066043306737</v>
      </c>
      <c r="N45" s="27">
        <v>43465</v>
      </c>
      <c r="O45" s="227"/>
    </row>
    <row r="46" spans="1:15" ht="15" thickBot="1" x14ac:dyDescent="0.4">
      <c r="A46" s="206"/>
      <c r="B46" s="206" t="s">
        <v>135</v>
      </c>
      <c r="C46" s="133">
        <f>SUM(C9:C45)</f>
        <v>19950.330000000002</v>
      </c>
      <c r="D46" s="133">
        <f>SUM(D9:D45)</f>
        <v>1673</v>
      </c>
      <c r="E46" s="133"/>
      <c r="F46" s="133"/>
      <c r="G46" s="133"/>
      <c r="H46" s="133">
        <f>SUM(H9:H45)</f>
        <v>494573.5</v>
      </c>
      <c r="I46" s="133">
        <f>SUM(I9:I45)</f>
        <v>42170.682165355931</v>
      </c>
      <c r="J46" s="133"/>
      <c r="K46" s="206"/>
      <c r="L46" s="204"/>
      <c r="M46" s="311">
        <f>SUM(M11:M45)</f>
        <v>42170.682165355916</v>
      </c>
      <c r="N46" s="245"/>
      <c r="O46" s="204"/>
    </row>
    <row r="47" spans="1:15" ht="15" thickTop="1" x14ac:dyDescent="0.35">
      <c r="A47" s="204"/>
      <c r="B47" s="204"/>
      <c r="C47" s="245"/>
      <c r="D47" s="245"/>
      <c r="E47" s="245"/>
      <c r="F47" s="245"/>
      <c r="G47" s="245"/>
      <c r="H47" s="245"/>
      <c r="I47" s="245"/>
      <c r="J47" s="245"/>
      <c r="K47" s="204"/>
      <c r="L47" s="204"/>
      <c r="M47" s="204"/>
      <c r="N47" s="245"/>
      <c r="O47" s="204"/>
    </row>
    <row r="48" spans="1:15" x14ac:dyDescent="0.35">
      <c r="A48" s="309" t="s">
        <v>230</v>
      </c>
      <c r="B48" s="201"/>
      <c r="C48" s="200"/>
      <c r="D48" s="200"/>
      <c r="E48" s="200"/>
      <c r="F48" s="200"/>
      <c r="G48" s="204"/>
      <c r="H48" s="204"/>
      <c r="I48" s="204"/>
      <c r="J48" s="204"/>
      <c r="K48" s="204"/>
      <c r="L48" s="204"/>
      <c r="M48" s="245"/>
      <c r="N48" s="245"/>
      <c r="O48" s="204"/>
    </row>
    <row r="49" spans="1:15" x14ac:dyDescent="0.35">
      <c r="A49" s="309" t="s">
        <v>233</v>
      </c>
      <c r="B49" s="201"/>
      <c r="C49" s="200"/>
      <c r="D49" s="200"/>
      <c r="E49" s="200"/>
      <c r="F49" s="200"/>
      <c r="G49" s="204"/>
      <c r="H49" s="204"/>
      <c r="I49" s="204"/>
      <c r="J49" s="245">
        <f>+E45*F24</f>
        <v>446478.72145119851</v>
      </c>
      <c r="K49" s="204"/>
      <c r="L49" s="204"/>
      <c r="M49" s="204"/>
      <c r="N49" s="204"/>
      <c r="O49" s="204"/>
    </row>
    <row r="50" spans="1:15" x14ac:dyDescent="0.35">
      <c r="A50" s="309" t="s">
        <v>231</v>
      </c>
      <c r="B50" s="201"/>
      <c r="C50" s="200"/>
      <c r="D50" s="200"/>
      <c r="E50" s="200"/>
      <c r="F50" s="200"/>
      <c r="G50" s="204"/>
      <c r="H50" s="204"/>
      <c r="I50" s="204"/>
      <c r="J50" s="310">
        <f>+J45</f>
        <v>452402.81783464417</v>
      </c>
      <c r="K50" s="204"/>
      <c r="L50" s="204"/>
      <c r="M50" s="204"/>
      <c r="N50" s="204"/>
      <c r="O50" s="204"/>
    </row>
    <row r="51" spans="1:15" ht="15" thickBot="1" x14ac:dyDescent="0.4">
      <c r="A51" s="309"/>
      <c r="B51" s="201" t="s">
        <v>232</v>
      </c>
      <c r="C51" s="200"/>
      <c r="D51" s="200"/>
      <c r="E51" s="200"/>
      <c r="F51" s="200"/>
      <c r="G51" s="204"/>
      <c r="H51" s="204"/>
      <c r="I51" s="204"/>
      <c r="J51" s="311">
        <f>+J49-J50</f>
        <v>-5924.0963834456634</v>
      </c>
      <c r="K51" s="204"/>
      <c r="L51" s="204"/>
      <c r="M51" s="204"/>
      <c r="N51" s="204"/>
      <c r="O51" s="204"/>
    </row>
    <row r="52" spans="1:15" ht="15" thickTop="1" x14ac:dyDescent="0.35">
      <c r="A52" s="204"/>
      <c r="B52" s="204"/>
      <c r="C52" s="245"/>
      <c r="D52" s="245"/>
      <c r="E52" s="245"/>
      <c r="F52" s="245"/>
      <c r="G52" s="245"/>
      <c r="H52" s="245"/>
      <c r="I52" s="245"/>
      <c r="J52" s="245"/>
      <c r="K52" s="204"/>
      <c r="L52" s="204"/>
      <c r="M52" s="204"/>
      <c r="N52" s="204"/>
      <c r="O52" s="204"/>
    </row>
    <row r="53" spans="1:15" x14ac:dyDescent="0.35">
      <c r="A53" s="204"/>
      <c r="B53" s="204"/>
      <c r="C53" s="245"/>
      <c r="D53" s="245"/>
      <c r="E53" s="245"/>
      <c r="F53" s="245"/>
      <c r="G53" s="245"/>
      <c r="H53" s="245"/>
      <c r="I53" s="245"/>
      <c r="J53" s="245"/>
      <c r="K53" s="204"/>
      <c r="L53" s="204"/>
      <c r="M53" s="204"/>
      <c r="N53" s="204"/>
      <c r="O53" s="204"/>
    </row>
    <row r="54" spans="1:15" x14ac:dyDescent="0.35">
      <c r="A54" s="204"/>
      <c r="B54" s="204"/>
      <c r="C54" s="245"/>
      <c r="D54" s="245"/>
      <c r="E54" s="245"/>
      <c r="F54" s="245"/>
      <c r="G54" s="245"/>
      <c r="H54" s="245"/>
      <c r="I54" s="245"/>
      <c r="J54" s="245"/>
      <c r="K54" s="204"/>
      <c r="L54" s="204"/>
      <c r="M54" s="204"/>
      <c r="N54" s="204"/>
      <c r="O54" s="204"/>
    </row>
    <row r="55" spans="1:15" x14ac:dyDescent="0.35">
      <c r="A55" s="204"/>
      <c r="B55" s="204"/>
      <c r="C55" s="245"/>
      <c r="D55" s="245"/>
      <c r="E55" s="245"/>
      <c r="F55" s="245"/>
      <c r="G55" s="245"/>
      <c r="H55" s="245"/>
      <c r="I55" s="245"/>
      <c r="J55" s="245"/>
      <c r="K55" s="204"/>
      <c r="L55" s="204"/>
      <c r="M55" s="204"/>
      <c r="N55" s="204"/>
      <c r="O55" s="204"/>
    </row>
    <row r="56" spans="1:15" x14ac:dyDescent="0.35">
      <c r="A56" s="204"/>
      <c r="B56" s="204"/>
      <c r="C56" s="245"/>
      <c r="D56" s="245"/>
      <c r="E56" s="245"/>
      <c r="F56" s="245"/>
      <c r="G56" s="245"/>
      <c r="H56" s="245"/>
      <c r="I56" s="245"/>
      <c r="J56" s="245"/>
      <c r="K56" s="204"/>
      <c r="L56" s="204"/>
      <c r="M56" s="204"/>
      <c r="N56" s="204"/>
      <c r="O56" s="204"/>
    </row>
    <row r="57" spans="1:15" x14ac:dyDescent="0.3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</row>
    <row r="58" spans="1:15" x14ac:dyDescent="0.3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</row>
    <row r="59" spans="1:15" x14ac:dyDescent="0.3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</row>
    <row r="60" spans="1:15" x14ac:dyDescent="0.3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</row>
    <row r="61" spans="1:15" x14ac:dyDescent="0.3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</row>
    <row r="62" spans="1:15" x14ac:dyDescent="0.3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</row>
    <row r="63" spans="1:15" x14ac:dyDescent="0.35">
      <c r="A63" s="204"/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</row>
    <row r="64" spans="1:15" x14ac:dyDescent="0.35">
      <c r="A64" s="204"/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</row>
    <row r="65" spans="1:15" x14ac:dyDescent="0.35">
      <c r="A65" s="204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</row>
    <row r="66" spans="1:15" x14ac:dyDescent="0.35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</row>
    <row r="67" spans="1:15" x14ac:dyDescent="0.35">
      <c r="A67" s="204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</row>
    <row r="68" spans="1:15" x14ac:dyDescent="0.35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</row>
    <row r="69" spans="1:15" x14ac:dyDescent="0.35">
      <c r="A69" s="204"/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</row>
    <row r="70" spans="1:15" x14ac:dyDescent="0.35">
      <c r="A70" s="204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</row>
    <row r="71" spans="1:15" x14ac:dyDescent="0.35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</row>
    <row r="72" spans="1:15" x14ac:dyDescent="0.35">
      <c r="A72" s="204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</row>
    <row r="73" spans="1:15" x14ac:dyDescent="0.35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</row>
    <row r="74" spans="1:15" x14ac:dyDescent="0.35">
      <c r="A74" s="204"/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</row>
    <row r="75" spans="1:15" x14ac:dyDescent="0.35">
      <c r="A75" s="204"/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</row>
    <row r="76" spans="1:15" x14ac:dyDescent="0.35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</row>
    <row r="77" spans="1:15" x14ac:dyDescent="0.35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</row>
    <row r="78" spans="1:15" x14ac:dyDescent="0.35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</row>
    <row r="79" spans="1:15" x14ac:dyDescent="0.35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</row>
    <row r="80" spans="1:15" x14ac:dyDescent="0.35">
      <c r="A80" s="204"/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</row>
    <row r="81" spans="1:15" x14ac:dyDescent="0.35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</row>
    <row r="82" spans="1:15" x14ac:dyDescent="0.35">
      <c r="A82" s="204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</row>
    <row r="83" spans="1:15" x14ac:dyDescent="0.35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</row>
    <row r="84" spans="1:15" x14ac:dyDescent="0.35">
      <c r="A84" s="204"/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</row>
    <row r="85" spans="1:15" x14ac:dyDescent="0.35">
      <c r="A85" s="204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</row>
    <row r="86" spans="1:15" x14ac:dyDescent="0.35">
      <c r="A86" s="204"/>
      <c r="B86" s="204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</row>
    <row r="87" spans="1:15" x14ac:dyDescent="0.35">
      <c r="A87" s="204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</row>
    <row r="88" spans="1:15" x14ac:dyDescent="0.35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</row>
    <row r="89" spans="1:15" x14ac:dyDescent="0.35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</row>
    <row r="90" spans="1:15" x14ac:dyDescent="0.35">
      <c r="A90" s="204"/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</row>
    <row r="91" spans="1:15" x14ac:dyDescent="0.35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</row>
    <row r="92" spans="1:15" x14ac:dyDescent="0.35">
      <c r="A92" s="204"/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</row>
    <row r="93" spans="1:15" x14ac:dyDescent="0.35">
      <c r="A93" s="204"/>
      <c r="B93" s="204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04"/>
    </row>
    <row r="94" spans="1:15" x14ac:dyDescent="0.35">
      <c r="A94" s="204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</row>
    <row r="95" spans="1:15" x14ac:dyDescent="0.35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</row>
    <row r="96" spans="1:15" x14ac:dyDescent="0.35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</row>
    <row r="97" spans="1:15" x14ac:dyDescent="0.35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</row>
    <row r="98" spans="1:15" x14ac:dyDescent="0.35">
      <c r="A98" s="204"/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</row>
    <row r="99" spans="1:15" x14ac:dyDescent="0.35">
      <c r="A99" s="204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</row>
    <row r="100" spans="1:15" x14ac:dyDescent="0.35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</row>
    <row r="101" spans="1:15" x14ac:dyDescent="0.35">
      <c r="A101" s="204"/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</row>
    <row r="102" spans="1:15" x14ac:dyDescent="0.35">
      <c r="A102" s="204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</row>
    <row r="103" spans="1:15" x14ac:dyDescent="0.35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</row>
    <row r="104" spans="1:15" x14ac:dyDescent="0.35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</row>
    <row r="105" spans="1:15" x14ac:dyDescent="0.35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</row>
    <row r="106" spans="1:15" x14ac:dyDescent="0.35">
      <c r="A106" s="204"/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</row>
    <row r="107" spans="1:15" x14ac:dyDescent="0.35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</row>
    <row r="108" spans="1:15" x14ac:dyDescent="0.35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</row>
    <row r="109" spans="1:15" x14ac:dyDescent="0.35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</row>
    <row r="110" spans="1:15" x14ac:dyDescent="0.35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4"/>
      <c r="O110" s="204"/>
    </row>
    <row r="111" spans="1:15" x14ac:dyDescent="0.35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</row>
    <row r="112" spans="1:15" x14ac:dyDescent="0.35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</row>
    <row r="113" spans="1:15" x14ac:dyDescent="0.35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</row>
    <row r="114" spans="1:15" x14ac:dyDescent="0.35">
      <c r="A114" s="204"/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</row>
    <row r="115" spans="1:15" x14ac:dyDescent="0.35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</row>
    <row r="116" spans="1:15" x14ac:dyDescent="0.35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</row>
    <row r="117" spans="1:15" x14ac:dyDescent="0.35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</row>
    <row r="118" spans="1:15" x14ac:dyDescent="0.35">
      <c r="A118" s="204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</row>
    <row r="119" spans="1:15" x14ac:dyDescent="0.35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</row>
    <row r="120" spans="1:15" x14ac:dyDescent="0.35">
      <c r="A120" s="204"/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</row>
    <row r="121" spans="1:15" x14ac:dyDescent="0.35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</row>
    <row r="122" spans="1:15" x14ac:dyDescent="0.35">
      <c r="A122" s="204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</row>
    <row r="123" spans="1:15" x14ac:dyDescent="0.35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4"/>
      <c r="O123" s="204"/>
    </row>
    <row r="124" spans="1:15" x14ac:dyDescent="0.35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</row>
    <row r="125" spans="1:15" x14ac:dyDescent="0.35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</row>
    <row r="126" spans="1:15" x14ac:dyDescent="0.35">
      <c r="A126" s="204"/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</row>
    <row r="127" spans="1:15" x14ac:dyDescent="0.35">
      <c r="A127" s="204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</row>
    <row r="128" spans="1:15" x14ac:dyDescent="0.35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4"/>
      <c r="O128" s="204"/>
    </row>
    <row r="129" spans="1:15" x14ac:dyDescent="0.35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</row>
    <row r="130" spans="1:15" x14ac:dyDescent="0.35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</row>
    <row r="131" spans="1:15" x14ac:dyDescent="0.35">
      <c r="A131" s="204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</row>
    <row r="132" spans="1:15" x14ac:dyDescent="0.35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</row>
    <row r="133" spans="1:15" x14ac:dyDescent="0.35">
      <c r="A133" s="204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</row>
    <row r="134" spans="1:15" x14ac:dyDescent="0.35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</row>
    <row r="135" spans="1:15" x14ac:dyDescent="0.35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</row>
    <row r="136" spans="1:15" x14ac:dyDescent="0.35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</row>
    <row r="137" spans="1:15" x14ac:dyDescent="0.35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</row>
    <row r="138" spans="1:15" x14ac:dyDescent="0.35">
      <c r="A138" s="204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</row>
    <row r="139" spans="1:15" x14ac:dyDescent="0.35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</row>
    <row r="140" spans="1:15" x14ac:dyDescent="0.35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</row>
    <row r="141" spans="1:15" x14ac:dyDescent="0.35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</row>
    <row r="142" spans="1:15" x14ac:dyDescent="0.35">
      <c r="A142" s="204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</row>
    <row r="143" spans="1:15" x14ac:dyDescent="0.35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</row>
    <row r="144" spans="1:15" x14ac:dyDescent="0.35">
      <c r="A144" s="204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</row>
    <row r="145" spans="1:15" x14ac:dyDescent="0.35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</row>
    <row r="146" spans="1:15" x14ac:dyDescent="0.35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</row>
    <row r="147" spans="1:15" x14ac:dyDescent="0.35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</row>
    <row r="148" spans="1:15" x14ac:dyDescent="0.35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</row>
    <row r="149" spans="1:15" x14ac:dyDescent="0.35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</row>
    <row r="150" spans="1:15" x14ac:dyDescent="0.35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</row>
    <row r="151" spans="1:15" x14ac:dyDescent="0.35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</row>
    <row r="152" spans="1:15" x14ac:dyDescent="0.35">
      <c r="A152" s="204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</row>
    <row r="153" spans="1:15" x14ac:dyDescent="0.35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</row>
    <row r="154" spans="1:15" x14ac:dyDescent="0.35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</row>
    <row r="155" spans="1:15" x14ac:dyDescent="0.35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</row>
    <row r="156" spans="1:15" x14ac:dyDescent="0.35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</row>
    <row r="157" spans="1:15" x14ac:dyDescent="0.35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</row>
    <row r="158" spans="1:15" x14ac:dyDescent="0.35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</row>
    <row r="159" spans="1:15" x14ac:dyDescent="0.35">
      <c r="A159" s="204"/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</row>
    <row r="160" spans="1:15" x14ac:dyDescent="0.35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</row>
    <row r="161" spans="1:15" x14ac:dyDescent="0.35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</row>
    <row r="162" spans="1:15" x14ac:dyDescent="0.35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</row>
    <row r="163" spans="1:15" x14ac:dyDescent="0.35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</row>
    <row r="164" spans="1:15" x14ac:dyDescent="0.35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</row>
    <row r="165" spans="1:15" x14ac:dyDescent="0.35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</row>
    <row r="166" spans="1:15" x14ac:dyDescent="0.35">
      <c r="A166" s="204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</row>
    <row r="167" spans="1:15" x14ac:dyDescent="0.35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</row>
    <row r="168" spans="1:15" x14ac:dyDescent="0.35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</row>
    <row r="169" spans="1:15" x14ac:dyDescent="0.3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</row>
    <row r="170" spans="1:15" x14ac:dyDescent="0.35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</row>
    <row r="171" spans="1:15" x14ac:dyDescent="0.35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</row>
    <row r="172" spans="1:15" x14ac:dyDescent="0.35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</row>
    <row r="173" spans="1:15" x14ac:dyDescent="0.35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</row>
    <row r="174" spans="1:15" x14ac:dyDescent="0.3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</row>
    <row r="175" spans="1:15" x14ac:dyDescent="0.35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</row>
    <row r="176" spans="1:15" x14ac:dyDescent="0.35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</row>
    <row r="177" spans="1:15" x14ac:dyDescent="0.35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</row>
    <row r="178" spans="1:15" x14ac:dyDescent="0.35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</row>
    <row r="179" spans="1:15" x14ac:dyDescent="0.35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</row>
    <row r="180" spans="1:15" x14ac:dyDescent="0.35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</row>
    <row r="181" spans="1:15" x14ac:dyDescent="0.35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</row>
    <row r="182" spans="1:15" x14ac:dyDescent="0.35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</row>
    <row r="183" spans="1:15" x14ac:dyDescent="0.35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</row>
    <row r="184" spans="1:15" x14ac:dyDescent="0.35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</row>
    <row r="185" spans="1:15" x14ac:dyDescent="0.35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</row>
    <row r="186" spans="1:15" x14ac:dyDescent="0.3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</row>
    <row r="187" spans="1:15" x14ac:dyDescent="0.35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</row>
    <row r="188" spans="1:15" x14ac:dyDescent="0.35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</row>
    <row r="189" spans="1:15" x14ac:dyDescent="0.35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</row>
    <row r="190" spans="1:15" x14ac:dyDescent="0.35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</row>
    <row r="191" spans="1:15" x14ac:dyDescent="0.35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</row>
    <row r="192" spans="1:15" x14ac:dyDescent="0.35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</row>
    <row r="193" spans="1:15" x14ac:dyDescent="0.35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</row>
    <row r="194" spans="1:15" x14ac:dyDescent="0.35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</row>
    <row r="195" spans="1:15" x14ac:dyDescent="0.35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</row>
    <row r="196" spans="1:15" x14ac:dyDescent="0.35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</row>
    <row r="197" spans="1:15" x14ac:dyDescent="0.35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</row>
    <row r="198" spans="1:15" x14ac:dyDescent="0.35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</row>
    <row r="199" spans="1:15" x14ac:dyDescent="0.35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</row>
    <row r="200" spans="1:15" x14ac:dyDescent="0.35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</row>
    <row r="201" spans="1:15" x14ac:dyDescent="0.35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</row>
    <row r="202" spans="1:15" x14ac:dyDescent="0.35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</row>
    <row r="203" spans="1:15" x14ac:dyDescent="0.35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</row>
    <row r="204" spans="1:15" x14ac:dyDescent="0.35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</row>
    <row r="205" spans="1:15" x14ac:dyDescent="0.35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</row>
    <row r="206" spans="1:15" x14ac:dyDescent="0.35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</row>
    <row r="207" spans="1:15" x14ac:dyDescent="0.35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</row>
    <row r="208" spans="1:15" x14ac:dyDescent="0.35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</row>
    <row r="209" spans="1:15" x14ac:dyDescent="0.35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</row>
    <row r="210" spans="1:15" x14ac:dyDescent="0.35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</row>
    <row r="211" spans="1:15" x14ac:dyDescent="0.35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</row>
    <row r="212" spans="1:15" x14ac:dyDescent="0.35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</row>
    <row r="213" spans="1:15" x14ac:dyDescent="0.35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</row>
    <row r="214" spans="1:15" x14ac:dyDescent="0.35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</row>
    <row r="215" spans="1:15" x14ac:dyDescent="0.35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</row>
    <row r="216" spans="1:15" x14ac:dyDescent="0.35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</row>
    <row r="217" spans="1:15" x14ac:dyDescent="0.35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</row>
    <row r="218" spans="1:15" x14ac:dyDescent="0.35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</row>
    <row r="219" spans="1:15" x14ac:dyDescent="0.35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</row>
    <row r="220" spans="1:15" x14ac:dyDescent="0.35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</row>
    <row r="221" spans="1:15" x14ac:dyDescent="0.35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</row>
    <row r="222" spans="1:15" x14ac:dyDescent="0.35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</row>
    <row r="223" spans="1:15" x14ac:dyDescent="0.35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</row>
    <row r="224" spans="1:15" x14ac:dyDescent="0.35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</row>
    <row r="225" spans="1:15" x14ac:dyDescent="0.35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</row>
    <row r="226" spans="1:15" x14ac:dyDescent="0.35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</row>
    <row r="227" spans="1:15" x14ac:dyDescent="0.35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</row>
    <row r="228" spans="1:15" x14ac:dyDescent="0.35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</row>
    <row r="229" spans="1:15" x14ac:dyDescent="0.35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</row>
    <row r="230" spans="1:15" x14ac:dyDescent="0.35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</row>
    <row r="231" spans="1:15" x14ac:dyDescent="0.35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</row>
    <row r="232" spans="1:15" x14ac:dyDescent="0.35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</row>
    <row r="233" spans="1:15" x14ac:dyDescent="0.35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</row>
    <row r="234" spans="1:15" x14ac:dyDescent="0.35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</row>
    <row r="235" spans="1:15" x14ac:dyDescent="0.35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</row>
    <row r="236" spans="1:15" x14ac:dyDescent="0.35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</row>
    <row r="237" spans="1:15" x14ac:dyDescent="0.35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</row>
    <row r="238" spans="1:15" x14ac:dyDescent="0.35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</row>
    <row r="239" spans="1:15" x14ac:dyDescent="0.35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</row>
    <row r="240" spans="1:15" x14ac:dyDescent="0.35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</row>
    <row r="241" spans="1:15" x14ac:dyDescent="0.35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</row>
    <row r="242" spans="1:15" x14ac:dyDescent="0.35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</row>
    <row r="243" spans="1:15" x14ac:dyDescent="0.35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</row>
    <row r="244" spans="1:15" x14ac:dyDescent="0.35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</row>
    <row r="245" spans="1:15" x14ac:dyDescent="0.35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</row>
    <row r="246" spans="1:15" x14ac:dyDescent="0.35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</row>
    <row r="247" spans="1:15" x14ac:dyDescent="0.35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</row>
    <row r="248" spans="1:15" x14ac:dyDescent="0.35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</row>
    <row r="249" spans="1:15" x14ac:dyDescent="0.35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</row>
    <row r="250" spans="1:15" x14ac:dyDescent="0.35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</row>
    <row r="251" spans="1:15" x14ac:dyDescent="0.35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</row>
    <row r="252" spans="1:15" x14ac:dyDescent="0.35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</row>
    <row r="253" spans="1:15" x14ac:dyDescent="0.35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N246"/>
  <sheetViews>
    <sheetView topLeftCell="A94" workbookViewId="0">
      <selection sqref="A1:N123"/>
    </sheetView>
  </sheetViews>
  <sheetFormatPr baseColWidth="10" defaultRowHeight="14.5" x14ac:dyDescent="0.35"/>
  <cols>
    <col min="1" max="1" width="9.6328125" customWidth="1"/>
    <col min="2" max="2" width="35.453125" customWidth="1"/>
  </cols>
  <sheetData>
    <row r="1" spans="1:14" x14ac:dyDescent="0.35">
      <c r="A1" s="36" t="s">
        <v>0</v>
      </c>
      <c r="B1" s="37"/>
      <c r="C1" s="46"/>
      <c r="D1" s="46"/>
      <c r="E1" s="46"/>
      <c r="F1" s="46"/>
      <c r="G1" s="46"/>
      <c r="H1" s="47" t="s">
        <v>1</v>
      </c>
      <c r="I1" s="46"/>
      <c r="J1" s="46"/>
      <c r="K1" s="48"/>
      <c r="L1" s="35"/>
      <c r="M1" s="35"/>
      <c r="N1" s="35"/>
    </row>
    <row r="2" spans="1:14" x14ac:dyDescent="0.35">
      <c r="A2" s="38" t="s">
        <v>2</v>
      </c>
      <c r="B2" s="39"/>
      <c r="C2" s="49"/>
      <c r="D2" s="49"/>
      <c r="E2" s="49"/>
      <c r="F2" s="49"/>
      <c r="G2" s="49"/>
      <c r="H2" s="246" t="s">
        <v>218</v>
      </c>
      <c r="I2" s="247"/>
      <c r="J2" s="247"/>
      <c r="K2" s="248"/>
      <c r="L2" s="249"/>
      <c r="M2" s="35"/>
      <c r="N2" s="35"/>
    </row>
    <row r="3" spans="1:14" x14ac:dyDescent="0.35">
      <c r="A3" s="40" t="s">
        <v>3</v>
      </c>
      <c r="B3" s="41"/>
      <c r="C3" s="49"/>
      <c r="D3" s="49"/>
      <c r="E3" s="49"/>
      <c r="F3" s="49"/>
      <c r="G3" s="49"/>
      <c r="H3" s="50" t="s">
        <v>4</v>
      </c>
      <c r="I3" s="49"/>
      <c r="J3" s="49"/>
      <c r="K3" s="51"/>
      <c r="L3" s="35"/>
      <c r="M3" s="35"/>
      <c r="N3" s="35"/>
    </row>
    <row r="4" spans="1:14" x14ac:dyDescent="0.35">
      <c r="A4" s="45"/>
      <c r="B4" s="49"/>
      <c r="C4" s="49"/>
      <c r="D4" s="327" t="s">
        <v>5</v>
      </c>
      <c r="E4" s="327"/>
      <c r="F4" s="327"/>
      <c r="G4" s="327"/>
      <c r="H4" s="327"/>
      <c r="I4" s="49"/>
      <c r="J4" s="49"/>
      <c r="K4" s="51"/>
      <c r="L4" s="35"/>
      <c r="M4" s="35"/>
      <c r="N4" s="35"/>
    </row>
    <row r="5" spans="1:14" x14ac:dyDescent="0.35">
      <c r="A5" s="45"/>
      <c r="B5" s="52"/>
      <c r="C5" s="49"/>
      <c r="D5" s="50" t="s">
        <v>21</v>
      </c>
      <c r="E5" s="52"/>
      <c r="F5" s="52"/>
      <c r="G5" s="49"/>
      <c r="H5" s="49"/>
      <c r="I5" s="49"/>
      <c r="J5" s="49"/>
      <c r="K5" s="51"/>
      <c r="L5" s="35"/>
      <c r="M5" s="35"/>
      <c r="N5" s="35"/>
    </row>
    <row r="6" spans="1:14" x14ac:dyDescent="0.35">
      <c r="A6" s="45"/>
      <c r="B6" s="52"/>
      <c r="C6" s="49"/>
      <c r="D6" s="49" t="s">
        <v>6</v>
      </c>
      <c r="E6" s="52"/>
      <c r="F6" s="52"/>
      <c r="G6" s="49"/>
      <c r="H6" s="49"/>
      <c r="I6" s="49"/>
      <c r="J6" s="49"/>
      <c r="K6" s="51"/>
      <c r="L6" s="35"/>
      <c r="M6" s="35"/>
      <c r="N6" s="35"/>
    </row>
    <row r="7" spans="1:14" x14ac:dyDescent="0.35">
      <c r="A7" s="42" t="s">
        <v>7</v>
      </c>
      <c r="B7" s="53" t="s">
        <v>8</v>
      </c>
      <c r="C7" s="328" t="s">
        <v>9</v>
      </c>
      <c r="D7" s="328"/>
      <c r="E7" s="329"/>
      <c r="F7" s="330" t="s">
        <v>10</v>
      </c>
      <c r="G7" s="330"/>
      <c r="H7" s="331" t="s">
        <v>11</v>
      </c>
      <c r="I7" s="332"/>
      <c r="J7" s="332"/>
      <c r="K7" s="44" t="s">
        <v>12</v>
      </c>
      <c r="L7" s="35"/>
      <c r="M7" s="35"/>
      <c r="N7" s="35"/>
    </row>
    <row r="8" spans="1:14" x14ac:dyDescent="0.35">
      <c r="A8" s="43"/>
      <c r="B8" s="54"/>
      <c r="C8" s="54" t="s">
        <v>13</v>
      </c>
      <c r="D8" s="55" t="s">
        <v>14</v>
      </c>
      <c r="E8" s="56" t="s">
        <v>15</v>
      </c>
      <c r="F8" s="57" t="s">
        <v>16</v>
      </c>
      <c r="G8" s="57" t="s">
        <v>17</v>
      </c>
      <c r="H8" s="55" t="s">
        <v>18</v>
      </c>
      <c r="I8" s="58" t="s">
        <v>19</v>
      </c>
      <c r="J8" s="59" t="s">
        <v>20</v>
      </c>
      <c r="K8" s="61"/>
      <c r="L8" s="35"/>
      <c r="M8" s="35"/>
      <c r="N8" s="35"/>
    </row>
    <row r="9" spans="1:14" x14ac:dyDescent="0.35">
      <c r="A9" s="100">
        <v>43102</v>
      </c>
      <c r="B9" s="140" t="s">
        <v>42</v>
      </c>
      <c r="C9" s="134">
        <v>5228.97</v>
      </c>
      <c r="D9" s="60"/>
      <c r="E9" s="135">
        <f>+C9</f>
        <v>5228.97</v>
      </c>
      <c r="F9" s="159">
        <f>+H9/C9</f>
        <v>26.503401243457123</v>
      </c>
      <c r="G9" s="200"/>
      <c r="H9" s="203">
        <v>138585.49</v>
      </c>
      <c r="I9" s="60"/>
      <c r="J9" s="134">
        <f>+H9</f>
        <v>138585.49</v>
      </c>
      <c r="K9" s="137"/>
      <c r="L9" s="204"/>
      <c r="M9" s="204"/>
      <c r="N9" s="204"/>
    </row>
    <row r="10" spans="1:14" s="71" customFormat="1" x14ac:dyDescent="0.35">
      <c r="A10" s="62">
        <v>43104</v>
      </c>
      <c r="B10" s="63" t="s">
        <v>137</v>
      </c>
      <c r="C10" s="64"/>
      <c r="D10" s="64">
        <f>4*2.1</f>
        <v>8.4</v>
      </c>
      <c r="E10" s="65">
        <f t="shared" ref="E10:E38" si="0">+E9-D10</f>
        <v>5220.5700000000006</v>
      </c>
      <c r="F10" s="66"/>
      <c r="G10" s="66">
        <f t="shared" ref="G10:G38" si="1">+J9/E9</f>
        <v>26.503401243457123</v>
      </c>
      <c r="H10" s="64"/>
      <c r="I10" s="67">
        <f t="shared" ref="I10:I38" si="2">+D10*G10</f>
        <v>222.62857044503986</v>
      </c>
      <c r="J10" s="67">
        <f t="shared" ref="J10:J38" si="3">+J9-I10</f>
        <v>138362.86142955496</v>
      </c>
      <c r="K10" s="68"/>
      <c r="L10" s="69"/>
      <c r="M10" s="69"/>
      <c r="N10" s="70"/>
    </row>
    <row r="11" spans="1:14" s="71" customFormat="1" x14ac:dyDescent="0.35">
      <c r="A11" s="62">
        <v>43106</v>
      </c>
      <c r="B11" s="63" t="s">
        <v>136</v>
      </c>
      <c r="C11" s="64"/>
      <c r="D11" s="64">
        <f>33*5.1</f>
        <v>168.29999999999998</v>
      </c>
      <c r="E11" s="65">
        <f t="shared" si="0"/>
        <v>5052.2700000000004</v>
      </c>
      <c r="F11" s="66"/>
      <c r="G11" s="66">
        <f t="shared" si="1"/>
        <v>26.503401243457123</v>
      </c>
      <c r="H11" s="64"/>
      <c r="I11" s="67">
        <f t="shared" si="2"/>
        <v>4460.522429273833</v>
      </c>
      <c r="J11" s="67">
        <f t="shared" si="3"/>
        <v>133902.33900028112</v>
      </c>
      <c r="K11" s="68"/>
      <c r="L11" s="69"/>
      <c r="M11" s="69"/>
      <c r="N11" s="70"/>
    </row>
    <row r="12" spans="1:14" s="225" customFormat="1" x14ac:dyDescent="0.35">
      <c r="A12" s="29">
        <v>43110</v>
      </c>
      <c r="B12" s="226" t="s">
        <v>138</v>
      </c>
      <c r="C12" s="30"/>
      <c r="D12" s="30">
        <f>6.8+4.5</f>
        <v>11.3</v>
      </c>
      <c r="E12" s="222">
        <f t="shared" si="0"/>
        <v>5040.97</v>
      </c>
      <c r="F12" s="223"/>
      <c r="G12" s="223">
        <f t="shared" si="1"/>
        <v>26.50340124345712</v>
      </c>
      <c r="H12" s="30"/>
      <c r="I12" s="224">
        <f t="shared" si="2"/>
        <v>299.4884340510655</v>
      </c>
      <c r="J12" s="224">
        <f t="shared" si="3"/>
        <v>133602.85056623004</v>
      </c>
      <c r="K12" s="31"/>
      <c r="L12" s="32">
        <f>SUM(I10:I12)</f>
        <v>4982.6394337699385</v>
      </c>
      <c r="M12" s="32"/>
      <c r="N12" s="27">
        <v>43115</v>
      </c>
    </row>
    <row r="13" spans="1:14" s="71" customFormat="1" x14ac:dyDescent="0.35">
      <c r="A13" s="62">
        <v>43118</v>
      </c>
      <c r="B13" s="63" t="s">
        <v>139</v>
      </c>
      <c r="C13" s="64"/>
      <c r="D13" s="64">
        <f>6*4.5</f>
        <v>27</v>
      </c>
      <c r="E13" s="65">
        <f t="shared" si="0"/>
        <v>5013.97</v>
      </c>
      <c r="F13" s="66"/>
      <c r="G13" s="66">
        <f t="shared" si="1"/>
        <v>26.50340124345712</v>
      </c>
      <c r="H13" s="64"/>
      <c r="I13" s="67">
        <f t="shared" si="2"/>
        <v>715.59183357334223</v>
      </c>
      <c r="J13" s="67">
        <f t="shared" si="3"/>
        <v>132887.25873265672</v>
      </c>
      <c r="K13" s="68"/>
      <c r="L13" s="69"/>
      <c r="M13" s="69"/>
      <c r="N13" s="70"/>
    </row>
    <row r="14" spans="1:14" s="225" customFormat="1" x14ac:dyDescent="0.35">
      <c r="A14" s="29">
        <v>43131</v>
      </c>
      <c r="B14" s="226" t="s">
        <v>140</v>
      </c>
      <c r="C14" s="30"/>
      <c r="D14" s="30">
        <f>10*5.3</f>
        <v>53</v>
      </c>
      <c r="E14" s="222">
        <f t="shared" si="0"/>
        <v>4960.97</v>
      </c>
      <c r="F14" s="223"/>
      <c r="G14" s="223">
        <f t="shared" si="1"/>
        <v>26.503401243457123</v>
      </c>
      <c r="H14" s="30"/>
      <c r="I14" s="224">
        <f t="shared" si="2"/>
        <v>1404.6802659032276</v>
      </c>
      <c r="J14" s="224">
        <f t="shared" si="3"/>
        <v>131482.57846675348</v>
      </c>
      <c r="K14" s="31"/>
      <c r="L14" s="32">
        <f>SUM(I13:I14)</f>
        <v>2120.2720994765696</v>
      </c>
      <c r="M14" s="32">
        <f>SUM(L12:L14)</f>
        <v>7102.911533246508</v>
      </c>
      <c r="N14" s="27">
        <v>43131</v>
      </c>
    </row>
    <row r="15" spans="1:14" s="71" customFormat="1" x14ac:dyDescent="0.35">
      <c r="A15" s="62">
        <v>43132</v>
      </c>
      <c r="B15" s="63" t="s">
        <v>46</v>
      </c>
      <c r="C15" s="64"/>
      <c r="D15" s="64">
        <v>0</v>
      </c>
      <c r="E15" s="65">
        <f t="shared" si="0"/>
        <v>4960.97</v>
      </c>
      <c r="F15" s="66"/>
      <c r="G15" s="66">
        <f t="shared" si="1"/>
        <v>26.50340124345712</v>
      </c>
      <c r="H15" s="64"/>
      <c r="I15" s="67">
        <f t="shared" si="2"/>
        <v>0</v>
      </c>
      <c r="J15" s="67">
        <f t="shared" si="3"/>
        <v>131482.57846675348</v>
      </c>
      <c r="K15" s="68"/>
      <c r="L15" s="69"/>
      <c r="M15" s="69"/>
      <c r="N15" s="70"/>
    </row>
    <row r="16" spans="1:14" s="71" customFormat="1" x14ac:dyDescent="0.35">
      <c r="A16" s="62">
        <v>43147</v>
      </c>
      <c r="B16" s="63" t="s">
        <v>141</v>
      </c>
      <c r="C16" s="64"/>
      <c r="D16" s="64">
        <v>1</v>
      </c>
      <c r="E16" s="65">
        <f t="shared" si="0"/>
        <v>4959.97</v>
      </c>
      <c r="F16" s="66"/>
      <c r="G16" s="66">
        <f t="shared" si="1"/>
        <v>26.50340124345712</v>
      </c>
      <c r="H16" s="64"/>
      <c r="I16" s="67">
        <f t="shared" si="2"/>
        <v>26.50340124345712</v>
      </c>
      <c r="J16" s="67">
        <f t="shared" si="3"/>
        <v>131456.07506551003</v>
      </c>
      <c r="K16" s="68"/>
      <c r="L16" s="69"/>
      <c r="M16" s="69"/>
      <c r="N16" s="70"/>
    </row>
    <row r="17" spans="1:14" s="71" customFormat="1" ht="11.4" customHeight="1" x14ac:dyDescent="0.35">
      <c r="A17" s="62">
        <v>43147</v>
      </c>
      <c r="B17" s="63" t="s">
        <v>142</v>
      </c>
      <c r="C17" s="64"/>
      <c r="D17" s="64">
        <f>13*5.3+5*3</f>
        <v>83.899999999999991</v>
      </c>
      <c r="E17" s="65">
        <f t="shared" si="0"/>
        <v>4876.0700000000006</v>
      </c>
      <c r="F17" s="66"/>
      <c r="G17" s="66">
        <f t="shared" si="1"/>
        <v>26.503401243457123</v>
      </c>
      <c r="H17" s="64"/>
      <c r="I17" s="67">
        <f t="shared" si="2"/>
        <v>2223.6353643260522</v>
      </c>
      <c r="J17" s="67">
        <f t="shared" si="3"/>
        <v>129232.43970118398</v>
      </c>
      <c r="K17" s="68"/>
      <c r="L17" s="69"/>
      <c r="M17" s="69"/>
      <c r="N17" s="70"/>
    </row>
    <row r="18" spans="1:14" s="71" customFormat="1" x14ac:dyDescent="0.35">
      <c r="A18" s="62">
        <v>43148</v>
      </c>
      <c r="B18" s="63" t="s">
        <v>143</v>
      </c>
      <c r="C18" s="64"/>
      <c r="D18" s="64">
        <f>9*7.52+7*2.87+10*2.8+13*2.23+2.12</f>
        <v>146.88</v>
      </c>
      <c r="E18" s="65">
        <f t="shared" si="0"/>
        <v>4729.1900000000005</v>
      </c>
      <c r="F18" s="66"/>
      <c r="G18" s="66">
        <f t="shared" si="1"/>
        <v>26.50340124345712</v>
      </c>
      <c r="H18" s="64"/>
      <c r="I18" s="67">
        <f t="shared" si="2"/>
        <v>3892.8195746389815</v>
      </c>
      <c r="J18" s="67">
        <f t="shared" si="3"/>
        <v>125339.62012654499</v>
      </c>
      <c r="K18" s="68"/>
      <c r="L18" s="69"/>
      <c r="M18" s="69"/>
      <c r="N18" s="70"/>
    </row>
    <row r="19" spans="1:14" s="71" customFormat="1" x14ac:dyDescent="0.35">
      <c r="A19" s="62">
        <v>43150</v>
      </c>
      <c r="B19" s="63" t="s">
        <v>144</v>
      </c>
      <c r="C19" s="64"/>
      <c r="D19" s="64">
        <f>2.8+2.4</f>
        <v>5.1999999999999993</v>
      </c>
      <c r="E19" s="65">
        <f t="shared" si="0"/>
        <v>4723.9900000000007</v>
      </c>
      <c r="F19" s="66"/>
      <c r="G19" s="66">
        <f t="shared" si="1"/>
        <v>26.50340124345712</v>
      </c>
      <c r="H19" s="64"/>
      <c r="I19" s="67">
        <f t="shared" si="2"/>
        <v>137.817686465977</v>
      </c>
      <c r="J19" s="67">
        <f t="shared" si="3"/>
        <v>125201.80244007902</v>
      </c>
      <c r="K19" s="68"/>
      <c r="L19" s="69"/>
      <c r="M19" s="69"/>
      <c r="N19" s="70"/>
    </row>
    <row r="20" spans="1:14" s="71" customFormat="1" x14ac:dyDescent="0.35">
      <c r="A20" s="62">
        <v>43158</v>
      </c>
      <c r="B20" s="63" t="s">
        <v>145</v>
      </c>
      <c r="C20" s="64"/>
      <c r="D20" s="64">
        <f>2*4+3*4.1</f>
        <v>20.299999999999997</v>
      </c>
      <c r="E20" s="65">
        <f t="shared" si="0"/>
        <v>4703.6900000000005</v>
      </c>
      <c r="F20" s="66"/>
      <c r="G20" s="66">
        <f t="shared" si="1"/>
        <v>26.50340124345712</v>
      </c>
      <c r="H20" s="64"/>
      <c r="I20" s="67">
        <f t="shared" si="2"/>
        <v>538.01904524217946</v>
      </c>
      <c r="J20" s="67">
        <f t="shared" si="3"/>
        <v>124663.78339483684</v>
      </c>
      <c r="K20" s="68"/>
      <c r="L20" s="69"/>
      <c r="M20" s="69"/>
      <c r="N20" s="70"/>
    </row>
    <row r="21" spans="1:14" s="71" customFormat="1" x14ac:dyDescent="0.35">
      <c r="A21" s="62">
        <v>43158</v>
      </c>
      <c r="B21" s="63" t="s">
        <v>146</v>
      </c>
      <c r="C21" s="64"/>
      <c r="D21" s="64">
        <f>12*5</f>
        <v>60</v>
      </c>
      <c r="E21" s="65">
        <f t="shared" si="0"/>
        <v>4643.6900000000005</v>
      </c>
      <c r="F21" s="66"/>
      <c r="G21" s="66">
        <f t="shared" si="1"/>
        <v>26.50340124345712</v>
      </c>
      <c r="H21" s="64"/>
      <c r="I21" s="67">
        <f t="shared" si="2"/>
        <v>1590.2040746074272</v>
      </c>
      <c r="J21" s="67">
        <f t="shared" si="3"/>
        <v>123073.57932022942</v>
      </c>
      <c r="K21" s="68"/>
      <c r="L21" s="69"/>
      <c r="M21" s="69"/>
      <c r="N21" s="70"/>
    </row>
    <row r="22" spans="1:14" s="225" customFormat="1" x14ac:dyDescent="0.35">
      <c r="A22" s="29">
        <v>43159</v>
      </c>
      <c r="B22" s="226" t="s">
        <v>147</v>
      </c>
      <c r="C22" s="30"/>
      <c r="D22" s="30">
        <f>8*0.6</f>
        <v>4.8</v>
      </c>
      <c r="E22" s="222">
        <f t="shared" si="0"/>
        <v>4638.8900000000003</v>
      </c>
      <c r="F22" s="223"/>
      <c r="G22" s="223">
        <f t="shared" si="1"/>
        <v>26.503401243457123</v>
      </c>
      <c r="H22" s="30"/>
      <c r="I22" s="224">
        <f t="shared" si="2"/>
        <v>127.21632596859419</v>
      </c>
      <c r="J22" s="224">
        <f t="shared" si="3"/>
        <v>122946.36299426082</v>
      </c>
      <c r="K22" s="31"/>
      <c r="L22" s="32">
        <f>SUM(I15:I22)</f>
        <v>8536.2154724926695</v>
      </c>
      <c r="M22" s="32">
        <f>SUM(L22)</f>
        <v>8536.2154724926695</v>
      </c>
      <c r="N22" s="27">
        <v>43159</v>
      </c>
    </row>
    <row r="23" spans="1:14" s="71" customFormat="1" x14ac:dyDescent="0.35">
      <c r="A23" s="62">
        <v>43162</v>
      </c>
      <c r="B23" s="63" t="s">
        <v>148</v>
      </c>
      <c r="C23" s="64"/>
      <c r="D23" s="64">
        <f>6*5.6+5+3</f>
        <v>41.599999999999994</v>
      </c>
      <c r="E23" s="65">
        <f t="shared" si="0"/>
        <v>4597.29</v>
      </c>
      <c r="F23" s="66"/>
      <c r="G23" s="66">
        <f t="shared" si="1"/>
        <v>26.503401243457123</v>
      </c>
      <c r="H23" s="64"/>
      <c r="I23" s="67">
        <f t="shared" si="2"/>
        <v>1102.5414917278163</v>
      </c>
      <c r="J23" s="67">
        <f t="shared" si="3"/>
        <v>121843.82150253301</v>
      </c>
      <c r="K23" s="68"/>
      <c r="L23" s="69"/>
      <c r="M23" s="69"/>
      <c r="N23" s="70"/>
    </row>
    <row r="24" spans="1:14" s="71" customFormat="1" x14ac:dyDescent="0.35">
      <c r="A24" s="62">
        <v>43162</v>
      </c>
      <c r="B24" s="63" t="s">
        <v>149</v>
      </c>
      <c r="C24" s="64"/>
      <c r="D24" s="64">
        <f>8*2.8</f>
        <v>22.4</v>
      </c>
      <c r="E24" s="65">
        <f t="shared" si="0"/>
        <v>4574.8900000000003</v>
      </c>
      <c r="F24" s="66"/>
      <c r="G24" s="66">
        <f t="shared" si="1"/>
        <v>26.503401243457127</v>
      </c>
      <c r="H24" s="64"/>
      <c r="I24" s="67">
        <f t="shared" si="2"/>
        <v>593.67618785343961</v>
      </c>
      <c r="J24" s="67">
        <f t="shared" si="3"/>
        <v>121250.14531467957</v>
      </c>
      <c r="K24" s="68"/>
      <c r="L24" s="69"/>
      <c r="M24" s="69"/>
      <c r="N24" s="70"/>
    </row>
    <row r="25" spans="1:14" s="71" customFormat="1" x14ac:dyDescent="0.35">
      <c r="A25" s="62">
        <v>43164</v>
      </c>
      <c r="B25" s="63" t="s">
        <v>150</v>
      </c>
      <c r="C25" s="64"/>
      <c r="D25" s="64">
        <f>4*3.7</f>
        <v>14.8</v>
      </c>
      <c r="E25" s="65">
        <f t="shared" si="0"/>
        <v>4560.09</v>
      </c>
      <c r="F25" s="66"/>
      <c r="G25" s="66">
        <f t="shared" si="1"/>
        <v>26.503401243457123</v>
      </c>
      <c r="H25" s="64"/>
      <c r="I25" s="67">
        <f t="shared" si="2"/>
        <v>392.25033840316542</v>
      </c>
      <c r="J25" s="67">
        <f t="shared" si="3"/>
        <v>120857.89497627641</v>
      </c>
      <c r="K25" s="68"/>
      <c r="L25" s="69"/>
      <c r="M25" s="69"/>
      <c r="N25" s="70"/>
    </row>
    <row r="26" spans="1:14" s="71" customFormat="1" x14ac:dyDescent="0.35">
      <c r="A26" s="62">
        <v>43173</v>
      </c>
      <c r="B26" s="63" t="s">
        <v>151</v>
      </c>
      <c r="C26" s="64"/>
      <c r="D26" s="64">
        <f>24*3.5</f>
        <v>84</v>
      </c>
      <c r="E26" s="65">
        <f t="shared" si="0"/>
        <v>4476.09</v>
      </c>
      <c r="F26" s="66"/>
      <c r="G26" s="66">
        <f t="shared" si="1"/>
        <v>26.503401243457127</v>
      </c>
      <c r="H26" s="64"/>
      <c r="I26" s="67">
        <f t="shared" si="2"/>
        <v>2226.2857044503985</v>
      </c>
      <c r="J26" s="67">
        <f t="shared" si="3"/>
        <v>118631.609271826</v>
      </c>
      <c r="K26" s="68"/>
      <c r="L26" s="69"/>
      <c r="M26" s="69"/>
      <c r="N26" s="70"/>
    </row>
    <row r="27" spans="1:14" s="225" customFormat="1" x14ac:dyDescent="0.35">
      <c r="A27" s="29">
        <v>43173</v>
      </c>
      <c r="B27" s="226" t="s">
        <v>152</v>
      </c>
      <c r="C27" s="30"/>
      <c r="D27" s="30">
        <f>24*4+24*4.15</f>
        <v>195.60000000000002</v>
      </c>
      <c r="E27" s="222">
        <f t="shared" si="0"/>
        <v>4280.49</v>
      </c>
      <c r="F27" s="223"/>
      <c r="G27" s="223">
        <f t="shared" si="1"/>
        <v>26.503401243457123</v>
      </c>
      <c r="H27" s="30"/>
      <c r="I27" s="224">
        <f t="shared" si="2"/>
        <v>5184.065283220214</v>
      </c>
      <c r="J27" s="224">
        <f t="shared" si="3"/>
        <v>113447.54398860579</v>
      </c>
      <c r="K27" s="31"/>
      <c r="L27" s="32">
        <f>SUM(I23:I27)</f>
        <v>9498.8190056550338</v>
      </c>
      <c r="M27" s="32"/>
      <c r="N27" s="27">
        <v>43174</v>
      </c>
    </row>
    <row r="28" spans="1:14" s="71" customFormat="1" x14ac:dyDescent="0.35">
      <c r="A28" s="62">
        <v>43178</v>
      </c>
      <c r="B28" s="63" t="s">
        <v>153</v>
      </c>
      <c r="C28" s="64"/>
      <c r="D28" s="64">
        <f>5*7.42+6.96+5.93+4.84+3.76+3.06+12*1.65</f>
        <v>81.449999999999989</v>
      </c>
      <c r="E28" s="65">
        <f t="shared" si="0"/>
        <v>4199.04</v>
      </c>
      <c r="F28" s="66"/>
      <c r="G28" s="66">
        <f t="shared" si="1"/>
        <v>26.503401243457127</v>
      </c>
      <c r="H28" s="64"/>
      <c r="I28" s="67">
        <f t="shared" si="2"/>
        <v>2158.7020312795826</v>
      </c>
      <c r="J28" s="67">
        <f t="shared" si="3"/>
        <v>111288.84195732621</v>
      </c>
      <c r="K28" s="68"/>
      <c r="L28" s="69"/>
      <c r="M28" s="69"/>
      <c r="N28" s="70"/>
    </row>
    <row r="29" spans="1:14" s="71" customFormat="1" x14ac:dyDescent="0.35">
      <c r="A29" s="62">
        <v>43179</v>
      </c>
      <c r="B29" s="63" t="s">
        <v>154</v>
      </c>
      <c r="C29" s="64"/>
      <c r="D29" s="64">
        <f>4*4</f>
        <v>16</v>
      </c>
      <c r="E29" s="65">
        <f t="shared" si="0"/>
        <v>4183.04</v>
      </c>
      <c r="F29" s="66"/>
      <c r="G29" s="66">
        <f t="shared" si="1"/>
        <v>26.503401243457127</v>
      </c>
      <c r="H29" s="64"/>
      <c r="I29" s="67">
        <f t="shared" si="2"/>
        <v>424.05441989531403</v>
      </c>
      <c r="J29" s="67">
        <f t="shared" si="3"/>
        <v>110864.78753743089</v>
      </c>
      <c r="K29" s="68"/>
      <c r="L29" s="69"/>
      <c r="M29" s="69"/>
      <c r="N29" s="70"/>
    </row>
    <row r="30" spans="1:14" s="71" customFormat="1" x14ac:dyDescent="0.35">
      <c r="A30" s="62">
        <v>43182</v>
      </c>
      <c r="B30" s="63" t="s">
        <v>155</v>
      </c>
      <c r="C30" s="64"/>
      <c r="D30" s="64">
        <f>11*3+11*2.2</f>
        <v>57.2</v>
      </c>
      <c r="E30" s="65">
        <f t="shared" si="0"/>
        <v>4125.84</v>
      </c>
      <c r="F30" s="66"/>
      <c r="G30" s="66">
        <f t="shared" si="1"/>
        <v>26.503401243457127</v>
      </c>
      <c r="H30" s="64"/>
      <c r="I30" s="67">
        <f t="shared" si="2"/>
        <v>1515.9945511257476</v>
      </c>
      <c r="J30" s="67">
        <f t="shared" si="3"/>
        <v>109348.79298630514</v>
      </c>
      <c r="K30" s="68"/>
      <c r="L30" s="69"/>
      <c r="M30" s="69"/>
      <c r="N30" s="70"/>
    </row>
    <row r="31" spans="1:14" s="71" customFormat="1" x14ac:dyDescent="0.35">
      <c r="A31" s="62">
        <v>43185</v>
      </c>
      <c r="B31" s="63" t="s">
        <v>85</v>
      </c>
      <c r="C31" s="64"/>
      <c r="D31" s="64">
        <v>0</v>
      </c>
      <c r="E31" s="65">
        <f t="shared" si="0"/>
        <v>4125.84</v>
      </c>
      <c r="F31" s="66"/>
      <c r="G31" s="66">
        <f t="shared" si="1"/>
        <v>26.503401243457123</v>
      </c>
      <c r="H31" s="64"/>
      <c r="I31" s="67">
        <f t="shared" si="2"/>
        <v>0</v>
      </c>
      <c r="J31" s="67">
        <f t="shared" si="3"/>
        <v>109348.79298630514</v>
      </c>
      <c r="K31" s="68"/>
      <c r="L31" s="69"/>
      <c r="M31" s="69"/>
      <c r="N31" s="70"/>
    </row>
    <row r="32" spans="1:14" s="71" customFormat="1" x14ac:dyDescent="0.35">
      <c r="A32" s="62">
        <v>43185</v>
      </c>
      <c r="B32" s="63" t="s">
        <v>156</v>
      </c>
      <c r="C32" s="64"/>
      <c r="D32" s="64">
        <v>3.25</v>
      </c>
      <c r="E32" s="65">
        <f t="shared" si="0"/>
        <v>4122.59</v>
      </c>
      <c r="F32" s="66"/>
      <c r="G32" s="66">
        <f t="shared" si="1"/>
        <v>26.503401243457123</v>
      </c>
      <c r="H32" s="64"/>
      <c r="I32" s="67">
        <f t="shared" si="2"/>
        <v>86.136054041235653</v>
      </c>
      <c r="J32" s="67">
        <f t="shared" si="3"/>
        <v>109262.6569322639</v>
      </c>
      <c r="K32" s="68"/>
      <c r="L32" s="69"/>
      <c r="M32" s="69"/>
      <c r="N32" s="70"/>
    </row>
    <row r="33" spans="1:14" s="225" customFormat="1" x14ac:dyDescent="0.35">
      <c r="A33" s="29">
        <v>43187</v>
      </c>
      <c r="B33" s="226" t="s">
        <v>157</v>
      </c>
      <c r="C33" s="30"/>
      <c r="D33" s="30">
        <f>4*3.5</f>
        <v>14</v>
      </c>
      <c r="E33" s="222">
        <f t="shared" si="0"/>
        <v>4108.59</v>
      </c>
      <c r="F33" s="223"/>
      <c r="G33" s="223">
        <f t="shared" si="1"/>
        <v>26.50340124345712</v>
      </c>
      <c r="H33" s="30"/>
      <c r="I33" s="224">
        <f t="shared" si="2"/>
        <v>371.04761740839967</v>
      </c>
      <c r="J33" s="224">
        <f t="shared" si="3"/>
        <v>108891.60931485549</v>
      </c>
      <c r="K33" s="31"/>
      <c r="L33" s="32">
        <f>SUM(I28:I33)</f>
        <v>4555.9346737502801</v>
      </c>
      <c r="M33" s="32">
        <f>SUM(L27:L33)</f>
        <v>14054.753679405314</v>
      </c>
      <c r="N33" s="27">
        <v>43190</v>
      </c>
    </row>
    <row r="34" spans="1:14" s="71" customFormat="1" x14ac:dyDescent="0.35">
      <c r="A34" s="62">
        <v>43195</v>
      </c>
      <c r="B34" s="63" t="s">
        <v>158</v>
      </c>
      <c r="C34" s="64"/>
      <c r="D34" s="64">
        <f>15*4</f>
        <v>60</v>
      </c>
      <c r="E34" s="65">
        <f t="shared" si="0"/>
        <v>4048.59</v>
      </c>
      <c r="F34" s="66"/>
      <c r="G34" s="66">
        <f t="shared" si="1"/>
        <v>26.50340124345712</v>
      </c>
      <c r="H34" s="64"/>
      <c r="I34" s="67">
        <f t="shared" si="2"/>
        <v>1590.2040746074272</v>
      </c>
      <c r="J34" s="67">
        <f t="shared" si="3"/>
        <v>107301.40524024807</v>
      </c>
      <c r="K34" s="68"/>
      <c r="L34" s="69"/>
      <c r="M34" s="69"/>
      <c r="N34" s="70"/>
    </row>
    <row r="35" spans="1:14" s="71" customFormat="1" x14ac:dyDescent="0.35">
      <c r="A35" s="62">
        <v>43197</v>
      </c>
      <c r="B35" s="63" t="s">
        <v>159</v>
      </c>
      <c r="C35" s="64"/>
      <c r="D35" s="64">
        <f>4*3.52</f>
        <v>14.08</v>
      </c>
      <c r="E35" s="65">
        <f t="shared" si="0"/>
        <v>4034.51</v>
      </c>
      <c r="F35" s="66"/>
      <c r="G35" s="66">
        <f t="shared" si="1"/>
        <v>26.503401243457123</v>
      </c>
      <c r="H35" s="64"/>
      <c r="I35" s="67">
        <f t="shared" si="2"/>
        <v>373.16788950787628</v>
      </c>
      <c r="J35" s="67">
        <f t="shared" si="3"/>
        <v>106928.23735074019</v>
      </c>
      <c r="K35" s="68"/>
      <c r="L35" s="69"/>
      <c r="M35" s="69"/>
      <c r="N35" s="70"/>
    </row>
    <row r="36" spans="1:14" s="71" customFormat="1" x14ac:dyDescent="0.35">
      <c r="A36" s="62">
        <v>43197</v>
      </c>
      <c r="B36" s="63" t="s">
        <v>160</v>
      </c>
      <c r="C36" s="64"/>
      <c r="D36" s="64">
        <v>1.5</v>
      </c>
      <c r="E36" s="65">
        <f t="shared" si="0"/>
        <v>4033.01</v>
      </c>
      <c r="F36" s="66"/>
      <c r="G36" s="66">
        <f t="shared" si="1"/>
        <v>26.50340124345712</v>
      </c>
      <c r="H36" s="64"/>
      <c r="I36" s="67">
        <f t="shared" si="2"/>
        <v>39.755101865185679</v>
      </c>
      <c r="J36" s="67">
        <f t="shared" si="3"/>
        <v>106888.48224887501</v>
      </c>
      <c r="K36" s="68"/>
      <c r="L36" s="69"/>
      <c r="M36" s="69"/>
      <c r="N36" s="70"/>
    </row>
    <row r="37" spans="1:14" x14ac:dyDescent="0.35">
      <c r="A37" s="62">
        <v>43200</v>
      </c>
      <c r="B37" s="63" t="s">
        <v>161</v>
      </c>
      <c r="C37" s="64"/>
      <c r="D37" s="64">
        <f>43*5+12*5+1.46</f>
        <v>276.45999999999998</v>
      </c>
      <c r="E37" s="65">
        <f t="shared" si="0"/>
        <v>3756.55</v>
      </c>
      <c r="F37" s="66"/>
      <c r="G37" s="66">
        <f t="shared" si="1"/>
        <v>26.50340124345712</v>
      </c>
      <c r="H37" s="64"/>
      <c r="I37" s="67">
        <f t="shared" si="2"/>
        <v>7327.1303077661551</v>
      </c>
      <c r="J37" s="67">
        <f t="shared" si="3"/>
        <v>99561.351941108849</v>
      </c>
      <c r="K37" s="68"/>
      <c r="L37" s="204"/>
      <c r="M37" s="204"/>
      <c r="N37" s="204"/>
    </row>
    <row r="38" spans="1:14" x14ac:dyDescent="0.35">
      <c r="A38" s="62">
        <v>43203</v>
      </c>
      <c r="B38" s="63" t="s">
        <v>98</v>
      </c>
      <c r="C38" s="64"/>
      <c r="D38" s="64">
        <v>0</v>
      </c>
      <c r="E38" s="65">
        <f t="shared" si="0"/>
        <v>3756.55</v>
      </c>
      <c r="F38" s="66"/>
      <c r="G38" s="66">
        <f t="shared" si="1"/>
        <v>26.50340124345712</v>
      </c>
      <c r="H38" s="64"/>
      <c r="I38" s="67">
        <f t="shared" si="2"/>
        <v>0</v>
      </c>
      <c r="J38" s="67">
        <f t="shared" si="3"/>
        <v>99561.351941108849</v>
      </c>
      <c r="K38" s="68"/>
      <c r="L38" s="204"/>
      <c r="M38" s="204"/>
      <c r="N38" s="204"/>
    </row>
    <row r="39" spans="1:14" s="225" customFormat="1" x14ac:dyDescent="0.35">
      <c r="A39" s="29">
        <v>43203</v>
      </c>
      <c r="B39" s="226" t="s">
        <v>123</v>
      </c>
      <c r="C39" s="30">
        <v>7099.49</v>
      </c>
      <c r="D39" s="30"/>
      <c r="E39" s="222">
        <f>+E38+C39</f>
        <v>10856.04</v>
      </c>
      <c r="F39" s="223">
        <f>+H39/C39</f>
        <v>24.409309682808203</v>
      </c>
      <c r="G39" s="223"/>
      <c r="H39" s="30">
        <v>173293.65</v>
      </c>
      <c r="I39" s="224"/>
      <c r="J39" s="224">
        <f>+J38+H39</f>
        <v>272855.00194110884</v>
      </c>
      <c r="K39" s="31"/>
      <c r="L39" s="32">
        <f>SUM(I34:I38)</f>
        <v>9330.2573737466446</v>
      </c>
      <c r="M39" s="227"/>
      <c r="N39" s="27">
        <v>43205</v>
      </c>
    </row>
    <row r="40" spans="1:14" x14ac:dyDescent="0.35">
      <c r="A40" s="62">
        <v>43209</v>
      </c>
      <c r="B40" s="63" t="s">
        <v>162</v>
      </c>
      <c r="C40" s="64"/>
      <c r="D40" s="64">
        <v>17</v>
      </c>
      <c r="E40" s="65">
        <f t="shared" ref="E40:E71" si="4">+E39-D40</f>
        <v>10839.04</v>
      </c>
      <c r="F40" s="66"/>
      <c r="G40" s="66">
        <f t="shared" ref="G40:G71" si="5">+J39/E39</f>
        <v>25.133934836377612</v>
      </c>
      <c r="H40" s="64"/>
      <c r="I40" s="67">
        <f t="shared" ref="I40:I71" si="6">+D40*G40</f>
        <v>427.27689221841939</v>
      </c>
      <c r="J40" s="67">
        <f t="shared" ref="J40:J71" si="7">+J39-I40</f>
        <v>272427.7250488904</v>
      </c>
      <c r="K40" s="68"/>
      <c r="L40" s="204"/>
      <c r="M40" s="204"/>
      <c r="N40" s="204"/>
    </row>
    <row r="41" spans="1:14" x14ac:dyDescent="0.35">
      <c r="A41" s="62">
        <v>43214</v>
      </c>
      <c r="B41" s="63" t="s">
        <v>163</v>
      </c>
      <c r="C41" s="64"/>
      <c r="D41" s="64">
        <f>7*3.5</f>
        <v>24.5</v>
      </c>
      <c r="E41" s="65">
        <f t="shared" si="4"/>
        <v>10814.54</v>
      </c>
      <c r="F41" s="66"/>
      <c r="G41" s="66">
        <f t="shared" si="5"/>
        <v>25.133934836377609</v>
      </c>
      <c r="H41" s="64"/>
      <c r="I41" s="67">
        <f t="shared" si="6"/>
        <v>615.78140349125147</v>
      </c>
      <c r="J41" s="67">
        <f t="shared" si="7"/>
        <v>271811.94364539912</v>
      </c>
      <c r="K41" s="68"/>
      <c r="L41" s="204"/>
      <c r="M41" s="204"/>
      <c r="N41" s="204"/>
    </row>
    <row r="42" spans="1:14" s="225" customFormat="1" x14ac:dyDescent="0.35">
      <c r="A42" s="29">
        <v>43214</v>
      </c>
      <c r="B42" s="226" t="s">
        <v>164</v>
      </c>
      <c r="C42" s="30"/>
      <c r="D42" s="30">
        <f>7*4.77</f>
        <v>33.39</v>
      </c>
      <c r="E42" s="222">
        <f t="shared" si="4"/>
        <v>10781.150000000001</v>
      </c>
      <c r="F42" s="223"/>
      <c r="G42" s="223">
        <f t="shared" si="5"/>
        <v>25.133934836377609</v>
      </c>
      <c r="H42" s="30"/>
      <c r="I42" s="224">
        <f t="shared" si="6"/>
        <v>839.22208418664843</v>
      </c>
      <c r="J42" s="224">
        <f t="shared" si="7"/>
        <v>270972.7215612125</v>
      </c>
      <c r="K42" s="31"/>
      <c r="L42" s="32">
        <f>SUM(I40:I42)</f>
        <v>1882.2803798963191</v>
      </c>
      <c r="M42" s="32">
        <f>SUM(L39:L42)</f>
        <v>11212.537753642964</v>
      </c>
      <c r="N42" s="27">
        <v>43220</v>
      </c>
    </row>
    <row r="43" spans="1:14" x14ac:dyDescent="0.35">
      <c r="A43" s="62">
        <v>43222</v>
      </c>
      <c r="B43" s="63" t="s">
        <v>165</v>
      </c>
      <c r="C43" s="64"/>
      <c r="D43" s="64">
        <f>7*10.1+7*8.52</f>
        <v>130.34</v>
      </c>
      <c r="E43" s="65">
        <f t="shared" si="4"/>
        <v>10650.810000000001</v>
      </c>
      <c r="F43" s="66"/>
      <c r="G43" s="66">
        <f t="shared" si="5"/>
        <v>25.133934836377609</v>
      </c>
      <c r="H43" s="64"/>
      <c r="I43" s="67">
        <f t="shared" si="6"/>
        <v>3275.9570665734577</v>
      </c>
      <c r="J43" s="67">
        <f t="shared" si="7"/>
        <v>267696.76449463906</v>
      </c>
      <c r="K43" s="68"/>
      <c r="L43" s="204"/>
      <c r="M43" s="204"/>
      <c r="N43" s="204"/>
    </row>
    <row r="44" spans="1:14" x14ac:dyDescent="0.35">
      <c r="A44" s="62">
        <v>43223</v>
      </c>
      <c r="B44" s="63" t="s">
        <v>166</v>
      </c>
      <c r="C44" s="64"/>
      <c r="D44" s="64">
        <f>17*4.5</f>
        <v>76.5</v>
      </c>
      <c r="E44" s="65">
        <f t="shared" si="4"/>
        <v>10574.310000000001</v>
      </c>
      <c r="F44" s="66"/>
      <c r="G44" s="66">
        <f t="shared" si="5"/>
        <v>25.133934836377612</v>
      </c>
      <c r="H44" s="64"/>
      <c r="I44" s="67">
        <f t="shared" si="6"/>
        <v>1922.7460149828873</v>
      </c>
      <c r="J44" s="67">
        <f t="shared" si="7"/>
        <v>265774.0184796562</v>
      </c>
      <c r="K44" s="68"/>
      <c r="L44" s="204"/>
      <c r="M44" s="204"/>
      <c r="N44" s="204"/>
    </row>
    <row r="45" spans="1:14" x14ac:dyDescent="0.35">
      <c r="A45" s="62">
        <v>43225</v>
      </c>
      <c r="B45" s="63" t="s">
        <v>167</v>
      </c>
      <c r="C45" s="64"/>
      <c r="D45" s="64">
        <v>5.3</v>
      </c>
      <c r="E45" s="65">
        <f t="shared" si="4"/>
        <v>10569.010000000002</v>
      </c>
      <c r="F45" s="66"/>
      <c r="G45" s="66">
        <f t="shared" si="5"/>
        <v>25.133934836377612</v>
      </c>
      <c r="H45" s="64"/>
      <c r="I45" s="67">
        <f t="shared" si="6"/>
        <v>133.20985463280135</v>
      </c>
      <c r="J45" s="67">
        <f t="shared" si="7"/>
        <v>265640.8086250234</v>
      </c>
      <c r="K45" s="68"/>
      <c r="L45" s="204"/>
      <c r="M45" s="204"/>
      <c r="N45" s="204"/>
    </row>
    <row r="46" spans="1:14" x14ac:dyDescent="0.35">
      <c r="A46" s="62">
        <v>43227</v>
      </c>
      <c r="B46" s="63" t="s">
        <v>168</v>
      </c>
      <c r="C46" s="64"/>
      <c r="D46" s="64">
        <v>2.6</v>
      </c>
      <c r="E46" s="65">
        <f t="shared" si="4"/>
        <v>10566.410000000002</v>
      </c>
      <c r="F46" s="66"/>
      <c r="G46" s="66">
        <f t="shared" si="5"/>
        <v>25.133934836377612</v>
      </c>
      <c r="H46" s="64"/>
      <c r="I46" s="67">
        <f t="shared" si="6"/>
        <v>65.348230574581791</v>
      </c>
      <c r="J46" s="67">
        <f t="shared" si="7"/>
        <v>265575.46039444883</v>
      </c>
      <c r="K46" s="68"/>
      <c r="L46" s="204"/>
      <c r="M46" s="204"/>
      <c r="N46" s="204"/>
    </row>
    <row r="47" spans="1:14" x14ac:dyDescent="0.35">
      <c r="A47" s="62">
        <v>43229</v>
      </c>
      <c r="B47" s="63" t="s">
        <v>169</v>
      </c>
      <c r="C47" s="64"/>
      <c r="D47" s="64">
        <f>24*5.7+16*3.5</f>
        <v>192.8</v>
      </c>
      <c r="E47" s="65">
        <f t="shared" si="4"/>
        <v>10373.610000000002</v>
      </c>
      <c r="F47" s="66"/>
      <c r="G47" s="66">
        <f t="shared" si="5"/>
        <v>25.133934836377616</v>
      </c>
      <c r="H47" s="64"/>
      <c r="I47" s="67">
        <f t="shared" si="6"/>
        <v>4845.8226364536049</v>
      </c>
      <c r="J47" s="67">
        <f t="shared" si="7"/>
        <v>260729.63775799522</v>
      </c>
      <c r="K47" s="68"/>
      <c r="L47" s="204"/>
      <c r="M47" s="204"/>
      <c r="N47" s="204"/>
    </row>
    <row r="48" spans="1:14" s="225" customFormat="1" x14ac:dyDescent="0.35">
      <c r="A48" s="29">
        <v>43232</v>
      </c>
      <c r="B48" s="226" t="s">
        <v>170</v>
      </c>
      <c r="C48" s="30"/>
      <c r="D48" s="30">
        <f>10*4.6</f>
        <v>46</v>
      </c>
      <c r="E48" s="222">
        <f t="shared" si="4"/>
        <v>10327.610000000002</v>
      </c>
      <c r="F48" s="223"/>
      <c r="G48" s="223">
        <f t="shared" si="5"/>
        <v>25.133934836377612</v>
      </c>
      <c r="H48" s="30"/>
      <c r="I48" s="224">
        <f t="shared" si="6"/>
        <v>1156.1610024733702</v>
      </c>
      <c r="J48" s="224">
        <f t="shared" si="7"/>
        <v>259573.47675552184</v>
      </c>
      <c r="K48" s="31"/>
      <c r="L48" s="32">
        <f>SUM(I43:I48)</f>
        <v>11399.244805690705</v>
      </c>
      <c r="M48" s="227"/>
      <c r="N48" s="27">
        <v>43235</v>
      </c>
    </row>
    <row r="49" spans="1:14" x14ac:dyDescent="0.35">
      <c r="A49" s="62">
        <v>43239</v>
      </c>
      <c r="B49" s="63" t="s">
        <v>171</v>
      </c>
      <c r="C49" s="64"/>
      <c r="D49" s="64">
        <f>4*2.5+2*5</f>
        <v>20</v>
      </c>
      <c r="E49" s="65">
        <f t="shared" si="4"/>
        <v>10307.610000000002</v>
      </c>
      <c r="F49" s="66"/>
      <c r="G49" s="66">
        <f t="shared" si="5"/>
        <v>25.133934836377612</v>
      </c>
      <c r="H49" s="64"/>
      <c r="I49" s="67">
        <f t="shared" si="6"/>
        <v>502.67869672755228</v>
      </c>
      <c r="J49" s="67">
        <f t="shared" si="7"/>
        <v>259070.79805879429</v>
      </c>
      <c r="K49" s="68"/>
      <c r="L49" s="204"/>
      <c r="M49" s="204"/>
      <c r="N49" s="204"/>
    </row>
    <row r="50" spans="1:14" x14ac:dyDescent="0.35">
      <c r="A50" s="62">
        <v>43243</v>
      </c>
      <c r="B50" s="63" t="s">
        <v>172</v>
      </c>
      <c r="C50" s="64"/>
      <c r="D50" s="64">
        <f>3+6*6</f>
        <v>39</v>
      </c>
      <c r="E50" s="65">
        <f t="shared" si="4"/>
        <v>10268.610000000002</v>
      </c>
      <c r="F50" s="66"/>
      <c r="G50" s="66">
        <f t="shared" si="5"/>
        <v>25.133934836377612</v>
      </c>
      <c r="H50" s="64"/>
      <c r="I50" s="67">
        <f t="shared" si="6"/>
        <v>980.22345861872691</v>
      </c>
      <c r="J50" s="67">
        <f t="shared" si="7"/>
        <v>258090.57460017555</v>
      </c>
      <c r="K50" s="68"/>
      <c r="L50" s="204"/>
      <c r="M50" s="204"/>
      <c r="N50" s="204"/>
    </row>
    <row r="51" spans="1:14" x14ac:dyDescent="0.35">
      <c r="A51" s="62">
        <v>43249</v>
      </c>
      <c r="B51" s="63" t="s">
        <v>173</v>
      </c>
      <c r="C51" s="64"/>
      <c r="D51" s="64">
        <v>6</v>
      </c>
      <c r="E51" s="65">
        <f t="shared" si="4"/>
        <v>10262.610000000002</v>
      </c>
      <c r="F51" s="66"/>
      <c r="G51" s="66">
        <f t="shared" si="5"/>
        <v>25.133934836377609</v>
      </c>
      <c r="H51" s="64"/>
      <c r="I51" s="67">
        <f t="shared" si="6"/>
        <v>150.80360901826566</v>
      </c>
      <c r="J51" s="67">
        <f t="shared" si="7"/>
        <v>257939.77099115727</v>
      </c>
      <c r="K51" s="68"/>
      <c r="L51" s="204"/>
      <c r="M51" s="204"/>
      <c r="N51" s="204"/>
    </row>
    <row r="52" spans="1:14" x14ac:dyDescent="0.35">
      <c r="A52" s="62">
        <v>43250</v>
      </c>
      <c r="B52" s="63" t="s">
        <v>174</v>
      </c>
      <c r="C52" s="64"/>
      <c r="D52" s="64">
        <f>12*4.7</f>
        <v>56.400000000000006</v>
      </c>
      <c r="E52" s="65">
        <f t="shared" si="4"/>
        <v>10206.210000000003</v>
      </c>
      <c r="F52" s="66"/>
      <c r="G52" s="66">
        <f t="shared" si="5"/>
        <v>25.133934836377609</v>
      </c>
      <c r="H52" s="64"/>
      <c r="I52" s="67">
        <f t="shared" si="6"/>
        <v>1417.5539247716972</v>
      </c>
      <c r="J52" s="67">
        <f t="shared" si="7"/>
        <v>256522.21706638558</v>
      </c>
      <c r="K52" s="68"/>
      <c r="L52" s="204"/>
      <c r="M52" s="204"/>
      <c r="N52" s="204"/>
    </row>
    <row r="53" spans="1:14" s="225" customFormat="1" x14ac:dyDescent="0.35">
      <c r="A53" s="29">
        <v>43250</v>
      </c>
      <c r="B53" s="226" t="s">
        <v>175</v>
      </c>
      <c r="C53" s="30"/>
      <c r="D53" s="30">
        <f>11*5.5</f>
        <v>60.5</v>
      </c>
      <c r="E53" s="222">
        <f t="shared" si="4"/>
        <v>10145.710000000003</v>
      </c>
      <c r="F53" s="223"/>
      <c r="G53" s="223">
        <f t="shared" si="5"/>
        <v>25.133934836377609</v>
      </c>
      <c r="H53" s="30"/>
      <c r="I53" s="224">
        <f t="shared" si="6"/>
        <v>1520.6030576008454</v>
      </c>
      <c r="J53" s="224">
        <f t="shared" si="7"/>
        <v>255001.61400878473</v>
      </c>
      <c r="K53" s="31"/>
      <c r="L53" s="32">
        <f>SUM(I49:I53)</f>
        <v>4571.862746737087</v>
      </c>
      <c r="M53" s="32">
        <f>SUM(L48:L53)</f>
        <v>15971.107552427791</v>
      </c>
      <c r="N53" s="27">
        <v>43251</v>
      </c>
    </row>
    <row r="54" spans="1:14" x14ac:dyDescent="0.35">
      <c r="A54" s="62">
        <v>43252</v>
      </c>
      <c r="B54" s="63" t="s">
        <v>176</v>
      </c>
      <c r="C54" s="64"/>
      <c r="D54" s="64">
        <f>3*5.2+2*3.65</f>
        <v>22.900000000000002</v>
      </c>
      <c r="E54" s="65">
        <f t="shared" si="4"/>
        <v>10122.810000000003</v>
      </c>
      <c r="F54" s="66"/>
      <c r="G54" s="66">
        <f t="shared" si="5"/>
        <v>25.133934836377609</v>
      </c>
      <c r="H54" s="64"/>
      <c r="I54" s="67">
        <f t="shared" si="6"/>
        <v>575.56710775304725</v>
      </c>
      <c r="J54" s="67">
        <f t="shared" si="7"/>
        <v>254426.04690103169</v>
      </c>
      <c r="K54" s="68"/>
      <c r="L54" s="204"/>
      <c r="M54" s="204"/>
      <c r="N54" s="204"/>
    </row>
    <row r="55" spans="1:14" s="225" customFormat="1" x14ac:dyDescent="0.35">
      <c r="A55" s="29">
        <v>43255</v>
      </c>
      <c r="B55" s="226" t="s">
        <v>177</v>
      </c>
      <c r="C55" s="30"/>
      <c r="D55" s="30">
        <v>5.5</v>
      </c>
      <c r="E55" s="222">
        <f t="shared" si="4"/>
        <v>10117.310000000003</v>
      </c>
      <c r="F55" s="223"/>
      <c r="G55" s="223">
        <f t="shared" si="5"/>
        <v>25.133934836377609</v>
      </c>
      <c r="H55" s="30"/>
      <c r="I55" s="224">
        <f t="shared" si="6"/>
        <v>138.23664160007684</v>
      </c>
      <c r="J55" s="224">
        <f t="shared" si="7"/>
        <v>254287.8102594316</v>
      </c>
      <c r="K55" s="31"/>
      <c r="L55" s="32">
        <f>SUM(I54:I55)</f>
        <v>713.80374935312409</v>
      </c>
      <c r="M55" s="227"/>
      <c r="N55" s="27">
        <v>43266</v>
      </c>
    </row>
    <row r="56" spans="1:14" x14ac:dyDescent="0.35">
      <c r="A56" s="62">
        <v>43269</v>
      </c>
      <c r="B56" s="63" t="s">
        <v>178</v>
      </c>
      <c r="C56" s="64"/>
      <c r="D56" s="64">
        <f>16*2.45+17*2.6</f>
        <v>83.4</v>
      </c>
      <c r="E56" s="65">
        <f t="shared" si="4"/>
        <v>10033.910000000003</v>
      </c>
      <c r="F56" s="66"/>
      <c r="G56" s="66">
        <f t="shared" si="5"/>
        <v>25.133934836377605</v>
      </c>
      <c r="H56" s="64"/>
      <c r="I56" s="67">
        <f t="shared" si="6"/>
        <v>2096.1701653538926</v>
      </c>
      <c r="J56" s="67">
        <f t="shared" si="7"/>
        <v>252191.64009407771</v>
      </c>
      <c r="K56" s="68"/>
      <c r="L56" s="204"/>
      <c r="M56" s="204"/>
      <c r="N56" s="204"/>
    </row>
    <row r="57" spans="1:14" x14ac:dyDescent="0.35">
      <c r="A57" s="62">
        <v>43274</v>
      </c>
      <c r="B57" s="63" t="s">
        <v>225</v>
      </c>
      <c r="C57" s="64"/>
      <c r="D57" s="64">
        <f>11*1</f>
        <v>11</v>
      </c>
      <c r="E57" s="65">
        <f t="shared" si="4"/>
        <v>10022.910000000003</v>
      </c>
      <c r="F57" s="66"/>
      <c r="G57" s="66">
        <f t="shared" si="5"/>
        <v>25.133934836377605</v>
      </c>
      <c r="H57" s="64"/>
      <c r="I57" s="67">
        <f t="shared" si="6"/>
        <v>276.47328320015367</v>
      </c>
      <c r="J57" s="67">
        <f t="shared" si="7"/>
        <v>251915.16681087756</v>
      </c>
      <c r="K57" s="68"/>
      <c r="L57" s="204"/>
      <c r="M57" s="204"/>
      <c r="N57" s="204"/>
    </row>
    <row r="58" spans="1:14" x14ac:dyDescent="0.35">
      <c r="A58" s="62">
        <v>43276</v>
      </c>
      <c r="B58" s="63" t="s">
        <v>394</v>
      </c>
      <c r="C58" s="64"/>
      <c r="D58" s="64">
        <f>3.45+3.15+2.8+4</f>
        <v>13.399999999999999</v>
      </c>
      <c r="E58" s="65">
        <f t="shared" si="4"/>
        <v>10009.510000000004</v>
      </c>
      <c r="F58" s="66"/>
      <c r="G58" s="66">
        <f t="shared" si="5"/>
        <v>25.133934836377605</v>
      </c>
      <c r="H58" s="64"/>
      <c r="I58" s="67">
        <f t="shared" si="6"/>
        <v>336.79472680745988</v>
      </c>
      <c r="J58" s="67">
        <f t="shared" si="7"/>
        <v>251578.37208407011</v>
      </c>
      <c r="K58" s="68"/>
      <c r="L58" s="204"/>
      <c r="M58" s="204"/>
      <c r="N58" s="204"/>
    </row>
    <row r="59" spans="1:14" s="225" customFormat="1" x14ac:dyDescent="0.35">
      <c r="A59" s="29">
        <v>43279</v>
      </c>
      <c r="B59" s="226" t="s">
        <v>397</v>
      </c>
      <c r="C59" s="30"/>
      <c r="D59" s="30">
        <f>8*5</f>
        <v>40</v>
      </c>
      <c r="E59" s="222">
        <f t="shared" si="4"/>
        <v>9969.5100000000039</v>
      </c>
      <c r="F59" s="223"/>
      <c r="G59" s="223">
        <f t="shared" si="5"/>
        <v>25.133934836377605</v>
      </c>
      <c r="H59" s="30"/>
      <c r="I59" s="224">
        <f t="shared" si="6"/>
        <v>1005.3573934551042</v>
      </c>
      <c r="J59" s="224">
        <f t="shared" si="7"/>
        <v>250573.014690615</v>
      </c>
      <c r="K59" s="31"/>
      <c r="L59" s="32">
        <f>SUM(I56:I59)</f>
        <v>3714.7955688166103</v>
      </c>
      <c r="M59" s="32">
        <f>SUM(L55:L59)</f>
        <v>4428.599318169734</v>
      </c>
      <c r="N59" s="27">
        <v>43281</v>
      </c>
    </row>
    <row r="60" spans="1:14" x14ac:dyDescent="0.35">
      <c r="A60" s="62">
        <v>43284</v>
      </c>
      <c r="B60" s="63" t="s">
        <v>401</v>
      </c>
      <c r="C60" s="64"/>
      <c r="D60" s="64">
        <f>4*2.2</f>
        <v>8.8000000000000007</v>
      </c>
      <c r="E60" s="65">
        <f t="shared" si="4"/>
        <v>9960.7100000000046</v>
      </c>
      <c r="F60" s="66"/>
      <c r="G60" s="66">
        <f t="shared" si="5"/>
        <v>25.133934836377605</v>
      </c>
      <c r="H60" s="64"/>
      <c r="I60" s="67">
        <f t="shared" si="6"/>
        <v>221.17862656012295</v>
      </c>
      <c r="J60" s="67">
        <f t="shared" si="7"/>
        <v>250351.83606405489</v>
      </c>
      <c r="K60" s="68"/>
      <c r="L60" s="204"/>
      <c r="M60" s="204"/>
      <c r="N60" s="204"/>
    </row>
    <row r="61" spans="1:14" x14ac:dyDescent="0.35">
      <c r="A61" s="62">
        <v>43286</v>
      </c>
      <c r="B61" s="63" t="s">
        <v>407</v>
      </c>
      <c r="C61" s="64"/>
      <c r="D61" s="64">
        <f>8*5</f>
        <v>40</v>
      </c>
      <c r="E61" s="65">
        <f t="shared" si="4"/>
        <v>9920.7100000000046</v>
      </c>
      <c r="F61" s="66"/>
      <c r="G61" s="66">
        <f t="shared" si="5"/>
        <v>25.133934836377605</v>
      </c>
      <c r="H61" s="64"/>
      <c r="I61" s="67">
        <f t="shared" si="6"/>
        <v>1005.3573934551042</v>
      </c>
      <c r="J61" s="67">
        <f t="shared" si="7"/>
        <v>249346.47867059978</v>
      </c>
      <c r="K61" s="68"/>
      <c r="L61" s="204"/>
      <c r="M61" s="204"/>
      <c r="N61" s="204"/>
    </row>
    <row r="62" spans="1:14" x14ac:dyDescent="0.35">
      <c r="A62" s="62">
        <v>43291</v>
      </c>
      <c r="B62" s="63" t="s">
        <v>417</v>
      </c>
      <c r="C62" s="64"/>
      <c r="D62" s="64">
        <f>4*3.2</f>
        <v>12.8</v>
      </c>
      <c r="E62" s="65">
        <f t="shared" si="4"/>
        <v>9907.9100000000053</v>
      </c>
      <c r="F62" s="66"/>
      <c r="G62" s="66">
        <f t="shared" si="5"/>
        <v>25.133934836377605</v>
      </c>
      <c r="H62" s="64"/>
      <c r="I62" s="67">
        <f t="shared" si="6"/>
        <v>321.71436590563337</v>
      </c>
      <c r="J62" s="67">
        <f t="shared" si="7"/>
        <v>249024.76430469414</v>
      </c>
      <c r="K62" s="68"/>
      <c r="L62" s="204"/>
      <c r="M62" s="204"/>
      <c r="N62" s="204"/>
    </row>
    <row r="63" spans="1:14" s="225" customFormat="1" x14ac:dyDescent="0.35">
      <c r="A63" s="29">
        <v>43295</v>
      </c>
      <c r="B63" s="226" t="s">
        <v>426</v>
      </c>
      <c r="C63" s="30"/>
      <c r="D63" s="30">
        <f>6*3+2*4</f>
        <v>26</v>
      </c>
      <c r="E63" s="222">
        <f t="shared" si="4"/>
        <v>9881.9100000000053</v>
      </c>
      <c r="F63" s="223"/>
      <c r="G63" s="223">
        <f t="shared" si="5"/>
        <v>25.133934836377602</v>
      </c>
      <c r="H63" s="30"/>
      <c r="I63" s="224">
        <f t="shared" si="6"/>
        <v>653.4823057458176</v>
      </c>
      <c r="J63" s="224">
        <f t="shared" si="7"/>
        <v>248371.28199894831</v>
      </c>
      <c r="K63" s="31"/>
      <c r="L63" s="32">
        <f>SUM(I60:I63)</f>
        <v>2201.732691666678</v>
      </c>
      <c r="M63" s="227"/>
      <c r="N63" s="27">
        <v>43296</v>
      </c>
    </row>
    <row r="64" spans="1:14" x14ac:dyDescent="0.35">
      <c r="A64" s="62">
        <v>43299</v>
      </c>
      <c r="B64" s="63" t="s">
        <v>430</v>
      </c>
      <c r="C64" s="64"/>
      <c r="D64" s="64">
        <f>12*4.75</f>
        <v>57</v>
      </c>
      <c r="E64" s="65">
        <f t="shared" si="4"/>
        <v>9824.9100000000053</v>
      </c>
      <c r="F64" s="66"/>
      <c r="G64" s="66">
        <f t="shared" si="5"/>
        <v>25.133934836377602</v>
      </c>
      <c r="H64" s="64"/>
      <c r="I64" s="67">
        <f t="shared" si="6"/>
        <v>1432.6342856735232</v>
      </c>
      <c r="J64" s="67">
        <f t="shared" si="7"/>
        <v>246938.64771327478</v>
      </c>
      <c r="K64" s="68"/>
      <c r="L64" s="204"/>
      <c r="M64" s="204"/>
      <c r="N64" s="204"/>
    </row>
    <row r="65" spans="1:14" x14ac:dyDescent="0.35">
      <c r="A65" s="62">
        <v>43301</v>
      </c>
      <c r="B65" s="63" t="s">
        <v>435</v>
      </c>
      <c r="C65" s="64"/>
      <c r="D65" s="64">
        <f>40*6.8</f>
        <v>272</v>
      </c>
      <c r="E65" s="65">
        <f t="shared" si="4"/>
        <v>9552.9100000000053</v>
      </c>
      <c r="F65" s="66"/>
      <c r="G65" s="66">
        <f t="shared" si="5"/>
        <v>25.133934836377602</v>
      </c>
      <c r="H65" s="64"/>
      <c r="I65" s="67">
        <f t="shared" si="6"/>
        <v>6836.4302754947075</v>
      </c>
      <c r="J65" s="67">
        <f t="shared" si="7"/>
        <v>240102.21743778008</v>
      </c>
      <c r="K65" s="68"/>
      <c r="L65" s="204"/>
      <c r="M65" s="204"/>
      <c r="N65" s="204"/>
    </row>
    <row r="66" spans="1:14" x14ac:dyDescent="0.35">
      <c r="A66" s="62">
        <v>43302</v>
      </c>
      <c r="B66" s="63" t="s">
        <v>438</v>
      </c>
      <c r="C66" s="64"/>
      <c r="D66" s="64">
        <f>7*3</f>
        <v>21</v>
      </c>
      <c r="E66" s="65">
        <f t="shared" si="4"/>
        <v>9531.9100000000053</v>
      </c>
      <c r="F66" s="66"/>
      <c r="G66" s="66">
        <f t="shared" si="5"/>
        <v>25.133934836377602</v>
      </c>
      <c r="H66" s="64"/>
      <c r="I66" s="67">
        <f t="shared" si="6"/>
        <v>527.81263156392959</v>
      </c>
      <c r="J66" s="67">
        <f t="shared" si="7"/>
        <v>239574.40480621616</v>
      </c>
      <c r="K66" s="68"/>
      <c r="L66" s="204"/>
      <c r="M66" s="204"/>
      <c r="N66" s="204"/>
    </row>
    <row r="67" spans="1:14" x14ac:dyDescent="0.35">
      <c r="A67" s="62">
        <v>43309</v>
      </c>
      <c r="B67" s="63" t="s">
        <v>449</v>
      </c>
      <c r="C67" s="64"/>
      <c r="D67" s="64">
        <f>14*5.7</f>
        <v>79.8</v>
      </c>
      <c r="E67" s="65">
        <f t="shared" si="4"/>
        <v>9452.110000000006</v>
      </c>
      <c r="F67" s="66"/>
      <c r="G67" s="66">
        <f t="shared" si="5"/>
        <v>25.133934836377602</v>
      </c>
      <c r="H67" s="64"/>
      <c r="I67" s="67">
        <f t="shared" si="6"/>
        <v>2005.6879999429325</v>
      </c>
      <c r="J67" s="67">
        <f t="shared" si="7"/>
        <v>237568.71680627324</v>
      </c>
      <c r="K67" s="68"/>
      <c r="L67" s="204"/>
      <c r="M67" s="204"/>
      <c r="N67" s="204"/>
    </row>
    <row r="68" spans="1:14" s="225" customFormat="1" x14ac:dyDescent="0.35">
      <c r="A68" s="29">
        <v>43309</v>
      </c>
      <c r="B68" s="226" t="s">
        <v>450</v>
      </c>
      <c r="C68" s="30"/>
      <c r="D68" s="30">
        <f>4*2.9</f>
        <v>11.6</v>
      </c>
      <c r="E68" s="222">
        <f t="shared" si="4"/>
        <v>9440.5100000000057</v>
      </c>
      <c r="F68" s="223"/>
      <c r="G68" s="223">
        <f t="shared" si="5"/>
        <v>25.133934836377602</v>
      </c>
      <c r="H68" s="30"/>
      <c r="I68" s="224">
        <f t="shared" si="6"/>
        <v>291.55364410198018</v>
      </c>
      <c r="J68" s="224">
        <f t="shared" si="7"/>
        <v>237277.16316217126</v>
      </c>
      <c r="K68" s="31"/>
      <c r="L68" s="32">
        <f>SUM(I64:I68)</f>
        <v>11094.118836777072</v>
      </c>
      <c r="M68" s="32">
        <f>SUM(L63:L68)</f>
        <v>13295.851528443749</v>
      </c>
      <c r="N68" s="27">
        <v>43312</v>
      </c>
    </row>
    <row r="69" spans="1:14" x14ac:dyDescent="0.35">
      <c r="A69" s="62">
        <v>43319</v>
      </c>
      <c r="B69" s="63" t="s">
        <v>459</v>
      </c>
      <c r="C69" s="64"/>
      <c r="D69" s="64">
        <f>10*3.2</f>
        <v>32</v>
      </c>
      <c r="E69" s="65">
        <f t="shared" si="4"/>
        <v>9408.5100000000057</v>
      </c>
      <c r="F69" s="66"/>
      <c r="G69" s="66">
        <f t="shared" si="5"/>
        <v>25.133934836377602</v>
      </c>
      <c r="H69" s="64"/>
      <c r="I69" s="67">
        <f t="shared" si="6"/>
        <v>804.28591476408326</v>
      </c>
      <c r="J69" s="67">
        <f t="shared" si="7"/>
        <v>236472.87724740719</v>
      </c>
      <c r="K69" s="68"/>
      <c r="L69" s="204"/>
      <c r="M69" s="204"/>
      <c r="N69" s="204"/>
    </row>
    <row r="70" spans="1:14" s="225" customFormat="1" x14ac:dyDescent="0.35">
      <c r="A70" s="29">
        <v>43321</v>
      </c>
      <c r="B70" s="226" t="s">
        <v>462</v>
      </c>
      <c r="C70" s="30"/>
      <c r="D70" s="30">
        <f>20*6.55</f>
        <v>131</v>
      </c>
      <c r="E70" s="222">
        <f t="shared" si="4"/>
        <v>9277.5100000000057</v>
      </c>
      <c r="F70" s="223"/>
      <c r="G70" s="223">
        <f t="shared" si="5"/>
        <v>25.133934836377602</v>
      </c>
      <c r="H70" s="30"/>
      <c r="I70" s="224">
        <f t="shared" si="6"/>
        <v>3292.545463565466</v>
      </c>
      <c r="J70" s="224">
        <f t="shared" si="7"/>
        <v>233180.33178384171</v>
      </c>
      <c r="K70" s="31"/>
      <c r="L70" s="32">
        <f>SUM(I69:I70)</f>
        <v>4096.8313783295489</v>
      </c>
      <c r="M70" s="227"/>
      <c r="N70" s="27">
        <v>43327</v>
      </c>
    </row>
    <row r="71" spans="1:14" x14ac:dyDescent="0.35">
      <c r="A71" s="62">
        <v>43330</v>
      </c>
      <c r="B71" s="63" t="s">
        <v>473</v>
      </c>
      <c r="C71" s="64"/>
      <c r="D71" s="64">
        <f>12*5.4+2*4.55+2*3.5+2*2.4+2*1.3+3+4.3+4.45</f>
        <v>100.05</v>
      </c>
      <c r="E71" s="65">
        <f t="shared" si="4"/>
        <v>9177.4600000000064</v>
      </c>
      <c r="F71" s="66"/>
      <c r="G71" s="66">
        <f t="shared" si="5"/>
        <v>25.133934836377602</v>
      </c>
      <c r="H71" s="64"/>
      <c r="I71" s="67">
        <f t="shared" si="6"/>
        <v>2514.6501803795791</v>
      </c>
      <c r="J71" s="67">
        <f t="shared" si="7"/>
        <v>230665.68160346214</v>
      </c>
      <c r="K71" s="68"/>
      <c r="L71" s="204"/>
      <c r="M71" s="204"/>
      <c r="N71" s="204"/>
    </row>
    <row r="72" spans="1:14" x14ac:dyDescent="0.35">
      <c r="A72" s="62">
        <v>43330</v>
      </c>
      <c r="B72" s="63" t="s">
        <v>474</v>
      </c>
      <c r="C72" s="64"/>
      <c r="D72" s="64">
        <f>3.9+2+4*1.8+4*1.25+4*0.75+2*1.5+2*1.7+2*0.9+12</f>
        <v>41.3</v>
      </c>
      <c r="E72" s="65">
        <f t="shared" ref="E72:E103" si="8">+E71-D72</f>
        <v>9136.1600000000071</v>
      </c>
      <c r="F72" s="66"/>
      <c r="G72" s="66">
        <f t="shared" ref="G72:G104" si="9">+J71/E71</f>
        <v>25.133934836377602</v>
      </c>
      <c r="H72" s="64"/>
      <c r="I72" s="67">
        <f t="shared" ref="I72:I104" si="10">+D72*G72</f>
        <v>1038.0315087423949</v>
      </c>
      <c r="J72" s="67">
        <f t="shared" ref="J72:J103" si="11">+J71-I72</f>
        <v>229627.65009471975</v>
      </c>
      <c r="K72" s="68"/>
      <c r="L72" s="204"/>
      <c r="M72" s="204"/>
      <c r="N72" s="204"/>
    </row>
    <row r="73" spans="1:14" x14ac:dyDescent="0.35">
      <c r="A73" s="62">
        <v>43330</v>
      </c>
      <c r="B73" s="63" t="s">
        <v>475</v>
      </c>
      <c r="C73" s="64"/>
      <c r="D73" s="64">
        <f>28*1.3</f>
        <v>36.4</v>
      </c>
      <c r="E73" s="65">
        <f t="shared" si="8"/>
        <v>9099.7600000000075</v>
      </c>
      <c r="F73" s="66"/>
      <c r="G73" s="66">
        <f t="shared" si="9"/>
        <v>25.133934836377598</v>
      </c>
      <c r="H73" s="64"/>
      <c r="I73" s="67">
        <f t="shared" si="10"/>
        <v>914.87522804414459</v>
      </c>
      <c r="J73" s="67">
        <f t="shared" si="11"/>
        <v>228712.77486667561</v>
      </c>
      <c r="K73" s="68"/>
      <c r="L73" s="204"/>
      <c r="M73" s="204"/>
      <c r="N73" s="204"/>
    </row>
    <row r="74" spans="1:14" x14ac:dyDescent="0.35">
      <c r="A74" s="62">
        <v>43330</v>
      </c>
      <c r="B74" s="63" t="s">
        <v>477</v>
      </c>
      <c r="C74" s="64"/>
      <c r="D74" s="64">
        <f>28*1.3</f>
        <v>36.4</v>
      </c>
      <c r="E74" s="65">
        <f t="shared" si="8"/>
        <v>9063.3600000000079</v>
      </c>
      <c r="F74" s="66"/>
      <c r="G74" s="66">
        <f t="shared" si="9"/>
        <v>25.133934836377598</v>
      </c>
      <c r="H74" s="64"/>
      <c r="I74" s="67">
        <f t="shared" si="10"/>
        <v>914.87522804414459</v>
      </c>
      <c r="J74" s="67">
        <f t="shared" si="11"/>
        <v>227797.89963863147</v>
      </c>
      <c r="K74" s="68"/>
      <c r="L74" s="204"/>
      <c r="M74" s="204"/>
      <c r="N74" s="204"/>
    </row>
    <row r="75" spans="1:14" x14ac:dyDescent="0.35">
      <c r="A75" s="62">
        <v>43334</v>
      </c>
      <c r="B75" s="63" t="s">
        <v>482</v>
      </c>
      <c r="C75" s="64"/>
      <c r="D75" s="64">
        <f>7*5.2+4*3.35</f>
        <v>49.8</v>
      </c>
      <c r="E75" s="65">
        <f t="shared" si="8"/>
        <v>9013.5600000000086</v>
      </c>
      <c r="F75" s="66"/>
      <c r="G75" s="66">
        <f t="shared" si="9"/>
        <v>25.133934836377598</v>
      </c>
      <c r="H75" s="64"/>
      <c r="I75" s="67">
        <f t="shared" si="10"/>
        <v>1251.6699548516044</v>
      </c>
      <c r="J75" s="67">
        <f t="shared" si="11"/>
        <v>226546.22968377988</v>
      </c>
      <c r="K75" s="68"/>
      <c r="L75" s="204"/>
      <c r="M75" s="204"/>
      <c r="N75" s="204"/>
    </row>
    <row r="76" spans="1:14" x14ac:dyDescent="0.35">
      <c r="A76" s="62">
        <v>43334</v>
      </c>
      <c r="B76" s="63" t="s">
        <v>483</v>
      </c>
      <c r="C76" s="64"/>
      <c r="D76" s="64">
        <f>15*4</f>
        <v>60</v>
      </c>
      <c r="E76" s="65">
        <f t="shared" si="8"/>
        <v>8953.5600000000086</v>
      </c>
      <c r="F76" s="66"/>
      <c r="G76" s="66">
        <f t="shared" si="9"/>
        <v>25.133934836377598</v>
      </c>
      <c r="H76" s="64"/>
      <c r="I76" s="67">
        <f t="shared" si="10"/>
        <v>1508.0360901826559</v>
      </c>
      <c r="J76" s="67">
        <f t="shared" si="11"/>
        <v>225038.19359359721</v>
      </c>
      <c r="K76" s="68"/>
      <c r="L76" s="204"/>
      <c r="M76" s="204"/>
      <c r="N76" s="204"/>
    </row>
    <row r="77" spans="1:14" x14ac:dyDescent="0.35">
      <c r="A77" s="62">
        <v>43335</v>
      </c>
      <c r="B77" s="63" t="s">
        <v>484</v>
      </c>
      <c r="C77" s="64"/>
      <c r="D77" s="64">
        <v>0</v>
      </c>
      <c r="E77" s="65">
        <f t="shared" si="8"/>
        <v>8953.5600000000086</v>
      </c>
      <c r="F77" s="66"/>
      <c r="G77" s="66">
        <f t="shared" si="9"/>
        <v>25.133934836377598</v>
      </c>
      <c r="H77" s="64"/>
      <c r="I77" s="67">
        <f t="shared" si="10"/>
        <v>0</v>
      </c>
      <c r="J77" s="67">
        <f t="shared" si="11"/>
        <v>225038.19359359721</v>
      </c>
      <c r="K77" s="68"/>
      <c r="L77" s="204"/>
      <c r="M77" s="204"/>
      <c r="N77" s="204"/>
    </row>
    <row r="78" spans="1:14" x14ac:dyDescent="0.35">
      <c r="A78" s="62">
        <v>43335</v>
      </c>
      <c r="B78" s="63" t="s">
        <v>486</v>
      </c>
      <c r="C78" s="64"/>
      <c r="D78" s="64">
        <f>2*4</f>
        <v>8</v>
      </c>
      <c r="E78" s="65">
        <f t="shared" si="8"/>
        <v>8945.5600000000086</v>
      </c>
      <c r="F78" s="66"/>
      <c r="G78" s="66">
        <f t="shared" si="9"/>
        <v>25.133934836377598</v>
      </c>
      <c r="H78" s="64"/>
      <c r="I78" s="67">
        <f t="shared" si="10"/>
        <v>201.07147869102079</v>
      </c>
      <c r="J78" s="67">
        <f t="shared" si="11"/>
        <v>224837.1221149062</v>
      </c>
      <c r="K78" s="68"/>
      <c r="L78" s="204"/>
      <c r="M78" s="204"/>
      <c r="N78" s="204"/>
    </row>
    <row r="79" spans="1:14" x14ac:dyDescent="0.35">
      <c r="A79" s="62">
        <v>43336</v>
      </c>
      <c r="B79" s="63" t="s">
        <v>488</v>
      </c>
      <c r="C79" s="64"/>
      <c r="D79" s="66">
        <f>9*3.5</f>
        <v>31.5</v>
      </c>
      <c r="E79" s="65">
        <f t="shared" si="8"/>
        <v>8914.0600000000086</v>
      </c>
      <c r="F79" s="66"/>
      <c r="G79" s="66">
        <f t="shared" si="9"/>
        <v>25.133934836377598</v>
      </c>
      <c r="H79" s="64"/>
      <c r="I79" s="67">
        <f t="shared" si="10"/>
        <v>791.71894734589432</v>
      </c>
      <c r="J79" s="67">
        <f t="shared" si="11"/>
        <v>224045.40316756032</v>
      </c>
      <c r="K79" s="68"/>
      <c r="L79" s="204"/>
      <c r="M79" s="204"/>
      <c r="N79" s="204"/>
    </row>
    <row r="80" spans="1:14" x14ac:dyDescent="0.35">
      <c r="A80" s="142">
        <v>43341</v>
      </c>
      <c r="B80" s="63" t="s">
        <v>497</v>
      </c>
      <c r="C80" s="64"/>
      <c r="D80" s="64">
        <f>3*1.3</f>
        <v>3.9000000000000004</v>
      </c>
      <c r="E80" s="65">
        <f t="shared" si="8"/>
        <v>8910.1600000000089</v>
      </c>
      <c r="F80" s="66"/>
      <c r="G80" s="66">
        <f t="shared" si="9"/>
        <v>25.133934836377598</v>
      </c>
      <c r="H80" s="64"/>
      <c r="I80" s="67">
        <f t="shared" si="10"/>
        <v>98.022345861872637</v>
      </c>
      <c r="J80" s="67">
        <f t="shared" si="11"/>
        <v>223947.38082169843</v>
      </c>
      <c r="K80" s="68"/>
      <c r="L80" s="204"/>
      <c r="M80" s="204"/>
      <c r="N80" s="204"/>
    </row>
    <row r="81" spans="1:14" x14ac:dyDescent="0.35">
      <c r="A81" s="142">
        <v>43342</v>
      </c>
      <c r="B81" s="63" t="s">
        <v>499</v>
      </c>
      <c r="C81" s="64"/>
      <c r="D81" s="64">
        <f>11*5.3</f>
        <v>58.3</v>
      </c>
      <c r="E81" s="65">
        <f t="shared" si="8"/>
        <v>8851.8600000000097</v>
      </c>
      <c r="F81" s="66"/>
      <c r="G81" s="66">
        <f t="shared" si="9"/>
        <v>25.133934836377598</v>
      </c>
      <c r="H81" s="64"/>
      <c r="I81" s="67">
        <f t="shared" si="10"/>
        <v>1465.308400960814</v>
      </c>
      <c r="J81" s="67">
        <f t="shared" si="11"/>
        <v>222482.07242073762</v>
      </c>
      <c r="K81" s="68"/>
      <c r="L81" s="204"/>
      <c r="M81" s="204"/>
      <c r="N81" s="204"/>
    </row>
    <row r="82" spans="1:14" x14ac:dyDescent="0.35">
      <c r="A82" s="142">
        <v>43343</v>
      </c>
      <c r="B82" s="63" t="s">
        <v>501</v>
      </c>
      <c r="C82" s="64"/>
      <c r="D82" s="64">
        <f>70*7+14.5</f>
        <v>504.5</v>
      </c>
      <c r="E82" s="65">
        <f t="shared" si="8"/>
        <v>8347.3600000000097</v>
      </c>
      <c r="F82" s="66"/>
      <c r="G82" s="66">
        <f t="shared" si="9"/>
        <v>25.133934836377595</v>
      </c>
      <c r="H82" s="64"/>
      <c r="I82" s="67">
        <f t="shared" si="10"/>
        <v>12680.070124952497</v>
      </c>
      <c r="J82" s="67">
        <f t="shared" si="11"/>
        <v>209802.00229578512</v>
      </c>
      <c r="K82" s="68"/>
      <c r="L82" s="204"/>
      <c r="M82" s="204"/>
      <c r="N82" s="204"/>
    </row>
    <row r="83" spans="1:14" s="225" customFormat="1" x14ac:dyDescent="0.35">
      <c r="A83" s="228">
        <v>43343</v>
      </c>
      <c r="B83" s="226" t="s">
        <v>500</v>
      </c>
      <c r="C83" s="30"/>
      <c r="D83" s="30">
        <f>2*2.6+2.56+2.55+2.52+2.5</f>
        <v>15.329999999999998</v>
      </c>
      <c r="E83" s="222">
        <f t="shared" si="8"/>
        <v>8332.0300000000097</v>
      </c>
      <c r="F83" s="223"/>
      <c r="G83" s="223">
        <f t="shared" si="9"/>
        <v>25.133934836377595</v>
      </c>
      <c r="H83" s="30"/>
      <c r="I83" s="224">
        <f t="shared" si="10"/>
        <v>385.30322104166851</v>
      </c>
      <c r="J83" s="224">
        <f t="shared" si="11"/>
        <v>209416.69907474346</v>
      </c>
      <c r="K83" s="31"/>
      <c r="L83" s="32">
        <f>SUM(I71:I83)</f>
        <v>23763.632709098292</v>
      </c>
      <c r="M83" s="32">
        <f>SUM(L70:L83)</f>
        <v>27860.464087427841</v>
      </c>
      <c r="N83" s="27">
        <v>43343</v>
      </c>
    </row>
    <row r="84" spans="1:14" x14ac:dyDescent="0.35">
      <c r="A84" s="142">
        <v>43344</v>
      </c>
      <c r="B84" s="63" t="s">
        <v>506</v>
      </c>
      <c r="C84" s="64"/>
      <c r="D84" s="64">
        <f>4*0.79+5*1.56+5*1.4</f>
        <v>17.96</v>
      </c>
      <c r="E84" s="65">
        <f t="shared" si="8"/>
        <v>8314.0700000000106</v>
      </c>
      <c r="F84" s="66"/>
      <c r="G84" s="66">
        <f t="shared" si="9"/>
        <v>25.133934836377595</v>
      </c>
      <c r="H84" s="64"/>
      <c r="I84" s="67">
        <f t="shared" si="10"/>
        <v>451.40546966134161</v>
      </c>
      <c r="J84" s="67">
        <f t="shared" si="11"/>
        <v>208965.29360508212</v>
      </c>
      <c r="K84" s="68"/>
      <c r="L84" s="204"/>
      <c r="M84" s="204"/>
      <c r="N84" s="204"/>
    </row>
    <row r="85" spans="1:14" x14ac:dyDescent="0.35">
      <c r="A85" s="142">
        <v>43347</v>
      </c>
      <c r="B85" s="63" t="s">
        <v>511</v>
      </c>
      <c r="C85" s="64"/>
      <c r="D85" s="64">
        <v>17</v>
      </c>
      <c r="E85" s="65">
        <f t="shared" si="8"/>
        <v>8297.0700000000106</v>
      </c>
      <c r="F85" s="66"/>
      <c r="G85" s="66">
        <f t="shared" si="9"/>
        <v>25.133934836377591</v>
      </c>
      <c r="H85" s="64"/>
      <c r="I85" s="67">
        <f t="shared" si="10"/>
        <v>427.27689221841905</v>
      </c>
      <c r="J85" s="67">
        <f t="shared" si="11"/>
        <v>208538.0167128637</v>
      </c>
      <c r="K85" s="68"/>
      <c r="L85" s="204"/>
      <c r="M85" s="204"/>
      <c r="N85" s="204"/>
    </row>
    <row r="86" spans="1:14" s="225" customFormat="1" x14ac:dyDescent="0.35">
      <c r="A86" s="228">
        <v>43347</v>
      </c>
      <c r="B86" s="226" t="s">
        <v>513</v>
      </c>
      <c r="C86" s="30"/>
      <c r="D86" s="30">
        <f>7*6.7+7*7</f>
        <v>95.9</v>
      </c>
      <c r="E86" s="222">
        <f t="shared" si="8"/>
        <v>8201.170000000011</v>
      </c>
      <c r="F86" s="223"/>
      <c r="G86" s="223">
        <f t="shared" si="9"/>
        <v>25.133934836377591</v>
      </c>
      <c r="H86" s="30"/>
      <c r="I86" s="224">
        <f t="shared" si="10"/>
        <v>2410.3443508086111</v>
      </c>
      <c r="J86" s="224">
        <f t="shared" si="11"/>
        <v>206127.67236205508</v>
      </c>
      <c r="K86" s="31"/>
      <c r="L86" s="32">
        <f>SUM(I84:I86)</f>
        <v>3289.0267126883718</v>
      </c>
      <c r="M86" s="227"/>
      <c r="N86" s="27">
        <v>43358</v>
      </c>
    </row>
    <row r="87" spans="1:14" x14ac:dyDescent="0.35">
      <c r="A87" s="142">
        <v>43360</v>
      </c>
      <c r="B87" s="63" t="s">
        <v>531</v>
      </c>
      <c r="C87" s="64"/>
      <c r="D87" s="64">
        <f>10*5.1+7*5.8</f>
        <v>91.6</v>
      </c>
      <c r="E87" s="65">
        <f t="shared" si="8"/>
        <v>8109.5700000000106</v>
      </c>
      <c r="F87" s="66"/>
      <c r="G87" s="66">
        <f t="shared" si="9"/>
        <v>25.133934836377591</v>
      </c>
      <c r="H87" s="64"/>
      <c r="I87" s="67">
        <f t="shared" si="10"/>
        <v>2302.2684310121872</v>
      </c>
      <c r="J87" s="67">
        <f t="shared" si="11"/>
        <v>203825.40393104288</v>
      </c>
      <c r="K87" s="68"/>
      <c r="L87" s="204"/>
      <c r="M87" s="204"/>
      <c r="N87" s="204"/>
    </row>
    <row r="88" spans="1:14" x14ac:dyDescent="0.35">
      <c r="A88" s="142">
        <v>43362</v>
      </c>
      <c r="B88" s="63" t="s">
        <v>533</v>
      </c>
      <c r="C88" s="64"/>
      <c r="D88" s="64">
        <v>0</v>
      </c>
      <c r="E88" s="65">
        <f t="shared" si="8"/>
        <v>8109.5700000000106</v>
      </c>
      <c r="F88" s="66"/>
      <c r="G88" s="66">
        <f t="shared" si="9"/>
        <v>25.133934836377591</v>
      </c>
      <c r="H88" s="64"/>
      <c r="I88" s="67">
        <f t="shared" si="10"/>
        <v>0</v>
      </c>
      <c r="J88" s="67">
        <f t="shared" si="11"/>
        <v>203825.40393104288</v>
      </c>
      <c r="K88" s="68"/>
      <c r="L88" s="204"/>
      <c r="M88" s="204"/>
      <c r="N88" s="204"/>
    </row>
    <row r="89" spans="1:14" x14ac:dyDescent="0.35">
      <c r="A89" s="142">
        <v>43362</v>
      </c>
      <c r="B89" s="63" t="s">
        <v>534</v>
      </c>
      <c r="C89" s="64"/>
      <c r="D89" s="64">
        <f>114.27+3.1</f>
        <v>117.36999999999999</v>
      </c>
      <c r="E89" s="65">
        <f t="shared" si="8"/>
        <v>7992.2000000000107</v>
      </c>
      <c r="F89" s="66"/>
      <c r="G89" s="66">
        <f t="shared" si="9"/>
        <v>25.133934836377591</v>
      </c>
      <c r="H89" s="64"/>
      <c r="I89" s="67">
        <f t="shared" si="10"/>
        <v>2949.9699317456375</v>
      </c>
      <c r="J89" s="67">
        <f t="shared" si="11"/>
        <v>200875.43399929724</v>
      </c>
      <c r="K89" s="68"/>
      <c r="L89" s="204"/>
      <c r="M89" s="204"/>
      <c r="N89" s="204"/>
    </row>
    <row r="90" spans="1:14" s="225" customFormat="1" x14ac:dyDescent="0.35">
      <c r="A90" s="228">
        <v>43369</v>
      </c>
      <c r="B90" s="226" t="s">
        <v>546</v>
      </c>
      <c r="C90" s="30"/>
      <c r="D90" s="30">
        <f>10*3.8+12*4.85+7*2.1+5*2.2</f>
        <v>121.89999999999999</v>
      </c>
      <c r="E90" s="222">
        <f t="shared" si="8"/>
        <v>7870.3000000000111</v>
      </c>
      <c r="F90" s="223"/>
      <c r="G90" s="223">
        <f t="shared" si="9"/>
        <v>25.133934836377588</v>
      </c>
      <c r="H90" s="30"/>
      <c r="I90" s="224">
        <f t="shared" si="10"/>
        <v>3063.8266565544277</v>
      </c>
      <c r="J90" s="224">
        <f t="shared" si="11"/>
        <v>197811.60734274282</v>
      </c>
      <c r="K90" s="31"/>
      <c r="L90" s="32">
        <f>SUM(I87:I90)</f>
        <v>8316.0650193122528</v>
      </c>
      <c r="M90" s="32">
        <f>SUM(L86:L90)</f>
        <v>11605.091732000625</v>
      </c>
      <c r="N90" s="27">
        <v>43373</v>
      </c>
    </row>
    <row r="91" spans="1:14" x14ac:dyDescent="0.35">
      <c r="A91" s="142">
        <v>43382</v>
      </c>
      <c r="B91" s="63" t="s">
        <v>571</v>
      </c>
      <c r="C91" s="64"/>
      <c r="D91" s="64">
        <f>16*5</f>
        <v>80</v>
      </c>
      <c r="E91" s="65">
        <f t="shared" si="8"/>
        <v>7790.3000000000111</v>
      </c>
      <c r="F91" s="66"/>
      <c r="G91" s="66">
        <f t="shared" si="9"/>
        <v>25.133934836377588</v>
      </c>
      <c r="H91" s="64"/>
      <c r="I91" s="67">
        <f t="shared" si="10"/>
        <v>2010.7147869102071</v>
      </c>
      <c r="J91" s="67">
        <f t="shared" si="11"/>
        <v>195800.8925558326</v>
      </c>
      <c r="K91" s="68"/>
      <c r="L91" s="204"/>
      <c r="M91" s="204"/>
      <c r="N91" s="204"/>
    </row>
    <row r="92" spans="1:14" x14ac:dyDescent="0.35">
      <c r="A92" s="142">
        <v>43383</v>
      </c>
      <c r="B92" s="63" t="s">
        <v>574</v>
      </c>
      <c r="C92" s="64"/>
      <c r="D92" s="64">
        <f>5*4+3*5.15</f>
        <v>35.450000000000003</v>
      </c>
      <c r="E92" s="65">
        <f t="shared" si="8"/>
        <v>7754.8500000000113</v>
      </c>
      <c r="F92" s="66"/>
      <c r="G92" s="66">
        <f t="shared" si="9"/>
        <v>25.133934836377588</v>
      </c>
      <c r="H92" s="64"/>
      <c r="I92" s="67">
        <f t="shared" si="10"/>
        <v>890.99798994958553</v>
      </c>
      <c r="J92" s="67">
        <f t="shared" si="11"/>
        <v>194909.89456588301</v>
      </c>
      <c r="K92" s="68"/>
      <c r="L92" s="204"/>
      <c r="M92" s="204"/>
      <c r="N92" s="204"/>
    </row>
    <row r="93" spans="1:14" x14ac:dyDescent="0.35">
      <c r="A93" s="142">
        <v>43383</v>
      </c>
      <c r="B93" s="63" t="s">
        <v>575</v>
      </c>
      <c r="C93" s="64"/>
      <c r="D93" s="64">
        <f>11*5.15+5*4.5+5*4.4</f>
        <v>101.15</v>
      </c>
      <c r="E93" s="65">
        <f t="shared" si="8"/>
        <v>7653.7000000000116</v>
      </c>
      <c r="F93" s="66"/>
      <c r="G93" s="66">
        <f t="shared" si="9"/>
        <v>25.133934836377588</v>
      </c>
      <c r="H93" s="64"/>
      <c r="I93" s="67">
        <f t="shared" si="10"/>
        <v>2542.297508699593</v>
      </c>
      <c r="J93" s="67">
        <f t="shared" si="11"/>
        <v>192367.59705718342</v>
      </c>
      <c r="K93" s="68"/>
      <c r="L93" s="204"/>
      <c r="M93" s="204"/>
      <c r="N93" s="204"/>
    </row>
    <row r="94" spans="1:14" x14ac:dyDescent="0.35">
      <c r="A94" s="142">
        <v>43385</v>
      </c>
      <c r="B94" s="63" t="s">
        <v>584</v>
      </c>
      <c r="C94" s="64"/>
      <c r="D94" s="64">
        <f>5*1.82+21*2.4</f>
        <v>59.5</v>
      </c>
      <c r="E94" s="65">
        <f t="shared" si="8"/>
        <v>7594.2000000000116</v>
      </c>
      <c r="F94" s="66"/>
      <c r="G94" s="66">
        <f t="shared" si="9"/>
        <v>25.133934836377584</v>
      </c>
      <c r="H94" s="64"/>
      <c r="I94" s="67">
        <f t="shared" si="10"/>
        <v>1495.4691227644662</v>
      </c>
      <c r="J94" s="67">
        <f t="shared" si="11"/>
        <v>190872.12793441894</v>
      </c>
      <c r="K94" s="68"/>
      <c r="L94" s="204"/>
      <c r="M94" s="204"/>
      <c r="N94" s="204"/>
    </row>
    <row r="95" spans="1:14" x14ac:dyDescent="0.35">
      <c r="A95" s="142">
        <v>43388</v>
      </c>
      <c r="B95" s="63" t="s">
        <v>587</v>
      </c>
      <c r="C95" s="64"/>
      <c r="D95" s="64">
        <f>5*3.8+2.9</f>
        <v>21.9</v>
      </c>
      <c r="E95" s="65">
        <f t="shared" si="8"/>
        <v>7572.300000000012</v>
      </c>
      <c r="F95" s="66"/>
      <c r="G95" s="66">
        <f t="shared" si="9"/>
        <v>25.133934836377584</v>
      </c>
      <c r="H95" s="64"/>
      <c r="I95" s="67">
        <f t="shared" si="10"/>
        <v>550.43317291666904</v>
      </c>
      <c r="J95" s="67">
        <f t="shared" si="11"/>
        <v>190321.69476150227</v>
      </c>
      <c r="K95" s="68"/>
      <c r="L95" s="204"/>
      <c r="M95" s="204"/>
      <c r="N95" s="204"/>
    </row>
    <row r="96" spans="1:14" s="225" customFormat="1" x14ac:dyDescent="0.35">
      <c r="A96" s="228">
        <v>43388</v>
      </c>
      <c r="B96" s="226" t="s">
        <v>589</v>
      </c>
      <c r="C96" s="30"/>
      <c r="D96" s="30">
        <f>23*5.15</f>
        <v>118.45</v>
      </c>
      <c r="E96" s="222">
        <f t="shared" si="8"/>
        <v>7453.8500000000122</v>
      </c>
      <c r="F96" s="223"/>
      <c r="G96" s="223">
        <f t="shared" si="9"/>
        <v>25.133934836377581</v>
      </c>
      <c r="H96" s="30"/>
      <c r="I96" s="224">
        <f t="shared" si="10"/>
        <v>2977.1145813689245</v>
      </c>
      <c r="J96" s="224">
        <f t="shared" si="11"/>
        <v>187344.58018013334</v>
      </c>
      <c r="K96" s="31"/>
      <c r="L96" s="32">
        <f>SUM(I91:I96)</f>
        <v>10467.027162609444</v>
      </c>
      <c r="M96" s="227"/>
      <c r="N96" s="27">
        <v>43388</v>
      </c>
    </row>
    <row r="97" spans="1:14" x14ac:dyDescent="0.35">
      <c r="A97" s="142">
        <v>43392</v>
      </c>
      <c r="B97" s="63" t="s">
        <v>600</v>
      </c>
      <c r="C97" s="206"/>
      <c r="D97" s="206">
        <v>0</v>
      </c>
      <c r="E97" s="65">
        <f t="shared" si="8"/>
        <v>7453.8500000000122</v>
      </c>
      <c r="F97" s="66"/>
      <c r="G97" s="66">
        <f t="shared" si="9"/>
        <v>25.133934836377581</v>
      </c>
      <c r="H97" s="64"/>
      <c r="I97" s="67">
        <f t="shared" si="10"/>
        <v>0</v>
      </c>
      <c r="J97" s="67">
        <f t="shared" si="11"/>
        <v>187344.58018013334</v>
      </c>
      <c r="K97" s="206"/>
      <c r="L97" s="204"/>
      <c r="M97" s="204"/>
      <c r="N97" s="204"/>
    </row>
    <row r="98" spans="1:14" x14ac:dyDescent="0.35">
      <c r="A98" s="142">
        <v>43392</v>
      </c>
      <c r="B98" s="63" t="s">
        <v>601</v>
      </c>
      <c r="C98" s="206"/>
      <c r="D98" s="206">
        <f>7*4.2</f>
        <v>29.400000000000002</v>
      </c>
      <c r="E98" s="65">
        <f t="shared" si="8"/>
        <v>7424.4500000000126</v>
      </c>
      <c r="F98" s="66"/>
      <c r="G98" s="66">
        <f t="shared" si="9"/>
        <v>25.133934836377581</v>
      </c>
      <c r="H98" s="64"/>
      <c r="I98" s="67">
        <f t="shared" si="10"/>
        <v>738.93768418950094</v>
      </c>
      <c r="J98" s="67">
        <f t="shared" si="11"/>
        <v>186605.64249594384</v>
      </c>
      <c r="K98" s="206"/>
      <c r="L98" s="204"/>
      <c r="M98" s="204"/>
      <c r="N98" s="204"/>
    </row>
    <row r="99" spans="1:14" x14ac:dyDescent="0.35">
      <c r="A99" s="142">
        <v>43392</v>
      </c>
      <c r="B99" s="63" t="s">
        <v>602</v>
      </c>
      <c r="C99" s="206"/>
      <c r="D99" s="206">
        <f>13*8.7+13*5.25</f>
        <v>181.35</v>
      </c>
      <c r="E99" s="65">
        <f t="shared" si="8"/>
        <v>7243.1000000000122</v>
      </c>
      <c r="F99" s="66"/>
      <c r="G99" s="66">
        <f t="shared" si="9"/>
        <v>25.133934836377581</v>
      </c>
      <c r="H99" s="64"/>
      <c r="I99" s="67">
        <f t="shared" si="10"/>
        <v>4558.0390825770737</v>
      </c>
      <c r="J99" s="67">
        <f t="shared" si="11"/>
        <v>182047.60341336677</v>
      </c>
      <c r="K99" s="206"/>
      <c r="L99" s="204"/>
      <c r="M99" s="245"/>
      <c r="N99" s="204"/>
    </row>
    <row r="100" spans="1:14" x14ac:dyDescent="0.35">
      <c r="A100" s="142">
        <v>43400</v>
      </c>
      <c r="B100" s="63" t="s">
        <v>619</v>
      </c>
      <c r="C100" s="206"/>
      <c r="D100" s="206">
        <v>3.6</v>
      </c>
      <c r="E100" s="65">
        <f t="shared" si="8"/>
        <v>7239.5000000000118</v>
      </c>
      <c r="F100" s="66"/>
      <c r="G100" s="66">
        <f t="shared" si="9"/>
        <v>25.133934836377581</v>
      </c>
      <c r="H100" s="64"/>
      <c r="I100" s="67">
        <f t="shared" si="10"/>
        <v>90.482165410959297</v>
      </c>
      <c r="J100" s="67">
        <f t="shared" si="11"/>
        <v>181957.1212479558</v>
      </c>
      <c r="K100" s="206"/>
      <c r="L100" s="204"/>
      <c r="M100" s="204"/>
      <c r="N100" s="204"/>
    </row>
    <row r="101" spans="1:14" x14ac:dyDescent="0.35">
      <c r="A101" s="142">
        <v>43400</v>
      </c>
      <c r="B101" s="63" t="s">
        <v>620</v>
      </c>
      <c r="C101" s="206"/>
      <c r="D101" s="206">
        <v>2</v>
      </c>
      <c r="E101" s="65">
        <f t="shared" si="8"/>
        <v>7237.5000000000118</v>
      </c>
      <c r="F101" s="66"/>
      <c r="G101" s="66">
        <f t="shared" si="9"/>
        <v>25.133934836377581</v>
      </c>
      <c r="H101" s="64"/>
      <c r="I101" s="67">
        <f t="shared" si="10"/>
        <v>50.267869672755161</v>
      </c>
      <c r="J101" s="67">
        <f t="shared" si="11"/>
        <v>181906.85337828303</v>
      </c>
      <c r="K101" s="206"/>
      <c r="L101" s="204"/>
      <c r="M101" s="204"/>
      <c r="N101" s="204"/>
    </row>
    <row r="102" spans="1:14" s="225" customFormat="1" x14ac:dyDescent="0.35">
      <c r="A102" s="228">
        <v>43400</v>
      </c>
      <c r="B102" s="226" t="s">
        <v>622</v>
      </c>
      <c r="C102" s="231"/>
      <c r="D102" s="231">
        <f>5*2.3</f>
        <v>11.5</v>
      </c>
      <c r="E102" s="222">
        <f t="shared" si="8"/>
        <v>7226.0000000000118</v>
      </c>
      <c r="F102" s="223"/>
      <c r="G102" s="223">
        <f t="shared" si="9"/>
        <v>25.133934836377581</v>
      </c>
      <c r="H102" s="30"/>
      <c r="I102" s="224">
        <f t="shared" si="10"/>
        <v>289.04025061834216</v>
      </c>
      <c r="J102" s="224">
        <f t="shared" si="11"/>
        <v>181617.8131276647</v>
      </c>
      <c r="K102" s="231"/>
      <c r="L102" s="32">
        <f>SUM(I97:I102)</f>
        <v>5726.7670524686309</v>
      </c>
      <c r="M102" s="32">
        <f>SUM(L96:L102)</f>
        <v>16193.794215078075</v>
      </c>
      <c r="N102" s="27">
        <v>43404</v>
      </c>
    </row>
    <row r="103" spans="1:14" x14ac:dyDescent="0.35">
      <c r="A103" s="142">
        <v>43411</v>
      </c>
      <c r="B103" s="63" t="s">
        <v>650</v>
      </c>
      <c r="C103" s="206"/>
      <c r="D103" s="206">
        <f>3*3</f>
        <v>9</v>
      </c>
      <c r="E103" s="65">
        <f t="shared" si="8"/>
        <v>7217.0000000000118</v>
      </c>
      <c r="F103" s="66"/>
      <c r="G103" s="66">
        <f t="shared" si="9"/>
        <v>25.133934836377581</v>
      </c>
      <c r="H103" s="64"/>
      <c r="I103" s="67">
        <f t="shared" si="10"/>
        <v>226.20541352739824</v>
      </c>
      <c r="J103" s="67">
        <f t="shared" si="11"/>
        <v>181391.6077141373</v>
      </c>
      <c r="K103" s="206"/>
      <c r="L103" s="204"/>
      <c r="M103" s="204"/>
      <c r="N103" s="204"/>
    </row>
    <row r="104" spans="1:14" x14ac:dyDescent="0.35">
      <c r="A104" s="142">
        <v>43413</v>
      </c>
      <c r="B104" s="63" t="s">
        <v>659</v>
      </c>
      <c r="C104" s="206"/>
      <c r="D104" s="206">
        <f>11*5.2</f>
        <v>57.2</v>
      </c>
      <c r="E104" s="65">
        <f t="shared" ref="E104" si="12">+E103-D104</f>
        <v>7159.800000000012</v>
      </c>
      <c r="F104" s="66"/>
      <c r="G104" s="66">
        <f t="shared" si="9"/>
        <v>25.133934836377581</v>
      </c>
      <c r="H104" s="64"/>
      <c r="I104" s="67">
        <f t="shared" si="10"/>
        <v>1437.6610726407978</v>
      </c>
      <c r="J104" s="67">
        <f t="shared" ref="J104" si="13">+J103-I104</f>
        <v>179953.9466414965</v>
      </c>
      <c r="K104" s="206"/>
      <c r="L104" s="204"/>
      <c r="M104" s="204"/>
      <c r="N104" s="204"/>
    </row>
    <row r="105" spans="1:14" s="225" customFormat="1" x14ac:dyDescent="0.35">
      <c r="A105" s="228">
        <v>43416</v>
      </c>
      <c r="B105" s="226" t="s">
        <v>683</v>
      </c>
      <c r="C105" s="231"/>
      <c r="D105" s="231">
        <v>171.82</v>
      </c>
      <c r="E105" s="222">
        <f t="shared" ref="E105:E117" si="14">+E104-D105</f>
        <v>6987.9800000000123</v>
      </c>
      <c r="F105" s="223"/>
      <c r="G105" s="223">
        <f t="shared" ref="G105:G117" si="15">+J104/E104</f>
        <v>25.133934836377581</v>
      </c>
      <c r="H105" s="30"/>
      <c r="I105" s="224">
        <f t="shared" ref="I105:I117" si="16">+D105*G105</f>
        <v>4318.5126835863957</v>
      </c>
      <c r="J105" s="224">
        <f t="shared" ref="J105:J117" si="17">+J104-I105</f>
        <v>175635.43395791011</v>
      </c>
      <c r="K105" s="231"/>
      <c r="L105" s="32">
        <f>SUM(I103:I105)</f>
        <v>5982.3791697545912</v>
      </c>
      <c r="M105" s="227"/>
      <c r="N105" s="27">
        <v>43419</v>
      </c>
    </row>
    <row r="106" spans="1:14" x14ac:dyDescent="0.35">
      <c r="A106" s="142">
        <v>43420</v>
      </c>
      <c r="B106" s="63" t="s">
        <v>670</v>
      </c>
      <c r="C106" s="206"/>
      <c r="D106" s="206">
        <f>28*5</f>
        <v>140</v>
      </c>
      <c r="E106" s="65">
        <f t="shared" si="14"/>
        <v>6847.9800000000123</v>
      </c>
      <c r="F106" s="66"/>
      <c r="G106" s="66">
        <f t="shared" si="15"/>
        <v>25.133934836377581</v>
      </c>
      <c r="H106" s="64"/>
      <c r="I106" s="67">
        <f t="shared" si="16"/>
        <v>3518.7508770928612</v>
      </c>
      <c r="J106" s="67">
        <f t="shared" si="17"/>
        <v>172116.68308081725</v>
      </c>
      <c r="K106" s="206"/>
      <c r="L106" s="204"/>
      <c r="M106" s="204"/>
      <c r="N106" s="204"/>
    </row>
    <row r="107" spans="1:14" x14ac:dyDescent="0.35">
      <c r="A107" s="142">
        <v>43423</v>
      </c>
      <c r="B107" s="63" t="s">
        <v>674</v>
      </c>
      <c r="C107" s="206"/>
      <c r="D107" s="206">
        <f>19*3.5</f>
        <v>66.5</v>
      </c>
      <c r="E107" s="65">
        <f t="shared" si="14"/>
        <v>6781.4800000000123</v>
      </c>
      <c r="F107" s="66"/>
      <c r="G107" s="66">
        <f t="shared" si="15"/>
        <v>25.133934836377581</v>
      </c>
      <c r="H107" s="64"/>
      <c r="I107" s="67">
        <f t="shared" si="16"/>
        <v>1671.406666619109</v>
      </c>
      <c r="J107" s="67">
        <f t="shared" si="17"/>
        <v>170445.27641419813</v>
      </c>
      <c r="K107" s="206"/>
      <c r="L107" s="204"/>
      <c r="M107" s="204"/>
      <c r="N107" s="204"/>
    </row>
    <row r="108" spans="1:14" x14ac:dyDescent="0.35">
      <c r="A108" s="142">
        <v>43423</v>
      </c>
      <c r="B108" s="63" t="s">
        <v>675</v>
      </c>
      <c r="C108" s="206"/>
      <c r="D108" s="206">
        <f>8*3.9</f>
        <v>31.2</v>
      </c>
      <c r="E108" s="65">
        <f t="shared" si="14"/>
        <v>6750.2800000000125</v>
      </c>
      <c r="F108" s="66"/>
      <c r="G108" s="66">
        <f t="shared" si="15"/>
        <v>25.133934836377577</v>
      </c>
      <c r="H108" s="64"/>
      <c r="I108" s="67">
        <f t="shared" si="16"/>
        <v>784.17876689498041</v>
      </c>
      <c r="J108" s="67">
        <f t="shared" si="17"/>
        <v>169661.09764730316</v>
      </c>
      <c r="K108" s="206"/>
      <c r="L108" s="204"/>
      <c r="M108" s="204"/>
      <c r="N108" s="204"/>
    </row>
    <row r="109" spans="1:14" x14ac:dyDescent="0.35">
      <c r="A109" s="142">
        <v>43428</v>
      </c>
      <c r="B109" s="63" t="s">
        <v>695</v>
      </c>
      <c r="C109" s="206"/>
      <c r="D109" s="206">
        <f>18*3.5</f>
        <v>63</v>
      </c>
      <c r="E109" s="65">
        <f t="shared" si="14"/>
        <v>6687.2800000000125</v>
      </c>
      <c r="F109" s="66"/>
      <c r="G109" s="66">
        <f t="shared" si="15"/>
        <v>25.133934836377581</v>
      </c>
      <c r="H109" s="64"/>
      <c r="I109" s="67">
        <f t="shared" si="16"/>
        <v>1583.4378946917875</v>
      </c>
      <c r="J109" s="67">
        <f t="shared" si="17"/>
        <v>168077.65975261136</v>
      </c>
      <c r="K109" s="206"/>
      <c r="L109" s="204"/>
      <c r="M109" s="204"/>
      <c r="N109" s="204"/>
    </row>
    <row r="110" spans="1:14" x14ac:dyDescent="0.35">
      <c r="A110" s="142">
        <v>43428</v>
      </c>
      <c r="B110" s="63" t="s">
        <v>697</v>
      </c>
      <c r="C110" s="206"/>
      <c r="D110" s="206">
        <f>5*4.4</f>
        <v>22</v>
      </c>
      <c r="E110" s="65">
        <f t="shared" si="14"/>
        <v>6665.2800000000125</v>
      </c>
      <c r="F110" s="66"/>
      <c r="G110" s="66">
        <f t="shared" si="15"/>
        <v>25.133934836377577</v>
      </c>
      <c r="H110" s="64"/>
      <c r="I110" s="67">
        <f t="shared" si="16"/>
        <v>552.94656640030666</v>
      </c>
      <c r="J110" s="67">
        <f t="shared" si="17"/>
        <v>167524.71318621107</v>
      </c>
      <c r="K110" s="206"/>
      <c r="L110" s="204"/>
      <c r="M110" s="204"/>
      <c r="N110" s="204"/>
    </row>
    <row r="111" spans="1:14" s="225" customFormat="1" x14ac:dyDescent="0.35">
      <c r="A111" s="228">
        <v>43431</v>
      </c>
      <c r="B111" s="226" t="s">
        <v>701</v>
      </c>
      <c r="C111" s="231"/>
      <c r="D111" s="231">
        <f>10*5</f>
        <v>50</v>
      </c>
      <c r="E111" s="222">
        <f t="shared" si="14"/>
        <v>6615.2800000000125</v>
      </c>
      <c r="F111" s="223"/>
      <c r="G111" s="223">
        <f t="shared" si="15"/>
        <v>25.133934836377581</v>
      </c>
      <c r="H111" s="30"/>
      <c r="I111" s="224">
        <f t="shared" si="16"/>
        <v>1256.696741818879</v>
      </c>
      <c r="J111" s="224">
        <f t="shared" si="17"/>
        <v>166268.01644439218</v>
      </c>
      <c r="K111" s="231"/>
      <c r="L111" s="32">
        <f>SUM(I106:I111)</f>
        <v>9367.417513517923</v>
      </c>
      <c r="M111" s="32">
        <f>SUM(L105:L111)</f>
        <v>15349.796683272514</v>
      </c>
      <c r="N111" s="27">
        <v>43434</v>
      </c>
    </row>
    <row r="112" spans="1:14" x14ac:dyDescent="0.35">
      <c r="A112" s="142">
        <v>43435</v>
      </c>
      <c r="B112" s="63" t="s">
        <v>705</v>
      </c>
      <c r="C112" s="206"/>
      <c r="D112" s="206">
        <f>30*3</f>
        <v>90</v>
      </c>
      <c r="E112" s="65">
        <f t="shared" si="14"/>
        <v>6525.2800000000125</v>
      </c>
      <c r="F112" s="66"/>
      <c r="G112" s="66">
        <f t="shared" si="15"/>
        <v>25.133934836377577</v>
      </c>
      <c r="H112" s="64"/>
      <c r="I112" s="67">
        <f t="shared" si="16"/>
        <v>2262.054135273982</v>
      </c>
      <c r="J112" s="67">
        <f t="shared" si="17"/>
        <v>164005.96230911819</v>
      </c>
      <c r="K112" s="206"/>
      <c r="L112" s="204"/>
      <c r="M112" s="204"/>
      <c r="N112" s="204"/>
    </row>
    <row r="113" spans="1:14" s="190" customFormat="1" x14ac:dyDescent="0.35">
      <c r="A113" s="142">
        <v>43445</v>
      </c>
      <c r="B113" s="63" t="s">
        <v>727</v>
      </c>
      <c r="C113" s="206"/>
      <c r="D113" s="206">
        <f>7.9+7.5+7.1+6.7+6.3+5.9+5.5+4.8+3</f>
        <v>54.699999999999996</v>
      </c>
      <c r="E113" s="65">
        <f t="shared" si="14"/>
        <v>6470.5800000000127</v>
      </c>
      <c r="F113" s="66"/>
      <c r="G113" s="66">
        <f t="shared" si="15"/>
        <v>25.133934836377577</v>
      </c>
      <c r="H113" s="64"/>
      <c r="I113" s="67">
        <f t="shared" si="16"/>
        <v>1374.8262355498534</v>
      </c>
      <c r="J113" s="67">
        <f t="shared" si="17"/>
        <v>162631.13607356834</v>
      </c>
      <c r="K113" s="206"/>
      <c r="L113" s="204"/>
      <c r="M113" s="204"/>
      <c r="N113" s="204"/>
    </row>
    <row r="114" spans="1:14" s="190" customFormat="1" x14ac:dyDescent="0.35">
      <c r="A114" s="142">
        <v>43446</v>
      </c>
      <c r="B114" s="63" t="s">
        <v>737</v>
      </c>
      <c r="C114" s="206"/>
      <c r="D114" s="206">
        <f>12*5.5</f>
        <v>66</v>
      </c>
      <c r="E114" s="65">
        <f t="shared" si="14"/>
        <v>6404.5800000000127</v>
      </c>
      <c r="F114" s="66"/>
      <c r="G114" s="66">
        <f t="shared" si="15"/>
        <v>25.133934836377577</v>
      </c>
      <c r="H114" s="64"/>
      <c r="I114" s="67">
        <f t="shared" si="16"/>
        <v>1658.83969920092</v>
      </c>
      <c r="J114" s="67">
        <f t="shared" si="17"/>
        <v>160972.29637436743</v>
      </c>
      <c r="K114" s="206"/>
      <c r="L114" s="204"/>
      <c r="M114" s="204"/>
      <c r="N114" s="204"/>
    </row>
    <row r="115" spans="1:14" s="190" customFormat="1" x14ac:dyDescent="0.35">
      <c r="A115" s="142">
        <v>43446</v>
      </c>
      <c r="B115" s="63" t="s">
        <v>738</v>
      </c>
      <c r="C115" s="206"/>
      <c r="D115" s="206">
        <v>12</v>
      </c>
      <c r="E115" s="65">
        <f t="shared" si="14"/>
        <v>6392.5800000000127</v>
      </c>
      <c r="F115" s="66"/>
      <c r="G115" s="66">
        <f t="shared" si="15"/>
        <v>25.133934836377581</v>
      </c>
      <c r="H115" s="64"/>
      <c r="I115" s="67">
        <f t="shared" si="16"/>
        <v>301.60721803653098</v>
      </c>
      <c r="J115" s="67">
        <f t="shared" si="17"/>
        <v>160670.68915633089</v>
      </c>
      <c r="K115" s="206"/>
      <c r="L115" s="204"/>
      <c r="M115" s="204"/>
      <c r="N115" s="204"/>
    </row>
    <row r="116" spans="1:14" s="225" customFormat="1" x14ac:dyDescent="0.35">
      <c r="A116" s="228">
        <v>43448</v>
      </c>
      <c r="B116" s="226" t="s">
        <v>742</v>
      </c>
      <c r="C116" s="231"/>
      <c r="D116" s="231">
        <f>20*3+20*2.75</f>
        <v>115</v>
      </c>
      <c r="E116" s="222">
        <f t="shared" si="14"/>
        <v>6277.5800000000127</v>
      </c>
      <c r="F116" s="223"/>
      <c r="G116" s="223">
        <f t="shared" si="15"/>
        <v>25.133934836377577</v>
      </c>
      <c r="H116" s="30"/>
      <c r="I116" s="224">
        <f t="shared" si="16"/>
        <v>2890.4025061834213</v>
      </c>
      <c r="J116" s="224">
        <f t="shared" si="17"/>
        <v>157780.28665014746</v>
      </c>
      <c r="K116" s="231"/>
      <c r="L116" s="32">
        <f>SUM(I112:I116)</f>
        <v>8487.7297942447076</v>
      </c>
      <c r="M116" s="227"/>
      <c r="N116" s="27">
        <v>43449</v>
      </c>
    </row>
    <row r="117" spans="1:14" s="225" customFormat="1" x14ac:dyDescent="0.35">
      <c r="A117" s="228">
        <v>43452</v>
      </c>
      <c r="B117" s="226" t="s">
        <v>755</v>
      </c>
      <c r="C117" s="231"/>
      <c r="D117" s="231">
        <f>6*5</f>
        <v>30</v>
      </c>
      <c r="E117" s="222">
        <f t="shared" si="14"/>
        <v>6247.5800000000127</v>
      </c>
      <c r="F117" s="223"/>
      <c r="G117" s="223">
        <f t="shared" si="15"/>
        <v>25.133934836377577</v>
      </c>
      <c r="H117" s="30"/>
      <c r="I117" s="224">
        <f t="shared" si="16"/>
        <v>754.01804509132728</v>
      </c>
      <c r="J117" s="224">
        <f t="shared" si="17"/>
        <v>157026.26860505613</v>
      </c>
      <c r="K117" s="231"/>
      <c r="L117" s="32">
        <f>SUM(I117)</f>
        <v>754.01804509132728</v>
      </c>
      <c r="M117" s="32">
        <f>SUM(L116:L117)</f>
        <v>9241.7478393360343</v>
      </c>
      <c r="N117" s="27">
        <v>43465</v>
      </c>
    </row>
    <row r="118" spans="1:14" ht="15" thickBot="1" x14ac:dyDescent="0.4">
      <c r="A118" s="206"/>
      <c r="B118" s="314" t="s">
        <v>135</v>
      </c>
      <c r="C118" s="133">
        <f>SUM(C9:C117)</f>
        <v>12328.46</v>
      </c>
      <c r="D118" s="133">
        <f>SUM(D9:D117)</f>
        <v>6080.8799999999992</v>
      </c>
      <c r="E118" s="133"/>
      <c r="F118" s="133"/>
      <c r="G118" s="133">
        <f>SUM(G9:G112)</f>
        <v>2603.3758791158248</v>
      </c>
      <c r="H118" s="133">
        <f>SUM(H9:H117)</f>
        <v>311879.14</v>
      </c>
      <c r="I118" s="133">
        <f>SUM(I9:I117)</f>
        <v>154852.87139494377</v>
      </c>
      <c r="J118" s="133">
        <f>SUM(J9:J112)</f>
        <v>20046463.18236044</v>
      </c>
      <c r="K118" s="206"/>
      <c r="L118" s="204"/>
      <c r="M118" s="311">
        <f>SUM(M12:M117)</f>
        <v>154852.8713949438</v>
      </c>
      <c r="N118" s="245"/>
    </row>
    <row r="119" spans="1:14" ht="15" thickTop="1" x14ac:dyDescent="0.35">
      <c r="A119" s="204"/>
      <c r="M119" s="250"/>
      <c r="N119" s="250"/>
    </row>
    <row r="120" spans="1:14" x14ac:dyDescent="0.35">
      <c r="A120" s="309" t="s">
        <v>230</v>
      </c>
      <c r="B120" s="201"/>
      <c r="C120" s="200"/>
      <c r="D120" s="200"/>
      <c r="E120" s="200"/>
      <c r="F120" s="200"/>
      <c r="G120" s="204"/>
      <c r="H120" s="204"/>
      <c r="I120" s="204"/>
      <c r="J120" s="204"/>
    </row>
    <row r="121" spans="1:14" x14ac:dyDescent="0.35">
      <c r="A121" s="309" t="s">
        <v>233</v>
      </c>
      <c r="B121" s="201"/>
      <c r="C121" s="200"/>
      <c r="D121" s="200"/>
      <c r="E121" s="200"/>
      <c r="F121" s="200"/>
      <c r="G121" s="204"/>
      <c r="H121" s="204"/>
      <c r="I121" s="204"/>
      <c r="J121" s="245">
        <f>+E117*F39</f>
        <v>152499.1149881192</v>
      </c>
    </row>
    <row r="122" spans="1:14" x14ac:dyDescent="0.35">
      <c r="A122" s="309" t="s">
        <v>231</v>
      </c>
      <c r="B122" s="201"/>
      <c r="C122" s="200"/>
      <c r="D122" s="200"/>
      <c r="E122" s="200"/>
      <c r="F122" s="200"/>
      <c r="G122" s="204"/>
      <c r="H122" s="204"/>
      <c r="I122" s="204"/>
      <c r="J122" s="310">
        <f>+J117</f>
        <v>157026.26860505613</v>
      </c>
    </row>
    <row r="123" spans="1:14" ht="15" thickBot="1" x14ac:dyDescent="0.4">
      <c r="A123" s="309"/>
      <c r="B123" s="201" t="s">
        <v>232</v>
      </c>
      <c r="C123" s="200"/>
      <c r="D123" s="200"/>
      <c r="E123" s="200"/>
      <c r="F123" s="200"/>
      <c r="G123" s="204"/>
      <c r="H123" s="204"/>
      <c r="I123" s="204"/>
      <c r="J123" s="311">
        <f>+J121-J122</f>
        <v>-4527.1536169369356</v>
      </c>
    </row>
    <row r="124" spans="1:14" ht="15" thickTop="1" x14ac:dyDescent="0.35">
      <c r="A124" s="204"/>
    </row>
    <row r="125" spans="1:14" x14ac:dyDescent="0.35">
      <c r="A125" s="204"/>
    </row>
    <row r="126" spans="1:14" x14ac:dyDescent="0.35">
      <c r="A126" s="204"/>
    </row>
    <row r="127" spans="1:14" x14ac:dyDescent="0.35">
      <c r="A127" s="204"/>
    </row>
    <row r="128" spans="1:14" x14ac:dyDescent="0.35">
      <c r="A128" s="204"/>
    </row>
    <row r="129" spans="1:1" x14ac:dyDescent="0.35">
      <c r="A129" s="204"/>
    </row>
    <row r="130" spans="1:1" x14ac:dyDescent="0.35">
      <c r="A130" s="204"/>
    </row>
    <row r="131" spans="1:1" x14ac:dyDescent="0.35">
      <c r="A131" s="204"/>
    </row>
    <row r="132" spans="1:1" x14ac:dyDescent="0.35">
      <c r="A132" s="204"/>
    </row>
    <row r="133" spans="1:1" x14ac:dyDescent="0.35">
      <c r="A133" s="204"/>
    </row>
    <row r="134" spans="1:1" x14ac:dyDescent="0.35">
      <c r="A134" s="204"/>
    </row>
    <row r="135" spans="1:1" x14ac:dyDescent="0.35">
      <c r="A135" s="204"/>
    </row>
    <row r="136" spans="1:1" x14ac:dyDescent="0.35">
      <c r="A136" s="204"/>
    </row>
    <row r="137" spans="1:1" x14ac:dyDescent="0.35">
      <c r="A137" s="204"/>
    </row>
    <row r="138" spans="1:1" x14ac:dyDescent="0.35">
      <c r="A138" s="204"/>
    </row>
    <row r="139" spans="1:1" x14ac:dyDescent="0.35">
      <c r="A139" s="204"/>
    </row>
    <row r="140" spans="1:1" x14ac:dyDescent="0.35">
      <c r="A140" s="204"/>
    </row>
    <row r="141" spans="1:1" x14ac:dyDescent="0.35">
      <c r="A141" s="204"/>
    </row>
    <row r="142" spans="1:1" x14ac:dyDescent="0.35">
      <c r="A142" s="204"/>
    </row>
    <row r="143" spans="1:1" x14ac:dyDescent="0.35">
      <c r="A143" s="204"/>
    </row>
    <row r="144" spans="1:1" x14ac:dyDescent="0.35">
      <c r="A144" s="204"/>
    </row>
    <row r="145" spans="1:1" x14ac:dyDescent="0.35">
      <c r="A145" s="204"/>
    </row>
    <row r="146" spans="1:1" x14ac:dyDescent="0.35">
      <c r="A146" s="204"/>
    </row>
    <row r="147" spans="1:1" x14ac:dyDescent="0.35">
      <c r="A147" s="204"/>
    </row>
    <row r="148" spans="1:1" x14ac:dyDescent="0.35">
      <c r="A148" s="204"/>
    </row>
    <row r="149" spans="1:1" x14ac:dyDescent="0.35">
      <c r="A149" s="204"/>
    </row>
    <row r="150" spans="1:1" x14ac:dyDescent="0.35">
      <c r="A150" s="204"/>
    </row>
    <row r="151" spans="1:1" x14ac:dyDescent="0.35">
      <c r="A151" s="204"/>
    </row>
    <row r="152" spans="1:1" x14ac:dyDescent="0.35">
      <c r="A152" s="204"/>
    </row>
    <row r="153" spans="1:1" x14ac:dyDescent="0.35">
      <c r="A153" s="204"/>
    </row>
    <row r="154" spans="1:1" x14ac:dyDescent="0.35">
      <c r="A154" s="204"/>
    </row>
    <row r="155" spans="1:1" x14ac:dyDescent="0.35">
      <c r="A155" s="204"/>
    </row>
    <row r="156" spans="1:1" x14ac:dyDescent="0.35">
      <c r="A156" s="204"/>
    </row>
    <row r="157" spans="1:1" x14ac:dyDescent="0.35">
      <c r="A157" s="204"/>
    </row>
    <row r="158" spans="1:1" x14ac:dyDescent="0.35">
      <c r="A158" s="204"/>
    </row>
    <row r="159" spans="1:1" x14ac:dyDescent="0.35">
      <c r="A159" s="204"/>
    </row>
    <row r="160" spans="1:1" x14ac:dyDescent="0.35">
      <c r="A160" s="204"/>
    </row>
    <row r="161" spans="1:1" x14ac:dyDescent="0.35">
      <c r="A161" s="204"/>
    </row>
    <row r="162" spans="1:1" x14ac:dyDescent="0.35">
      <c r="A162" s="204"/>
    </row>
    <row r="163" spans="1:1" x14ac:dyDescent="0.35">
      <c r="A163" s="204"/>
    </row>
    <row r="164" spans="1:1" x14ac:dyDescent="0.35">
      <c r="A164" s="204"/>
    </row>
    <row r="165" spans="1:1" x14ac:dyDescent="0.35">
      <c r="A165" s="204"/>
    </row>
    <row r="166" spans="1:1" x14ac:dyDescent="0.35">
      <c r="A166" s="204"/>
    </row>
    <row r="167" spans="1:1" x14ac:dyDescent="0.35">
      <c r="A167" s="204"/>
    </row>
    <row r="168" spans="1:1" x14ac:dyDescent="0.35">
      <c r="A168" s="204"/>
    </row>
    <row r="169" spans="1:1" x14ac:dyDescent="0.35">
      <c r="A169" s="204"/>
    </row>
    <row r="170" spans="1:1" x14ac:dyDescent="0.35">
      <c r="A170" s="204"/>
    </row>
    <row r="171" spans="1:1" x14ac:dyDescent="0.35">
      <c r="A171" s="204"/>
    </row>
    <row r="172" spans="1:1" x14ac:dyDescent="0.35">
      <c r="A172" s="204"/>
    </row>
    <row r="173" spans="1:1" x14ac:dyDescent="0.35">
      <c r="A173" s="204"/>
    </row>
    <row r="174" spans="1:1" x14ac:dyDescent="0.35">
      <c r="A174" s="204"/>
    </row>
    <row r="175" spans="1:1" x14ac:dyDescent="0.35">
      <c r="A175" s="204"/>
    </row>
    <row r="176" spans="1:1" x14ac:dyDescent="0.35">
      <c r="A176" s="204"/>
    </row>
    <row r="177" spans="1:1" x14ac:dyDescent="0.35">
      <c r="A177" s="204"/>
    </row>
    <row r="178" spans="1:1" x14ac:dyDescent="0.35">
      <c r="A178" s="204"/>
    </row>
    <row r="179" spans="1:1" x14ac:dyDescent="0.35">
      <c r="A179" s="204"/>
    </row>
    <row r="180" spans="1:1" x14ac:dyDescent="0.35">
      <c r="A180" s="204"/>
    </row>
    <row r="181" spans="1:1" x14ac:dyDescent="0.35">
      <c r="A181" s="204"/>
    </row>
    <row r="182" spans="1:1" x14ac:dyDescent="0.35">
      <c r="A182" s="204"/>
    </row>
    <row r="183" spans="1:1" x14ac:dyDescent="0.35">
      <c r="A183" s="204"/>
    </row>
    <row r="184" spans="1:1" x14ac:dyDescent="0.35">
      <c r="A184" s="204"/>
    </row>
    <row r="185" spans="1:1" x14ac:dyDescent="0.35">
      <c r="A185" s="204"/>
    </row>
    <row r="186" spans="1:1" x14ac:dyDescent="0.35">
      <c r="A186" s="204"/>
    </row>
    <row r="187" spans="1:1" x14ac:dyDescent="0.35">
      <c r="A187" s="204"/>
    </row>
    <row r="188" spans="1:1" x14ac:dyDescent="0.35">
      <c r="A188" s="204"/>
    </row>
    <row r="189" spans="1:1" x14ac:dyDescent="0.35">
      <c r="A189" s="204"/>
    </row>
    <row r="190" spans="1:1" x14ac:dyDescent="0.35">
      <c r="A190" s="204"/>
    </row>
    <row r="191" spans="1:1" x14ac:dyDescent="0.35">
      <c r="A191" s="204"/>
    </row>
    <row r="192" spans="1:1" x14ac:dyDescent="0.35">
      <c r="A192" s="204"/>
    </row>
    <row r="193" spans="1:1" x14ac:dyDescent="0.35">
      <c r="A193" s="204"/>
    </row>
    <row r="194" spans="1:1" x14ac:dyDescent="0.35">
      <c r="A194" s="204"/>
    </row>
    <row r="195" spans="1:1" x14ac:dyDescent="0.35">
      <c r="A195" s="204"/>
    </row>
    <row r="196" spans="1:1" x14ac:dyDescent="0.35">
      <c r="A196" s="204"/>
    </row>
    <row r="197" spans="1:1" x14ac:dyDescent="0.35">
      <c r="A197" s="204"/>
    </row>
    <row r="198" spans="1:1" x14ac:dyDescent="0.35">
      <c r="A198" s="204"/>
    </row>
    <row r="199" spans="1:1" x14ac:dyDescent="0.35">
      <c r="A199" s="204"/>
    </row>
    <row r="200" spans="1:1" x14ac:dyDescent="0.35">
      <c r="A200" s="204"/>
    </row>
    <row r="201" spans="1:1" x14ac:dyDescent="0.35">
      <c r="A201" s="204"/>
    </row>
    <row r="202" spans="1:1" x14ac:dyDescent="0.35">
      <c r="A202" s="204"/>
    </row>
    <row r="203" spans="1:1" x14ac:dyDescent="0.35">
      <c r="A203" s="204"/>
    </row>
    <row r="204" spans="1:1" x14ac:dyDescent="0.35">
      <c r="A204" s="204"/>
    </row>
    <row r="205" spans="1:1" x14ac:dyDescent="0.35">
      <c r="A205" s="204"/>
    </row>
    <row r="206" spans="1:1" x14ac:dyDescent="0.35">
      <c r="A206" s="204"/>
    </row>
    <row r="207" spans="1:1" x14ac:dyDescent="0.35">
      <c r="A207" s="204"/>
    </row>
    <row r="208" spans="1:1" x14ac:dyDescent="0.35">
      <c r="A208" s="204"/>
    </row>
    <row r="209" spans="1:1" x14ac:dyDescent="0.35">
      <c r="A209" s="204"/>
    </row>
    <row r="210" spans="1:1" x14ac:dyDescent="0.35">
      <c r="A210" s="204"/>
    </row>
    <row r="211" spans="1:1" x14ac:dyDescent="0.35">
      <c r="A211" s="204"/>
    </row>
    <row r="212" spans="1:1" x14ac:dyDescent="0.35">
      <c r="A212" s="204"/>
    </row>
    <row r="213" spans="1:1" x14ac:dyDescent="0.35">
      <c r="A213" s="204"/>
    </row>
    <row r="214" spans="1:1" x14ac:dyDescent="0.35">
      <c r="A214" s="204"/>
    </row>
    <row r="215" spans="1:1" x14ac:dyDescent="0.35">
      <c r="A215" s="204"/>
    </row>
    <row r="216" spans="1:1" x14ac:dyDescent="0.35">
      <c r="A216" s="204"/>
    </row>
    <row r="217" spans="1:1" x14ac:dyDescent="0.35">
      <c r="A217" s="204"/>
    </row>
    <row r="218" spans="1:1" x14ac:dyDescent="0.35">
      <c r="A218" s="204"/>
    </row>
    <row r="219" spans="1:1" x14ac:dyDescent="0.35">
      <c r="A219" s="204"/>
    </row>
    <row r="220" spans="1:1" x14ac:dyDescent="0.35">
      <c r="A220" s="204"/>
    </row>
    <row r="221" spans="1:1" x14ac:dyDescent="0.35">
      <c r="A221" s="204"/>
    </row>
    <row r="222" spans="1:1" x14ac:dyDescent="0.35">
      <c r="A222" s="204"/>
    </row>
    <row r="223" spans="1:1" x14ac:dyDescent="0.35">
      <c r="A223" s="204"/>
    </row>
    <row r="224" spans="1:1" x14ac:dyDescent="0.35">
      <c r="A224" s="204"/>
    </row>
    <row r="225" spans="1:1" x14ac:dyDescent="0.35">
      <c r="A225" s="204"/>
    </row>
    <row r="226" spans="1:1" x14ac:dyDescent="0.35">
      <c r="A226" s="204"/>
    </row>
    <row r="227" spans="1:1" x14ac:dyDescent="0.35">
      <c r="A227" s="204"/>
    </row>
    <row r="228" spans="1:1" x14ac:dyDescent="0.35">
      <c r="A228" s="204"/>
    </row>
    <row r="229" spans="1:1" x14ac:dyDescent="0.35">
      <c r="A229" s="204"/>
    </row>
    <row r="230" spans="1:1" x14ac:dyDescent="0.35">
      <c r="A230" s="204"/>
    </row>
    <row r="231" spans="1:1" x14ac:dyDescent="0.35">
      <c r="A231" s="204"/>
    </row>
    <row r="232" spans="1:1" x14ac:dyDescent="0.35">
      <c r="A232" s="204"/>
    </row>
    <row r="233" spans="1:1" x14ac:dyDescent="0.35">
      <c r="A233" s="204"/>
    </row>
    <row r="234" spans="1:1" x14ac:dyDescent="0.35">
      <c r="A234" s="204"/>
    </row>
    <row r="235" spans="1:1" x14ac:dyDescent="0.35">
      <c r="A235" s="204"/>
    </row>
    <row r="236" spans="1:1" x14ac:dyDescent="0.35">
      <c r="A236" s="204"/>
    </row>
    <row r="237" spans="1:1" x14ac:dyDescent="0.35">
      <c r="A237" s="204"/>
    </row>
    <row r="238" spans="1:1" x14ac:dyDescent="0.35">
      <c r="A238" s="204"/>
    </row>
    <row r="239" spans="1:1" x14ac:dyDescent="0.35">
      <c r="A239" s="204"/>
    </row>
    <row r="240" spans="1:1" x14ac:dyDescent="0.35">
      <c r="A240" s="204"/>
    </row>
    <row r="241" spans="1:1" x14ac:dyDescent="0.35">
      <c r="A241" s="204"/>
    </row>
    <row r="242" spans="1:1" x14ac:dyDescent="0.35">
      <c r="A242" s="204"/>
    </row>
    <row r="243" spans="1:1" x14ac:dyDescent="0.35">
      <c r="A243" s="204"/>
    </row>
    <row r="244" spans="1:1" x14ac:dyDescent="0.35">
      <c r="A244" s="204"/>
    </row>
    <row r="245" spans="1:1" x14ac:dyDescent="0.35">
      <c r="A245" s="204"/>
    </row>
    <row r="246" spans="1:1" x14ac:dyDescent="0.35">
      <c r="A246" s="204"/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  <ignoredErrors>
    <ignoredError sqref="D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18B0-DCAF-4A9C-8C8D-406C7656E896}">
  <sheetPr>
    <tabColor rgb="FFC00000"/>
  </sheetPr>
  <dimension ref="A1:M144"/>
  <sheetViews>
    <sheetView tabSelected="1" topLeftCell="A130" workbookViewId="0">
      <selection activeCell="K11" sqref="K11"/>
    </sheetView>
  </sheetViews>
  <sheetFormatPr baseColWidth="10" defaultRowHeight="14.5" x14ac:dyDescent="0.35"/>
  <sheetData>
    <row r="1" spans="1:13" x14ac:dyDescent="0.35">
      <c r="A1" s="395" t="s">
        <v>776</v>
      </c>
      <c r="B1" s="396"/>
      <c r="C1" s="397"/>
      <c r="D1" s="397"/>
      <c r="E1" s="397"/>
      <c r="F1" s="397"/>
      <c r="G1" s="397"/>
      <c r="H1" s="397"/>
      <c r="I1" s="397"/>
      <c r="J1" s="385"/>
      <c r="K1" s="402"/>
      <c r="L1" s="402"/>
      <c r="M1" s="402"/>
    </row>
    <row r="2" spans="1:13" x14ac:dyDescent="0.35">
      <c r="A2" s="387" t="s">
        <v>777</v>
      </c>
      <c r="B2" s="389"/>
      <c r="C2" s="367"/>
      <c r="D2" s="367"/>
      <c r="E2" s="367"/>
      <c r="F2" s="367"/>
      <c r="G2" s="367"/>
      <c r="H2" s="391" t="s">
        <v>1</v>
      </c>
      <c r="I2" s="367"/>
      <c r="J2" s="380"/>
      <c r="K2" s="402"/>
      <c r="L2" s="402"/>
      <c r="M2" s="402"/>
    </row>
    <row r="3" spans="1:13" x14ac:dyDescent="0.35">
      <c r="A3" s="388" t="s">
        <v>3</v>
      </c>
      <c r="B3" s="390"/>
      <c r="C3" s="367"/>
      <c r="D3" s="367"/>
      <c r="E3" s="367"/>
      <c r="F3" s="367"/>
      <c r="G3" s="367"/>
      <c r="H3" s="391" t="s">
        <v>778</v>
      </c>
      <c r="I3" s="367"/>
      <c r="J3" s="380"/>
      <c r="K3" s="402"/>
      <c r="L3" s="402"/>
      <c r="M3" s="402"/>
    </row>
    <row r="4" spans="1:13" x14ac:dyDescent="0.35">
      <c r="A4" s="386"/>
      <c r="B4" s="367"/>
      <c r="C4" s="367"/>
      <c r="D4" s="365" t="s">
        <v>5</v>
      </c>
      <c r="E4" s="365"/>
      <c r="F4" s="365"/>
      <c r="G4" s="365"/>
      <c r="H4" s="367" t="s">
        <v>779</v>
      </c>
      <c r="I4" s="367"/>
      <c r="J4" s="380"/>
      <c r="K4" s="402"/>
      <c r="L4" s="402"/>
      <c r="M4" s="407"/>
    </row>
    <row r="5" spans="1:13" x14ac:dyDescent="0.35">
      <c r="A5" s="363" t="s">
        <v>21</v>
      </c>
      <c r="B5" s="333"/>
      <c r="C5" s="333"/>
      <c r="D5" s="333"/>
      <c r="E5" s="333"/>
      <c r="F5" s="333"/>
      <c r="G5" s="333"/>
      <c r="H5" s="333"/>
      <c r="I5" s="333"/>
      <c r="J5" s="380"/>
      <c r="K5" s="402"/>
      <c r="L5" s="402"/>
      <c r="M5" s="402"/>
    </row>
    <row r="6" spans="1:13" x14ac:dyDescent="0.35">
      <c r="A6" s="427" t="s">
        <v>6</v>
      </c>
      <c r="B6" s="347"/>
      <c r="C6" s="347"/>
      <c r="D6" s="347"/>
      <c r="E6" s="347"/>
      <c r="F6" s="347"/>
      <c r="G6" s="347"/>
      <c r="H6" s="347"/>
      <c r="I6" s="347"/>
      <c r="J6" s="349"/>
      <c r="K6" s="402"/>
      <c r="L6" s="402"/>
      <c r="M6" s="402"/>
    </row>
    <row r="7" spans="1:13" x14ac:dyDescent="0.35">
      <c r="A7" s="386"/>
      <c r="B7" s="367"/>
      <c r="C7" s="367"/>
      <c r="D7" s="367"/>
      <c r="E7" s="367"/>
      <c r="F7" s="367"/>
      <c r="G7" s="367"/>
      <c r="H7" s="367"/>
      <c r="I7" s="367"/>
      <c r="J7" s="380"/>
      <c r="K7" s="402"/>
      <c r="L7" s="366"/>
      <c r="M7" s="402"/>
    </row>
    <row r="8" spans="1:13" x14ac:dyDescent="0.35">
      <c r="A8" s="386"/>
      <c r="B8" s="367"/>
      <c r="C8" s="367"/>
      <c r="D8" s="367"/>
      <c r="E8" s="367"/>
      <c r="F8" s="367"/>
      <c r="G8" s="367"/>
      <c r="H8" s="367"/>
      <c r="I8" s="367"/>
      <c r="J8" s="380"/>
      <c r="K8" s="402"/>
      <c r="L8" s="402"/>
      <c r="M8" s="402"/>
    </row>
    <row r="9" spans="1:13" x14ac:dyDescent="0.35">
      <c r="A9" s="372" t="s">
        <v>7</v>
      </c>
      <c r="B9" s="373" t="s">
        <v>8</v>
      </c>
      <c r="C9" s="350" t="s">
        <v>9</v>
      </c>
      <c r="D9" s="351"/>
      <c r="E9" s="352"/>
      <c r="F9" s="353" t="s">
        <v>10</v>
      </c>
      <c r="G9" s="354"/>
      <c r="H9" s="350" t="s">
        <v>11</v>
      </c>
      <c r="I9" s="351"/>
      <c r="J9" s="355"/>
      <c r="K9" s="402"/>
      <c r="L9" s="402"/>
      <c r="M9" s="402"/>
    </row>
    <row r="10" spans="1:13" x14ac:dyDescent="0.35">
      <c r="A10" s="392"/>
      <c r="B10" s="374"/>
      <c r="C10" s="375" t="s">
        <v>28</v>
      </c>
      <c r="D10" s="393" t="s">
        <v>14</v>
      </c>
      <c r="E10" s="376" t="s">
        <v>20</v>
      </c>
      <c r="F10" s="393" t="s">
        <v>16</v>
      </c>
      <c r="G10" s="393" t="s">
        <v>17</v>
      </c>
      <c r="H10" s="375" t="s">
        <v>18</v>
      </c>
      <c r="I10" s="393" t="s">
        <v>19</v>
      </c>
      <c r="J10" s="377" t="s">
        <v>20</v>
      </c>
      <c r="K10" s="402"/>
      <c r="L10" s="402"/>
      <c r="M10" s="402"/>
    </row>
    <row r="11" spans="1:13" x14ac:dyDescent="0.35">
      <c r="A11" s="368">
        <v>43102</v>
      </c>
      <c r="B11" s="371" t="s">
        <v>29</v>
      </c>
      <c r="C11" s="382">
        <v>367</v>
      </c>
      <c r="D11" s="382"/>
      <c r="E11" s="382">
        <v>367</v>
      </c>
      <c r="F11" s="382">
        <v>12.018283378746593</v>
      </c>
      <c r="G11" s="382"/>
      <c r="H11" s="382">
        <v>4410.71</v>
      </c>
      <c r="I11" s="382"/>
      <c r="J11" s="370">
        <v>4410.71</v>
      </c>
      <c r="K11" s="378"/>
      <c r="L11" s="402"/>
      <c r="M11" s="402"/>
    </row>
    <row r="12" spans="1:13" x14ac:dyDescent="0.35">
      <c r="A12" s="368">
        <v>43106</v>
      </c>
      <c r="B12" s="371" t="s">
        <v>780</v>
      </c>
      <c r="C12" s="369"/>
      <c r="D12" s="369">
        <v>5</v>
      </c>
      <c r="E12" s="369">
        <v>362</v>
      </c>
      <c r="F12" s="369"/>
      <c r="G12" s="369">
        <v>12.018283378746593</v>
      </c>
      <c r="H12" s="369"/>
      <c r="I12" s="369">
        <v>60.091416893732969</v>
      </c>
      <c r="J12" s="370">
        <v>4350.6185831062667</v>
      </c>
      <c r="K12" s="378"/>
      <c r="L12" s="402"/>
      <c r="M12" s="402"/>
    </row>
    <row r="13" spans="1:13" x14ac:dyDescent="0.35">
      <c r="A13" s="368">
        <v>43110</v>
      </c>
      <c r="B13" s="371" t="s">
        <v>781</v>
      </c>
      <c r="C13" s="369"/>
      <c r="D13" s="369">
        <v>2</v>
      </c>
      <c r="E13" s="369">
        <v>360</v>
      </c>
      <c r="F13" s="369"/>
      <c r="G13" s="369">
        <v>12.018283378746593</v>
      </c>
      <c r="H13" s="369"/>
      <c r="I13" s="369">
        <v>24.036566757493187</v>
      </c>
      <c r="J13" s="370">
        <v>4326.5820163487733</v>
      </c>
      <c r="K13" s="378"/>
      <c r="L13" s="402"/>
      <c r="M13" s="402"/>
    </row>
    <row r="14" spans="1:13" x14ac:dyDescent="0.35">
      <c r="A14" s="368">
        <v>43111</v>
      </c>
      <c r="B14" s="371" t="s">
        <v>782</v>
      </c>
      <c r="C14" s="369"/>
      <c r="D14" s="369">
        <v>3</v>
      </c>
      <c r="E14" s="369">
        <v>357</v>
      </c>
      <c r="F14" s="369"/>
      <c r="G14" s="369">
        <v>12.018283378746592</v>
      </c>
      <c r="H14" s="369"/>
      <c r="I14" s="369">
        <v>36.054850136239779</v>
      </c>
      <c r="J14" s="370">
        <v>4290.5271662125333</v>
      </c>
      <c r="K14" s="378"/>
      <c r="L14" s="402"/>
      <c r="M14" s="402"/>
    </row>
    <row r="15" spans="1:13" x14ac:dyDescent="0.35">
      <c r="A15" s="368">
        <v>43112</v>
      </c>
      <c r="B15" s="371" t="s">
        <v>783</v>
      </c>
      <c r="C15" s="369"/>
      <c r="D15" s="369">
        <v>2</v>
      </c>
      <c r="E15" s="369">
        <v>355</v>
      </c>
      <c r="F15" s="369"/>
      <c r="G15" s="369">
        <v>12.018283378746592</v>
      </c>
      <c r="H15" s="369"/>
      <c r="I15" s="369">
        <v>24.036566757493183</v>
      </c>
      <c r="J15" s="370">
        <v>4266.49059945504</v>
      </c>
      <c r="K15" s="378"/>
      <c r="L15" s="402"/>
      <c r="M15" s="402"/>
    </row>
    <row r="16" spans="1:13" x14ac:dyDescent="0.35">
      <c r="A16" s="368">
        <v>43112</v>
      </c>
      <c r="B16" s="371" t="s">
        <v>784</v>
      </c>
      <c r="C16" s="369"/>
      <c r="D16" s="369">
        <v>0</v>
      </c>
      <c r="E16" s="369">
        <v>355</v>
      </c>
      <c r="F16" s="369"/>
      <c r="G16" s="369">
        <v>12.018283378746592</v>
      </c>
      <c r="H16" s="369"/>
      <c r="I16" s="369">
        <v>0</v>
      </c>
      <c r="J16" s="370">
        <v>4266.49059945504</v>
      </c>
      <c r="K16" s="378"/>
      <c r="L16" s="402"/>
      <c r="M16" s="402"/>
    </row>
    <row r="17" spans="1:13" x14ac:dyDescent="0.35">
      <c r="A17" s="399">
        <v>43112</v>
      </c>
      <c r="B17" s="400" t="s">
        <v>785</v>
      </c>
      <c r="C17" s="379"/>
      <c r="D17" s="379">
        <v>5</v>
      </c>
      <c r="E17" s="379">
        <v>350</v>
      </c>
      <c r="F17" s="379"/>
      <c r="G17" s="379">
        <v>12.018283378746592</v>
      </c>
      <c r="H17" s="379"/>
      <c r="I17" s="379">
        <v>60.091416893732955</v>
      </c>
      <c r="J17" s="401">
        <v>4206.3991825613066</v>
      </c>
      <c r="K17" s="378">
        <v>204.31081743869208</v>
      </c>
      <c r="L17" s="378"/>
      <c r="M17" s="394">
        <v>43115</v>
      </c>
    </row>
    <row r="18" spans="1:13" x14ac:dyDescent="0.35">
      <c r="A18" s="384">
        <v>43117</v>
      </c>
      <c r="B18" s="398" t="s">
        <v>786</v>
      </c>
      <c r="C18" s="382"/>
      <c r="D18" s="382">
        <v>2</v>
      </c>
      <c r="E18" s="382">
        <v>348</v>
      </c>
      <c r="F18" s="382"/>
      <c r="G18" s="382">
        <v>12.01828337874659</v>
      </c>
      <c r="H18" s="369"/>
      <c r="I18" s="369">
        <v>24.03656675749318</v>
      </c>
      <c r="J18" s="370">
        <v>4182.3626158038132</v>
      </c>
      <c r="K18" s="378"/>
      <c r="L18" s="402"/>
      <c r="M18" s="402"/>
    </row>
    <row r="19" spans="1:13" x14ac:dyDescent="0.35">
      <c r="A19" s="399">
        <v>43125</v>
      </c>
      <c r="B19" s="400" t="s">
        <v>787</v>
      </c>
      <c r="C19" s="379"/>
      <c r="D19" s="379">
        <v>13</v>
      </c>
      <c r="E19" s="379">
        <v>335</v>
      </c>
      <c r="F19" s="379"/>
      <c r="G19" s="379">
        <v>12.01828337874659</v>
      </c>
      <c r="H19" s="379"/>
      <c r="I19" s="379">
        <v>156.23768392370567</v>
      </c>
      <c r="J19" s="401">
        <v>4026.1249318801074</v>
      </c>
      <c r="K19" s="378">
        <v>180.27425068119885</v>
      </c>
      <c r="L19" s="378">
        <v>384.58506811989093</v>
      </c>
      <c r="M19" s="394">
        <v>43131</v>
      </c>
    </row>
    <row r="20" spans="1:13" x14ac:dyDescent="0.35">
      <c r="A20" s="384">
        <v>43132</v>
      </c>
      <c r="B20" s="398" t="s">
        <v>788</v>
      </c>
      <c r="C20" s="382"/>
      <c r="D20" s="382">
        <v>2</v>
      </c>
      <c r="E20" s="382">
        <v>333</v>
      </c>
      <c r="F20" s="382"/>
      <c r="G20" s="382">
        <v>12.01828337874659</v>
      </c>
      <c r="H20" s="369"/>
      <c r="I20" s="369">
        <v>24.03656675749318</v>
      </c>
      <c r="J20" s="370">
        <v>4002.0883651226141</v>
      </c>
      <c r="K20" s="378"/>
      <c r="L20" s="402"/>
      <c r="M20" s="402"/>
    </row>
    <row r="21" spans="1:13" x14ac:dyDescent="0.35">
      <c r="A21" s="384">
        <v>43134</v>
      </c>
      <c r="B21" s="398" t="s">
        <v>789</v>
      </c>
      <c r="C21" s="382"/>
      <c r="D21" s="382">
        <v>5</v>
      </c>
      <c r="E21" s="382">
        <v>328</v>
      </c>
      <c r="F21" s="382"/>
      <c r="G21" s="382">
        <v>12.018283378746588</v>
      </c>
      <c r="H21" s="369"/>
      <c r="I21" s="369">
        <v>60.091416893732941</v>
      </c>
      <c r="J21" s="370">
        <v>3941.9969482288811</v>
      </c>
      <c r="K21" s="378"/>
      <c r="L21" s="378"/>
      <c r="M21" s="394"/>
    </row>
    <row r="22" spans="1:13" x14ac:dyDescent="0.35">
      <c r="A22" s="384">
        <v>43137</v>
      </c>
      <c r="B22" s="398" t="s">
        <v>790</v>
      </c>
      <c r="C22" s="382"/>
      <c r="D22" s="382">
        <v>1</v>
      </c>
      <c r="E22" s="382">
        <v>327</v>
      </c>
      <c r="F22" s="382"/>
      <c r="G22" s="382">
        <v>12.018283378746588</v>
      </c>
      <c r="H22" s="369"/>
      <c r="I22" s="369">
        <v>12.018283378746588</v>
      </c>
      <c r="J22" s="370">
        <v>3929.9786648501345</v>
      </c>
      <c r="K22" s="378"/>
      <c r="L22" s="402"/>
      <c r="M22" s="402"/>
    </row>
    <row r="23" spans="1:13" x14ac:dyDescent="0.35">
      <c r="A23" s="368">
        <v>43140</v>
      </c>
      <c r="B23" s="371" t="s">
        <v>791</v>
      </c>
      <c r="C23" s="369"/>
      <c r="D23" s="369">
        <v>1</v>
      </c>
      <c r="E23" s="369">
        <v>326</v>
      </c>
      <c r="F23" s="369"/>
      <c r="G23" s="369">
        <v>12.018283378746588</v>
      </c>
      <c r="H23" s="369"/>
      <c r="I23" s="369">
        <v>12.018283378746588</v>
      </c>
      <c r="J23" s="370">
        <v>3917.9603814713878</v>
      </c>
      <c r="K23" s="378"/>
      <c r="L23" s="402"/>
      <c r="M23" s="402"/>
    </row>
    <row r="24" spans="1:13" x14ac:dyDescent="0.35">
      <c r="A24" s="368">
        <v>43141</v>
      </c>
      <c r="B24" s="371" t="s">
        <v>792</v>
      </c>
      <c r="C24" s="369"/>
      <c r="D24" s="369">
        <v>1</v>
      </c>
      <c r="E24" s="369">
        <v>325</v>
      </c>
      <c r="F24" s="369"/>
      <c r="G24" s="369">
        <v>12.018283378746588</v>
      </c>
      <c r="H24" s="369"/>
      <c r="I24" s="369">
        <v>12.018283378746588</v>
      </c>
      <c r="J24" s="370">
        <v>3905.9420980926411</v>
      </c>
      <c r="K24" s="378"/>
      <c r="L24" s="402"/>
      <c r="M24" s="402"/>
    </row>
    <row r="25" spans="1:13" x14ac:dyDescent="0.35">
      <c r="A25" s="399">
        <v>43141</v>
      </c>
      <c r="B25" s="400" t="s">
        <v>793</v>
      </c>
      <c r="C25" s="379"/>
      <c r="D25" s="379">
        <v>1</v>
      </c>
      <c r="E25" s="379">
        <v>324</v>
      </c>
      <c r="F25" s="379"/>
      <c r="G25" s="379">
        <v>12.018283378746588</v>
      </c>
      <c r="H25" s="379"/>
      <c r="I25" s="379">
        <v>12.018283378746588</v>
      </c>
      <c r="J25" s="401">
        <v>3893.9238147138944</v>
      </c>
      <c r="K25" s="378">
        <v>132.20111716621247</v>
      </c>
      <c r="L25" s="403"/>
      <c r="M25" s="394">
        <v>43146</v>
      </c>
    </row>
    <row r="26" spans="1:13" x14ac:dyDescent="0.35">
      <c r="A26" s="384">
        <v>43148</v>
      </c>
      <c r="B26" s="371" t="s">
        <v>794</v>
      </c>
      <c r="C26" s="379"/>
      <c r="D26" s="382">
        <v>6</v>
      </c>
      <c r="E26" s="369">
        <v>318</v>
      </c>
      <c r="F26" s="369"/>
      <c r="G26" s="369">
        <v>12.018283378746588</v>
      </c>
      <c r="H26" s="369"/>
      <c r="I26" s="369">
        <v>72.109700272479529</v>
      </c>
      <c r="J26" s="370">
        <v>3821.8141144414149</v>
      </c>
      <c r="K26" s="378"/>
      <c r="L26" s="378"/>
      <c r="M26" s="394"/>
    </row>
    <row r="27" spans="1:13" x14ac:dyDescent="0.35">
      <c r="A27" s="384">
        <v>43151</v>
      </c>
      <c r="B27" s="371" t="s">
        <v>795</v>
      </c>
      <c r="C27" s="379"/>
      <c r="D27" s="382">
        <v>1</v>
      </c>
      <c r="E27" s="369">
        <v>317</v>
      </c>
      <c r="F27" s="369"/>
      <c r="G27" s="369">
        <v>12.018283378746588</v>
      </c>
      <c r="H27" s="369"/>
      <c r="I27" s="369">
        <v>12.018283378746588</v>
      </c>
      <c r="J27" s="370">
        <v>3809.7958310626682</v>
      </c>
      <c r="K27" s="378"/>
      <c r="L27" s="378"/>
      <c r="M27" s="394"/>
    </row>
    <row r="28" spans="1:13" x14ac:dyDescent="0.35">
      <c r="A28" s="384">
        <v>43154</v>
      </c>
      <c r="B28" s="371" t="s">
        <v>796</v>
      </c>
      <c r="C28" s="379"/>
      <c r="D28" s="382">
        <v>0.5</v>
      </c>
      <c r="E28" s="369">
        <v>316.5</v>
      </c>
      <c r="F28" s="369"/>
      <c r="G28" s="369">
        <v>12.018283378746588</v>
      </c>
      <c r="H28" s="369"/>
      <c r="I28" s="369">
        <v>6.0091416893732941</v>
      </c>
      <c r="J28" s="370">
        <v>3803.7866893732948</v>
      </c>
      <c r="K28" s="378"/>
      <c r="L28" s="378"/>
      <c r="M28" s="394"/>
    </row>
    <row r="29" spans="1:13" x14ac:dyDescent="0.35">
      <c r="A29" s="384">
        <v>43155</v>
      </c>
      <c r="B29" s="371" t="s">
        <v>797</v>
      </c>
      <c r="C29" s="379"/>
      <c r="D29" s="382">
        <v>3</v>
      </c>
      <c r="E29" s="369">
        <v>313.5</v>
      </c>
      <c r="F29" s="369"/>
      <c r="G29" s="369">
        <v>12.018283378746586</v>
      </c>
      <c r="H29" s="369"/>
      <c r="I29" s="369">
        <v>36.054850136239757</v>
      </c>
      <c r="J29" s="370">
        <v>3767.7318392370553</v>
      </c>
      <c r="K29" s="378"/>
      <c r="L29" s="378"/>
      <c r="M29" s="394"/>
    </row>
    <row r="30" spans="1:13" x14ac:dyDescent="0.35">
      <c r="A30" s="399">
        <v>43158</v>
      </c>
      <c r="B30" s="400" t="s">
        <v>798</v>
      </c>
      <c r="C30" s="379"/>
      <c r="D30" s="379">
        <v>3</v>
      </c>
      <c r="E30" s="379">
        <v>310.5</v>
      </c>
      <c r="F30" s="379"/>
      <c r="G30" s="379">
        <v>12.018283378746588</v>
      </c>
      <c r="H30" s="379"/>
      <c r="I30" s="379">
        <v>36.054850136239764</v>
      </c>
      <c r="J30" s="401">
        <v>3731.6769891008157</v>
      </c>
      <c r="K30" s="378">
        <v>162.24682561307893</v>
      </c>
      <c r="L30" s="378">
        <v>294.4479427792914</v>
      </c>
      <c r="M30" s="394">
        <v>43159</v>
      </c>
    </row>
    <row r="31" spans="1:13" x14ac:dyDescent="0.35">
      <c r="A31" s="384">
        <v>43160</v>
      </c>
      <c r="B31" s="371" t="s">
        <v>799</v>
      </c>
      <c r="C31" s="379"/>
      <c r="D31" s="382">
        <v>3</v>
      </c>
      <c r="E31" s="369">
        <v>307.5</v>
      </c>
      <c r="F31" s="369"/>
      <c r="G31" s="369">
        <v>12.018283378746588</v>
      </c>
      <c r="H31" s="369"/>
      <c r="I31" s="369">
        <v>36.054850136239764</v>
      </c>
      <c r="J31" s="370">
        <v>3695.6221389645762</v>
      </c>
      <c r="K31" s="378"/>
      <c r="L31" s="378"/>
      <c r="M31" s="394"/>
    </row>
    <row r="32" spans="1:13" x14ac:dyDescent="0.35">
      <c r="A32" s="384">
        <v>43160</v>
      </c>
      <c r="B32" s="371" t="s">
        <v>800</v>
      </c>
      <c r="C32" s="379"/>
      <c r="D32" s="382">
        <v>1</v>
      </c>
      <c r="E32" s="369">
        <v>306.5</v>
      </c>
      <c r="F32" s="369"/>
      <c r="G32" s="369">
        <v>12.01828337874659</v>
      </c>
      <c r="H32" s="369"/>
      <c r="I32" s="369">
        <v>12.01828337874659</v>
      </c>
      <c r="J32" s="370">
        <v>3683.6038555858295</v>
      </c>
      <c r="K32" s="378"/>
      <c r="L32" s="378"/>
      <c r="M32" s="394"/>
    </row>
    <row r="33" spans="1:13" x14ac:dyDescent="0.35">
      <c r="A33" s="384">
        <v>43160</v>
      </c>
      <c r="B33" s="371" t="s">
        <v>801</v>
      </c>
      <c r="C33" s="379"/>
      <c r="D33" s="382">
        <v>3</v>
      </c>
      <c r="E33" s="369">
        <v>303.5</v>
      </c>
      <c r="F33" s="369"/>
      <c r="G33" s="369">
        <v>12.018283378746588</v>
      </c>
      <c r="H33" s="369"/>
      <c r="I33" s="369">
        <v>36.054850136239764</v>
      </c>
      <c r="J33" s="370">
        <v>3647.5490054495899</v>
      </c>
      <c r="K33" s="378"/>
      <c r="L33" s="378"/>
      <c r="M33" s="394"/>
    </row>
    <row r="34" spans="1:13" x14ac:dyDescent="0.35">
      <c r="A34" s="384">
        <v>43161</v>
      </c>
      <c r="B34" s="371" t="s">
        <v>802</v>
      </c>
      <c r="C34" s="379"/>
      <c r="D34" s="382">
        <v>1</v>
      </c>
      <c r="E34" s="369">
        <v>302.5</v>
      </c>
      <c r="F34" s="369"/>
      <c r="G34" s="369">
        <v>12.01828337874659</v>
      </c>
      <c r="H34" s="369"/>
      <c r="I34" s="369">
        <v>12.01828337874659</v>
      </c>
      <c r="J34" s="370">
        <v>3635.5307220708432</v>
      </c>
      <c r="K34" s="378"/>
      <c r="L34" s="378"/>
      <c r="M34" s="394"/>
    </row>
    <row r="35" spans="1:13" x14ac:dyDescent="0.35">
      <c r="A35" s="384">
        <v>43162</v>
      </c>
      <c r="B35" s="371" t="s">
        <v>803</v>
      </c>
      <c r="C35" s="379"/>
      <c r="D35" s="382">
        <v>2</v>
      </c>
      <c r="E35" s="369">
        <v>300.5</v>
      </c>
      <c r="F35" s="369"/>
      <c r="G35" s="369">
        <v>12.01828337874659</v>
      </c>
      <c r="H35" s="369"/>
      <c r="I35" s="369">
        <v>24.03656675749318</v>
      </c>
      <c r="J35" s="370">
        <v>3611.4941553133499</v>
      </c>
      <c r="K35" s="378"/>
      <c r="L35" s="378"/>
      <c r="M35" s="394"/>
    </row>
    <row r="36" spans="1:13" x14ac:dyDescent="0.35">
      <c r="A36" s="384">
        <v>43164</v>
      </c>
      <c r="B36" s="371" t="s">
        <v>804</v>
      </c>
      <c r="C36" s="379"/>
      <c r="D36" s="382">
        <v>2</v>
      </c>
      <c r="E36" s="369">
        <v>298.5</v>
      </c>
      <c r="F36" s="369"/>
      <c r="G36" s="369">
        <v>12.018283378746588</v>
      </c>
      <c r="H36" s="369"/>
      <c r="I36" s="369">
        <v>24.036566757493176</v>
      </c>
      <c r="J36" s="370">
        <v>3587.4575885558565</v>
      </c>
      <c r="K36" s="378"/>
      <c r="L36" s="378"/>
      <c r="M36" s="394"/>
    </row>
    <row r="37" spans="1:13" x14ac:dyDescent="0.35">
      <c r="A37" s="384">
        <v>43167</v>
      </c>
      <c r="B37" s="371" t="s">
        <v>805</v>
      </c>
      <c r="C37" s="379"/>
      <c r="D37" s="382">
        <v>6</v>
      </c>
      <c r="E37" s="369">
        <v>292.5</v>
      </c>
      <c r="F37" s="369"/>
      <c r="G37" s="369">
        <v>12.018283378746588</v>
      </c>
      <c r="H37" s="369"/>
      <c r="I37" s="369">
        <v>72.109700272479529</v>
      </c>
      <c r="J37" s="370">
        <v>3515.347888283377</v>
      </c>
      <c r="K37" s="378"/>
      <c r="L37" s="378"/>
      <c r="M37" s="394"/>
    </row>
    <row r="38" spans="1:13" x14ac:dyDescent="0.35">
      <c r="A38" s="384">
        <v>43167</v>
      </c>
      <c r="B38" s="371" t="s">
        <v>806</v>
      </c>
      <c r="C38" s="379"/>
      <c r="D38" s="382">
        <v>1</v>
      </c>
      <c r="E38" s="369">
        <v>291.5</v>
      </c>
      <c r="F38" s="369"/>
      <c r="G38" s="369">
        <v>12.018283378746588</v>
      </c>
      <c r="H38" s="369"/>
      <c r="I38" s="369">
        <v>12.018283378746588</v>
      </c>
      <c r="J38" s="370">
        <v>3503.3296049046303</v>
      </c>
      <c r="K38" s="378"/>
      <c r="L38" s="378"/>
      <c r="M38" s="394"/>
    </row>
    <row r="39" spans="1:13" x14ac:dyDescent="0.35">
      <c r="A39" s="384">
        <v>43167</v>
      </c>
      <c r="B39" s="371" t="s">
        <v>807</v>
      </c>
      <c r="C39" s="379"/>
      <c r="D39" s="382">
        <v>1</v>
      </c>
      <c r="E39" s="369">
        <v>290.5</v>
      </c>
      <c r="F39" s="369"/>
      <c r="G39" s="369">
        <v>12.018283378746588</v>
      </c>
      <c r="H39" s="369"/>
      <c r="I39" s="369">
        <v>12.018283378746588</v>
      </c>
      <c r="J39" s="370">
        <v>3491.3113215258836</v>
      </c>
      <c r="K39" s="378"/>
      <c r="L39" s="378"/>
      <c r="M39" s="394"/>
    </row>
    <row r="40" spans="1:13" x14ac:dyDescent="0.35">
      <c r="A40" s="384">
        <v>43168</v>
      </c>
      <c r="B40" s="371" t="s">
        <v>808</v>
      </c>
      <c r="C40" s="379"/>
      <c r="D40" s="382">
        <v>3</v>
      </c>
      <c r="E40" s="369">
        <v>287.5</v>
      </c>
      <c r="F40" s="369"/>
      <c r="G40" s="369">
        <v>12.018283378746588</v>
      </c>
      <c r="H40" s="369"/>
      <c r="I40" s="369">
        <v>36.054850136239764</v>
      </c>
      <c r="J40" s="370">
        <v>3455.256471389644</v>
      </c>
      <c r="K40" s="378"/>
      <c r="L40" s="378"/>
      <c r="M40" s="394"/>
    </row>
    <row r="41" spans="1:13" x14ac:dyDescent="0.35">
      <c r="A41" s="384">
        <v>43173</v>
      </c>
      <c r="B41" s="371" t="s">
        <v>809</v>
      </c>
      <c r="C41" s="379"/>
      <c r="D41" s="382">
        <v>2</v>
      </c>
      <c r="E41" s="369">
        <v>285.5</v>
      </c>
      <c r="F41" s="369"/>
      <c r="G41" s="369">
        <v>12.018283378746588</v>
      </c>
      <c r="H41" s="369"/>
      <c r="I41" s="369">
        <v>24.036566757493176</v>
      </c>
      <c r="J41" s="370">
        <v>3431.2199046321507</v>
      </c>
      <c r="K41" s="378"/>
      <c r="L41" s="378"/>
      <c r="M41" s="394"/>
    </row>
    <row r="42" spans="1:13" x14ac:dyDescent="0.35">
      <c r="A42" s="399">
        <v>43173</v>
      </c>
      <c r="B42" s="400" t="s">
        <v>810</v>
      </c>
      <c r="C42" s="379"/>
      <c r="D42" s="379">
        <v>10</v>
      </c>
      <c r="E42" s="379">
        <v>275.5</v>
      </c>
      <c r="F42" s="379"/>
      <c r="G42" s="379">
        <v>12.018283378746588</v>
      </c>
      <c r="H42" s="379"/>
      <c r="I42" s="379">
        <v>120.18283378746588</v>
      </c>
      <c r="J42" s="401">
        <v>3311.0370708446849</v>
      </c>
      <c r="K42" s="378">
        <v>420.63991825613061</v>
      </c>
      <c r="L42" s="378"/>
      <c r="M42" s="394">
        <v>43174</v>
      </c>
    </row>
    <row r="43" spans="1:13" x14ac:dyDescent="0.35">
      <c r="A43" s="384">
        <v>43178</v>
      </c>
      <c r="B43" s="371" t="s">
        <v>811</v>
      </c>
      <c r="C43" s="379"/>
      <c r="D43" s="382">
        <v>1</v>
      </c>
      <c r="E43" s="369">
        <v>274.5</v>
      </c>
      <c r="F43" s="369"/>
      <c r="G43" s="369">
        <v>12.018283378746588</v>
      </c>
      <c r="H43" s="369"/>
      <c r="I43" s="369">
        <v>12.018283378746588</v>
      </c>
      <c r="J43" s="370">
        <v>3299.0187874659382</v>
      </c>
      <c r="K43" s="378"/>
      <c r="L43" s="378"/>
      <c r="M43" s="394"/>
    </row>
    <row r="44" spans="1:13" x14ac:dyDescent="0.35">
      <c r="A44" s="384">
        <v>43180</v>
      </c>
      <c r="B44" s="371" t="s">
        <v>812</v>
      </c>
      <c r="C44" s="379"/>
      <c r="D44" s="382">
        <v>0</v>
      </c>
      <c r="E44" s="369">
        <v>274.5</v>
      </c>
      <c r="F44" s="369"/>
      <c r="G44" s="369">
        <v>12.018283378746588</v>
      </c>
      <c r="H44" s="369"/>
      <c r="I44" s="369">
        <v>0</v>
      </c>
      <c r="J44" s="370">
        <v>3299.0187874659382</v>
      </c>
      <c r="K44" s="378"/>
      <c r="L44" s="378"/>
      <c r="M44" s="394"/>
    </row>
    <row r="45" spans="1:13" x14ac:dyDescent="0.35">
      <c r="A45" s="384">
        <v>43181</v>
      </c>
      <c r="B45" s="371" t="s">
        <v>813</v>
      </c>
      <c r="C45" s="379"/>
      <c r="D45" s="382">
        <v>0.5</v>
      </c>
      <c r="E45" s="369">
        <v>274</v>
      </c>
      <c r="F45" s="369"/>
      <c r="G45" s="369">
        <v>12.018283378746588</v>
      </c>
      <c r="H45" s="369"/>
      <c r="I45" s="369">
        <v>6.0091416893732941</v>
      </c>
      <c r="J45" s="370">
        <v>3293.0096457765649</v>
      </c>
      <c r="K45" s="378"/>
      <c r="L45" s="378"/>
      <c r="M45" s="394"/>
    </row>
    <row r="46" spans="1:13" x14ac:dyDescent="0.35">
      <c r="A46" s="399">
        <v>43182</v>
      </c>
      <c r="B46" s="400" t="s">
        <v>814</v>
      </c>
      <c r="C46" s="379"/>
      <c r="D46" s="379">
        <v>4</v>
      </c>
      <c r="E46" s="379">
        <v>270</v>
      </c>
      <c r="F46" s="379"/>
      <c r="G46" s="379">
        <v>12.018283378746586</v>
      </c>
      <c r="H46" s="379"/>
      <c r="I46" s="379">
        <v>48.073133514986345</v>
      </c>
      <c r="J46" s="401">
        <v>3244.9365122615786</v>
      </c>
      <c r="K46" s="378">
        <v>66.100558583106221</v>
      </c>
      <c r="L46" s="378">
        <v>486.74047683923686</v>
      </c>
      <c r="M46" s="394">
        <v>43190</v>
      </c>
    </row>
    <row r="47" spans="1:13" x14ac:dyDescent="0.35">
      <c r="A47" s="384">
        <v>43197</v>
      </c>
      <c r="B47" s="371" t="s">
        <v>815</v>
      </c>
      <c r="C47" s="379"/>
      <c r="D47" s="382">
        <v>3</v>
      </c>
      <c r="E47" s="369">
        <v>267</v>
      </c>
      <c r="F47" s="369"/>
      <c r="G47" s="369">
        <v>12.018283378746588</v>
      </c>
      <c r="H47" s="369"/>
      <c r="I47" s="369">
        <v>36.054850136239764</v>
      </c>
      <c r="J47" s="370">
        <v>3208.8816621253391</v>
      </c>
      <c r="K47" s="378"/>
      <c r="L47" s="378"/>
      <c r="M47" s="394"/>
    </row>
    <row r="48" spans="1:13" x14ac:dyDescent="0.35">
      <c r="A48" s="384">
        <v>43203</v>
      </c>
      <c r="B48" s="371" t="s">
        <v>816</v>
      </c>
      <c r="C48" s="379"/>
      <c r="D48" s="382">
        <v>2</v>
      </c>
      <c r="E48" s="369">
        <v>265</v>
      </c>
      <c r="F48" s="369"/>
      <c r="G48" s="369">
        <v>12.018283378746588</v>
      </c>
      <c r="H48" s="369"/>
      <c r="I48" s="369">
        <v>24.036566757493176</v>
      </c>
      <c r="J48" s="370">
        <v>3184.8450953678457</v>
      </c>
      <c r="K48" s="378"/>
      <c r="L48" s="378"/>
      <c r="M48" s="394"/>
    </row>
    <row r="49" spans="1:13" x14ac:dyDescent="0.35">
      <c r="A49" s="384">
        <v>43203</v>
      </c>
      <c r="B49" s="371" t="s">
        <v>817</v>
      </c>
      <c r="C49" s="379"/>
      <c r="D49" s="382">
        <v>2</v>
      </c>
      <c r="E49" s="369">
        <v>263</v>
      </c>
      <c r="F49" s="369"/>
      <c r="G49" s="369">
        <v>12.018283378746588</v>
      </c>
      <c r="H49" s="369"/>
      <c r="I49" s="369">
        <v>24.036566757493176</v>
      </c>
      <c r="J49" s="370">
        <v>3160.8085286103524</v>
      </c>
      <c r="K49" s="378"/>
      <c r="L49" s="378"/>
      <c r="M49" s="394"/>
    </row>
    <row r="50" spans="1:13" x14ac:dyDescent="0.35">
      <c r="A50" s="399">
        <v>43203</v>
      </c>
      <c r="B50" s="400" t="s">
        <v>818</v>
      </c>
      <c r="C50" s="379"/>
      <c r="D50" s="379">
        <v>3</v>
      </c>
      <c r="E50" s="379">
        <v>260</v>
      </c>
      <c r="F50" s="379"/>
      <c r="G50" s="379">
        <v>12.018283378746586</v>
      </c>
      <c r="H50" s="379"/>
      <c r="I50" s="379">
        <v>36.054850136239757</v>
      </c>
      <c r="J50" s="401">
        <v>3124.7536784741128</v>
      </c>
      <c r="K50" s="378">
        <v>120.18283378746588</v>
      </c>
      <c r="L50" s="378"/>
      <c r="M50" s="394">
        <v>43205</v>
      </c>
    </row>
    <row r="51" spans="1:13" x14ac:dyDescent="0.35">
      <c r="A51" s="384">
        <v>43207</v>
      </c>
      <c r="B51" s="371" t="s">
        <v>819</v>
      </c>
      <c r="C51" s="379"/>
      <c r="D51" s="382">
        <v>2</v>
      </c>
      <c r="E51" s="369">
        <v>258</v>
      </c>
      <c r="F51" s="369"/>
      <c r="G51" s="369">
        <v>12.018283378746588</v>
      </c>
      <c r="H51" s="369"/>
      <c r="I51" s="369">
        <v>24.036566757493176</v>
      </c>
      <c r="J51" s="370">
        <v>3100.7171117166195</v>
      </c>
      <c r="K51" s="378"/>
      <c r="L51" s="378"/>
      <c r="M51" s="394"/>
    </row>
    <row r="52" spans="1:13" x14ac:dyDescent="0.35">
      <c r="A52" s="384">
        <v>43207</v>
      </c>
      <c r="B52" s="371" t="s">
        <v>820</v>
      </c>
      <c r="C52" s="379"/>
      <c r="D52" s="382">
        <v>2</v>
      </c>
      <c r="E52" s="369">
        <v>256</v>
      </c>
      <c r="F52" s="369"/>
      <c r="G52" s="369">
        <v>12.018283378746586</v>
      </c>
      <c r="H52" s="369"/>
      <c r="I52" s="369">
        <v>24.036566757493173</v>
      </c>
      <c r="J52" s="370">
        <v>3076.6805449591261</v>
      </c>
      <c r="K52" s="378"/>
      <c r="L52" s="378"/>
      <c r="M52" s="394"/>
    </row>
    <row r="53" spans="1:13" x14ac:dyDescent="0.35">
      <c r="A53" s="384">
        <v>43207</v>
      </c>
      <c r="B53" s="371" t="s">
        <v>821</v>
      </c>
      <c r="C53" s="379"/>
      <c r="D53" s="382">
        <v>1</v>
      </c>
      <c r="E53" s="369">
        <v>255</v>
      </c>
      <c r="F53" s="369"/>
      <c r="G53" s="369">
        <v>12.018283378746586</v>
      </c>
      <c r="H53" s="369"/>
      <c r="I53" s="369">
        <v>12.018283378746586</v>
      </c>
      <c r="J53" s="370">
        <v>3064.6622615803794</v>
      </c>
      <c r="K53" s="378"/>
      <c r="L53" s="378"/>
      <c r="M53" s="394"/>
    </row>
    <row r="54" spans="1:13" x14ac:dyDescent="0.35">
      <c r="A54" s="384">
        <v>43207</v>
      </c>
      <c r="B54" s="371" t="s">
        <v>822</v>
      </c>
      <c r="C54" s="379"/>
      <c r="D54" s="382">
        <v>3</v>
      </c>
      <c r="E54" s="369">
        <v>252</v>
      </c>
      <c r="F54" s="369"/>
      <c r="G54" s="369">
        <v>12.018283378746586</v>
      </c>
      <c r="H54" s="369"/>
      <c r="I54" s="369">
        <v>36.054850136239757</v>
      </c>
      <c r="J54" s="370">
        <v>3028.6074114441399</v>
      </c>
      <c r="K54" s="378"/>
      <c r="L54" s="378"/>
      <c r="M54" s="394"/>
    </row>
    <row r="55" spans="1:13" x14ac:dyDescent="0.35">
      <c r="A55" s="384">
        <v>43208</v>
      </c>
      <c r="B55" s="371" t="s">
        <v>823</v>
      </c>
      <c r="C55" s="379"/>
      <c r="D55" s="382">
        <v>2</v>
      </c>
      <c r="E55" s="369">
        <v>250</v>
      </c>
      <c r="F55" s="369"/>
      <c r="G55" s="369">
        <v>12.018283378746586</v>
      </c>
      <c r="H55" s="369"/>
      <c r="I55" s="369">
        <v>24.036566757493173</v>
      </c>
      <c r="J55" s="370">
        <v>3004.5708446866465</v>
      </c>
      <c r="K55" s="378"/>
      <c r="L55" s="378"/>
      <c r="M55" s="394"/>
    </row>
    <row r="56" spans="1:13" x14ac:dyDescent="0.35">
      <c r="A56" s="384">
        <v>43208</v>
      </c>
      <c r="B56" s="371" t="s">
        <v>824</v>
      </c>
      <c r="C56" s="379"/>
      <c r="D56" s="382">
        <v>1</v>
      </c>
      <c r="E56" s="369">
        <v>249</v>
      </c>
      <c r="F56" s="369"/>
      <c r="G56" s="369">
        <v>12.018283378746586</v>
      </c>
      <c r="H56" s="369"/>
      <c r="I56" s="369">
        <v>12.018283378746586</v>
      </c>
      <c r="J56" s="370">
        <v>2992.5525613078999</v>
      </c>
      <c r="K56" s="378"/>
      <c r="L56" s="378"/>
      <c r="M56" s="394"/>
    </row>
    <row r="57" spans="1:13" x14ac:dyDescent="0.35">
      <c r="A57" s="368">
        <v>43214</v>
      </c>
      <c r="B57" s="371" t="s">
        <v>825</v>
      </c>
      <c r="C57" s="369"/>
      <c r="D57" s="382">
        <v>2</v>
      </c>
      <c r="E57" s="369">
        <v>247</v>
      </c>
      <c r="F57" s="369"/>
      <c r="G57" s="369">
        <v>12.018283378746586</v>
      </c>
      <c r="H57" s="369"/>
      <c r="I57" s="369">
        <v>24.036566757493173</v>
      </c>
      <c r="J57" s="370">
        <v>2968.5159945504065</v>
      </c>
      <c r="K57" s="402"/>
      <c r="L57" s="402"/>
      <c r="M57" s="402"/>
    </row>
    <row r="58" spans="1:13" x14ac:dyDescent="0.35">
      <c r="A58" s="368">
        <v>43214</v>
      </c>
      <c r="B58" s="371" t="s">
        <v>826</v>
      </c>
      <c r="C58" s="369"/>
      <c r="D58" s="382">
        <v>2</v>
      </c>
      <c r="E58" s="369">
        <v>245</v>
      </c>
      <c r="F58" s="369"/>
      <c r="G58" s="369">
        <v>12.018283378746585</v>
      </c>
      <c r="H58" s="369"/>
      <c r="I58" s="369">
        <v>24.036566757493169</v>
      </c>
      <c r="J58" s="370">
        <v>2944.4794277929132</v>
      </c>
      <c r="K58" s="402"/>
      <c r="L58" s="402"/>
      <c r="M58" s="402"/>
    </row>
    <row r="59" spans="1:13" x14ac:dyDescent="0.35">
      <c r="A59" s="368">
        <v>43218</v>
      </c>
      <c r="B59" s="371" t="s">
        <v>827</v>
      </c>
      <c r="C59" s="369"/>
      <c r="D59" s="382">
        <v>2</v>
      </c>
      <c r="E59" s="369">
        <v>243</v>
      </c>
      <c r="F59" s="369"/>
      <c r="G59" s="369">
        <v>12.018283378746585</v>
      </c>
      <c r="H59" s="369"/>
      <c r="I59" s="369">
        <v>24.036566757493169</v>
      </c>
      <c r="J59" s="370">
        <v>2920.4428610354198</v>
      </c>
      <c r="K59" s="402"/>
      <c r="L59" s="402"/>
      <c r="M59" s="402"/>
    </row>
    <row r="60" spans="1:13" x14ac:dyDescent="0.35">
      <c r="A60" s="399">
        <v>43220</v>
      </c>
      <c r="B60" s="400" t="s">
        <v>828</v>
      </c>
      <c r="C60" s="379"/>
      <c r="D60" s="379">
        <v>5</v>
      </c>
      <c r="E60" s="379">
        <v>238</v>
      </c>
      <c r="F60" s="379"/>
      <c r="G60" s="379">
        <v>12.018283378746583</v>
      </c>
      <c r="H60" s="379"/>
      <c r="I60" s="379">
        <v>60.091416893732912</v>
      </c>
      <c r="J60" s="401">
        <v>2860.3514441416869</v>
      </c>
      <c r="K60" s="378">
        <v>264.40223433242488</v>
      </c>
      <c r="L60" s="378">
        <v>384.58506811989076</v>
      </c>
      <c r="M60" s="394">
        <v>43220</v>
      </c>
    </row>
    <row r="61" spans="1:13" x14ac:dyDescent="0.35">
      <c r="A61" s="399">
        <v>43232</v>
      </c>
      <c r="B61" s="400" t="s">
        <v>829</v>
      </c>
      <c r="C61" s="379"/>
      <c r="D61" s="379">
        <v>3</v>
      </c>
      <c r="E61" s="379">
        <v>235</v>
      </c>
      <c r="F61" s="379"/>
      <c r="G61" s="379">
        <v>12.018283378746583</v>
      </c>
      <c r="H61" s="379"/>
      <c r="I61" s="379">
        <v>36.05485013623975</v>
      </c>
      <c r="J61" s="401">
        <v>2824.2965940054473</v>
      </c>
      <c r="K61" s="378">
        <v>36.05485013623975</v>
      </c>
      <c r="L61" s="403"/>
      <c r="M61" s="394">
        <v>42139</v>
      </c>
    </row>
    <row r="62" spans="1:13" x14ac:dyDescent="0.35">
      <c r="A62" s="368">
        <v>43236</v>
      </c>
      <c r="B62" s="371" t="s">
        <v>830</v>
      </c>
      <c r="C62" s="369"/>
      <c r="D62" s="382">
        <v>4</v>
      </c>
      <c r="E62" s="369">
        <v>231</v>
      </c>
      <c r="F62" s="369"/>
      <c r="G62" s="369">
        <v>12.018283378746585</v>
      </c>
      <c r="H62" s="369"/>
      <c r="I62" s="369">
        <v>48.073133514986338</v>
      </c>
      <c r="J62" s="370">
        <v>2776.2234604904611</v>
      </c>
      <c r="K62" s="402"/>
      <c r="L62" s="402"/>
      <c r="M62" s="402"/>
    </row>
    <row r="63" spans="1:13" x14ac:dyDescent="0.35">
      <c r="A63" s="368">
        <v>43249</v>
      </c>
      <c r="B63" s="371" t="s">
        <v>831</v>
      </c>
      <c r="C63" s="369"/>
      <c r="D63" s="382">
        <v>0</v>
      </c>
      <c r="E63" s="369">
        <v>231</v>
      </c>
      <c r="F63" s="369"/>
      <c r="G63" s="369">
        <v>12.018283378746585</v>
      </c>
      <c r="H63" s="369"/>
      <c r="I63" s="369">
        <v>0</v>
      </c>
      <c r="J63" s="370">
        <v>2776.2234604904611</v>
      </c>
      <c r="K63" s="402"/>
      <c r="L63" s="402"/>
      <c r="M63" s="402"/>
    </row>
    <row r="64" spans="1:13" x14ac:dyDescent="0.35">
      <c r="A64" s="384">
        <v>43249</v>
      </c>
      <c r="B64" s="371" t="s">
        <v>832</v>
      </c>
      <c r="C64" s="379"/>
      <c r="D64" s="382">
        <v>2</v>
      </c>
      <c r="E64" s="369">
        <v>229</v>
      </c>
      <c r="F64" s="369"/>
      <c r="G64" s="369">
        <v>12.018283378746585</v>
      </c>
      <c r="H64" s="369"/>
      <c r="I64" s="369">
        <v>24.036566757493169</v>
      </c>
      <c r="J64" s="370">
        <v>2752.1868937329677</v>
      </c>
      <c r="K64" s="378"/>
      <c r="L64" s="378"/>
      <c r="M64" s="394"/>
    </row>
    <row r="65" spans="1:13" x14ac:dyDescent="0.35">
      <c r="A65" s="399">
        <v>43250</v>
      </c>
      <c r="B65" s="400" t="s">
        <v>833</v>
      </c>
      <c r="C65" s="379"/>
      <c r="D65" s="379">
        <v>0.5</v>
      </c>
      <c r="E65" s="379">
        <v>228.5</v>
      </c>
      <c r="F65" s="379"/>
      <c r="G65" s="379">
        <v>12.018283378746585</v>
      </c>
      <c r="H65" s="379"/>
      <c r="I65" s="379">
        <v>6.0091416893732923</v>
      </c>
      <c r="J65" s="401">
        <v>2746.1777520435944</v>
      </c>
      <c r="K65" s="378">
        <v>78.118841961852794</v>
      </c>
      <c r="L65" s="378">
        <v>114.17369209809254</v>
      </c>
      <c r="M65" s="394">
        <v>43251</v>
      </c>
    </row>
    <row r="66" spans="1:13" x14ac:dyDescent="0.35">
      <c r="A66" s="368">
        <v>43252</v>
      </c>
      <c r="B66" s="371" t="s">
        <v>834</v>
      </c>
      <c r="C66" s="369"/>
      <c r="D66" s="382">
        <v>1</v>
      </c>
      <c r="E66" s="369">
        <v>227.5</v>
      </c>
      <c r="F66" s="369"/>
      <c r="G66" s="369">
        <v>12.018283378746585</v>
      </c>
      <c r="H66" s="369"/>
      <c r="I66" s="369">
        <v>12.018283378746585</v>
      </c>
      <c r="J66" s="370">
        <v>2734.1594686648477</v>
      </c>
      <c r="K66" s="402"/>
      <c r="L66" s="402"/>
      <c r="M66" s="402"/>
    </row>
    <row r="67" spans="1:13" x14ac:dyDescent="0.35">
      <c r="A67" s="368">
        <v>43256</v>
      </c>
      <c r="B67" s="371" t="s">
        <v>835</v>
      </c>
      <c r="C67" s="369"/>
      <c r="D67" s="382">
        <v>5</v>
      </c>
      <c r="E67" s="369">
        <v>222.5</v>
      </c>
      <c r="F67" s="369"/>
      <c r="G67" s="369">
        <v>12.018283378746583</v>
      </c>
      <c r="H67" s="369"/>
      <c r="I67" s="369">
        <v>60.091416893732912</v>
      </c>
      <c r="J67" s="370">
        <v>2674.0680517711148</v>
      </c>
      <c r="K67" s="402"/>
      <c r="L67" s="402"/>
      <c r="M67" s="402"/>
    </row>
    <row r="68" spans="1:13" x14ac:dyDescent="0.35">
      <c r="A68" s="418">
        <v>43257</v>
      </c>
      <c r="B68" s="371" t="s">
        <v>836</v>
      </c>
      <c r="C68" s="379"/>
      <c r="D68" s="382">
        <v>1</v>
      </c>
      <c r="E68" s="369">
        <v>221.5</v>
      </c>
      <c r="F68" s="369"/>
      <c r="G68" s="369">
        <v>12.018283378746583</v>
      </c>
      <c r="H68" s="369"/>
      <c r="I68" s="369">
        <v>12.018283378746583</v>
      </c>
      <c r="J68" s="370">
        <v>2662.0497683923682</v>
      </c>
      <c r="K68" s="378"/>
      <c r="L68" s="403"/>
      <c r="M68" s="394"/>
    </row>
    <row r="69" spans="1:13" x14ac:dyDescent="0.35">
      <c r="A69" s="404">
        <v>43257</v>
      </c>
      <c r="B69" s="371" t="s">
        <v>837</v>
      </c>
      <c r="C69" s="369"/>
      <c r="D69" s="382">
        <v>3</v>
      </c>
      <c r="E69" s="369">
        <v>218.5</v>
      </c>
      <c r="F69" s="369"/>
      <c r="G69" s="369">
        <v>12.018283378746583</v>
      </c>
      <c r="H69" s="369"/>
      <c r="I69" s="369">
        <v>36.05485013623975</v>
      </c>
      <c r="J69" s="370">
        <v>2625.9949182561286</v>
      </c>
      <c r="K69" s="402"/>
      <c r="L69" s="402"/>
      <c r="M69" s="402"/>
    </row>
    <row r="70" spans="1:13" x14ac:dyDescent="0.35">
      <c r="A70" s="404">
        <v>43264</v>
      </c>
      <c r="B70" s="371" t="s">
        <v>838</v>
      </c>
      <c r="C70" s="369"/>
      <c r="D70" s="382">
        <v>0</v>
      </c>
      <c r="E70" s="369">
        <v>218.5</v>
      </c>
      <c r="F70" s="369"/>
      <c r="G70" s="369">
        <v>12.018283378746585</v>
      </c>
      <c r="H70" s="369"/>
      <c r="I70" s="369">
        <v>0</v>
      </c>
      <c r="J70" s="370">
        <v>2625.9949182561286</v>
      </c>
      <c r="K70" s="402"/>
      <c r="L70" s="402"/>
      <c r="M70" s="402"/>
    </row>
    <row r="71" spans="1:13" x14ac:dyDescent="0.35">
      <c r="A71" s="419">
        <v>43264</v>
      </c>
      <c r="B71" s="400" t="s">
        <v>839</v>
      </c>
      <c r="C71" s="379"/>
      <c r="D71" s="379">
        <v>0.5</v>
      </c>
      <c r="E71" s="379">
        <v>218</v>
      </c>
      <c r="F71" s="379"/>
      <c r="G71" s="379">
        <v>12.018283378746585</v>
      </c>
      <c r="H71" s="379"/>
      <c r="I71" s="379">
        <v>6.0091416893732923</v>
      </c>
      <c r="J71" s="401">
        <v>2619.9857765667552</v>
      </c>
      <c r="K71" s="378">
        <v>126.19197547683913</v>
      </c>
      <c r="L71" s="403"/>
      <c r="M71" s="394">
        <v>43266</v>
      </c>
    </row>
    <row r="72" spans="1:13" x14ac:dyDescent="0.35">
      <c r="A72" s="404">
        <v>43274</v>
      </c>
      <c r="B72" s="371" t="s">
        <v>840</v>
      </c>
      <c r="C72" s="369"/>
      <c r="D72" s="382">
        <v>1</v>
      </c>
      <c r="E72" s="369">
        <v>217</v>
      </c>
      <c r="F72" s="369"/>
      <c r="G72" s="369">
        <v>12.018283378746585</v>
      </c>
      <c r="H72" s="369"/>
      <c r="I72" s="369">
        <v>12.018283378746585</v>
      </c>
      <c r="J72" s="370">
        <v>2607.9674931880086</v>
      </c>
      <c r="K72" s="402"/>
      <c r="L72" s="402"/>
      <c r="M72" s="402"/>
    </row>
    <row r="73" spans="1:13" x14ac:dyDescent="0.35">
      <c r="A73" s="399">
        <v>43274</v>
      </c>
      <c r="B73" s="400" t="s">
        <v>841</v>
      </c>
      <c r="C73" s="379"/>
      <c r="D73" s="379">
        <v>2</v>
      </c>
      <c r="E73" s="379">
        <v>215</v>
      </c>
      <c r="F73" s="379"/>
      <c r="G73" s="379">
        <v>12.018283378746583</v>
      </c>
      <c r="H73" s="379"/>
      <c r="I73" s="379">
        <v>24.036566757493166</v>
      </c>
      <c r="J73" s="401">
        <v>2583.9309264305152</v>
      </c>
      <c r="K73" s="378">
        <v>36.05485013623975</v>
      </c>
      <c r="L73" s="378">
        <v>162.2468256130789</v>
      </c>
      <c r="M73" s="394">
        <v>43281</v>
      </c>
    </row>
    <row r="74" spans="1:13" x14ac:dyDescent="0.35">
      <c r="A74" s="368">
        <v>43285</v>
      </c>
      <c r="B74" s="371" t="s">
        <v>842</v>
      </c>
      <c r="C74" s="369"/>
      <c r="D74" s="382">
        <v>5</v>
      </c>
      <c r="E74" s="369">
        <v>210</v>
      </c>
      <c r="F74" s="369"/>
      <c r="G74" s="369">
        <v>12.018283378746583</v>
      </c>
      <c r="H74" s="369"/>
      <c r="I74" s="369">
        <v>60.091416893732912</v>
      </c>
      <c r="J74" s="370">
        <v>2523.8395095367823</v>
      </c>
      <c r="K74" s="402"/>
      <c r="L74" s="402"/>
      <c r="M74" s="402"/>
    </row>
    <row r="75" spans="1:13" x14ac:dyDescent="0.35">
      <c r="A75" s="368">
        <v>43286</v>
      </c>
      <c r="B75" s="371" t="s">
        <v>843</v>
      </c>
      <c r="C75" s="369"/>
      <c r="D75" s="382">
        <v>3</v>
      </c>
      <c r="E75" s="369">
        <v>207</v>
      </c>
      <c r="F75" s="369"/>
      <c r="G75" s="369">
        <v>12.018283378746583</v>
      </c>
      <c r="H75" s="369"/>
      <c r="I75" s="369">
        <v>36.05485013623975</v>
      </c>
      <c r="J75" s="370">
        <v>2487.7846594005428</v>
      </c>
      <c r="K75" s="402"/>
      <c r="L75" s="402"/>
      <c r="M75" s="402"/>
    </row>
    <row r="76" spans="1:13" x14ac:dyDescent="0.35">
      <c r="A76" s="368">
        <v>43288</v>
      </c>
      <c r="B76" s="371" t="s">
        <v>844</v>
      </c>
      <c r="C76" s="369"/>
      <c r="D76" s="382">
        <v>0.5</v>
      </c>
      <c r="E76" s="369">
        <v>206.5</v>
      </c>
      <c r="F76" s="369"/>
      <c r="G76" s="369">
        <v>12.018283378746583</v>
      </c>
      <c r="H76" s="369"/>
      <c r="I76" s="369">
        <v>6.0091416893732914</v>
      </c>
      <c r="J76" s="370">
        <v>2481.7755177111694</v>
      </c>
      <c r="K76" s="402"/>
      <c r="L76" s="402"/>
      <c r="M76" s="402"/>
    </row>
    <row r="77" spans="1:13" x14ac:dyDescent="0.35">
      <c r="A77" s="384">
        <v>43290</v>
      </c>
      <c r="B77" s="371" t="s">
        <v>845</v>
      </c>
      <c r="C77" s="379"/>
      <c r="D77" s="382">
        <v>2</v>
      </c>
      <c r="E77" s="369">
        <v>204.5</v>
      </c>
      <c r="F77" s="369"/>
      <c r="G77" s="369">
        <v>12.018283378746583</v>
      </c>
      <c r="H77" s="369"/>
      <c r="I77" s="369">
        <v>24.036566757493166</v>
      </c>
      <c r="J77" s="370">
        <v>2457.7389509536761</v>
      </c>
      <c r="K77" s="378"/>
      <c r="L77" s="378"/>
      <c r="M77" s="394"/>
    </row>
    <row r="78" spans="1:13" x14ac:dyDescent="0.35">
      <c r="A78" s="368">
        <v>43291</v>
      </c>
      <c r="B78" s="371" t="s">
        <v>846</v>
      </c>
      <c r="C78" s="369"/>
      <c r="D78" s="382">
        <v>2</v>
      </c>
      <c r="E78" s="369">
        <v>202.5</v>
      </c>
      <c r="F78" s="369"/>
      <c r="G78" s="369">
        <v>12.018283378746583</v>
      </c>
      <c r="H78" s="369"/>
      <c r="I78" s="369">
        <v>24.036566757493166</v>
      </c>
      <c r="J78" s="370">
        <v>2433.7023841961827</v>
      </c>
      <c r="K78" s="402"/>
      <c r="L78" s="402"/>
      <c r="M78" s="402"/>
    </row>
    <row r="79" spans="1:13" x14ac:dyDescent="0.35">
      <c r="A79" s="399">
        <v>43293</v>
      </c>
      <c r="B79" s="400" t="s">
        <v>847</v>
      </c>
      <c r="C79" s="379"/>
      <c r="D79" s="379">
        <v>1</v>
      </c>
      <c r="E79" s="379">
        <v>201.5</v>
      </c>
      <c r="F79" s="379"/>
      <c r="G79" s="379">
        <v>12.018283378746581</v>
      </c>
      <c r="H79" s="379"/>
      <c r="I79" s="379">
        <v>12.018283378746581</v>
      </c>
      <c r="J79" s="401">
        <v>2421.684100817436</v>
      </c>
      <c r="K79" s="378">
        <v>162.24682561307887</v>
      </c>
      <c r="L79" s="378"/>
      <c r="M79" s="394">
        <v>43296</v>
      </c>
    </row>
    <row r="80" spans="1:13" x14ac:dyDescent="0.35">
      <c r="A80" s="368">
        <v>43299</v>
      </c>
      <c r="B80" s="371" t="s">
        <v>848</v>
      </c>
      <c r="C80" s="369"/>
      <c r="D80" s="369">
        <v>2</v>
      </c>
      <c r="E80" s="369">
        <v>199.5</v>
      </c>
      <c r="F80" s="369"/>
      <c r="G80" s="369">
        <v>12.018283378746581</v>
      </c>
      <c r="H80" s="369"/>
      <c r="I80" s="369">
        <v>24.036566757493162</v>
      </c>
      <c r="J80" s="370">
        <v>2397.6475340599427</v>
      </c>
      <c r="K80" s="402"/>
      <c r="L80" s="402"/>
      <c r="M80" s="402"/>
    </row>
    <row r="81" spans="1:13" x14ac:dyDescent="0.35">
      <c r="A81" s="368">
        <v>43299</v>
      </c>
      <c r="B81" s="371" t="s">
        <v>849</v>
      </c>
      <c r="C81" s="369"/>
      <c r="D81" s="369">
        <v>2</v>
      </c>
      <c r="E81" s="369">
        <v>197.5</v>
      </c>
      <c r="F81" s="369"/>
      <c r="G81" s="369">
        <v>12.018283378746579</v>
      </c>
      <c r="H81" s="369"/>
      <c r="I81" s="369">
        <v>24.036566757493159</v>
      </c>
      <c r="J81" s="370">
        <v>2373.6109673024494</v>
      </c>
      <c r="K81" s="402"/>
      <c r="L81" s="402"/>
      <c r="M81" s="402"/>
    </row>
    <row r="82" spans="1:13" x14ac:dyDescent="0.35">
      <c r="A82" s="368">
        <v>43300</v>
      </c>
      <c r="B82" s="371" t="s">
        <v>850</v>
      </c>
      <c r="C82" s="369"/>
      <c r="D82" s="369">
        <v>0.5</v>
      </c>
      <c r="E82" s="369">
        <v>197</v>
      </c>
      <c r="F82" s="369"/>
      <c r="G82" s="369">
        <v>12.018283378746579</v>
      </c>
      <c r="H82" s="369"/>
      <c r="I82" s="369">
        <v>6.0091416893732896</v>
      </c>
      <c r="J82" s="370">
        <v>2367.601825613076</v>
      </c>
      <c r="K82" s="402"/>
      <c r="L82" s="402"/>
      <c r="M82" s="402"/>
    </row>
    <row r="83" spans="1:13" x14ac:dyDescent="0.35">
      <c r="A83" s="368">
        <v>43300</v>
      </c>
      <c r="B83" s="371" t="s">
        <v>851</v>
      </c>
      <c r="C83" s="369"/>
      <c r="D83" s="369">
        <v>2</v>
      </c>
      <c r="E83" s="369">
        <v>195</v>
      </c>
      <c r="F83" s="369"/>
      <c r="G83" s="369">
        <v>12.018283378746579</v>
      </c>
      <c r="H83" s="369"/>
      <c r="I83" s="369">
        <v>24.036566757493159</v>
      </c>
      <c r="J83" s="370">
        <v>2343.5652588555827</v>
      </c>
      <c r="K83" s="402"/>
      <c r="L83" s="402"/>
      <c r="M83" s="402"/>
    </row>
    <row r="84" spans="1:13" x14ac:dyDescent="0.35">
      <c r="A84" s="368">
        <v>43302</v>
      </c>
      <c r="B84" s="371" t="s">
        <v>852</v>
      </c>
      <c r="C84" s="369"/>
      <c r="D84" s="369">
        <v>1</v>
      </c>
      <c r="E84" s="369">
        <v>194</v>
      </c>
      <c r="F84" s="369"/>
      <c r="G84" s="369">
        <v>12.018283378746577</v>
      </c>
      <c r="H84" s="369"/>
      <c r="I84" s="369">
        <v>12.018283378746577</v>
      </c>
      <c r="J84" s="370">
        <v>2331.546975476836</v>
      </c>
      <c r="K84" s="402"/>
      <c r="L84" s="402"/>
      <c r="M84" s="402"/>
    </row>
    <row r="85" spans="1:13" x14ac:dyDescent="0.35">
      <c r="A85" s="368">
        <v>43302</v>
      </c>
      <c r="B85" s="371" t="s">
        <v>853</v>
      </c>
      <c r="C85" s="369"/>
      <c r="D85" s="369">
        <v>2</v>
      </c>
      <c r="E85" s="369">
        <v>192</v>
      </c>
      <c r="F85" s="369"/>
      <c r="G85" s="369">
        <v>12.018283378746577</v>
      </c>
      <c r="H85" s="369"/>
      <c r="I85" s="369">
        <v>24.036566757493155</v>
      </c>
      <c r="J85" s="370">
        <v>2307.5104087193426</v>
      </c>
      <c r="K85" s="402"/>
      <c r="L85" s="402"/>
      <c r="M85" s="402"/>
    </row>
    <row r="86" spans="1:13" x14ac:dyDescent="0.35">
      <c r="A86" s="368">
        <v>43306</v>
      </c>
      <c r="B86" s="371" t="s">
        <v>854</v>
      </c>
      <c r="C86" s="369"/>
      <c r="D86" s="369">
        <v>2</v>
      </c>
      <c r="E86" s="369">
        <v>190</v>
      </c>
      <c r="F86" s="369"/>
      <c r="G86" s="369">
        <v>12.018283378746576</v>
      </c>
      <c r="H86" s="369"/>
      <c r="I86" s="369">
        <v>24.036566757493151</v>
      </c>
      <c r="J86" s="370">
        <v>2283.4738419618493</v>
      </c>
      <c r="K86" s="402"/>
      <c r="L86" s="402"/>
      <c r="M86" s="402"/>
    </row>
    <row r="87" spans="1:13" x14ac:dyDescent="0.35">
      <c r="A87" s="399">
        <v>43306</v>
      </c>
      <c r="B87" s="400" t="s">
        <v>855</v>
      </c>
      <c r="C87" s="379"/>
      <c r="D87" s="379">
        <v>1</v>
      </c>
      <c r="E87" s="379">
        <v>189</v>
      </c>
      <c r="F87" s="379"/>
      <c r="G87" s="379">
        <v>12.018283378746576</v>
      </c>
      <c r="H87" s="379"/>
      <c r="I87" s="379">
        <v>12.018283378746576</v>
      </c>
      <c r="J87" s="401">
        <v>2271.4555585831026</v>
      </c>
      <c r="K87" s="378">
        <v>150.22854223433222</v>
      </c>
      <c r="L87" s="378">
        <v>312.47536784741112</v>
      </c>
      <c r="M87" s="394">
        <v>43312</v>
      </c>
    </row>
    <row r="88" spans="1:13" x14ac:dyDescent="0.35">
      <c r="A88" s="368">
        <v>43321</v>
      </c>
      <c r="B88" s="371" t="s">
        <v>856</v>
      </c>
      <c r="C88" s="369"/>
      <c r="D88" s="369">
        <v>5</v>
      </c>
      <c r="E88" s="369">
        <v>184</v>
      </c>
      <c r="F88" s="369"/>
      <c r="G88" s="369">
        <v>12.018283378746574</v>
      </c>
      <c r="H88" s="369"/>
      <c r="I88" s="369">
        <v>60.09141689373287</v>
      </c>
      <c r="J88" s="370">
        <v>2211.3641416893697</v>
      </c>
      <c r="K88" s="402"/>
      <c r="L88" s="402"/>
      <c r="M88" s="402"/>
    </row>
    <row r="89" spans="1:13" x14ac:dyDescent="0.35">
      <c r="A89" s="384">
        <v>43323</v>
      </c>
      <c r="B89" s="371" t="s">
        <v>857</v>
      </c>
      <c r="C89" s="379"/>
      <c r="D89" s="379">
        <v>3</v>
      </c>
      <c r="E89" s="369">
        <v>181</v>
      </c>
      <c r="F89" s="369"/>
      <c r="G89" s="369">
        <v>12.018283378746574</v>
      </c>
      <c r="H89" s="369"/>
      <c r="I89" s="369">
        <v>36.054850136239722</v>
      </c>
      <c r="J89" s="370">
        <v>2175.3092915531302</v>
      </c>
      <c r="K89" s="378"/>
      <c r="L89" s="403"/>
      <c r="M89" s="394"/>
    </row>
    <row r="90" spans="1:13" x14ac:dyDescent="0.35">
      <c r="A90" s="368">
        <v>43323</v>
      </c>
      <c r="B90" s="371" t="s">
        <v>858</v>
      </c>
      <c r="C90" s="369"/>
      <c r="D90" s="369">
        <v>1</v>
      </c>
      <c r="E90" s="369">
        <v>180</v>
      </c>
      <c r="F90" s="369"/>
      <c r="G90" s="369">
        <v>12.018283378746576</v>
      </c>
      <c r="H90" s="369"/>
      <c r="I90" s="369">
        <v>12.018283378746576</v>
      </c>
      <c r="J90" s="370">
        <v>2163.2910081743835</v>
      </c>
      <c r="K90" s="402"/>
      <c r="L90" s="402"/>
      <c r="M90" s="402"/>
    </row>
    <row r="91" spans="1:13" x14ac:dyDescent="0.35">
      <c r="A91" s="399">
        <v>43323</v>
      </c>
      <c r="B91" s="400" t="s">
        <v>859</v>
      </c>
      <c r="C91" s="379"/>
      <c r="D91" s="379">
        <v>1</v>
      </c>
      <c r="E91" s="379">
        <v>179</v>
      </c>
      <c r="F91" s="379"/>
      <c r="G91" s="379">
        <v>12.018283378746576</v>
      </c>
      <c r="H91" s="379"/>
      <c r="I91" s="379">
        <v>12.018283378746576</v>
      </c>
      <c r="J91" s="401">
        <v>2151.2727247956368</v>
      </c>
      <c r="K91" s="378">
        <v>120.18283378746574</v>
      </c>
      <c r="L91" s="403"/>
      <c r="M91" s="394">
        <v>43327</v>
      </c>
    </row>
    <row r="92" spans="1:13" x14ac:dyDescent="0.35">
      <c r="A92" s="368">
        <v>43330</v>
      </c>
      <c r="B92" s="371" t="s">
        <v>860</v>
      </c>
      <c r="C92" s="369"/>
      <c r="D92" s="369">
        <v>1</v>
      </c>
      <c r="E92" s="369">
        <v>178</v>
      </c>
      <c r="F92" s="369"/>
      <c r="G92" s="369">
        <v>12.018283378746574</v>
      </c>
      <c r="H92" s="369"/>
      <c r="I92" s="369">
        <v>12.018283378746574</v>
      </c>
      <c r="J92" s="370">
        <v>2139.2544414168901</v>
      </c>
      <c r="K92" s="402"/>
      <c r="L92" s="402"/>
      <c r="M92" s="402"/>
    </row>
    <row r="93" spans="1:13" x14ac:dyDescent="0.35">
      <c r="A93" s="368">
        <v>43334</v>
      </c>
      <c r="B93" s="371" t="s">
        <v>861</v>
      </c>
      <c r="C93" s="369"/>
      <c r="D93" s="369">
        <v>3</v>
      </c>
      <c r="E93" s="369">
        <v>175</v>
      </c>
      <c r="F93" s="369"/>
      <c r="G93" s="369">
        <v>12.018283378746574</v>
      </c>
      <c r="H93" s="369"/>
      <c r="I93" s="369">
        <v>36.054850136239722</v>
      </c>
      <c r="J93" s="370">
        <v>2103.1995912806506</v>
      </c>
      <c r="K93" s="402"/>
      <c r="L93" s="402"/>
      <c r="M93" s="402"/>
    </row>
    <row r="94" spans="1:13" x14ac:dyDescent="0.35">
      <c r="A94" s="384">
        <v>43335</v>
      </c>
      <c r="B94" s="371" t="s">
        <v>862</v>
      </c>
      <c r="C94" s="379"/>
      <c r="D94" s="423">
        <v>1</v>
      </c>
      <c r="E94" s="369">
        <v>174</v>
      </c>
      <c r="F94" s="369"/>
      <c r="G94" s="369">
        <v>12.018283378746574</v>
      </c>
      <c r="H94" s="369"/>
      <c r="I94" s="369">
        <v>12.018283378746574</v>
      </c>
      <c r="J94" s="370">
        <v>2091.1813079019039</v>
      </c>
      <c r="K94" s="378"/>
      <c r="L94" s="378"/>
      <c r="M94" s="394"/>
    </row>
    <row r="95" spans="1:13" x14ac:dyDescent="0.35">
      <c r="A95" s="368">
        <v>43342</v>
      </c>
      <c r="B95" s="371" t="s">
        <v>863</v>
      </c>
      <c r="C95" s="369"/>
      <c r="D95" s="369">
        <v>2</v>
      </c>
      <c r="E95" s="369">
        <v>172</v>
      </c>
      <c r="F95" s="369"/>
      <c r="G95" s="369">
        <v>12.018283378746574</v>
      </c>
      <c r="H95" s="369"/>
      <c r="I95" s="369">
        <v>24.036566757493148</v>
      </c>
      <c r="J95" s="370">
        <v>2067.1447411444105</v>
      </c>
      <c r="K95" s="402"/>
      <c r="L95" s="402"/>
      <c r="M95" s="402"/>
    </row>
    <row r="96" spans="1:13" x14ac:dyDescent="0.35">
      <c r="A96" s="368">
        <v>43343</v>
      </c>
      <c r="B96" s="371" t="s">
        <v>864</v>
      </c>
      <c r="C96" s="369"/>
      <c r="D96" s="369">
        <v>3</v>
      </c>
      <c r="E96" s="369">
        <v>169</v>
      </c>
      <c r="F96" s="369"/>
      <c r="G96" s="369">
        <v>12.018283378746572</v>
      </c>
      <c r="H96" s="369"/>
      <c r="I96" s="369">
        <v>36.054850136239715</v>
      </c>
      <c r="J96" s="370">
        <v>2031.0898910081708</v>
      </c>
      <c r="K96" s="402"/>
      <c r="L96" s="402"/>
      <c r="M96" s="402"/>
    </row>
    <row r="97" spans="1:13" x14ac:dyDescent="0.35">
      <c r="A97" s="424">
        <v>43343</v>
      </c>
      <c r="B97" s="425" t="s">
        <v>865</v>
      </c>
      <c r="C97" s="422"/>
      <c r="D97" s="422">
        <v>2</v>
      </c>
      <c r="E97" s="422">
        <v>167</v>
      </c>
      <c r="F97" s="422"/>
      <c r="G97" s="422">
        <v>12.018283378746572</v>
      </c>
      <c r="H97" s="422"/>
      <c r="I97" s="422">
        <v>24.036566757493144</v>
      </c>
      <c r="J97" s="426">
        <v>2007.0533242506776</v>
      </c>
      <c r="K97" s="381">
        <v>144.21940054495889</v>
      </c>
      <c r="L97" s="381">
        <v>264.40223433242465</v>
      </c>
      <c r="M97" s="421">
        <v>43343</v>
      </c>
    </row>
    <row r="98" spans="1:13" x14ac:dyDescent="0.35">
      <c r="A98" s="368">
        <v>43347</v>
      </c>
      <c r="B98" s="371" t="s">
        <v>866</v>
      </c>
      <c r="C98" s="369"/>
      <c r="D98" s="369">
        <v>3</v>
      </c>
      <c r="E98" s="369">
        <v>164</v>
      </c>
      <c r="F98" s="369"/>
      <c r="G98" s="369">
        <v>12.018283378746572</v>
      </c>
      <c r="H98" s="369"/>
      <c r="I98" s="369">
        <v>36.054850136239715</v>
      </c>
      <c r="J98" s="370">
        <v>1970.9984741144378</v>
      </c>
      <c r="K98" s="402"/>
      <c r="L98" s="402"/>
      <c r="M98" s="402"/>
    </row>
    <row r="99" spans="1:13" x14ac:dyDescent="0.35">
      <c r="A99" s="399">
        <v>43353</v>
      </c>
      <c r="B99" s="400" t="s">
        <v>867</v>
      </c>
      <c r="C99" s="379"/>
      <c r="D99" s="379">
        <v>1</v>
      </c>
      <c r="E99" s="379">
        <v>163</v>
      </c>
      <c r="F99" s="379"/>
      <c r="G99" s="379">
        <v>12.018283378746572</v>
      </c>
      <c r="H99" s="379"/>
      <c r="I99" s="379">
        <v>12.018283378746572</v>
      </c>
      <c r="J99" s="401">
        <v>1958.9801907356912</v>
      </c>
      <c r="K99" s="378">
        <v>48.073133514986289</v>
      </c>
      <c r="L99" s="403"/>
      <c r="M99" s="394">
        <v>43358</v>
      </c>
    </row>
    <row r="100" spans="1:13" x14ac:dyDescent="0.35">
      <c r="A100" s="384">
        <v>43361</v>
      </c>
      <c r="B100" s="398" t="s">
        <v>868</v>
      </c>
      <c r="C100" s="382"/>
      <c r="D100" s="382">
        <v>3</v>
      </c>
      <c r="E100" s="369">
        <v>160</v>
      </c>
      <c r="F100" s="369"/>
      <c r="G100" s="369">
        <v>12.018283378746572</v>
      </c>
      <c r="H100" s="369"/>
      <c r="I100" s="369">
        <v>36.054850136239715</v>
      </c>
      <c r="J100" s="370">
        <v>1922.9253405994514</v>
      </c>
      <c r="K100" s="415"/>
      <c r="L100" s="416"/>
      <c r="M100" s="412"/>
    </row>
    <row r="101" spans="1:13" x14ac:dyDescent="0.35">
      <c r="A101" s="399">
        <v>43365</v>
      </c>
      <c r="B101" s="400" t="s">
        <v>869</v>
      </c>
      <c r="C101" s="379"/>
      <c r="D101" s="379">
        <v>4</v>
      </c>
      <c r="E101" s="379">
        <v>156</v>
      </c>
      <c r="F101" s="379"/>
      <c r="G101" s="379">
        <v>12.01828337874657</v>
      </c>
      <c r="H101" s="379"/>
      <c r="I101" s="379">
        <v>48.073133514986282</v>
      </c>
      <c r="J101" s="401">
        <v>1874.8522070844651</v>
      </c>
      <c r="K101" s="378">
        <v>84.127983651226003</v>
      </c>
      <c r="L101" s="378">
        <v>132.2011171662123</v>
      </c>
      <c r="M101" s="394">
        <v>43373</v>
      </c>
    </row>
    <row r="102" spans="1:13" x14ac:dyDescent="0.35">
      <c r="A102" s="368">
        <v>43377</v>
      </c>
      <c r="B102" s="371" t="s">
        <v>870</v>
      </c>
      <c r="C102" s="369"/>
      <c r="D102" s="369">
        <v>3</v>
      </c>
      <c r="E102" s="369">
        <v>153</v>
      </c>
      <c r="F102" s="369"/>
      <c r="G102" s="369">
        <v>12.018283378746572</v>
      </c>
      <c r="H102" s="369"/>
      <c r="I102" s="369">
        <v>36.054850136239715</v>
      </c>
      <c r="J102" s="370">
        <v>1838.7973569482253</v>
      </c>
      <c r="K102" s="402"/>
      <c r="L102" s="402"/>
      <c r="M102" s="402"/>
    </row>
    <row r="103" spans="1:13" x14ac:dyDescent="0.35">
      <c r="A103" s="368">
        <v>43381</v>
      </c>
      <c r="B103" s="371" t="s">
        <v>871</v>
      </c>
      <c r="C103" s="369"/>
      <c r="D103" s="369">
        <v>2</v>
      </c>
      <c r="E103" s="369">
        <v>151</v>
      </c>
      <c r="F103" s="369"/>
      <c r="G103" s="369">
        <v>12.01828337874657</v>
      </c>
      <c r="H103" s="369"/>
      <c r="I103" s="369">
        <v>24.036566757493141</v>
      </c>
      <c r="J103" s="370">
        <v>1814.7607901907322</v>
      </c>
      <c r="K103" s="402"/>
      <c r="L103" s="402"/>
      <c r="M103" s="402"/>
    </row>
    <row r="104" spans="1:13" x14ac:dyDescent="0.35">
      <c r="A104" s="368">
        <v>43384</v>
      </c>
      <c r="B104" s="371" t="s">
        <v>872</v>
      </c>
      <c r="C104" s="369"/>
      <c r="D104" s="369">
        <v>1</v>
      </c>
      <c r="E104" s="369">
        <v>150</v>
      </c>
      <c r="F104" s="369"/>
      <c r="G104" s="369">
        <v>12.01828337874657</v>
      </c>
      <c r="H104" s="369"/>
      <c r="I104" s="369">
        <v>12.01828337874657</v>
      </c>
      <c r="J104" s="370">
        <v>1802.7425068119855</v>
      </c>
      <c r="K104" s="402"/>
      <c r="L104" s="402"/>
      <c r="M104" s="402"/>
    </row>
    <row r="105" spans="1:13" x14ac:dyDescent="0.35">
      <c r="A105" s="368">
        <v>43385</v>
      </c>
      <c r="B105" s="371" t="s">
        <v>873</v>
      </c>
      <c r="C105" s="369"/>
      <c r="D105" s="369">
        <v>1</v>
      </c>
      <c r="E105" s="369">
        <v>149</v>
      </c>
      <c r="F105" s="369"/>
      <c r="G105" s="369">
        <v>12.01828337874657</v>
      </c>
      <c r="H105" s="369"/>
      <c r="I105" s="369">
        <v>12.01828337874657</v>
      </c>
      <c r="J105" s="370">
        <v>1790.7242234332389</v>
      </c>
      <c r="K105" s="402"/>
      <c r="L105" s="402"/>
      <c r="M105" s="402"/>
    </row>
    <row r="106" spans="1:13" x14ac:dyDescent="0.35">
      <c r="A106" s="384">
        <v>43386</v>
      </c>
      <c r="B106" s="398" t="s">
        <v>874</v>
      </c>
      <c r="C106" s="382"/>
      <c r="D106" s="382">
        <v>2</v>
      </c>
      <c r="E106" s="369">
        <v>147</v>
      </c>
      <c r="F106" s="369"/>
      <c r="G106" s="369">
        <v>12.01828337874657</v>
      </c>
      <c r="H106" s="369"/>
      <c r="I106" s="369">
        <v>24.036566757493141</v>
      </c>
      <c r="J106" s="370">
        <v>1766.6876566757458</v>
      </c>
      <c r="K106" s="415"/>
      <c r="L106" s="415"/>
      <c r="M106" s="412"/>
    </row>
    <row r="107" spans="1:13" x14ac:dyDescent="0.35">
      <c r="A107" s="368">
        <v>43388</v>
      </c>
      <c r="B107" s="371" t="s">
        <v>875</v>
      </c>
      <c r="C107" s="369"/>
      <c r="D107" s="369">
        <v>1</v>
      </c>
      <c r="E107" s="369">
        <v>146</v>
      </c>
      <c r="F107" s="369"/>
      <c r="G107" s="369">
        <v>12.01828337874657</v>
      </c>
      <c r="H107" s="369"/>
      <c r="I107" s="369">
        <v>12.01828337874657</v>
      </c>
      <c r="J107" s="370">
        <v>1754.6693732969991</v>
      </c>
      <c r="K107" s="402"/>
      <c r="L107" s="402"/>
      <c r="M107" s="402"/>
    </row>
    <row r="108" spans="1:13" x14ac:dyDescent="0.35">
      <c r="A108" s="384">
        <v>43388</v>
      </c>
      <c r="B108" s="398" t="s">
        <v>876</v>
      </c>
      <c r="C108" s="382"/>
      <c r="D108" s="382">
        <v>1</v>
      </c>
      <c r="E108" s="369">
        <v>145</v>
      </c>
      <c r="F108" s="369"/>
      <c r="G108" s="369">
        <v>12.018283378746569</v>
      </c>
      <c r="H108" s="369"/>
      <c r="I108" s="369">
        <v>12.018283378746569</v>
      </c>
      <c r="J108" s="370">
        <v>1742.6510899182524</v>
      </c>
      <c r="K108" s="415"/>
      <c r="L108" s="416"/>
      <c r="M108" s="412"/>
    </row>
    <row r="109" spans="1:13" x14ac:dyDescent="0.35">
      <c r="A109" s="399">
        <v>43388</v>
      </c>
      <c r="B109" s="400" t="s">
        <v>877</v>
      </c>
      <c r="C109" s="379"/>
      <c r="D109" s="379">
        <v>2</v>
      </c>
      <c r="E109" s="379">
        <v>143</v>
      </c>
      <c r="F109" s="379"/>
      <c r="G109" s="379">
        <v>12.018283378746569</v>
      </c>
      <c r="H109" s="379"/>
      <c r="I109" s="379">
        <v>24.036566757493137</v>
      </c>
      <c r="J109" s="401">
        <v>1718.6145231607593</v>
      </c>
      <c r="K109" s="378">
        <v>156.23768392370545</v>
      </c>
      <c r="L109" s="403"/>
      <c r="M109" s="394">
        <v>43388</v>
      </c>
    </row>
    <row r="110" spans="1:13" x14ac:dyDescent="0.35">
      <c r="A110" s="368">
        <v>43391</v>
      </c>
      <c r="B110" s="371" t="s">
        <v>878</v>
      </c>
      <c r="C110" s="382"/>
      <c r="D110" s="382">
        <v>3</v>
      </c>
      <c r="E110" s="369">
        <v>140</v>
      </c>
      <c r="F110" s="369"/>
      <c r="G110" s="369">
        <v>12.018283378746569</v>
      </c>
      <c r="H110" s="369"/>
      <c r="I110" s="369">
        <v>36.054850136239708</v>
      </c>
      <c r="J110" s="370">
        <v>1682.5596730245195</v>
      </c>
      <c r="K110" s="402"/>
      <c r="L110" s="402"/>
      <c r="M110" s="402"/>
    </row>
    <row r="111" spans="1:13" x14ac:dyDescent="0.35">
      <c r="A111" s="368">
        <v>43392</v>
      </c>
      <c r="B111" s="371" t="s">
        <v>879</v>
      </c>
      <c r="C111" s="382"/>
      <c r="D111" s="382">
        <v>2</v>
      </c>
      <c r="E111" s="369">
        <v>138</v>
      </c>
      <c r="F111" s="369"/>
      <c r="G111" s="369">
        <v>12.018283378746569</v>
      </c>
      <c r="H111" s="369"/>
      <c r="I111" s="369">
        <v>24.036566757493137</v>
      </c>
      <c r="J111" s="370">
        <v>1658.5231062670264</v>
      </c>
      <c r="K111" s="402"/>
      <c r="L111" s="402"/>
      <c r="M111" s="402"/>
    </row>
    <row r="112" spans="1:13" x14ac:dyDescent="0.35">
      <c r="A112" s="368">
        <v>43395</v>
      </c>
      <c r="B112" s="371" t="s">
        <v>880</v>
      </c>
      <c r="C112" s="382"/>
      <c r="D112" s="382">
        <v>1</v>
      </c>
      <c r="E112" s="369">
        <v>137</v>
      </c>
      <c r="F112" s="369"/>
      <c r="G112" s="369">
        <v>12.018283378746569</v>
      </c>
      <c r="H112" s="369"/>
      <c r="I112" s="369">
        <v>12.018283378746569</v>
      </c>
      <c r="J112" s="370">
        <v>1646.5048228882797</v>
      </c>
      <c r="K112" s="402"/>
      <c r="L112" s="402"/>
      <c r="M112" s="402"/>
    </row>
    <row r="113" spans="1:13" x14ac:dyDescent="0.35">
      <c r="A113" s="368">
        <v>43400</v>
      </c>
      <c r="B113" s="371" t="s">
        <v>881</v>
      </c>
      <c r="C113" s="382"/>
      <c r="D113" s="382">
        <v>3</v>
      </c>
      <c r="E113" s="369">
        <v>134</v>
      </c>
      <c r="F113" s="369"/>
      <c r="G113" s="369">
        <v>12.018283378746567</v>
      </c>
      <c r="H113" s="369"/>
      <c r="I113" s="369">
        <v>36.0548501362397</v>
      </c>
      <c r="J113" s="370">
        <v>1610.4499727520399</v>
      </c>
      <c r="K113" s="402"/>
      <c r="L113" s="402"/>
      <c r="M113" s="402"/>
    </row>
    <row r="114" spans="1:13" x14ac:dyDescent="0.35">
      <c r="A114" s="399">
        <v>43403</v>
      </c>
      <c r="B114" s="400" t="s">
        <v>882</v>
      </c>
      <c r="C114" s="379"/>
      <c r="D114" s="379">
        <v>3</v>
      </c>
      <c r="E114" s="379">
        <v>131</v>
      </c>
      <c r="F114" s="379"/>
      <c r="G114" s="379">
        <v>12.018283378746567</v>
      </c>
      <c r="H114" s="379"/>
      <c r="I114" s="379">
        <v>36.0548501362397</v>
      </c>
      <c r="J114" s="401">
        <v>1574.3951226158001</v>
      </c>
      <c r="K114" s="378">
        <v>144.21940054495883</v>
      </c>
      <c r="L114" s="378">
        <v>300.45708446866428</v>
      </c>
      <c r="M114" s="394">
        <v>43404</v>
      </c>
    </row>
    <row r="115" spans="1:13" x14ac:dyDescent="0.35">
      <c r="A115" s="368">
        <v>43409</v>
      </c>
      <c r="B115" s="371" t="s">
        <v>883</v>
      </c>
      <c r="C115" s="382"/>
      <c r="D115" s="382">
        <v>3</v>
      </c>
      <c r="E115" s="369">
        <v>128</v>
      </c>
      <c r="F115" s="369"/>
      <c r="G115" s="369">
        <v>12.018283378746565</v>
      </c>
      <c r="H115" s="369"/>
      <c r="I115" s="369">
        <v>36.054850136239693</v>
      </c>
      <c r="J115" s="370">
        <v>1538.3402724795603</v>
      </c>
      <c r="K115" s="402"/>
      <c r="L115" s="402"/>
      <c r="M115" s="402"/>
    </row>
    <row r="116" spans="1:13" x14ac:dyDescent="0.35">
      <c r="A116" s="384">
        <v>43409</v>
      </c>
      <c r="B116" s="398" t="s">
        <v>884</v>
      </c>
      <c r="C116" s="382"/>
      <c r="D116" s="382">
        <v>3</v>
      </c>
      <c r="E116" s="369">
        <v>125</v>
      </c>
      <c r="F116" s="369"/>
      <c r="G116" s="369">
        <v>12.018283378746565</v>
      </c>
      <c r="H116" s="369"/>
      <c r="I116" s="369">
        <v>36.054850136239693</v>
      </c>
      <c r="J116" s="370">
        <v>1502.2854223433205</v>
      </c>
      <c r="K116" s="415"/>
      <c r="L116" s="415"/>
      <c r="M116" s="412"/>
    </row>
    <row r="117" spans="1:13" x14ac:dyDescent="0.35">
      <c r="A117" s="368">
        <v>43410</v>
      </c>
      <c r="B117" s="371" t="s">
        <v>885</v>
      </c>
      <c r="C117" s="382"/>
      <c r="D117" s="382">
        <v>1</v>
      </c>
      <c r="E117" s="369">
        <v>124</v>
      </c>
      <c r="F117" s="369"/>
      <c r="G117" s="369">
        <v>12.018283378746565</v>
      </c>
      <c r="H117" s="369"/>
      <c r="I117" s="369">
        <v>12.018283378746565</v>
      </c>
      <c r="J117" s="370">
        <v>1490.2671389645739</v>
      </c>
      <c r="K117" s="402"/>
      <c r="L117" s="402"/>
      <c r="M117" s="402"/>
    </row>
    <row r="118" spans="1:13" x14ac:dyDescent="0.35">
      <c r="A118" s="368">
        <v>43412</v>
      </c>
      <c r="B118" s="371" t="s">
        <v>886</v>
      </c>
      <c r="C118" s="382"/>
      <c r="D118" s="382">
        <v>7</v>
      </c>
      <c r="E118" s="369">
        <v>117</v>
      </c>
      <c r="F118" s="369"/>
      <c r="G118" s="369">
        <v>12.018283378746563</v>
      </c>
      <c r="H118" s="369"/>
      <c r="I118" s="369">
        <v>84.127983651225946</v>
      </c>
      <c r="J118" s="370">
        <v>1406.1391553133478</v>
      </c>
      <c r="K118" s="402"/>
      <c r="L118" s="402"/>
      <c r="M118" s="402"/>
    </row>
    <row r="119" spans="1:13" x14ac:dyDescent="0.35">
      <c r="A119" s="384">
        <v>43412</v>
      </c>
      <c r="B119" s="398" t="s">
        <v>887</v>
      </c>
      <c r="C119" s="382"/>
      <c r="D119" s="382">
        <v>3</v>
      </c>
      <c r="E119" s="369">
        <v>114</v>
      </c>
      <c r="F119" s="369"/>
      <c r="G119" s="369">
        <v>12.018283378746563</v>
      </c>
      <c r="H119" s="369"/>
      <c r="I119" s="369">
        <v>36.054850136239693</v>
      </c>
      <c r="J119" s="370">
        <v>1370.084305177108</v>
      </c>
      <c r="K119" s="415"/>
      <c r="L119" s="415"/>
      <c r="M119" s="412"/>
    </row>
    <row r="120" spans="1:13" x14ac:dyDescent="0.35">
      <c r="A120" s="368">
        <v>43412</v>
      </c>
      <c r="B120" s="371" t="s">
        <v>888</v>
      </c>
      <c r="C120" s="382"/>
      <c r="D120" s="382">
        <v>4</v>
      </c>
      <c r="E120" s="369">
        <v>110</v>
      </c>
      <c r="F120" s="369"/>
      <c r="G120" s="369">
        <v>12.018283378746561</v>
      </c>
      <c r="H120" s="369"/>
      <c r="I120" s="369">
        <v>48.073133514986246</v>
      </c>
      <c r="J120" s="370">
        <v>1322.0111716621218</v>
      </c>
      <c r="K120" s="402"/>
      <c r="L120" s="402"/>
      <c r="M120" s="402"/>
    </row>
    <row r="121" spans="1:13" x14ac:dyDescent="0.35">
      <c r="A121" s="399">
        <v>43413</v>
      </c>
      <c r="B121" s="400" t="s">
        <v>889</v>
      </c>
      <c r="C121" s="379"/>
      <c r="D121" s="379">
        <v>1</v>
      </c>
      <c r="E121" s="379">
        <v>109</v>
      </c>
      <c r="F121" s="379"/>
      <c r="G121" s="379">
        <v>12.018283378746561</v>
      </c>
      <c r="H121" s="379"/>
      <c r="I121" s="379">
        <v>12.018283378746561</v>
      </c>
      <c r="J121" s="401">
        <v>1309.9928882833751</v>
      </c>
      <c r="K121" s="378">
        <v>264.40223433242437</v>
      </c>
      <c r="L121" s="403"/>
      <c r="M121" s="394">
        <v>43419</v>
      </c>
    </row>
    <row r="122" spans="1:13" x14ac:dyDescent="0.35">
      <c r="A122" s="368">
        <v>43420</v>
      </c>
      <c r="B122" s="371" t="s">
        <v>890</v>
      </c>
      <c r="C122" s="382"/>
      <c r="D122" s="382">
        <v>2</v>
      </c>
      <c r="E122" s="369">
        <v>107</v>
      </c>
      <c r="F122" s="369"/>
      <c r="G122" s="369">
        <v>12.018283378746561</v>
      </c>
      <c r="H122" s="369"/>
      <c r="I122" s="369">
        <v>24.036566757493123</v>
      </c>
      <c r="J122" s="370">
        <v>1285.956321525882</v>
      </c>
      <c r="K122" s="402"/>
      <c r="L122" s="402"/>
      <c r="M122" s="402"/>
    </row>
    <row r="123" spans="1:13" x14ac:dyDescent="0.35">
      <c r="A123" s="368">
        <v>43421</v>
      </c>
      <c r="B123" s="371" t="s">
        <v>891</v>
      </c>
      <c r="C123" s="382"/>
      <c r="D123" s="382">
        <v>4</v>
      </c>
      <c r="E123" s="369">
        <v>103</v>
      </c>
      <c r="F123" s="369"/>
      <c r="G123" s="369">
        <v>12.018283378746561</v>
      </c>
      <c r="H123" s="369"/>
      <c r="I123" s="369">
        <v>48.073133514986246</v>
      </c>
      <c r="J123" s="370">
        <v>1237.8831880108958</v>
      </c>
      <c r="K123" s="402"/>
      <c r="L123" s="402"/>
      <c r="M123" s="402"/>
    </row>
    <row r="124" spans="1:13" x14ac:dyDescent="0.35">
      <c r="A124" s="368">
        <v>43423</v>
      </c>
      <c r="B124" s="371" t="s">
        <v>892</v>
      </c>
      <c r="C124" s="382"/>
      <c r="D124" s="382">
        <v>3</v>
      </c>
      <c r="E124" s="369">
        <v>100</v>
      </c>
      <c r="F124" s="369"/>
      <c r="G124" s="369">
        <v>12.018283378746561</v>
      </c>
      <c r="H124" s="369"/>
      <c r="I124" s="369">
        <v>36.054850136239686</v>
      </c>
      <c r="J124" s="370">
        <v>1201.828337874656</v>
      </c>
      <c r="K124" s="402"/>
      <c r="L124" s="402"/>
      <c r="M124" s="402"/>
    </row>
    <row r="125" spans="1:13" x14ac:dyDescent="0.35">
      <c r="A125" s="368">
        <v>43427</v>
      </c>
      <c r="B125" s="371" t="s">
        <v>893</v>
      </c>
      <c r="C125" s="382"/>
      <c r="D125" s="382">
        <v>2</v>
      </c>
      <c r="E125" s="369">
        <v>98</v>
      </c>
      <c r="F125" s="369"/>
      <c r="G125" s="369">
        <v>12.01828337874656</v>
      </c>
      <c r="H125" s="369"/>
      <c r="I125" s="369">
        <v>24.036566757493119</v>
      </c>
      <c r="J125" s="370">
        <v>1177.7917711171629</v>
      </c>
      <c r="K125" s="402"/>
      <c r="L125" s="402"/>
      <c r="M125" s="402"/>
    </row>
    <row r="126" spans="1:13" x14ac:dyDescent="0.35">
      <c r="A126" s="368">
        <v>43428</v>
      </c>
      <c r="B126" s="371" t="s">
        <v>894</v>
      </c>
      <c r="C126" s="382"/>
      <c r="D126" s="382">
        <v>1</v>
      </c>
      <c r="E126" s="369">
        <v>97</v>
      </c>
      <c r="F126" s="369"/>
      <c r="G126" s="369">
        <v>12.01828337874656</v>
      </c>
      <c r="H126" s="369"/>
      <c r="I126" s="369">
        <v>12.01828337874656</v>
      </c>
      <c r="J126" s="370">
        <v>1165.7734877384164</v>
      </c>
      <c r="K126" s="402"/>
      <c r="L126" s="402"/>
      <c r="M126" s="402"/>
    </row>
    <row r="127" spans="1:13" x14ac:dyDescent="0.35">
      <c r="A127" s="399">
        <v>43431</v>
      </c>
      <c r="B127" s="400" t="s">
        <v>895</v>
      </c>
      <c r="C127" s="379"/>
      <c r="D127" s="379">
        <v>2</v>
      </c>
      <c r="E127" s="379">
        <v>95</v>
      </c>
      <c r="F127" s="379"/>
      <c r="G127" s="379">
        <v>12.018283378746561</v>
      </c>
      <c r="H127" s="379"/>
      <c r="I127" s="379">
        <v>24.036566757493123</v>
      </c>
      <c r="J127" s="401">
        <v>1141.7369209809233</v>
      </c>
      <c r="K127" s="378">
        <v>168.25596730245186</v>
      </c>
      <c r="L127" s="378">
        <v>432.65820163487626</v>
      </c>
      <c r="M127" s="394">
        <v>43434</v>
      </c>
    </row>
    <row r="128" spans="1:13" x14ac:dyDescent="0.35">
      <c r="A128" s="368">
        <v>43435</v>
      </c>
      <c r="B128" s="371" t="s">
        <v>896</v>
      </c>
      <c r="C128" s="382"/>
      <c r="D128" s="382">
        <v>3</v>
      </c>
      <c r="E128" s="369">
        <v>92</v>
      </c>
      <c r="F128" s="369"/>
      <c r="G128" s="369">
        <v>12.018283378746561</v>
      </c>
      <c r="H128" s="369"/>
      <c r="I128" s="369">
        <v>36.054850136239686</v>
      </c>
      <c r="J128" s="370">
        <v>1105.6820708446835</v>
      </c>
      <c r="K128" s="402"/>
      <c r="L128" s="402"/>
      <c r="M128" s="402"/>
    </row>
    <row r="129" spans="1:13" x14ac:dyDescent="0.35">
      <c r="A129" s="368">
        <v>43438</v>
      </c>
      <c r="B129" s="371" t="s">
        <v>897</v>
      </c>
      <c r="C129" s="382"/>
      <c r="D129" s="382">
        <v>2</v>
      </c>
      <c r="E129" s="369">
        <v>90</v>
      </c>
      <c r="F129" s="369"/>
      <c r="G129" s="369">
        <v>12.01828337874656</v>
      </c>
      <c r="H129" s="369"/>
      <c r="I129" s="369">
        <v>24.036566757493119</v>
      </c>
      <c r="J129" s="370">
        <v>1081.6455040871904</v>
      </c>
      <c r="K129" s="402"/>
      <c r="L129" s="402"/>
      <c r="M129" s="402"/>
    </row>
    <row r="130" spans="1:13" x14ac:dyDescent="0.35">
      <c r="A130" s="368">
        <v>43438</v>
      </c>
      <c r="B130" s="371" t="s">
        <v>898</v>
      </c>
      <c r="C130" s="382"/>
      <c r="D130" s="382">
        <v>4</v>
      </c>
      <c r="E130" s="369">
        <v>86</v>
      </c>
      <c r="F130" s="369"/>
      <c r="G130" s="369">
        <v>12.01828337874656</v>
      </c>
      <c r="H130" s="369"/>
      <c r="I130" s="369">
        <v>48.073133514986239</v>
      </c>
      <c r="J130" s="370">
        <v>1033.5723705722041</v>
      </c>
      <c r="K130" s="402"/>
      <c r="L130" s="402"/>
      <c r="M130" s="402"/>
    </row>
    <row r="131" spans="1:13" x14ac:dyDescent="0.35">
      <c r="A131" s="368">
        <v>43441</v>
      </c>
      <c r="B131" s="371" t="s">
        <v>899</v>
      </c>
      <c r="C131" s="382"/>
      <c r="D131" s="382">
        <v>2</v>
      </c>
      <c r="E131" s="369">
        <v>84</v>
      </c>
      <c r="F131" s="369"/>
      <c r="G131" s="369">
        <v>12.01828337874656</v>
      </c>
      <c r="H131" s="369"/>
      <c r="I131" s="369">
        <v>24.036566757493119</v>
      </c>
      <c r="J131" s="370">
        <v>1009.535803814711</v>
      </c>
      <c r="K131" s="402"/>
      <c r="L131" s="402"/>
      <c r="M131" s="402"/>
    </row>
    <row r="132" spans="1:13" x14ac:dyDescent="0.35">
      <c r="A132" s="368">
        <v>43441</v>
      </c>
      <c r="B132" s="371" t="s">
        <v>900</v>
      </c>
      <c r="C132" s="382"/>
      <c r="D132" s="382">
        <v>1</v>
      </c>
      <c r="E132" s="369">
        <v>83</v>
      </c>
      <c r="F132" s="369"/>
      <c r="G132" s="369">
        <v>12.01828337874656</v>
      </c>
      <c r="H132" s="369"/>
      <c r="I132" s="369">
        <v>12.01828337874656</v>
      </c>
      <c r="J132" s="370">
        <v>997.51752043596446</v>
      </c>
      <c r="K132" s="402"/>
      <c r="L132" s="402"/>
      <c r="M132" s="402"/>
    </row>
    <row r="133" spans="1:13" x14ac:dyDescent="0.35">
      <c r="A133" s="368">
        <v>43445</v>
      </c>
      <c r="B133" s="371" t="s">
        <v>901</v>
      </c>
      <c r="C133" s="382"/>
      <c r="D133" s="382">
        <v>0</v>
      </c>
      <c r="E133" s="369">
        <v>83</v>
      </c>
      <c r="F133" s="369"/>
      <c r="G133" s="369">
        <v>12.01828337874656</v>
      </c>
      <c r="H133" s="369"/>
      <c r="I133" s="369">
        <v>0</v>
      </c>
      <c r="J133" s="370">
        <v>997.51752043596446</v>
      </c>
      <c r="K133" s="402"/>
      <c r="L133" s="402"/>
      <c r="M133" s="402"/>
    </row>
    <row r="134" spans="1:13" x14ac:dyDescent="0.35">
      <c r="A134" s="384">
        <v>43445</v>
      </c>
      <c r="B134" s="398" t="s">
        <v>902</v>
      </c>
      <c r="C134" s="382"/>
      <c r="D134" s="382">
        <v>2</v>
      </c>
      <c r="E134" s="382">
        <v>81</v>
      </c>
      <c r="F134" s="382"/>
      <c r="G134" s="382">
        <v>12.01828337874656</v>
      </c>
      <c r="H134" s="382"/>
      <c r="I134" s="382">
        <v>24.036566757493119</v>
      </c>
      <c r="J134" s="383">
        <v>973.48095367847134</v>
      </c>
      <c r="K134" s="413"/>
      <c r="L134" s="416"/>
      <c r="M134" s="413"/>
    </row>
    <row r="135" spans="1:13" x14ac:dyDescent="0.35">
      <c r="A135" s="399">
        <v>43447</v>
      </c>
      <c r="B135" s="398" t="s">
        <v>903</v>
      </c>
      <c r="C135" s="379"/>
      <c r="D135" s="379">
        <v>1</v>
      </c>
      <c r="E135" s="379">
        <v>80</v>
      </c>
      <c r="F135" s="379"/>
      <c r="G135" s="382">
        <v>12.01828337874656</v>
      </c>
      <c r="H135" s="382"/>
      <c r="I135" s="382">
        <v>12.01828337874656</v>
      </c>
      <c r="J135" s="383">
        <v>961.46267029972478</v>
      </c>
      <c r="K135" s="415">
        <v>180.2742506811984</v>
      </c>
      <c r="L135" s="403"/>
      <c r="M135" s="412">
        <v>43449</v>
      </c>
    </row>
    <row r="136" spans="1:13" x14ac:dyDescent="0.35">
      <c r="A136" s="399">
        <v>43453</v>
      </c>
      <c r="B136" s="400" t="s">
        <v>904</v>
      </c>
      <c r="C136" s="379"/>
      <c r="D136" s="379">
        <v>2</v>
      </c>
      <c r="E136" s="379">
        <v>78</v>
      </c>
      <c r="F136" s="379"/>
      <c r="G136" s="382">
        <v>12.01828337874656</v>
      </c>
      <c r="H136" s="382"/>
      <c r="I136" s="382">
        <v>24.036566757493119</v>
      </c>
      <c r="J136" s="383">
        <v>937.42610354223166</v>
      </c>
      <c r="K136" s="378">
        <v>24.036566757493119</v>
      </c>
      <c r="L136" s="378">
        <v>204.31081743869152</v>
      </c>
      <c r="M136" s="394">
        <v>43465</v>
      </c>
    </row>
    <row r="137" spans="1:13" ht="15" thickBot="1" x14ac:dyDescent="0.4">
      <c r="A137" s="368"/>
      <c r="B137" s="371"/>
      <c r="C137" s="398">
        <v>367</v>
      </c>
      <c r="D137" s="398">
        <v>289</v>
      </c>
      <c r="E137" s="371"/>
      <c r="F137" s="369"/>
      <c r="G137" s="369"/>
      <c r="H137" s="371">
        <v>4410.71</v>
      </c>
      <c r="I137" s="369">
        <v>3473.2838964577631</v>
      </c>
      <c r="J137" s="370"/>
      <c r="K137" s="402"/>
      <c r="L137" s="414">
        <v>3473.2838964577613</v>
      </c>
      <c r="M137" s="402"/>
    </row>
    <row r="138" spans="1:13" ht="15" thickTop="1" x14ac:dyDescent="0.35">
      <c r="A138" s="364"/>
      <c r="B138" s="364"/>
      <c r="C138" s="413"/>
      <c r="D138" s="413"/>
      <c r="E138" s="364"/>
      <c r="F138" s="364"/>
      <c r="G138" s="364"/>
      <c r="H138" s="364"/>
      <c r="I138" s="364"/>
      <c r="J138" s="364"/>
      <c r="K138" s="364"/>
      <c r="L138" s="405"/>
      <c r="M138" s="364"/>
    </row>
    <row r="139" spans="1:13" x14ac:dyDescent="0.35">
      <c r="A139" s="364"/>
      <c r="B139" s="364"/>
      <c r="C139" s="413"/>
      <c r="D139" s="413"/>
      <c r="E139" s="364"/>
      <c r="F139" s="364"/>
      <c r="G139" s="364"/>
      <c r="H139" s="364"/>
      <c r="I139" s="364"/>
      <c r="J139" s="364"/>
      <c r="K139" s="364"/>
      <c r="L139" s="364"/>
      <c r="M139" s="364"/>
    </row>
    <row r="140" spans="1:13" x14ac:dyDescent="0.35">
      <c r="A140" s="408" t="s">
        <v>905</v>
      </c>
      <c r="B140" s="391"/>
      <c r="C140" s="420"/>
      <c r="D140" s="420"/>
      <c r="E140" s="406"/>
      <c r="F140" s="406"/>
      <c r="G140" s="364"/>
      <c r="H140" s="364"/>
      <c r="I140" s="364"/>
      <c r="J140" s="364"/>
      <c r="K140" s="364"/>
      <c r="L140" s="364"/>
      <c r="M140" s="364"/>
    </row>
    <row r="141" spans="1:13" x14ac:dyDescent="0.35">
      <c r="A141" s="408"/>
      <c r="B141" s="391"/>
      <c r="C141" s="406"/>
      <c r="D141" s="406"/>
      <c r="E141" s="406"/>
      <c r="F141" s="406"/>
      <c r="G141" s="364"/>
      <c r="H141" s="364"/>
      <c r="I141" s="364"/>
      <c r="J141" s="364"/>
      <c r="K141" s="364"/>
      <c r="L141" s="364"/>
      <c r="M141" s="417"/>
    </row>
    <row r="142" spans="1:13" x14ac:dyDescent="0.35">
      <c r="A142" s="408" t="s">
        <v>233</v>
      </c>
      <c r="B142" s="391"/>
      <c r="C142" s="406"/>
      <c r="D142" s="406"/>
      <c r="E142" s="406"/>
      <c r="F142" s="406"/>
      <c r="G142" s="364"/>
      <c r="H142" s="364"/>
      <c r="I142" s="364"/>
      <c r="J142" s="409">
        <v>937.42610354223427</v>
      </c>
      <c r="K142" s="364"/>
      <c r="L142" s="364"/>
      <c r="M142" s="417"/>
    </row>
    <row r="143" spans="1:13" x14ac:dyDescent="0.35">
      <c r="A143" s="408" t="s">
        <v>231</v>
      </c>
      <c r="B143" s="391"/>
      <c r="C143" s="406"/>
      <c r="D143" s="406"/>
      <c r="E143" s="406"/>
      <c r="F143" s="406"/>
      <c r="G143" s="364"/>
      <c r="H143" s="364"/>
      <c r="I143" s="364"/>
      <c r="J143" s="410">
        <v>937.42610354223166</v>
      </c>
      <c r="K143" s="364"/>
      <c r="L143" s="364"/>
      <c r="M143" s="364"/>
    </row>
    <row r="144" spans="1:13" ht="15" thickBot="1" x14ac:dyDescent="0.4">
      <c r="A144" s="408"/>
      <c r="B144" s="391" t="s">
        <v>232</v>
      </c>
      <c r="C144" s="406"/>
      <c r="D144" s="406"/>
      <c r="E144" s="406"/>
      <c r="F144" s="406"/>
      <c r="G144" s="364"/>
      <c r="H144" s="364"/>
      <c r="I144" s="364"/>
      <c r="J144" s="411">
        <v>2.6147972675971687E-12</v>
      </c>
      <c r="K144" s="364"/>
      <c r="L144" s="364"/>
      <c r="M144" s="364"/>
    </row>
  </sheetData>
  <mergeCells count="5">
    <mergeCell ref="A5:I5"/>
    <mergeCell ref="A6:J6"/>
    <mergeCell ref="C9:E9"/>
    <mergeCell ref="F9:G9"/>
    <mergeCell ref="H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26B0A"/>
  </sheetPr>
  <dimension ref="A1:N65"/>
  <sheetViews>
    <sheetView zoomScaleNormal="100" workbookViewId="0">
      <selection sqref="A1:N64"/>
    </sheetView>
  </sheetViews>
  <sheetFormatPr baseColWidth="10" defaultRowHeight="14.5" x14ac:dyDescent="0.35"/>
  <cols>
    <col min="2" max="2" width="34.453125" customWidth="1"/>
  </cols>
  <sheetData>
    <row r="1" spans="1:14" x14ac:dyDescent="0.35">
      <c r="A1" s="73" t="s">
        <v>0</v>
      </c>
      <c r="B1" s="74"/>
      <c r="C1" s="86"/>
      <c r="D1" s="86"/>
      <c r="E1" s="86"/>
      <c r="F1" s="86"/>
      <c r="G1" s="86"/>
      <c r="H1" s="87" t="s">
        <v>1</v>
      </c>
      <c r="I1" s="86"/>
      <c r="J1" s="86"/>
      <c r="K1" s="88"/>
      <c r="L1" s="103"/>
      <c r="M1" s="103"/>
      <c r="N1" s="103"/>
    </row>
    <row r="2" spans="1:14" x14ac:dyDescent="0.35">
      <c r="A2" s="75" t="s">
        <v>2</v>
      </c>
      <c r="B2" s="76"/>
      <c r="C2" s="89"/>
      <c r="D2" s="115"/>
      <c r="E2" s="115"/>
      <c r="F2" s="115"/>
      <c r="G2" s="89"/>
      <c r="H2" s="246" t="s">
        <v>219</v>
      </c>
      <c r="I2" s="89"/>
      <c r="J2" s="89"/>
      <c r="K2" s="91"/>
      <c r="L2" s="103"/>
      <c r="M2" s="103"/>
      <c r="N2" s="103"/>
    </row>
    <row r="3" spans="1:14" x14ac:dyDescent="0.35">
      <c r="A3" s="77" t="s">
        <v>3</v>
      </c>
      <c r="B3" s="78"/>
      <c r="C3" s="89"/>
      <c r="D3" s="115"/>
      <c r="E3" s="115"/>
      <c r="F3" s="115"/>
      <c r="G3" s="89"/>
      <c r="H3" s="90" t="s">
        <v>4</v>
      </c>
      <c r="I3" s="89"/>
      <c r="J3" s="89"/>
      <c r="K3" s="91"/>
      <c r="L3" s="103"/>
      <c r="M3" s="103"/>
      <c r="N3" s="103"/>
    </row>
    <row r="4" spans="1:14" x14ac:dyDescent="0.35">
      <c r="A4" s="84"/>
      <c r="B4" s="89"/>
      <c r="C4" s="89"/>
      <c r="D4" s="327" t="s">
        <v>5</v>
      </c>
      <c r="E4" s="327"/>
      <c r="F4" s="327"/>
      <c r="G4" s="327"/>
      <c r="H4" s="327"/>
      <c r="I4" s="89"/>
      <c r="J4" s="89"/>
      <c r="K4" s="91"/>
      <c r="L4" s="103"/>
      <c r="M4" s="103"/>
      <c r="N4" s="103"/>
    </row>
    <row r="5" spans="1:14" x14ac:dyDescent="0.35">
      <c r="A5" s="84"/>
      <c r="B5" s="92"/>
      <c r="C5" s="89"/>
      <c r="D5" s="333" t="s">
        <v>25</v>
      </c>
      <c r="E5" s="333"/>
      <c r="F5" s="333"/>
      <c r="G5" s="333"/>
      <c r="H5" s="89"/>
      <c r="I5" s="89"/>
      <c r="J5" s="89"/>
      <c r="K5" s="91"/>
      <c r="L5" s="103"/>
      <c r="M5" s="103"/>
      <c r="N5" s="103"/>
    </row>
    <row r="6" spans="1:14" x14ac:dyDescent="0.35">
      <c r="A6" s="84"/>
      <c r="B6" s="92"/>
      <c r="C6" s="89"/>
      <c r="D6" s="334" t="s">
        <v>6</v>
      </c>
      <c r="E6" s="334"/>
      <c r="F6" s="334"/>
      <c r="G6" s="334"/>
      <c r="H6" s="89"/>
      <c r="I6" s="89"/>
      <c r="J6" s="89"/>
      <c r="K6" s="91"/>
      <c r="L6" s="103"/>
      <c r="M6" s="103"/>
      <c r="N6" s="103"/>
    </row>
    <row r="7" spans="1:14" x14ac:dyDescent="0.35">
      <c r="A7" s="79" t="s">
        <v>7</v>
      </c>
      <c r="B7" s="93" t="s">
        <v>8</v>
      </c>
      <c r="C7" s="328" t="s">
        <v>9</v>
      </c>
      <c r="D7" s="328"/>
      <c r="E7" s="329"/>
      <c r="F7" s="330" t="s">
        <v>10</v>
      </c>
      <c r="G7" s="330"/>
      <c r="H7" s="331" t="s">
        <v>11</v>
      </c>
      <c r="I7" s="332"/>
      <c r="J7" s="332"/>
      <c r="K7" s="83" t="s">
        <v>12</v>
      </c>
      <c r="L7" s="103"/>
      <c r="M7" s="103"/>
      <c r="N7" s="103"/>
    </row>
    <row r="8" spans="1:14" x14ac:dyDescent="0.35">
      <c r="A8" s="80"/>
      <c r="B8" s="94"/>
      <c r="C8" s="94" t="s">
        <v>13</v>
      </c>
      <c r="D8" s="95" t="s">
        <v>14</v>
      </c>
      <c r="E8" s="96" t="s">
        <v>15</v>
      </c>
      <c r="F8" s="97" t="s">
        <v>16</v>
      </c>
      <c r="G8" s="97" t="s">
        <v>17</v>
      </c>
      <c r="H8" s="95" t="s">
        <v>18</v>
      </c>
      <c r="I8" s="98" t="s">
        <v>19</v>
      </c>
      <c r="J8" s="99" t="s">
        <v>20</v>
      </c>
      <c r="K8" s="104"/>
      <c r="L8" s="103"/>
      <c r="M8" s="103"/>
      <c r="N8" s="103"/>
    </row>
    <row r="9" spans="1:14" x14ac:dyDescent="0.35">
      <c r="A9" s="81">
        <v>43102</v>
      </c>
      <c r="B9" s="82" t="s">
        <v>22</v>
      </c>
      <c r="C9" s="106">
        <v>25853.65</v>
      </c>
      <c r="D9" s="108"/>
      <c r="E9" s="109">
        <f>+C9</f>
        <v>25853.65</v>
      </c>
      <c r="F9" s="101">
        <f>+H9/C9</f>
        <v>20.206214209599032</v>
      </c>
      <c r="G9" s="101"/>
      <c r="H9" s="102">
        <v>522404.39</v>
      </c>
      <c r="I9" s="110"/>
      <c r="J9" s="110">
        <f>+H9</f>
        <v>522404.39</v>
      </c>
      <c r="K9" s="111"/>
      <c r="L9" s="103"/>
      <c r="M9" s="103"/>
      <c r="N9" s="103"/>
    </row>
    <row r="10" spans="1:14" s="72" customFormat="1" x14ac:dyDescent="0.35">
      <c r="A10" s="100">
        <v>43175</v>
      </c>
      <c r="B10" s="85" t="s">
        <v>179</v>
      </c>
      <c r="C10" s="107"/>
      <c r="D10" s="112">
        <f>+(22*5.5+22*6.5)*1.05</f>
        <v>277.2</v>
      </c>
      <c r="E10" s="113">
        <f>+E9-D10</f>
        <v>25576.45</v>
      </c>
      <c r="F10" s="105"/>
      <c r="G10" s="101">
        <f>+J9/E9</f>
        <v>20.206214209599032</v>
      </c>
      <c r="H10" s="105"/>
      <c r="I10" s="108">
        <f>+D10*G10</f>
        <v>5601.1625789008513</v>
      </c>
      <c r="J10" s="110">
        <f>+J9-I10</f>
        <v>516803.22742109915</v>
      </c>
      <c r="K10" s="114"/>
      <c r="L10" s="103"/>
      <c r="M10" s="103"/>
      <c r="N10" s="103"/>
    </row>
    <row r="11" spans="1:14" s="72" customFormat="1" x14ac:dyDescent="0.35">
      <c r="A11" s="100">
        <v>43176</v>
      </c>
      <c r="B11" s="85" t="s">
        <v>180</v>
      </c>
      <c r="C11" s="107"/>
      <c r="D11" s="112">
        <f>+(7*3.75)*1.05</f>
        <v>27.5625</v>
      </c>
      <c r="E11" s="113">
        <f t="shared" ref="E11:E39" si="0">+E10-D11</f>
        <v>25548.887500000001</v>
      </c>
      <c r="F11" s="105"/>
      <c r="G11" s="101">
        <f t="shared" ref="G11:G39" si="1">+J10/E10</f>
        <v>20.206214209599032</v>
      </c>
      <c r="H11" s="105"/>
      <c r="I11" s="108">
        <f t="shared" ref="I11:I39" si="2">+D11*G11</f>
        <v>556.93377915207338</v>
      </c>
      <c r="J11" s="110">
        <f t="shared" ref="J11:J39" si="3">+J10-I11</f>
        <v>516246.29364194709</v>
      </c>
      <c r="K11" s="114"/>
      <c r="L11" s="103"/>
      <c r="M11" s="103"/>
      <c r="N11" s="103"/>
    </row>
    <row r="12" spans="1:14" s="72" customFormat="1" x14ac:dyDescent="0.35">
      <c r="A12" s="100">
        <v>43182</v>
      </c>
      <c r="B12" s="85" t="s">
        <v>181</v>
      </c>
      <c r="C12" s="107"/>
      <c r="D12" s="112">
        <f>(3*2.5)*1.05</f>
        <v>7.875</v>
      </c>
      <c r="E12" s="113">
        <f t="shared" si="0"/>
        <v>25541.012500000001</v>
      </c>
      <c r="F12" s="105"/>
      <c r="G12" s="101">
        <f t="shared" si="1"/>
        <v>20.206214209599032</v>
      </c>
      <c r="H12" s="105"/>
      <c r="I12" s="108">
        <f t="shared" si="2"/>
        <v>159.12393690059238</v>
      </c>
      <c r="J12" s="110">
        <f t="shared" si="3"/>
        <v>516087.16970504652</v>
      </c>
      <c r="K12" s="114"/>
      <c r="L12" s="103"/>
      <c r="M12" s="103"/>
      <c r="N12" s="103"/>
    </row>
    <row r="13" spans="1:14" s="225" customFormat="1" x14ac:dyDescent="0.35">
      <c r="A13" s="252">
        <v>43188</v>
      </c>
      <c r="B13" s="226" t="s">
        <v>182</v>
      </c>
      <c r="C13" s="233"/>
      <c r="D13" s="253">
        <f>(22*1)*0.105+4</f>
        <v>6.3100000000000005</v>
      </c>
      <c r="E13" s="254">
        <f t="shared" si="0"/>
        <v>25534.702499999999</v>
      </c>
      <c r="F13" s="223"/>
      <c r="G13" s="233">
        <f t="shared" si="1"/>
        <v>20.206214209599032</v>
      </c>
      <c r="H13" s="223"/>
      <c r="I13" s="255">
        <f t="shared" si="2"/>
        <v>127.5012116625699</v>
      </c>
      <c r="J13" s="255">
        <f t="shared" si="3"/>
        <v>515959.66849338397</v>
      </c>
      <c r="K13" s="256"/>
      <c r="L13" s="235">
        <f>SUM(I10:I13)</f>
        <v>6444.721506616087</v>
      </c>
      <c r="M13" s="235">
        <f>SUM(L13)</f>
        <v>6444.721506616087</v>
      </c>
      <c r="N13" s="27">
        <v>43190</v>
      </c>
    </row>
    <row r="14" spans="1:14" s="72" customFormat="1" x14ac:dyDescent="0.35">
      <c r="A14" s="100">
        <v>43192</v>
      </c>
      <c r="B14" s="85" t="s">
        <v>183</v>
      </c>
      <c r="C14" s="107"/>
      <c r="D14" s="112">
        <f>+(33*5+21*3.25+20*2.5)*0.105+16</f>
        <v>45.741249999999994</v>
      </c>
      <c r="E14" s="113">
        <f t="shared" si="0"/>
        <v>25488.96125</v>
      </c>
      <c r="F14" s="105"/>
      <c r="G14" s="101">
        <f t="shared" si="1"/>
        <v>20.206214209599032</v>
      </c>
      <c r="H14" s="105"/>
      <c r="I14" s="108">
        <f t="shared" si="2"/>
        <v>924.25749571482163</v>
      </c>
      <c r="J14" s="110">
        <f t="shared" si="3"/>
        <v>515035.41099766915</v>
      </c>
      <c r="K14" s="114"/>
      <c r="L14" s="103"/>
      <c r="M14" s="103"/>
      <c r="N14" s="103"/>
    </row>
    <row r="15" spans="1:14" s="72" customFormat="1" x14ac:dyDescent="0.35">
      <c r="A15" s="100">
        <v>43192</v>
      </c>
      <c r="B15" s="85" t="s">
        <v>184</v>
      </c>
      <c r="C15" s="107"/>
      <c r="D15" s="112">
        <f>+(4*6.75+3.5)*1.05</f>
        <v>32.024999999999999</v>
      </c>
      <c r="E15" s="113">
        <f t="shared" si="0"/>
        <v>25456.936249999999</v>
      </c>
      <c r="F15" s="105"/>
      <c r="G15" s="101">
        <f t="shared" si="1"/>
        <v>20.206214209599032</v>
      </c>
      <c r="H15" s="105"/>
      <c r="I15" s="108">
        <f t="shared" si="2"/>
        <v>647.10401006240897</v>
      </c>
      <c r="J15" s="110">
        <f t="shared" si="3"/>
        <v>514388.30698760675</v>
      </c>
      <c r="K15" s="114"/>
      <c r="L15" s="103"/>
      <c r="M15" s="103"/>
      <c r="N15" s="103"/>
    </row>
    <row r="16" spans="1:14" s="72" customFormat="1" x14ac:dyDescent="0.35">
      <c r="A16" s="100">
        <v>43193</v>
      </c>
      <c r="B16" s="85" t="s">
        <v>185</v>
      </c>
      <c r="C16" s="107"/>
      <c r="D16" s="112">
        <f>+(9*6+5*5.75)*1.05</f>
        <v>86.887500000000003</v>
      </c>
      <c r="E16" s="113">
        <f t="shared" si="0"/>
        <v>25370.048749999998</v>
      </c>
      <c r="F16" s="105"/>
      <c r="G16" s="101">
        <f t="shared" si="1"/>
        <v>20.206214209599036</v>
      </c>
      <c r="H16" s="105"/>
      <c r="I16" s="108">
        <f t="shared" si="2"/>
        <v>1755.6674371365364</v>
      </c>
      <c r="J16" s="110">
        <f t="shared" si="3"/>
        <v>512632.63955047022</v>
      </c>
      <c r="K16" s="114"/>
      <c r="L16" s="103"/>
      <c r="M16" s="103"/>
      <c r="N16" s="103"/>
    </row>
    <row r="17" spans="1:14" s="72" customFormat="1" x14ac:dyDescent="0.35">
      <c r="A17" s="100">
        <v>43195</v>
      </c>
      <c r="B17" s="85" t="s">
        <v>186</v>
      </c>
      <c r="C17" s="107"/>
      <c r="D17" s="112">
        <v>8</v>
      </c>
      <c r="E17" s="113">
        <f t="shared" si="0"/>
        <v>25362.048749999998</v>
      </c>
      <c r="F17" s="105"/>
      <c r="G17" s="101">
        <f t="shared" si="1"/>
        <v>20.206214209599036</v>
      </c>
      <c r="H17" s="105"/>
      <c r="I17" s="108">
        <f t="shared" si="2"/>
        <v>161.64971367679229</v>
      </c>
      <c r="J17" s="110">
        <f t="shared" si="3"/>
        <v>512470.98983679345</v>
      </c>
      <c r="K17" s="114"/>
      <c r="L17" s="103"/>
      <c r="M17" s="103"/>
      <c r="N17" s="103"/>
    </row>
    <row r="18" spans="1:14" s="72" customFormat="1" x14ac:dyDescent="0.35">
      <c r="A18" s="100">
        <v>43196</v>
      </c>
      <c r="B18" s="85" t="s">
        <v>187</v>
      </c>
      <c r="C18" s="107"/>
      <c r="D18" s="112">
        <f>+(12*5.25+102*4+26*6.5)*1.05+24</f>
        <v>696</v>
      </c>
      <c r="E18" s="113">
        <f t="shared" si="0"/>
        <v>24666.048749999998</v>
      </c>
      <c r="F18" s="105"/>
      <c r="G18" s="101">
        <f t="shared" si="1"/>
        <v>20.206214209599036</v>
      </c>
      <c r="H18" s="105"/>
      <c r="I18" s="108">
        <f t="shared" si="2"/>
        <v>14063.52508988093</v>
      </c>
      <c r="J18" s="110">
        <f t="shared" si="3"/>
        <v>498407.46474691253</v>
      </c>
      <c r="K18" s="114"/>
      <c r="L18" s="103"/>
      <c r="M18" s="103"/>
      <c r="N18" s="103"/>
    </row>
    <row r="19" spans="1:14" s="72" customFormat="1" x14ac:dyDescent="0.35">
      <c r="A19" s="100">
        <v>43199</v>
      </c>
      <c r="B19" s="85" t="s">
        <v>188</v>
      </c>
      <c r="C19" s="107"/>
      <c r="D19" s="112">
        <f>+(15*1)*1.05+3</f>
        <v>18.75</v>
      </c>
      <c r="E19" s="113">
        <f t="shared" si="0"/>
        <v>24647.298749999998</v>
      </c>
      <c r="F19" s="105"/>
      <c r="G19" s="101">
        <f t="shared" si="1"/>
        <v>20.206214209599036</v>
      </c>
      <c r="H19" s="105"/>
      <c r="I19" s="108">
        <f t="shared" si="2"/>
        <v>378.86651642998191</v>
      </c>
      <c r="J19" s="110">
        <f t="shared" si="3"/>
        <v>498028.59823048254</v>
      </c>
      <c r="K19" s="114"/>
      <c r="L19" s="103"/>
      <c r="M19" s="103"/>
      <c r="N19" s="103"/>
    </row>
    <row r="20" spans="1:14" s="72" customFormat="1" x14ac:dyDescent="0.35">
      <c r="A20" s="100">
        <v>43199</v>
      </c>
      <c r="B20" s="85" t="s">
        <v>189</v>
      </c>
      <c r="C20" s="107"/>
      <c r="D20" s="112">
        <f>(2*3.5)*1.05</f>
        <v>7.3500000000000005</v>
      </c>
      <c r="E20" s="113">
        <f t="shared" si="0"/>
        <v>24639.94875</v>
      </c>
      <c r="F20" s="105"/>
      <c r="G20" s="101">
        <f t="shared" si="1"/>
        <v>20.206214209599036</v>
      </c>
      <c r="H20" s="105"/>
      <c r="I20" s="108">
        <f t="shared" si="2"/>
        <v>148.51567444055291</v>
      </c>
      <c r="J20" s="110">
        <f t="shared" si="3"/>
        <v>497880.08255604201</v>
      </c>
      <c r="K20" s="114"/>
      <c r="L20" s="103"/>
      <c r="M20" s="103"/>
      <c r="N20" s="103"/>
    </row>
    <row r="21" spans="1:14" s="72" customFormat="1" x14ac:dyDescent="0.35">
      <c r="A21" s="100">
        <v>43200</v>
      </c>
      <c r="B21" s="85" t="s">
        <v>190</v>
      </c>
      <c r="C21" s="107"/>
      <c r="D21" s="112">
        <f>+(6*4.25)*1.05</f>
        <v>26.775000000000002</v>
      </c>
      <c r="E21" s="113">
        <f t="shared" si="0"/>
        <v>24613.173749999998</v>
      </c>
      <c r="F21" s="105"/>
      <c r="G21" s="101">
        <f t="shared" si="1"/>
        <v>20.206214209599036</v>
      </c>
      <c r="H21" s="105"/>
      <c r="I21" s="108">
        <f t="shared" si="2"/>
        <v>541.02138546201422</v>
      </c>
      <c r="J21" s="110">
        <f t="shared" si="3"/>
        <v>497339.06117057998</v>
      </c>
      <c r="K21" s="114"/>
      <c r="L21" s="103"/>
      <c r="M21" s="103"/>
      <c r="N21" s="103"/>
    </row>
    <row r="22" spans="1:14" s="72" customFormat="1" x14ac:dyDescent="0.35">
      <c r="A22" s="100">
        <v>43201</v>
      </c>
      <c r="B22" s="85" t="s">
        <v>191</v>
      </c>
      <c r="C22" s="107"/>
      <c r="D22" s="112">
        <f>+(14*5.5+7*5.25+2*5+2*4+2.5+2.25+1.75+1.5)*1.05</f>
        <v>146.73750000000001</v>
      </c>
      <c r="E22" s="113">
        <f t="shared" si="0"/>
        <v>24466.436249999999</v>
      </c>
      <c r="F22" s="105"/>
      <c r="G22" s="101">
        <f t="shared" si="1"/>
        <v>20.206214209599036</v>
      </c>
      <c r="H22" s="105"/>
      <c r="I22" s="108">
        <f t="shared" si="2"/>
        <v>2965.0093575810388</v>
      </c>
      <c r="J22" s="110">
        <f t="shared" si="3"/>
        <v>494374.05181299895</v>
      </c>
      <c r="K22" s="114"/>
      <c r="L22" s="103"/>
      <c r="M22" s="103"/>
      <c r="N22" s="103"/>
    </row>
    <row r="23" spans="1:14" s="72" customFormat="1" x14ac:dyDescent="0.35">
      <c r="A23" s="100">
        <v>43201</v>
      </c>
      <c r="B23" s="85" t="s">
        <v>192</v>
      </c>
      <c r="C23" s="107"/>
      <c r="D23" s="112">
        <f>+(3+1+0.75)*1.05+4</f>
        <v>8.9875000000000007</v>
      </c>
      <c r="E23" s="113">
        <f t="shared" si="0"/>
        <v>24457.44875</v>
      </c>
      <c r="F23" s="105"/>
      <c r="G23" s="101">
        <f t="shared" si="1"/>
        <v>20.206214209599036</v>
      </c>
      <c r="H23" s="105"/>
      <c r="I23" s="108">
        <f t="shared" si="2"/>
        <v>181.60335020877136</v>
      </c>
      <c r="J23" s="110">
        <f t="shared" si="3"/>
        <v>494192.44846279017</v>
      </c>
      <c r="K23" s="114"/>
      <c r="L23" s="103"/>
      <c r="M23" s="103"/>
      <c r="N23" s="103"/>
    </row>
    <row r="24" spans="1:14" s="72" customFormat="1" x14ac:dyDescent="0.35">
      <c r="A24" s="100">
        <v>43201</v>
      </c>
      <c r="B24" s="85" t="s">
        <v>193</v>
      </c>
      <c r="C24" s="107"/>
      <c r="D24" s="112">
        <f>+(5*3)*1.05</f>
        <v>15.75</v>
      </c>
      <c r="E24" s="113">
        <f t="shared" si="0"/>
        <v>24441.69875</v>
      </c>
      <c r="F24" s="105"/>
      <c r="G24" s="101">
        <f t="shared" si="1"/>
        <v>20.206214209599036</v>
      </c>
      <c r="H24" s="105"/>
      <c r="I24" s="108">
        <f t="shared" si="2"/>
        <v>318.24787380118482</v>
      </c>
      <c r="J24" s="110">
        <f t="shared" si="3"/>
        <v>493874.20058898901</v>
      </c>
      <c r="K24" s="114"/>
      <c r="L24" s="103"/>
      <c r="M24" s="103"/>
      <c r="N24" s="103"/>
    </row>
    <row r="25" spans="1:14" s="72" customFormat="1" x14ac:dyDescent="0.35">
      <c r="A25" s="100">
        <v>43203</v>
      </c>
      <c r="B25" s="85" t="s">
        <v>194</v>
      </c>
      <c r="C25" s="107"/>
      <c r="D25" s="112">
        <f>4*6.15</f>
        <v>24.6</v>
      </c>
      <c r="E25" s="113">
        <f t="shared" si="0"/>
        <v>24417.098750000001</v>
      </c>
      <c r="F25" s="105"/>
      <c r="G25" s="101">
        <f t="shared" si="1"/>
        <v>20.206214209599036</v>
      </c>
      <c r="H25" s="105"/>
      <c r="I25" s="108">
        <f t="shared" si="2"/>
        <v>497.07286955613631</v>
      </c>
      <c r="J25" s="110">
        <f t="shared" si="3"/>
        <v>493377.12771943287</v>
      </c>
      <c r="K25" s="114"/>
      <c r="L25" s="103"/>
      <c r="M25" s="103"/>
      <c r="N25" s="103"/>
    </row>
    <row r="26" spans="1:14" s="72" customFormat="1" x14ac:dyDescent="0.35">
      <c r="A26" s="100">
        <v>43203</v>
      </c>
      <c r="B26" s="85" t="s">
        <v>195</v>
      </c>
      <c r="C26" s="107"/>
      <c r="D26" s="112">
        <f>(4*3+4*2.5)*1.05</f>
        <v>23.1</v>
      </c>
      <c r="E26" s="113">
        <f t="shared" si="0"/>
        <v>24393.998750000002</v>
      </c>
      <c r="F26" s="105"/>
      <c r="G26" s="101">
        <f t="shared" si="1"/>
        <v>20.206214209599036</v>
      </c>
      <c r="H26" s="105"/>
      <c r="I26" s="108">
        <f t="shared" si="2"/>
        <v>466.76354824173774</v>
      </c>
      <c r="J26" s="110">
        <f t="shared" si="3"/>
        <v>492910.36417119112</v>
      </c>
      <c r="K26" s="114"/>
      <c r="L26" s="103"/>
      <c r="M26" s="103"/>
      <c r="N26" s="103"/>
    </row>
    <row r="27" spans="1:14" s="72" customFormat="1" x14ac:dyDescent="0.35">
      <c r="A27" s="100">
        <v>43203</v>
      </c>
      <c r="B27" s="85" t="s">
        <v>196</v>
      </c>
      <c r="C27" s="107"/>
      <c r="D27" s="112">
        <v>16</v>
      </c>
      <c r="E27" s="113">
        <f t="shared" si="0"/>
        <v>24377.998750000002</v>
      </c>
      <c r="F27" s="105"/>
      <c r="G27" s="101">
        <f t="shared" si="1"/>
        <v>20.206214209599032</v>
      </c>
      <c r="H27" s="105"/>
      <c r="I27" s="108">
        <f t="shared" si="2"/>
        <v>323.29942735358452</v>
      </c>
      <c r="J27" s="110">
        <f t="shared" si="3"/>
        <v>492587.06474383752</v>
      </c>
      <c r="K27" s="114"/>
      <c r="L27" s="103"/>
      <c r="M27" s="103"/>
      <c r="N27" s="103"/>
    </row>
    <row r="28" spans="1:14" s="225" customFormat="1" x14ac:dyDescent="0.35">
      <c r="A28" s="252">
        <v>43203</v>
      </c>
      <c r="B28" s="226" t="s">
        <v>197</v>
      </c>
      <c r="C28" s="233"/>
      <c r="D28" s="253">
        <f>+(11*6+7*5+8*5.75)*1.05</f>
        <v>154.35</v>
      </c>
      <c r="E28" s="254">
        <f t="shared" si="0"/>
        <v>24223.648750000004</v>
      </c>
      <c r="F28" s="223"/>
      <c r="G28" s="233">
        <f t="shared" si="1"/>
        <v>20.206214209599032</v>
      </c>
      <c r="H28" s="223"/>
      <c r="I28" s="255">
        <f t="shared" si="2"/>
        <v>3118.8291632516107</v>
      </c>
      <c r="J28" s="255">
        <f t="shared" si="3"/>
        <v>489468.2355805859</v>
      </c>
      <c r="K28" s="256"/>
      <c r="L28" s="235">
        <f>SUM(I14:I28)</f>
        <v>26491.432912798107</v>
      </c>
      <c r="M28" s="235"/>
      <c r="N28" s="27">
        <v>43205</v>
      </c>
    </row>
    <row r="29" spans="1:14" s="72" customFormat="1" x14ac:dyDescent="0.35">
      <c r="A29" s="100">
        <v>43206</v>
      </c>
      <c r="B29" s="85" t="s">
        <v>198</v>
      </c>
      <c r="C29" s="107"/>
      <c r="D29" s="112">
        <f>+(24*5+15*4+4.25+3.25+3+2.5+2.25+2)*1.05</f>
        <v>207.11250000000001</v>
      </c>
      <c r="E29" s="113">
        <f t="shared" si="0"/>
        <v>24016.536250000005</v>
      </c>
      <c r="F29" s="105"/>
      <c r="G29" s="101">
        <f t="shared" si="1"/>
        <v>20.206214209599032</v>
      </c>
      <c r="H29" s="105"/>
      <c r="I29" s="108">
        <f t="shared" si="2"/>
        <v>4184.95954048558</v>
      </c>
      <c r="J29" s="110">
        <f t="shared" si="3"/>
        <v>485283.27604010032</v>
      </c>
      <c r="K29" s="114"/>
      <c r="L29" s="103"/>
      <c r="M29" s="103"/>
      <c r="N29" s="103"/>
    </row>
    <row r="30" spans="1:14" s="72" customFormat="1" x14ac:dyDescent="0.35">
      <c r="A30" s="100">
        <v>43206</v>
      </c>
      <c r="B30" s="85" t="s">
        <v>199</v>
      </c>
      <c r="C30" s="107"/>
      <c r="D30" s="112">
        <f>+(2*1.25+0.75)*1.05+4</f>
        <v>7.4124999999999996</v>
      </c>
      <c r="E30" s="113">
        <f t="shared" si="0"/>
        <v>24009.123750000006</v>
      </c>
      <c r="F30" s="105"/>
      <c r="G30" s="101">
        <f t="shared" si="1"/>
        <v>20.206214209599032</v>
      </c>
      <c r="H30" s="105"/>
      <c r="I30" s="108">
        <f t="shared" si="2"/>
        <v>149.77856282865281</v>
      </c>
      <c r="J30" s="110">
        <f t="shared" si="3"/>
        <v>485133.49747727165</v>
      </c>
      <c r="K30" s="114"/>
      <c r="L30" s="103"/>
      <c r="M30" s="103"/>
      <c r="N30" s="103"/>
    </row>
    <row r="31" spans="1:14" s="72" customFormat="1" x14ac:dyDescent="0.35">
      <c r="A31" s="100">
        <v>43207</v>
      </c>
      <c r="B31" s="85" t="s">
        <v>200</v>
      </c>
      <c r="C31" s="107"/>
      <c r="D31" s="112">
        <f>+(24*7+16*7+2*6.75+6*6.25+2*6+6*5.5+2+5+6*4.75)*1.05</f>
        <v>432.07500000000005</v>
      </c>
      <c r="E31" s="113">
        <f t="shared" si="0"/>
        <v>23577.048750000005</v>
      </c>
      <c r="F31" s="105"/>
      <c r="G31" s="101">
        <f t="shared" si="1"/>
        <v>20.206214209599029</v>
      </c>
      <c r="H31" s="105"/>
      <c r="I31" s="108">
        <f t="shared" si="2"/>
        <v>8730.6000046125009</v>
      </c>
      <c r="J31" s="110">
        <f t="shared" si="3"/>
        <v>476402.89747265913</v>
      </c>
      <c r="K31" s="114"/>
      <c r="L31" s="103"/>
      <c r="M31" s="103"/>
      <c r="N31" s="103"/>
    </row>
    <row r="32" spans="1:14" s="72" customFormat="1" x14ac:dyDescent="0.35">
      <c r="A32" s="100">
        <v>43207</v>
      </c>
      <c r="B32" s="85" t="s">
        <v>201</v>
      </c>
      <c r="C32" s="107"/>
      <c r="D32" s="112">
        <f>+(2*4.5+6*4+6*3.25+2*3.5+2*3+6*2.5+2*2)*1.05</f>
        <v>88.725000000000009</v>
      </c>
      <c r="E32" s="113">
        <f t="shared" si="0"/>
        <v>23488.323750000007</v>
      </c>
      <c r="F32" s="105"/>
      <c r="G32" s="101">
        <f t="shared" si="1"/>
        <v>20.206214209599029</v>
      </c>
      <c r="H32" s="105"/>
      <c r="I32" s="108">
        <f t="shared" si="2"/>
        <v>1792.796355746674</v>
      </c>
      <c r="J32" s="110">
        <f t="shared" si="3"/>
        <v>474610.10111691244</v>
      </c>
      <c r="K32" s="114"/>
      <c r="L32" s="103"/>
      <c r="M32" s="103"/>
      <c r="N32" s="103"/>
    </row>
    <row r="33" spans="1:14" s="72" customFormat="1" x14ac:dyDescent="0.35">
      <c r="A33" s="100">
        <v>43207</v>
      </c>
      <c r="B33" s="85" t="s">
        <v>202</v>
      </c>
      <c r="C33" s="107"/>
      <c r="D33" s="112">
        <f>+(6*1.75+2*1.5)*1.05+26</f>
        <v>40.174999999999997</v>
      </c>
      <c r="E33" s="113">
        <f t="shared" si="0"/>
        <v>23448.148750000008</v>
      </c>
      <c r="F33" s="105"/>
      <c r="G33" s="101">
        <f t="shared" si="1"/>
        <v>20.206214209599025</v>
      </c>
      <c r="H33" s="105"/>
      <c r="I33" s="108">
        <f t="shared" si="2"/>
        <v>811.78465587064079</v>
      </c>
      <c r="J33" s="110">
        <f t="shared" si="3"/>
        <v>473798.3164610418</v>
      </c>
      <c r="K33" s="114"/>
      <c r="L33" s="103"/>
      <c r="M33" s="103"/>
      <c r="N33" s="103"/>
    </row>
    <row r="34" spans="1:14" s="72" customFormat="1" x14ac:dyDescent="0.35">
      <c r="A34" s="100">
        <v>43208</v>
      </c>
      <c r="B34" s="85" t="s">
        <v>203</v>
      </c>
      <c r="C34" s="107"/>
      <c r="D34" s="112">
        <f>7*4.35</f>
        <v>30.449999999999996</v>
      </c>
      <c r="E34" s="113">
        <f t="shared" si="0"/>
        <v>23417.698750000007</v>
      </c>
      <c r="F34" s="105"/>
      <c r="G34" s="101">
        <f t="shared" si="1"/>
        <v>20.206214209599025</v>
      </c>
      <c r="H34" s="105"/>
      <c r="I34" s="108">
        <f t="shared" si="2"/>
        <v>615.2792226822902</v>
      </c>
      <c r="J34" s="110">
        <f t="shared" si="3"/>
        <v>473183.03723835951</v>
      </c>
      <c r="K34" s="114"/>
      <c r="L34" s="103"/>
      <c r="M34" s="103"/>
      <c r="N34" s="103"/>
    </row>
    <row r="35" spans="1:14" s="72" customFormat="1" x14ac:dyDescent="0.35">
      <c r="A35" s="100">
        <v>43208</v>
      </c>
      <c r="B35" s="85" t="s">
        <v>204</v>
      </c>
      <c r="C35" s="107"/>
      <c r="D35" s="112">
        <f>+(10*5.5)*1.05</f>
        <v>57.75</v>
      </c>
      <c r="E35" s="113">
        <f t="shared" si="0"/>
        <v>23359.948750000007</v>
      </c>
      <c r="F35" s="105"/>
      <c r="G35" s="101">
        <f t="shared" si="1"/>
        <v>20.206214209599025</v>
      </c>
      <c r="H35" s="105"/>
      <c r="I35" s="108">
        <f t="shared" si="2"/>
        <v>1166.9088706043437</v>
      </c>
      <c r="J35" s="110">
        <f t="shared" si="3"/>
        <v>472016.12836775515</v>
      </c>
      <c r="K35" s="114"/>
      <c r="L35" s="103"/>
      <c r="M35" s="103"/>
      <c r="N35" s="103"/>
    </row>
    <row r="36" spans="1:14" s="72" customFormat="1" x14ac:dyDescent="0.35">
      <c r="A36" s="100">
        <v>43209</v>
      </c>
      <c r="B36" s="85" t="s">
        <v>106</v>
      </c>
      <c r="C36" s="107"/>
      <c r="D36" s="112">
        <v>0</v>
      </c>
      <c r="E36" s="113">
        <f t="shared" si="0"/>
        <v>23359.948750000007</v>
      </c>
      <c r="F36" s="105"/>
      <c r="G36" s="101">
        <f t="shared" si="1"/>
        <v>20.206214209599025</v>
      </c>
      <c r="H36" s="105"/>
      <c r="I36" s="108">
        <f t="shared" si="2"/>
        <v>0</v>
      </c>
      <c r="J36" s="110">
        <f t="shared" si="3"/>
        <v>472016.12836775515</v>
      </c>
      <c r="K36" s="114"/>
      <c r="L36" s="103"/>
      <c r="M36" s="103"/>
      <c r="N36" s="103"/>
    </row>
    <row r="37" spans="1:14" s="72" customFormat="1" x14ac:dyDescent="0.35">
      <c r="A37" s="100">
        <v>43209</v>
      </c>
      <c r="B37" s="85" t="s">
        <v>205</v>
      </c>
      <c r="C37" s="107"/>
      <c r="D37" s="112">
        <f>+(24*5.25+6+5+4.25+3.75+2*2+2*3.25+2.5)*1.05</f>
        <v>165.9</v>
      </c>
      <c r="E37" s="113">
        <f t="shared" si="0"/>
        <v>23194.048750000005</v>
      </c>
      <c r="F37" s="105"/>
      <c r="G37" s="101">
        <f t="shared" si="1"/>
        <v>20.206214209599025</v>
      </c>
      <c r="H37" s="105"/>
      <c r="I37" s="108">
        <f t="shared" si="2"/>
        <v>3352.2109373724784</v>
      </c>
      <c r="J37" s="110">
        <f t="shared" si="3"/>
        <v>468663.91743038269</v>
      </c>
      <c r="K37" s="114"/>
      <c r="L37" s="103"/>
      <c r="M37" s="103"/>
      <c r="N37" s="103"/>
    </row>
    <row r="38" spans="1:14" s="72" customFormat="1" x14ac:dyDescent="0.35">
      <c r="A38" s="100">
        <v>43209</v>
      </c>
      <c r="B38" s="85" t="s">
        <v>206</v>
      </c>
      <c r="C38" s="107"/>
      <c r="D38" s="112">
        <f>+(1.25+4.5+2*0.75+8.5+7.25+2.75)*1.05</f>
        <v>27.037500000000001</v>
      </c>
      <c r="E38" s="113">
        <f t="shared" si="0"/>
        <v>23167.011250000007</v>
      </c>
      <c r="F38" s="105"/>
      <c r="G38" s="101">
        <f t="shared" si="1"/>
        <v>20.206214209599029</v>
      </c>
      <c r="H38" s="105"/>
      <c r="I38" s="108">
        <f t="shared" si="2"/>
        <v>546.32551669203383</v>
      </c>
      <c r="J38" s="110">
        <f t="shared" si="3"/>
        <v>468117.59191369067</v>
      </c>
      <c r="K38" s="114"/>
      <c r="L38" s="103"/>
      <c r="M38" s="103"/>
      <c r="N38" s="103"/>
    </row>
    <row r="39" spans="1:14" s="72" customFormat="1" x14ac:dyDescent="0.35">
      <c r="A39" s="100">
        <v>43211</v>
      </c>
      <c r="B39" s="85" t="s">
        <v>207</v>
      </c>
      <c r="C39" s="107"/>
      <c r="D39" s="112">
        <f>+(7*5.5+4+3.25+2.25+1.5+9*5.25+5+4.25)*1.05</f>
        <v>111.30000000000001</v>
      </c>
      <c r="E39" s="113">
        <f t="shared" si="0"/>
        <v>23055.711250000008</v>
      </c>
      <c r="F39" s="105"/>
      <c r="G39" s="101">
        <f t="shared" si="1"/>
        <v>20.206214209599029</v>
      </c>
      <c r="H39" s="105"/>
      <c r="I39" s="108">
        <f t="shared" si="2"/>
        <v>2248.951641528372</v>
      </c>
      <c r="J39" s="110">
        <f t="shared" si="3"/>
        <v>465868.64027216233</v>
      </c>
      <c r="K39" s="114"/>
      <c r="L39" s="103"/>
      <c r="M39" s="103"/>
      <c r="N39" s="103"/>
    </row>
    <row r="40" spans="1:14" x14ac:dyDescent="0.35">
      <c r="A40" s="100">
        <v>43211</v>
      </c>
      <c r="B40" s="140" t="s">
        <v>208</v>
      </c>
      <c r="C40" s="162"/>
      <c r="D40" s="112">
        <f>+(3.5+2.75+2+1.25)*1.05</f>
        <v>9.9749999999999996</v>
      </c>
      <c r="E40" s="113">
        <f t="shared" ref="E40:E57" si="4">+E39-D40</f>
        <v>23045.736250000009</v>
      </c>
      <c r="F40" s="105"/>
      <c r="G40" s="159">
        <f t="shared" ref="G40:G57" si="5">+J39/E39</f>
        <v>20.206214209599029</v>
      </c>
      <c r="H40" s="105"/>
      <c r="I40" s="108">
        <f t="shared" ref="I40:I57" si="6">+D40*G40</f>
        <v>201.55698674075032</v>
      </c>
      <c r="J40" s="110">
        <f t="shared" ref="J40:J57" si="7">+J39-I40</f>
        <v>465667.0832854216</v>
      </c>
      <c r="K40" s="114"/>
    </row>
    <row r="41" spans="1:14" x14ac:dyDescent="0.35">
      <c r="A41" s="100">
        <v>43214</v>
      </c>
      <c r="B41" s="140" t="s">
        <v>209</v>
      </c>
      <c r="C41" s="162"/>
      <c r="D41" s="112">
        <v>4</v>
      </c>
      <c r="E41" s="113">
        <f t="shared" si="4"/>
        <v>23041.736250000009</v>
      </c>
      <c r="F41" s="105"/>
      <c r="G41" s="159">
        <f t="shared" si="5"/>
        <v>20.206214209599029</v>
      </c>
      <c r="H41" s="105"/>
      <c r="I41" s="108">
        <f t="shared" si="6"/>
        <v>80.824856838396116</v>
      </c>
      <c r="J41" s="110">
        <f t="shared" si="7"/>
        <v>465586.25842858321</v>
      </c>
      <c r="K41" s="114"/>
    </row>
    <row r="42" spans="1:14" x14ac:dyDescent="0.35">
      <c r="A42" s="100">
        <v>43217</v>
      </c>
      <c r="B42" s="140" t="s">
        <v>210</v>
      </c>
      <c r="C42" s="162"/>
      <c r="D42" s="112">
        <v>4</v>
      </c>
      <c r="E42" s="113">
        <f t="shared" si="4"/>
        <v>23037.736250000009</v>
      </c>
      <c r="F42" s="105"/>
      <c r="G42" s="159">
        <f t="shared" si="5"/>
        <v>20.206214209599029</v>
      </c>
      <c r="H42" s="105"/>
      <c r="I42" s="108">
        <f t="shared" si="6"/>
        <v>80.824856838396116</v>
      </c>
      <c r="J42" s="110">
        <f t="shared" si="7"/>
        <v>465505.43357174483</v>
      </c>
      <c r="K42" s="114"/>
    </row>
    <row r="43" spans="1:14" s="225" customFormat="1" x14ac:dyDescent="0.35">
      <c r="A43" s="252">
        <v>43217</v>
      </c>
      <c r="B43" s="226" t="s">
        <v>211</v>
      </c>
      <c r="C43" s="233"/>
      <c r="D43" s="253">
        <v>2</v>
      </c>
      <c r="E43" s="254">
        <f t="shared" si="4"/>
        <v>23035.736250000009</v>
      </c>
      <c r="F43" s="223"/>
      <c r="G43" s="233">
        <f t="shared" si="5"/>
        <v>20.206214209599029</v>
      </c>
      <c r="H43" s="223"/>
      <c r="I43" s="255">
        <f t="shared" si="6"/>
        <v>40.412428419198058</v>
      </c>
      <c r="J43" s="255">
        <f t="shared" si="7"/>
        <v>465465.0211433256</v>
      </c>
      <c r="K43" s="256"/>
      <c r="L43" s="257">
        <f>SUM(I29:I43)</f>
        <v>24003.214437260307</v>
      </c>
      <c r="M43" s="257">
        <f>SUM(L28:L43)</f>
        <v>50494.647350058411</v>
      </c>
      <c r="N43" s="258">
        <v>43220</v>
      </c>
    </row>
    <row r="44" spans="1:14" x14ac:dyDescent="0.35">
      <c r="A44" s="100">
        <v>43222</v>
      </c>
      <c r="B44" s="140" t="s">
        <v>212</v>
      </c>
      <c r="C44" s="162"/>
      <c r="D44" s="112">
        <v>19.149999999999999</v>
      </c>
      <c r="E44" s="113">
        <f t="shared" si="4"/>
        <v>23016.586250000008</v>
      </c>
      <c r="F44" s="105"/>
      <c r="G44" s="159">
        <f t="shared" si="5"/>
        <v>20.206214209599029</v>
      </c>
      <c r="H44" s="105"/>
      <c r="I44" s="108">
        <f t="shared" si="6"/>
        <v>386.94900211382139</v>
      </c>
      <c r="J44" s="110">
        <f t="shared" si="7"/>
        <v>465078.07214121177</v>
      </c>
      <c r="K44" s="114"/>
    </row>
    <row r="45" spans="1:14" x14ac:dyDescent="0.35">
      <c r="A45" s="100">
        <v>43224</v>
      </c>
      <c r="B45" s="140" t="s">
        <v>213</v>
      </c>
      <c r="C45" s="162"/>
      <c r="D45" s="112">
        <f>3*3.3+12*3</f>
        <v>45.9</v>
      </c>
      <c r="E45" s="113">
        <f t="shared" si="4"/>
        <v>22970.686250000006</v>
      </c>
      <c r="F45" s="105"/>
      <c r="G45" s="159">
        <f t="shared" si="5"/>
        <v>20.206214209599029</v>
      </c>
      <c r="H45" s="105"/>
      <c r="I45" s="108">
        <f t="shared" si="6"/>
        <v>927.46523222059545</v>
      </c>
      <c r="J45" s="110">
        <f t="shared" si="7"/>
        <v>464150.60690899118</v>
      </c>
      <c r="K45" s="114"/>
    </row>
    <row r="46" spans="1:14" s="225" customFormat="1" x14ac:dyDescent="0.35">
      <c r="A46" s="252">
        <v>43225</v>
      </c>
      <c r="B46" s="226" t="s">
        <v>214</v>
      </c>
      <c r="C46" s="233"/>
      <c r="D46" s="253">
        <f>25*5.98+21*5+3.8</f>
        <v>258.3</v>
      </c>
      <c r="E46" s="254">
        <f t="shared" si="4"/>
        <v>22712.386250000007</v>
      </c>
      <c r="F46" s="223"/>
      <c r="G46" s="233">
        <f t="shared" si="5"/>
        <v>20.206214209599029</v>
      </c>
      <c r="H46" s="223"/>
      <c r="I46" s="255">
        <f t="shared" si="6"/>
        <v>5219.2651303394296</v>
      </c>
      <c r="J46" s="255">
        <f t="shared" si="7"/>
        <v>458931.34177865175</v>
      </c>
      <c r="K46" s="256"/>
      <c r="L46" s="257">
        <f>SUM(I44:I46)</f>
        <v>6533.6793646738461</v>
      </c>
      <c r="M46" s="257">
        <f>SUM(L46)</f>
        <v>6533.6793646738461</v>
      </c>
      <c r="N46" s="258">
        <v>43235</v>
      </c>
    </row>
    <row r="47" spans="1:14" x14ac:dyDescent="0.35">
      <c r="A47" s="100">
        <v>43255</v>
      </c>
      <c r="B47" s="140" t="s">
        <v>215</v>
      </c>
      <c r="C47" s="162"/>
      <c r="D47" s="112">
        <f>13*3</f>
        <v>39</v>
      </c>
      <c r="E47" s="113">
        <f t="shared" si="4"/>
        <v>22673.386250000007</v>
      </c>
      <c r="F47" s="105"/>
      <c r="G47" s="159">
        <f t="shared" si="5"/>
        <v>20.206214209599029</v>
      </c>
      <c r="H47" s="105"/>
      <c r="I47" s="108">
        <f t="shared" si="6"/>
        <v>788.04235417436212</v>
      </c>
      <c r="J47" s="110">
        <f t="shared" si="7"/>
        <v>458143.29942447739</v>
      </c>
      <c r="K47" s="114"/>
    </row>
    <row r="48" spans="1:14" s="225" customFormat="1" x14ac:dyDescent="0.35">
      <c r="A48" s="252">
        <v>43263</v>
      </c>
      <c r="B48" s="226" t="s">
        <v>216</v>
      </c>
      <c r="C48" s="233"/>
      <c r="D48" s="253">
        <f>5*2.5</f>
        <v>12.5</v>
      </c>
      <c r="E48" s="254">
        <f t="shared" si="4"/>
        <v>22660.886250000007</v>
      </c>
      <c r="F48" s="223"/>
      <c r="G48" s="233">
        <f t="shared" si="5"/>
        <v>20.206214209599029</v>
      </c>
      <c r="H48" s="223"/>
      <c r="I48" s="255">
        <f t="shared" si="6"/>
        <v>252.57767761998787</v>
      </c>
      <c r="J48" s="255">
        <f t="shared" si="7"/>
        <v>457890.72174685739</v>
      </c>
      <c r="K48" s="256"/>
      <c r="L48" s="257">
        <f>SUM(I47:I48)</f>
        <v>1040.6200317943499</v>
      </c>
      <c r="M48" s="257"/>
      <c r="N48" s="258">
        <v>43266</v>
      </c>
    </row>
    <row r="49" spans="1:14" x14ac:dyDescent="0.35">
      <c r="A49" s="100">
        <v>43270</v>
      </c>
      <c r="B49" s="140" t="s">
        <v>134</v>
      </c>
      <c r="C49" s="162"/>
      <c r="D49" s="112">
        <v>0</v>
      </c>
      <c r="E49" s="113">
        <f t="shared" si="4"/>
        <v>22660.886250000007</v>
      </c>
      <c r="F49" s="105"/>
      <c r="G49" s="159">
        <f t="shared" si="5"/>
        <v>20.206214209599029</v>
      </c>
      <c r="H49" s="105"/>
      <c r="I49" s="108">
        <f t="shared" si="6"/>
        <v>0</v>
      </c>
      <c r="J49" s="110">
        <f t="shared" si="7"/>
        <v>457890.72174685739</v>
      </c>
      <c r="K49" s="114"/>
    </row>
    <row r="50" spans="1:14" x14ac:dyDescent="0.35">
      <c r="A50" s="100">
        <v>43270</v>
      </c>
      <c r="B50" s="140" t="s">
        <v>217</v>
      </c>
      <c r="C50" s="162"/>
      <c r="D50" s="112">
        <f>+(11*3.5+11*4)*1.05</f>
        <v>86.625</v>
      </c>
      <c r="E50" s="113">
        <f t="shared" si="4"/>
        <v>22574.261250000007</v>
      </c>
      <c r="F50" s="105"/>
      <c r="G50" s="159">
        <f t="shared" si="5"/>
        <v>20.206214209599029</v>
      </c>
      <c r="H50" s="105"/>
      <c r="I50" s="108">
        <f t="shared" si="6"/>
        <v>1750.363305906516</v>
      </c>
      <c r="J50" s="110">
        <f t="shared" si="7"/>
        <v>456140.35844095086</v>
      </c>
      <c r="K50" s="114"/>
    </row>
    <row r="51" spans="1:14" x14ac:dyDescent="0.35">
      <c r="A51" s="100">
        <v>43273</v>
      </c>
      <c r="B51" s="140" t="s">
        <v>224</v>
      </c>
      <c r="C51" s="162"/>
      <c r="D51" s="112">
        <f>+(25*3.75)</f>
        <v>93.75</v>
      </c>
      <c r="E51" s="113">
        <f t="shared" si="4"/>
        <v>22480.511250000007</v>
      </c>
      <c r="F51" s="105"/>
      <c r="G51" s="159">
        <f t="shared" si="5"/>
        <v>20.206214209599029</v>
      </c>
      <c r="H51" s="105"/>
      <c r="I51" s="108">
        <f t="shared" si="6"/>
        <v>1894.3325821499091</v>
      </c>
      <c r="J51" s="110">
        <f t="shared" si="7"/>
        <v>454246.02585880097</v>
      </c>
      <c r="K51" s="114"/>
    </row>
    <row r="52" spans="1:14" s="225" customFormat="1" x14ac:dyDescent="0.35">
      <c r="A52" s="252">
        <v>43274</v>
      </c>
      <c r="B52" s="226" t="s">
        <v>226</v>
      </c>
      <c r="C52" s="233"/>
      <c r="D52" s="253">
        <v>2</v>
      </c>
      <c r="E52" s="254">
        <f t="shared" si="4"/>
        <v>22478.511250000007</v>
      </c>
      <c r="F52" s="223"/>
      <c r="G52" s="233">
        <f t="shared" si="5"/>
        <v>20.206214209599029</v>
      </c>
      <c r="H52" s="223"/>
      <c r="I52" s="255">
        <f t="shared" si="6"/>
        <v>40.412428419198058</v>
      </c>
      <c r="J52" s="255">
        <f t="shared" si="7"/>
        <v>454205.61343038175</v>
      </c>
      <c r="K52" s="256"/>
      <c r="L52" s="257">
        <f>SUM(I49:I52)</f>
        <v>3685.1083164756233</v>
      </c>
      <c r="M52" s="257">
        <f>SUM(L48:L52)</f>
        <v>4725.7283482699731</v>
      </c>
      <c r="N52" s="258">
        <v>43281</v>
      </c>
    </row>
    <row r="53" spans="1:14" s="225" customFormat="1" x14ac:dyDescent="0.35">
      <c r="A53" s="252">
        <v>43285</v>
      </c>
      <c r="B53" s="226" t="s">
        <v>404</v>
      </c>
      <c r="C53" s="233"/>
      <c r="D53" s="253">
        <f>+(10*5.75+10*4.25+8*4)*1.05</f>
        <v>138.6</v>
      </c>
      <c r="E53" s="254">
        <f t="shared" si="4"/>
        <v>22339.911250000008</v>
      </c>
      <c r="F53" s="223"/>
      <c r="G53" s="233">
        <f t="shared" si="5"/>
        <v>20.206214209599029</v>
      </c>
      <c r="H53" s="223"/>
      <c r="I53" s="255">
        <f t="shared" si="6"/>
        <v>2800.5812894504252</v>
      </c>
      <c r="J53" s="255">
        <f t="shared" si="7"/>
        <v>451405.03214093135</v>
      </c>
      <c r="K53" s="256"/>
      <c r="L53" s="257">
        <f>SUM(I53)</f>
        <v>2800.5812894504252</v>
      </c>
      <c r="M53" s="257">
        <f>SUM(L53)</f>
        <v>2800.5812894504252</v>
      </c>
      <c r="N53" s="258">
        <v>43296</v>
      </c>
    </row>
    <row r="54" spans="1:14" s="225" customFormat="1" x14ac:dyDescent="0.35">
      <c r="A54" s="252">
        <v>43362</v>
      </c>
      <c r="B54" s="226" t="s">
        <v>535</v>
      </c>
      <c r="C54" s="233"/>
      <c r="D54" s="253">
        <f>+(6*4.5+2*2.25)*1.05</f>
        <v>33.075000000000003</v>
      </c>
      <c r="E54" s="254">
        <f t="shared" si="4"/>
        <v>22306.836250000008</v>
      </c>
      <c r="F54" s="223"/>
      <c r="G54" s="233">
        <f t="shared" si="5"/>
        <v>20.206214209599029</v>
      </c>
      <c r="H54" s="223"/>
      <c r="I54" s="255">
        <f t="shared" si="6"/>
        <v>668.32053498248797</v>
      </c>
      <c r="J54" s="255">
        <f t="shared" si="7"/>
        <v>450736.71160594886</v>
      </c>
      <c r="K54" s="256"/>
      <c r="L54" s="257">
        <f>SUM(I54)</f>
        <v>668.32053498248797</v>
      </c>
      <c r="M54" s="257">
        <f>SUM(L54)</f>
        <v>668.32053498248797</v>
      </c>
      <c r="N54" s="258">
        <v>43373</v>
      </c>
    </row>
    <row r="55" spans="1:14" s="225" customFormat="1" x14ac:dyDescent="0.35">
      <c r="A55" s="252">
        <v>43376</v>
      </c>
      <c r="B55" s="226" t="s">
        <v>559</v>
      </c>
      <c r="C55" s="233"/>
      <c r="D55" s="253">
        <f>+(13*5.25)*1.05</f>
        <v>71.662500000000009</v>
      </c>
      <c r="E55" s="254">
        <f t="shared" si="4"/>
        <v>22235.173750000009</v>
      </c>
      <c r="F55" s="223"/>
      <c r="G55" s="233">
        <f t="shared" si="5"/>
        <v>20.206214209599029</v>
      </c>
      <c r="H55" s="223"/>
      <c r="I55" s="255">
        <f t="shared" si="6"/>
        <v>1448.0278257953905</v>
      </c>
      <c r="J55" s="255">
        <f t="shared" si="7"/>
        <v>449288.68378015346</v>
      </c>
      <c r="K55" s="256"/>
      <c r="L55" s="257">
        <f>SUM(I55)</f>
        <v>1448.0278257953905</v>
      </c>
      <c r="M55" s="257">
        <f>SUM(L55)</f>
        <v>1448.0278257953905</v>
      </c>
      <c r="N55" s="258">
        <v>43388</v>
      </c>
    </row>
    <row r="56" spans="1:14" s="225" customFormat="1" x14ac:dyDescent="0.35">
      <c r="A56" s="252">
        <v>43409</v>
      </c>
      <c r="B56" s="226" t="s">
        <v>642</v>
      </c>
      <c r="C56" s="233"/>
      <c r="D56" s="253">
        <v>4</v>
      </c>
      <c r="E56" s="254">
        <f t="shared" si="4"/>
        <v>22231.173750000009</v>
      </c>
      <c r="F56" s="223"/>
      <c r="G56" s="233">
        <f t="shared" si="5"/>
        <v>20.206214209599025</v>
      </c>
      <c r="H56" s="223"/>
      <c r="I56" s="255">
        <f t="shared" si="6"/>
        <v>80.824856838396101</v>
      </c>
      <c r="J56" s="255">
        <f t="shared" si="7"/>
        <v>449207.85892331507</v>
      </c>
      <c r="K56" s="256"/>
      <c r="L56" s="257">
        <f>SUM(I56)</f>
        <v>80.824856838396101</v>
      </c>
      <c r="M56" s="257">
        <f>SUM(L56)</f>
        <v>80.824856838396101</v>
      </c>
      <c r="N56" s="258">
        <v>43419</v>
      </c>
    </row>
    <row r="57" spans="1:14" s="225" customFormat="1" x14ac:dyDescent="0.35">
      <c r="A57" s="318">
        <v>43453</v>
      </c>
      <c r="B57" s="226" t="s">
        <v>762</v>
      </c>
      <c r="C57" s="233"/>
      <c r="D57" s="253">
        <v>4</v>
      </c>
      <c r="E57" s="254">
        <f t="shared" si="4"/>
        <v>22227.173750000009</v>
      </c>
      <c r="F57" s="223"/>
      <c r="G57" s="233">
        <f t="shared" si="5"/>
        <v>20.206214209599025</v>
      </c>
      <c r="H57" s="223"/>
      <c r="I57" s="255">
        <f t="shared" si="6"/>
        <v>80.824856838396101</v>
      </c>
      <c r="J57" s="255">
        <f t="shared" si="7"/>
        <v>449127.03406647668</v>
      </c>
      <c r="K57" s="233"/>
      <c r="L57" s="257">
        <f>SUM(I57)</f>
        <v>80.824856838396101</v>
      </c>
      <c r="M57" s="319">
        <f>SUM(L57)</f>
        <v>80.824856838396101</v>
      </c>
      <c r="N57" s="258">
        <v>43465</v>
      </c>
    </row>
    <row r="58" spans="1:14" ht="15" thickBot="1" x14ac:dyDescent="0.4">
      <c r="A58" s="189"/>
      <c r="B58" s="189" t="s">
        <v>135</v>
      </c>
      <c r="C58" s="261">
        <f>SUM(C9:C57)</f>
        <v>25853.65</v>
      </c>
      <c r="D58" s="261">
        <f>SUM(D9:D57)</f>
        <v>3626.4762499999997</v>
      </c>
      <c r="E58" s="189"/>
      <c r="F58" s="189"/>
      <c r="G58" s="189"/>
      <c r="H58" s="261">
        <f t="shared" ref="H58:I58" si="8">SUM(H9:H57)</f>
        <v>522404.39</v>
      </c>
      <c r="I58" s="261">
        <f t="shared" si="8"/>
        <v>73277.355933523388</v>
      </c>
      <c r="J58" s="189"/>
      <c r="K58" s="189"/>
      <c r="M58" s="320">
        <f>SUM(M13:M57)</f>
        <v>73277.355933523417</v>
      </c>
      <c r="N58" s="251"/>
    </row>
    <row r="59" spans="1:14" ht="15" thickTop="1" x14ac:dyDescent="0.35"/>
    <row r="61" spans="1:14" x14ac:dyDescent="0.35">
      <c r="A61" s="309" t="s">
        <v>230</v>
      </c>
      <c r="B61" s="201"/>
      <c r="C61" s="200"/>
      <c r="D61" s="200"/>
      <c r="E61" s="200"/>
      <c r="F61" s="200"/>
      <c r="G61" s="204"/>
      <c r="H61" s="204"/>
      <c r="I61" s="204"/>
      <c r="J61" s="204"/>
    </row>
    <row r="62" spans="1:14" x14ac:dyDescent="0.35">
      <c r="A62" s="309" t="s">
        <v>233</v>
      </c>
      <c r="B62" s="201"/>
      <c r="C62" s="200"/>
      <c r="D62" s="200"/>
      <c r="E62" s="200"/>
      <c r="F62" s="200"/>
      <c r="G62" s="204"/>
      <c r="H62" s="204"/>
      <c r="I62" s="204"/>
      <c r="J62" s="245">
        <f>+E57*F9</f>
        <v>449127.0340664768</v>
      </c>
    </row>
    <row r="63" spans="1:14" x14ac:dyDescent="0.35">
      <c r="A63" s="309" t="s">
        <v>231</v>
      </c>
      <c r="B63" s="201"/>
      <c r="C63" s="200"/>
      <c r="D63" s="200"/>
      <c r="E63" s="200"/>
      <c r="F63" s="200"/>
      <c r="G63" s="204"/>
      <c r="H63" s="204"/>
      <c r="I63" s="204"/>
      <c r="J63" s="310">
        <f>+J57</f>
        <v>449127.03406647668</v>
      </c>
    </row>
    <row r="64" spans="1:14" ht="15" thickBot="1" x14ac:dyDescent="0.4">
      <c r="A64" s="309"/>
      <c r="B64" s="201" t="s">
        <v>232</v>
      </c>
      <c r="C64" s="200"/>
      <c r="D64" s="200"/>
      <c r="E64" s="200"/>
      <c r="F64" s="200"/>
      <c r="G64" s="204"/>
      <c r="H64" s="204"/>
      <c r="I64" s="204"/>
      <c r="J64" s="311">
        <f>+J62-J63</f>
        <v>0</v>
      </c>
    </row>
    <row r="65" ht="15" thickTop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N427"/>
  <sheetViews>
    <sheetView topLeftCell="A100" workbookViewId="0">
      <selection activeCell="F126" sqref="F126"/>
    </sheetView>
  </sheetViews>
  <sheetFormatPr baseColWidth="10" defaultRowHeight="14.5" x14ac:dyDescent="0.35"/>
  <cols>
    <col min="1" max="1" width="9.54296875" customWidth="1"/>
    <col min="2" max="2" width="28.1796875" customWidth="1"/>
  </cols>
  <sheetData>
    <row r="1" spans="1:14" x14ac:dyDescent="0.35">
      <c r="A1" s="191" t="s">
        <v>0</v>
      </c>
      <c r="B1" s="192"/>
      <c r="C1" s="117"/>
      <c r="D1" s="117"/>
      <c r="E1" s="117"/>
      <c r="F1" s="117"/>
      <c r="G1" s="117"/>
      <c r="H1" s="118" t="s">
        <v>1</v>
      </c>
      <c r="I1" s="117"/>
      <c r="J1" s="117"/>
      <c r="K1" s="119"/>
      <c r="L1" s="190"/>
      <c r="M1" s="190"/>
      <c r="N1" s="190"/>
    </row>
    <row r="2" spans="1:14" x14ac:dyDescent="0.35">
      <c r="A2" s="193" t="s">
        <v>2</v>
      </c>
      <c r="B2" s="194"/>
      <c r="C2" s="120"/>
      <c r="D2" s="120"/>
      <c r="E2" s="120"/>
      <c r="F2" s="120"/>
      <c r="G2" s="120"/>
      <c r="H2" s="246" t="s">
        <v>221</v>
      </c>
      <c r="I2" s="120"/>
      <c r="J2" s="120"/>
      <c r="K2" s="122"/>
      <c r="L2" s="190"/>
      <c r="M2" s="190"/>
      <c r="N2" s="190"/>
    </row>
    <row r="3" spans="1:14" x14ac:dyDescent="0.35">
      <c r="A3" s="195" t="s">
        <v>3</v>
      </c>
      <c r="B3" s="196"/>
      <c r="C3" s="120"/>
      <c r="D3" s="120"/>
      <c r="E3" s="120"/>
      <c r="F3" s="120"/>
      <c r="G3" s="120"/>
      <c r="H3" s="121" t="s">
        <v>4</v>
      </c>
      <c r="I3" s="120"/>
      <c r="J3" s="120"/>
      <c r="K3" s="122"/>
      <c r="L3" s="190"/>
      <c r="M3" s="190"/>
      <c r="N3" s="190"/>
    </row>
    <row r="4" spans="1:14" ht="18" x14ac:dyDescent="0.4">
      <c r="A4" s="123"/>
      <c r="B4" s="120"/>
      <c r="C4" s="120"/>
      <c r="D4" s="141" t="s">
        <v>5</v>
      </c>
      <c r="E4" s="141"/>
      <c r="F4" s="141"/>
      <c r="G4" s="141"/>
      <c r="H4" s="141"/>
      <c r="I4" s="120"/>
      <c r="J4" s="120"/>
      <c r="K4" s="122"/>
      <c r="L4" s="190"/>
      <c r="M4" s="190"/>
      <c r="N4" s="190"/>
    </row>
    <row r="5" spans="1:14" x14ac:dyDescent="0.35">
      <c r="A5" s="340" t="s">
        <v>25</v>
      </c>
      <c r="B5" s="341"/>
      <c r="C5" s="341"/>
      <c r="D5" s="341"/>
      <c r="E5" s="341"/>
      <c r="F5" s="341"/>
      <c r="G5" s="341"/>
      <c r="H5" s="341"/>
      <c r="I5" s="341"/>
      <c r="J5" s="341"/>
      <c r="K5" s="342"/>
      <c r="L5" s="190"/>
      <c r="M5" s="190"/>
      <c r="N5" s="190"/>
    </row>
    <row r="6" spans="1:14" x14ac:dyDescent="0.35">
      <c r="A6" s="343" t="s">
        <v>6</v>
      </c>
      <c r="B6" s="344"/>
      <c r="C6" s="344"/>
      <c r="D6" s="344"/>
      <c r="E6" s="344"/>
      <c r="F6" s="344"/>
      <c r="G6" s="344"/>
      <c r="H6" s="344"/>
      <c r="I6" s="344"/>
      <c r="J6" s="344"/>
      <c r="K6" s="345"/>
      <c r="L6" s="190"/>
      <c r="M6" s="190"/>
      <c r="N6" s="190"/>
    </row>
    <row r="7" spans="1:14" ht="14.4" customHeight="1" x14ac:dyDescent="0.35">
      <c r="A7" s="145" t="s">
        <v>7</v>
      </c>
      <c r="B7" s="124" t="s">
        <v>8</v>
      </c>
      <c r="C7" s="335" t="s">
        <v>9</v>
      </c>
      <c r="D7" s="335"/>
      <c r="E7" s="336"/>
      <c r="F7" s="337" t="s">
        <v>10</v>
      </c>
      <c r="G7" s="337"/>
      <c r="H7" s="338" t="s">
        <v>11</v>
      </c>
      <c r="I7" s="339"/>
      <c r="J7" s="339"/>
      <c r="K7" s="149" t="s">
        <v>12</v>
      </c>
      <c r="L7" s="204"/>
      <c r="M7" s="204"/>
      <c r="N7" s="204"/>
    </row>
    <row r="8" spans="1:14" x14ac:dyDescent="0.35">
      <c r="A8" s="146"/>
      <c r="B8" s="125"/>
      <c r="C8" s="125" t="s">
        <v>13</v>
      </c>
      <c r="D8" s="126" t="s">
        <v>14</v>
      </c>
      <c r="E8" s="127" t="s">
        <v>15</v>
      </c>
      <c r="F8" s="128" t="s">
        <v>16</v>
      </c>
      <c r="G8" s="128" t="s">
        <v>17</v>
      </c>
      <c r="H8" s="126" t="s">
        <v>18</v>
      </c>
      <c r="I8" s="129" t="s">
        <v>19</v>
      </c>
      <c r="J8" s="130" t="s">
        <v>20</v>
      </c>
      <c r="K8" s="138"/>
      <c r="L8" s="204"/>
      <c r="M8" s="204"/>
      <c r="N8" s="204"/>
    </row>
    <row r="9" spans="1:14" x14ac:dyDescent="0.35">
      <c r="A9" s="321">
        <v>43102</v>
      </c>
      <c r="B9" s="140" t="s">
        <v>23</v>
      </c>
      <c r="C9" s="131">
        <v>31833.32</v>
      </c>
      <c r="D9" s="132"/>
      <c r="E9" s="134">
        <f>+C9</f>
        <v>31833.32</v>
      </c>
      <c r="F9" s="132">
        <f>+H9/C9</f>
        <v>21.202721550878138</v>
      </c>
      <c r="G9" s="133"/>
      <c r="H9" s="133">
        <v>674953.02</v>
      </c>
      <c r="I9" s="134"/>
      <c r="J9" s="134">
        <f>+H9</f>
        <v>674953.02</v>
      </c>
      <c r="K9" s="140"/>
      <c r="L9" s="204"/>
      <c r="M9" s="204"/>
      <c r="N9" s="204"/>
    </row>
    <row r="10" spans="1:14" x14ac:dyDescent="0.35">
      <c r="A10" s="142">
        <v>43103</v>
      </c>
      <c r="B10" s="140" t="s">
        <v>234</v>
      </c>
      <c r="C10" s="134"/>
      <c r="D10" s="134">
        <f>4*4.7+4+2*5</f>
        <v>32.799999999999997</v>
      </c>
      <c r="E10" s="135">
        <f t="shared" ref="E10" si="0">+E9-D10</f>
        <v>31800.52</v>
      </c>
      <c r="F10" s="136"/>
      <c r="G10" s="132">
        <f t="shared" ref="G10" si="1">+J9/E9</f>
        <v>21.202721550878138</v>
      </c>
      <c r="H10" s="136"/>
      <c r="I10" s="132">
        <f t="shared" ref="I10" si="2">+D10*G10</f>
        <v>695.44926686880285</v>
      </c>
      <c r="J10" s="134">
        <f t="shared" ref="J10" si="3">+J9-I10</f>
        <v>674257.57073313126</v>
      </c>
      <c r="K10" s="60"/>
      <c r="L10" s="204"/>
      <c r="M10" s="204"/>
      <c r="N10" s="204"/>
    </row>
    <row r="11" spans="1:14" s="116" customFormat="1" x14ac:dyDescent="0.35">
      <c r="A11" s="142">
        <v>43103</v>
      </c>
      <c r="B11" s="140" t="s">
        <v>235</v>
      </c>
      <c r="C11" s="134"/>
      <c r="D11" s="134">
        <f>4*5+4*3.2</f>
        <v>32.799999999999997</v>
      </c>
      <c r="E11" s="135">
        <f t="shared" ref="E11:E74" si="4">+E10-D11</f>
        <v>31767.72</v>
      </c>
      <c r="F11" s="136"/>
      <c r="G11" s="132">
        <f t="shared" ref="G11:G74" si="5">+J10/E10</f>
        <v>21.202721550878138</v>
      </c>
      <c r="H11" s="136"/>
      <c r="I11" s="132">
        <f t="shared" ref="I11:I74" si="6">+D11*G11</f>
        <v>695.44926686880285</v>
      </c>
      <c r="J11" s="134">
        <f t="shared" ref="J11:J74" si="7">+J10-I11</f>
        <v>673562.1214662625</v>
      </c>
      <c r="K11" s="60"/>
      <c r="L11" s="204"/>
      <c r="M11" s="204"/>
      <c r="N11" s="204"/>
    </row>
    <row r="12" spans="1:14" s="116" customFormat="1" x14ac:dyDescent="0.35">
      <c r="A12" s="142">
        <v>43103</v>
      </c>
      <c r="B12" s="140" t="s">
        <v>236</v>
      </c>
      <c r="C12" s="134"/>
      <c r="D12" s="134">
        <f>3*3</f>
        <v>9</v>
      </c>
      <c r="E12" s="135">
        <f t="shared" si="4"/>
        <v>31758.720000000001</v>
      </c>
      <c r="F12" s="136"/>
      <c r="G12" s="132">
        <f t="shared" si="5"/>
        <v>21.202721550878138</v>
      </c>
      <c r="H12" s="136"/>
      <c r="I12" s="132">
        <f t="shared" si="6"/>
        <v>190.82449395790326</v>
      </c>
      <c r="J12" s="134">
        <f t="shared" si="7"/>
        <v>673371.29697230458</v>
      </c>
      <c r="K12" s="60"/>
      <c r="L12" s="204"/>
      <c r="M12" s="204"/>
      <c r="N12" s="204"/>
    </row>
    <row r="13" spans="1:14" s="116" customFormat="1" x14ac:dyDescent="0.35">
      <c r="A13" s="142">
        <v>43104</v>
      </c>
      <c r="B13" s="140" t="s">
        <v>237</v>
      </c>
      <c r="C13" s="134"/>
      <c r="D13" s="134">
        <f>2*2</f>
        <v>4</v>
      </c>
      <c r="E13" s="135">
        <f t="shared" si="4"/>
        <v>31754.720000000001</v>
      </c>
      <c r="F13" s="136"/>
      <c r="G13" s="132">
        <f t="shared" si="5"/>
        <v>21.202721550878138</v>
      </c>
      <c r="H13" s="136"/>
      <c r="I13" s="132">
        <f t="shared" si="6"/>
        <v>84.810886203512553</v>
      </c>
      <c r="J13" s="134">
        <f t="shared" si="7"/>
        <v>673286.48608610104</v>
      </c>
      <c r="K13" s="60"/>
      <c r="L13" s="204"/>
      <c r="M13" s="204"/>
      <c r="N13" s="204"/>
    </row>
    <row r="14" spans="1:14" s="116" customFormat="1" x14ac:dyDescent="0.35">
      <c r="A14" s="142">
        <v>43104</v>
      </c>
      <c r="B14" s="140" t="s">
        <v>238</v>
      </c>
      <c r="C14" s="134"/>
      <c r="D14" s="134">
        <f>11*5.7</f>
        <v>62.7</v>
      </c>
      <c r="E14" s="135">
        <f t="shared" si="4"/>
        <v>31692.02</v>
      </c>
      <c r="F14" s="136"/>
      <c r="G14" s="132">
        <f t="shared" si="5"/>
        <v>21.202721550878138</v>
      </c>
      <c r="H14" s="136"/>
      <c r="I14" s="132">
        <f t="shared" si="6"/>
        <v>1329.4106412400592</v>
      </c>
      <c r="J14" s="134">
        <f t="shared" si="7"/>
        <v>671957.07544486097</v>
      </c>
      <c r="K14" s="60"/>
      <c r="L14" s="204"/>
      <c r="M14" s="204"/>
      <c r="N14" s="204"/>
    </row>
    <row r="15" spans="1:14" s="116" customFormat="1" x14ac:dyDescent="0.35">
      <c r="A15" s="142">
        <v>43104</v>
      </c>
      <c r="B15" s="140" t="s">
        <v>239</v>
      </c>
      <c r="C15" s="134"/>
      <c r="D15" s="134">
        <f>6*6.1</f>
        <v>36.599999999999994</v>
      </c>
      <c r="E15" s="135">
        <f t="shared" si="4"/>
        <v>31655.420000000002</v>
      </c>
      <c r="F15" s="136"/>
      <c r="G15" s="132">
        <f t="shared" si="5"/>
        <v>21.202721550878138</v>
      </c>
      <c r="H15" s="136"/>
      <c r="I15" s="132">
        <f t="shared" si="6"/>
        <v>776.01960876213968</v>
      </c>
      <c r="J15" s="134">
        <f t="shared" si="7"/>
        <v>671181.05583609885</v>
      </c>
      <c r="K15" s="60"/>
      <c r="L15" s="204"/>
      <c r="M15" s="204"/>
      <c r="N15" s="204"/>
    </row>
    <row r="16" spans="1:14" s="116" customFormat="1" x14ac:dyDescent="0.35">
      <c r="A16" s="142">
        <v>43104</v>
      </c>
      <c r="B16" s="140" t="s">
        <v>240</v>
      </c>
      <c r="C16" s="134"/>
      <c r="D16" s="134">
        <f>18*2.6</f>
        <v>46.800000000000004</v>
      </c>
      <c r="E16" s="135">
        <f t="shared" si="4"/>
        <v>31608.620000000003</v>
      </c>
      <c r="F16" s="136"/>
      <c r="G16" s="132">
        <f t="shared" si="5"/>
        <v>21.202721550878138</v>
      </c>
      <c r="H16" s="136"/>
      <c r="I16" s="132">
        <f t="shared" si="6"/>
        <v>992.28736858109698</v>
      </c>
      <c r="J16" s="134">
        <f t="shared" si="7"/>
        <v>670188.7684675178</v>
      </c>
      <c r="K16" s="60"/>
      <c r="L16" s="204"/>
      <c r="M16" s="204"/>
      <c r="N16" s="204"/>
    </row>
    <row r="17" spans="1:14" s="116" customFormat="1" x14ac:dyDescent="0.35">
      <c r="A17" s="142">
        <v>43104</v>
      </c>
      <c r="B17" s="140" t="s">
        <v>241</v>
      </c>
      <c r="C17" s="134"/>
      <c r="D17" s="134">
        <f>6*3.5</f>
        <v>21</v>
      </c>
      <c r="E17" s="135">
        <f t="shared" si="4"/>
        <v>31587.620000000003</v>
      </c>
      <c r="F17" s="136"/>
      <c r="G17" s="132">
        <f t="shared" si="5"/>
        <v>21.202721550878138</v>
      </c>
      <c r="H17" s="136"/>
      <c r="I17" s="132">
        <f t="shared" si="6"/>
        <v>445.25715256844092</v>
      </c>
      <c r="J17" s="134">
        <f t="shared" si="7"/>
        <v>669743.51131494937</v>
      </c>
      <c r="K17" s="60"/>
      <c r="L17" s="204"/>
      <c r="M17" s="204"/>
      <c r="N17" s="204"/>
    </row>
    <row r="18" spans="1:14" s="116" customFormat="1" x14ac:dyDescent="0.35">
      <c r="A18" s="142">
        <v>43106</v>
      </c>
      <c r="B18" s="140" t="s">
        <v>242</v>
      </c>
      <c r="C18" s="134"/>
      <c r="D18" s="134">
        <f>7*4.2</f>
        <v>29.400000000000002</v>
      </c>
      <c r="E18" s="135">
        <f t="shared" si="4"/>
        <v>31558.22</v>
      </c>
      <c r="F18" s="136"/>
      <c r="G18" s="132">
        <f t="shared" si="5"/>
        <v>21.202721550878138</v>
      </c>
      <c r="H18" s="136"/>
      <c r="I18" s="132">
        <f t="shared" si="6"/>
        <v>623.36001359581735</v>
      </c>
      <c r="J18" s="134">
        <f t="shared" si="7"/>
        <v>669120.15130135359</v>
      </c>
      <c r="K18" s="60"/>
      <c r="L18" s="204"/>
      <c r="M18" s="204"/>
      <c r="N18" s="204"/>
    </row>
    <row r="19" spans="1:14" s="116" customFormat="1" x14ac:dyDescent="0.35">
      <c r="A19" s="142">
        <v>43106</v>
      </c>
      <c r="B19" s="140" t="s">
        <v>243</v>
      </c>
      <c r="C19" s="134"/>
      <c r="D19" s="134">
        <f>15*4.5</f>
        <v>67.5</v>
      </c>
      <c r="E19" s="135">
        <f t="shared" si="4"/>
        <v>31490.720000000001</v>
      </c>
      <c r="F19" s="136"/>
      <c r="G19" s="132">
        <f t="shared" si="5"/>
        <v>21.202721550878142</v>
      </c>
      <c r="H19" s="136"/>
      <c r="I19" s="132">
        <f t="shared" si="6"/>
        <v>1431.1837046842745</v>
      </c>
      <c r="J19" s="134">
        <f t="shared" si="7"/>
        <v>667688.96759666933</v>
      </c>
      <c r="K19" s="60"/>
      <c r="L19" s="204"/>
      <c r="M19" s="204"/>
      <c r="N19" s="204"/>
    </row>
    <row r="20" spans="1:14" s="116" customFormat="1" x14ac:dyDescent="0.35">
      <c r="A20" s="142">
        <v>43108</v>
      </c>
      <c r="B20" s="140" t="s">
        <v>244</v>
      </c>
      <c r="C20" s="134"/>
      <c r="D20" s="134">
        <f>5*4.8</f>
        <v>24</v>
      </c>
      <c r="E20" s="135">
        <f t="shared" si="4"/>
        <v>31466.720000000001</v>
      </c>
      <c r="F20" s="136"/>
      <c r="G20" s="132">
        <f t="shared" si="5"/>
        <v>21.202721550878142</v>
      </c>
      <c r="H20" s="136"/>
      <c r="I20" s="132">
        <f t="shared" si="6"/>
        <v>508.86531722107543</v>
      </c>
      <c r="J20" s="134">
        <f t="shared" si="7"/>
        <v>667180.1022794483</v>
      </c>
      <c r="K20" s="60"/>
      <c r="L20" s="204"/>
      <c r="M20" s="204"/>
      <c r="N20" s="204"/>
    </row>
    <row r="21" spans="1:14" s="116" customFormat="1" x14ac:dyDescent="0.35">
      <c r="A21" s="142">
        <v>43109</v>
      </c>
      <c r="B21" s="140" t="s">
        <v>245</v>
      </c>
      <c r="C21" s="134"/>
      <c r="D21" s="134">
        <f>2*4.44+2*3.5+1.25</f>
        <v>17.130000000000003</v>
      </c>
      <c r="E21" s="135">
        <f t="shared" si="4"/>
        <v>31449.59</v>
      </c>
      <c r="F21" s="136"/>
      <c r="G21" s="132">
        <f t="shared" si="5"/>
        <v>21.202721550878142</v>
      </c>
      <c r="H21" s="136"/>
      <c r="I21" s="132">
        <f t="shared" si="6"/>
        <v>363.2026201665426</v>
      </c>
      <c r="J21" s="134">
        <f t="shared" si="7"/>
        <v>666816.89965928171</v>
      </c>
      <c r="K21" s="60"/>
      <c r="L21" s="204"/>
      <c r="M21" s="204"/>
      <c r="N21" s="204"/>
    </row>
    <row r="22" spans="1:14" s="116" customFormat="1" x14ac:dyDescent="0.35">
      <c r="A22" s="142">
        <v>43110</v>
      </c>
      <c r="B22" s="140" t="s">
        <v>246</v>
      </c>
      <c r="C22" s="134"/>
      <c r="D22" s="134">
        <f>8*5.19</f>
        <v>41.52</v>
      </c>
      <c r="E22" s="135">
        <f t="shared" si="4"/>
        <v>31408.07</v>
      </c>
      <c r="F22" s="136"/>
      <c r="G22" s="132">
        <f t="shared" si="5"/>
        <v>21.202721550878142</v>
      </c>
      <c r="H22" s="136"/>
      <c r="I22" s="132">
        <f t="shared" si="6"/>
        <v>880.33699879246046</v>
      </c>
      <c r="J22" s="134">
        <f t="shared" si="7"/>
        <v>665936.56266048923</v>
      </c>
      <c r="K22" s="60"/>
      <c r="L22" s="204"/>
      <c r="M22" s="204"/>
      <c r="N22" s="204"/>
    </row>
    <row r="23" spans="1:14" s="116" customFormat="1" x14ac:dyDescent="0.35">
      <c r="A23" s="142">
        <v>43110</v>
      </c>
      <c r="B23" s="140" t="s">
        <v>247</v>
      </c>
      <c r="C23" s="134"/>
      <c r="D23" s="134">
        <f>11*4.86</f>
        <v>53.46</v>
      </c>
      <c r="E23" s="135">
        <f t="shared" si="4"/>
        <v>31354.61</v>
      </c>
      <c r="F23" s="136"/>
      <c r="G23" s="132">
        <f t="shared" si="5"/>
        <v>21.202721550878142</v>
      </c>
      <c r="H23" s="136"/>
      <c r="I23" s="132">
        <f t="shared" si="6"/>
        <v>1133.4974941099454</v>
      </c>
      <c r="J23" s="134">
        <f t="shared" si="7"/>
        <v>664803.06516637933</v>
      </c>
      <c r="K23" s="60"/>
      <c r="L23" s="204"/>
      <c r="M23" s="204"/>
      <c r="N23" s="204"/>
    </row>
    <row r="24" spans="1:14" s="116" customFormat="1" x14ac:dyDescent="0.35">
      <c r="A24" s="142">
        <v>43111</v>
      </c>
      <c r="B24" s="140" t="s">
        <v>248</v>
      </c>
      <c r="C24" s="134"/>
      <c r="D24" s="134">
        <f>11*5+2*1.5</f>
        <v>58</v>
      </c>
      <c r="E24" s="135">
        <f t="shared" si="4"/>
        <v>31296.61</v>
      </c>
      <c r="F24" s="136"/>
      <c r="G24" s="132">
        <f t="shared" si="5"/>
        <v>21.202721550878142</v>
      </c>
      <c r="H24" s="136"/>
      <c r="I24" s="132">
        <f t="shared" si="6"/>
        <v>1229.7578499509323</v>
      </c>
      <c r="J24" s="134">
        <f t="shared" si="7"/>
        <v>663573.3073164284</v>
      </c>
      <c r="K24" s="60"/>
      <c r="L24" s="204"/>
      <c r="M24" s="204"/>
      <c r="N24" s="204"/>
    </row>
    <row r="25" spans="1:14" s="116" customFormat="1" x14ac:dyDescent="0.35">
      <c r="A25" s="142">
        <v>43112</v>
      </c>
      <c r="B25" s="140" t="s">
        <v>249</v>
      </c>
      <c r="C25" s="134"/>
      <c r="D25" s="134">
        <f>7*5</f>
        <v>35</v>
      </c>
      <c r="E25" s="135">
        <f t="shared" si="4"/>
        <v>31261.61</v>
      </c>
      <c r="F25" s="136"/>
      <c r="G25" s="132">
        <f t="shared" si="5"/>
        <v>21.202721550878142</v>
      </c>
      <c r="H25" s="136"/>
      <c r="I25" s="132">
        <f t="shared" si="6"/>
        <v>742.09525428073493</v>
      </c>
      <c r="J25" s="134">
        <f t="shared" si="7"/>
        <v>662831.21206214768</v>
      </c>
      <c r="K25" s="60"/>
      <c r="L25" s="204"/>
      <c r="M25" s="204"/>
      <c r="N25" s="204"/>
    </row>
    <row r="26" spans="1:14" s="116" customFormat="1" x14ac:dyDescent="0.35">
      <c r="A26" s="142">
        <v>43112</v>
      </c>
      <c r="B26" s="140" t="s">
        <v>250</v>
      </c>
      <c r="C26" s="134"/>
      <c r="D26" s="134">
        <f>10*2.6+7*3.3+2*2+1.5+0.75+1.3+2.1+3*2.4+4*2.3+1.7+2.8+1.8+3.25</f>
        <v>84.699999999999989</v>
      </c>
      <c r="E26" s="135">
        <f t="shared" si="4"/>
        <v>31176.91</v>
      </c>
      <c r="F26" s="136"/>
      <c r="G26" s="132">
        <f t="shared" si="5"/>
        <v>21.202721550878142</v>
      </c>
      <c r="H26" s="136"/>
      <c r="I26" s="132">
        <f t="shared" si="6"/>
        <v>1795.8705153593783</v>
      </c>
      <c r="J26" s="134">
        <f t="shared" si="7"/>
        <v>661035.34154678835</v>
      </c>
      <c r="K26" s="60"/>
      <c r="L26" s="204"/>
      <c r="M26" s="204"/>
      <c r="N26" s="204"/>
    </row>
    <row r="27" spans="1:14" s="225" customFormat="1" x14ac:dyDescent="0.35">
      <c r="A27" s="228">
        <v>43112</v>
      </c>
      <c r="B27" s="226" t="s">
        <v>251</v>
      </c>
      <c r="C27" s="229"/>
      <c r="D27" s="229">
        <v>5</v>
      </c>
      <c r="E27" s="230">
        <f t="shared" si="4"/>
        <v>31171.91</v>
      </c>
      <c r="F27" s="224"/>
      <c r="G27" s="229">
        <f t="shared" si="5"/>
        <v>21.202721550878145</v>
      </c>
      <c r="H27" s="224"/>
      <c r="I27" s="229">
        <f t="shared" si="6"/>
        <v>106.01360775439073</v>
      </c>
      <c r="J27" s="229">
        <f t="shared" si="7"/>
        <v>660929.32793903397</v>
      </c>
      <c r="K27" s="226"/>
      <c r="L27" s="32">
        <f>SUM(I10:I27)</f>
        <v>14023.692060966312</v>
      </c>
      <c r="M27" s="227"/>
      <c r="N27" s="27">
        <v>43115</v>
      </c>
    </row>
    <row r="28" spans="1:14" s="116" customFormat="1" x14ac:dyDescent="0.35">
      <c r="A28" s="142">
        <v>43117</v>
      </c>
      <c r="B28" s="140" t="s">
        <v>252</v>
      </c>
      <c r="C28" s="134"/>
      <c r="D28" s="134">
        <f>4*3+5+7*3.33</f>
        <v>40.31</v>
      </c>
      <c r="E28" s="135">
        <f t="shared" si="4"/>
        <v>31131.599999999999</v>
      </c>
      <c r="F28" s="136"/>
      <c r="G28" s="132">
        <f t="shared" si="5"/>
        <v>21.202721550878145</v>
      </c>
      <c r="H28" s="136"/>
      <c r="I28" s="132">
        <f t="shared" si="6"/>
        <v>854.68170571589803</v>
      </c>
      <c r="J28" s="134">
        <f t="shared" si="7"/>
        <v>660074.64623331802</v>
      </c>
      <c r="K28" s="60"/>
      <c r="L28" s="204"/>
      <c r="M28" s="204"/>
      <c r="N28" s="204"/>
    </row>
    <row r="29" spans="1:14" s="116" customFormat="1" x14ac:dyDescent="0.35">
      <c r="A29" s="142">
        <v>43117</v>
      </c>
      <c r="B29" s="140" t="s">
        <v>253</v>
      </c>
      <c r="C29" s="134"/>
      <c r="D29" s="134">
        <f>8*5</f>
        <v>40</v>
      </c>
      <c r="E29" s="135">
        <f t="shared" si="4"/>
        <v>31091.599999999999</v>
      </c>
      <c r="F29" s="136"/>
      <c r="G29" s="132">
        <f t="shared" si="5"/>
        <v>21.202721550878145</v>
      </c>
      <c r="H29" s="136"/>
      <c r="I29" s="132">
        <f t="shared" si="6"/>
        <v>848.10886203512587</v>
      </c>
      <c r="J29" s="134">
        <f t="shared" si="7"/>
        <v>659226.53737128293</v>
      </c>
      <c r="K29" s="60"/>
      <c r="L29" s="204"/>
      <c r="M29" s="204"/>
      <c r="N29" s="204"/>
    </row>
    <row r="30" spans="1:14" s="116" customFormat="1" x14ac:dyDescent="0.35">
      <c r="A30" s="142">
        <v>43117</v>
      </c>
      <c r="B30" s="140" t="s">
        <v>254</v>
      </c>
      <c r="C30" s="134"/>
      <c r="D30" s="134">
        <f>15*6.3+3.5</f>
        <v>98</v>
      </c>
      <c r="E30" s="135">
        <f t="shared" si="4"/>
        <v>30993.599999999999</v>
      </c>
      <c r="F30" s="136"/>
      <c r="G30" s="132">
        <f t="shared" si="5"/>
        <v>21.202721550878145</v>
      </c>
      <c r="H30" s="136"/>
      <c r="I30" s="132">
        <f t="shared" si="6"/>
        <v>2077.8667119860584</v>
      </c>
      <c r="J30" s="134">
        <f t="shared" si="7"/>
        <v>657148.67065929691</v>
      </c>
      <c r="K30" s="60"/>
      <c r="L30" s="204"/>
      <c r="M30" s="204"/>
      <c r="N30" s="204"/>
    </row>
    <row r="31" spans="1:14" s="116" customFormat="1" x14ac:dyDescent="0.35">
      <c r="A31" s="142">
        <v>43117</v>
      </c>
      <c r="B31" s="140" t="s">
        <v>255</v>
      </c>
      <c r="C31" s="134"/>
      <c r="D31" s="134">
        <f>10*5+8*2.5</f>
        <v>70</v>
      </c>
      <c r="E31" s="135">
        <f t="shared" si="4"/>
        <v>30923.599999999999</v>
      </c>
      <c r="F31" s="136"/>
      <c r="G31" s="132">
        <f t="shared" si="5"/>
        <v>21.202721550878149</v>
      </c>
      <c r="H31" s="136"/>
      <c r="I31" s="132">
        <f t="shared" si="6"/>
        <v>1484.1905085614703</v>
      </c>
      <c r="J31" s="134">
        <f t="shared" si="7"/>
        <v>655664.48015073547</v>
      </c>
      <c r="K31" s="60"/>
      <c r="L31" s="204"/>
      <c r="M31" s="204"/>
      <c r="N31" s="204"/>
    </row>
    <row r="32" spans="1:14" s="116" customFormat="1" x14ac:dyDescent="0.35">
      <c r="A32" s="142">
        <v>43118</v>
      </c>
      <c r="B32" s="140" t="s">
        <v>256</v>
      </c>
      <c r="C32" s="134"/>
      <c r="D32" s="134">
        <f>7*5</f>
        <v>35</v>
      </c>
      <c r="E32" s="135">
        <f t="shared" si="4"/>
        <v>30888.6</v>
      </c>
      <c r="F32" s="136"/>
      <c r="G32" s="132">
        <f t="shared" si="5"/>
        <v>21.202721550878149</v>
      </c>
      <c r="H32" s="136"/>
      <c r="I32" s="132">
        <f t="shared" si="6"/>
        <v>742.09525428073516</v>
      </c>
      <c r="J32" s="134">
        <f t="shared" si="7"/>
        <v>654922.38489645475</v>
      </c>
      <c r="K32" s="60"/>
      <c r="L32" s="204"/>
      <c r="M32" s="204"/>
      <c r="N32" s="204"/>
    </row>
    <row r="33" spans="1:14" s="116" customFormat="1" x14ac:dyDescent="0.35">
      <c r="A33" s="142">
        <v>43120</v>
      </c>
      <c r="B33" s="140" t="s">
        <v>257</v>
      </c>
      <c r="C33" s="134"/>
      <c r="D33" s="134">
        <f>9*4.4+2.4</f>
        <v>42</v>
      </c>
      <c r="E33" s="135">
        <f t="shared" si="4"/>
        <v>30846.6</v>
      </c>
      <c r="F33" s="136"/>
      <c r="G33" s="132">
        <f t="shared" si="5"/>
        <v>21.202721550878149</v>
      </c>
      <c r="H33" s="136"/>
      <c r="I33" s="132">
        <f t="shared" si="6"/>
        <v>890.51430513688229</v>
      </c>
      <c r="J33" s="134">
        <f t="shared" si="7"/>
        <v>654031.87059131789</v>
      </c>
      <c r="K33" s="60"/>
      <c r="L33" s="204"/>
      <c r="M33" s="204"/>
      <c r="N33" s="204"/>
    </row>
    <row r="34" spans="1:14" s="116" customFormat="1" x14ac:dyDescent="0.35">
      <c r="A34" s="142">
        <v>43124</v>
      </c>
      <c r="B34" s="140" t="s">
        <v>258</v>
      </c>
      <c r="C34" s="134"/>
      <c r="D34" s="134">
        <f>4*4.2</f>
        <v>16.8</v>
      </c>
      <c r="E34" s="135">
        <f t="shared" si="4"/>
        <v>30829.8</v>
      </c>
      <c r="F34" s="136"/>
      <c r="G34" s="132">
        <f t="shared" si="5"/>
        <v>21.202721550878149</v>
      </c>
      <c r="H34" s="136"/>
      <c r="I34" s="132">
        <f t="shared" si="6"/>
        <v>356.20572205475293</v>
      </c>
      <c r="J34" s="134">
        <f t="shared" si="7"/>
        <v>653675.66486926319</v>
      </c>
      <c r="K34" s="60"/>
      <c r="L34" s="204"/>
      <c r="M34" s="204"/>
      <c r="N34" s="204"/>
    </row>
    <row r="35" spans="1:14" s="116" customFormat="1" x14ac:dyDescent="0.35">
      <c r="A35" s="142">
        <v>43124</v>
      </c>
      <c r="B35" s="140" t="s">
        <v>43</v>
      </c>
      <c r="C35" s="134"/>
      <c r="D35" s="134">
        <v>0</v>
      </c>
      <c r="E35" s="135">
        <f t="shared" si="4"/>
        <v>30829.8</v>
      </c>
      <c r="F35" s="136"/>
      <c r="G35" s="132">
        <f t="shared" si="5"/>
        <v>21.202721550878149</v>
      </c>
      <c r="H35" s="136"/>
      <c r="I35" s="132">
        <f t="shared" si="6"/>
        <v>0</v>
      </c>
      <c r="J35" s="134">
        <f t="shared" si="7"/>
        <v>653675.66486926319</v>
      </c>
      <c r="K35" s="60"/>
      <c r="L35" s="204"/>
      <c r="M35" s="204"/>
      <c r="N35" s="204"/>
    </row>
    <row r="36" spans="1:14" s="116" customFormat="1" x14ac:dyDescent="0.35">
      <c r="A36" s="142">
        <v>43124</v>
      </c>
      <c r="B36" s="140" t="s">
        <v>259</v>
      </c>
      <c r="C36" s="134"/>
      <c r="D36" s="134">
        <f>14*5.19</f>
        <v>72.660000000000011</v>
      </c>
      <c r="E36" s="135">
        <f t="shared" si="4"/>
        <v>30757.14</v>
      </c>
      <c r="F36" s="136"/>
      <c r="G36" s="132">
        <f t="shared" si="5"/>
        <v>21.202721550878149</v>
      </c>
      <c r="H36" s="136"/>
      <c r="I36" s="132">
        <f t="shared" si="6"/>
        <v>1540.5897478868064</v>
      </c>
      <c r="J36" s="134">
        <f t="shared" si="7"/>
        <v>652135.07512137643</v>
      </c>
      <c r="K36" s="60"/>
      <c r="L36" s="204"/>
      <c r="M36" s="204"/>
      <c r="N36" s="204"/>
    </row>
    <row r="37" spans="1:14" s="116" customFormat="1" x14ac:dyDescent="0.35">
      <c r="A37" s="142">
        <v>43124</v>
      </c>
      <c r="B37" s="140" t="s">
        <v>260</v>
      </c>
      <c r="C37" s="134"/>
      <c r="D37" s="134">
        <f>163*2</f>
        <v>326</v>
      </c>
      <c r="E37" s="135">
        <f t="shared" si="4"/>
        <v>30431.14</v>
      </c>
      <c r="F37" s="136"/>
      <c r="G37" s="132">
        <f t="shared" si="5"/>
        <v>21.202721550878152</v>
      </c>
      <c r="H37" s="136"/>
      <c r="I37" s="132">
        <f t="shared" si="6"/>
        <v>6912.0872255862778</v>
      </c>
      <c r="J37" s="134">
        <f t="shared" si="7"/>
        <v>645222.98789579014</v>
      </c>
      <c r="K37" s="60"/>
      <c r="L37" s="204"/>
      <c r="M37" s="204"/>
      <c r="N37" s="204"/>
    </row>
    <row r="38" spans="1:14" s="116" customFormat="1" x14ac:dyDescent="0.35">
      <c r="A38" s="142">
        <v>43125</v>
      </c>
      <c r="B38" s="140" t="s">
        <v>261</v>
      </c>
      <c r="C38" s="134"/>
      <c r="D38" s="134">
        <f>2*3.5</f>
        <v>7</v>
      </c>
      <c r="E38" s="135">
        <f t="shared" si="4"/>
        <v>30424.14</v>
      </c>
      <c r="F38" s="136"/>
      <c r="G38" s="132">
        <f t="shared" si="5"/>
        <v>21.202721550878152</v>
      </c>
      <c r="H38" s="136"/>
      <c r="I38" s="132">
        <f t="shared" si="6"/>
        <v>148.41905085614707</v>
      </c>
      <c r="J38" s="134">
        <f t="shared" si="7"/>
        <v>645074.56884493399</v>
      </c>
      <c r="K38" s="60"/>
      <c r="L38" s="204"/>
      <c r="M38" s="204"/>
      <c r="N38" s="204"/>
    </row>
    <row r="39" spans="1:14" s="116" customFormat="1" x14ac:dyDescent="0.35">
      <c r="A39" s="142">
        <v>43126</v>
      </c>
      <c r="B39" s="140" t="s">
        <v>262</v>
      </c>
      <c r="C39" s="134"/>
      <c r="D39" s="134">
        <f>9*3+9*2.45</f>
        <v>49.05</v>
      </c>
      <c r="E39" s="135">
        <f t="shared" si="4"/>
        <v>30375.09</v>
      </c>
      <c r="F39" s="136"/>
      <c r="G39" s="132">
        <f t="shared" si="5"/>
        <v>21.202721550878152</v>
      </c>
      <c r="H39" s="136"/>
      <c r="I39" s="132">
        <f t="shared" si="6"/>
        <v>1039.9934920705732</v>
      </c>
      <c r="J39" s="134">
        <f t="shared" si="7"/>
        <v>644034.57535286341</v>
      </c>
      <c r="K39" s="60"/>
      <c r="L39" s="204"/>
      <c r="M39" s="204"/>
      <c r="N39" s="204"/>
    </row>
    <row r="40" spans="1:14" s="116" customFormat="1" x14ac:dyDescent="0.35">
      <c r="A40" s="142">
        <v>43126</v>
      </c>
      <c r="B40" s="140" t="s">
        <v>263</v>
      </c>
      <c r="C40" s="134"/>
      <c r="D40" s="134">
        <f>8*3</f>
        <v>24</v>
      </c>
      <c r="E40" s="135">
        <f t="shared" si="4"/>
        <v>30351.09</v>
      </c>
      <c r="F40" s="136"/>
      <c r="G40" s="132">
        <f t="shared" si="5"/>
        <v>21.202721550878152</v>
      </c>
      <c r="H40" s="136"/>
      <c r="I40" s="132">
        <f t="shared" si="6"/>
        <v>508.86531722107566</v>
      </c>
      <c r="J40" s="134">
        <f t="shared" si="7"/>
        <v>643525.71003564238</v>
      </c>
      <c r="K40" s="60"/>
      <c r="L40" s="204"/>
      <c r="M40" s="204"/>
      <c r="N40" s="204"/>
    </row>
    <row r="41" spans="1:14" s="116" customFormat="1" x14ac:dyDescent="0.35">
      <c r="A41" s="142">
        <v>43127</v>
      </c>
      <c r="B41" s="140" t="s">
        <v>264</v>
      </c>
      <c r="C41" s="134"/>
      <c r="D41" s="134">
        <f>7+2</f>
        <v>9</v>
      </c>
      <c r="E41" s="135">
        <f t="shared" si="4"/>
        <v>30342.09</v>
      </c>
      <c r="F41" s="136"/>
      <c r="G41" s="132">
        <f t="shared" si="5"/>
        <v>21.202721550878152</v>
      </c>
      <c r="H41" s="136"/>
      <c r="I41" s="132">
        <f t="shared" si="6"/>
        <v>190.82449395790337</v>
      </c>
      <c r="J41" s="134">
        <f t="shared" si="7"/>
        <v>643334.88554168446</v>
      </c>
      <c r="K41" s="60"/>
      <c r="L41" s="204"/>
      <c r="M41" s="204"/>
      <c r="N41" s="204"/>
    </row>
    <row r="42" spans="1:14" s="116" customFormat="1" x14ac:dyDescent="0.35">
      <c r="A42" s="142">
        <v>43129</v>
      </c>
      <c r="B42" s="140" t="s">
        <v>265</v>
      </c>
      <c r="C42" s="134"/>
      <c r="D42" s="134">
        <f>4*5+5</f>
        <v>25</v>
      </c>
      <c r="E42" s="135">
        <f t="shared" si="4"/>
        <v>30317.09</v>
      </c>
      <c r="F42" s="136"/>
      <c r="G42" s="132">
        <f t="shared" si="5"/>
        <v>21.202721550878152</v>
      </c>
      <c r="H42" s="136"/>
      <c r="I42" s="132">
        <f t="shared" si="6"/>
        <v>530.06803877195375</v>
      </c>
      <c r="J42" s="134">
        <f t="shared" si="7"/>
        <v>642804.81750291248</v>
      </c>
      <c r="K42" s="60"/>
      <c r="L42" s="204"/>
      <c r="M42" s="204"/>
      <c r="N42" s="204"/>
    </row>
    <row r="43" spans="1:14" s="116" customFormat="1" x14ac:dyDescent="0.35">
      <c r="A43" s="142">
        <v>43129</v>
      </c>
      <c r="B43" s="140" t="s">
        <v>266</v>
      </c>
      <c r="C43" s="134"/>
      <c r="D43" s="134">
        <f>5*6.78</f>
        <v>33.9</v>
      </c>
      <c r="E43" s="135">
        <f t="shared" si="4"/>
        <v>30283.19</v>
      </c>
      <c r="F43" s="136"/>
      <c r="G43" s="132">
        <f t="shared" si="5"/>
        <v>21.202721550878152</v>
      </c>
      <c r="H43" s="136"/>
      <c r="I43" s="132">
        <f t="shared" si="6"/>
        <v>718.77226057476935</v>
      </c>
      <c r="J43" s="134">
        <f t="shared" si="7"/>
        <v>642086.04524233774</v>
      </c>
      <c r="K43" s="60"/>
      <c r="L43" s="204"/>
      <c r="M43" s="204"/>
      <c r="N43" s="204"/>
    </row>
    <row r="44" spans="1:14" s="225" customFormat="1" x14ac:dyDescent="0.35">
      <c r="A44" s="228">
        <v>43130</v>
      </c>
      <c r="B44" s="226" t="s">
        <v>267</v>
      </c>
      <c r="C44" s="229"/>
      <c r="D44" s="229">
        <f>19*4.8</f>
        <v>91.2</v>
      </c>
      <c r="E44" s="230">
        <f t="shared" si="4"/>
        <v>30191.989999999998</v>
      </c>
      <c r="F44" s="224"/>
      <c r="G44" s="229">
        <f t="shared" si="5"/>
        <v>21.202721550878152</v>
      </c>
      <c r="H44" s="224"/>
      <c r="I44" s="229">
        <f t="shared" si="6"/>
        <v>1933.6882054400876</v>
      </c>
      <c r="J44" s="229">
        <f t="shared" si="7"/>
        <v>640152.35703689768</v>
      </c>
      <c r="K44" s="226"/>
      <c r="L44" s="32">
        <f>SUM(I28:I44)</f>
        <v>20776.97090213652</v>
      </c>
      <c r="M44" s="32">
        <f>SUM(L27:L44)</f>
        <v>34800.662963102834</v>
      </c>
      <c r="N44" s="27">
        <v>43131</v>
      </c>
    </row>
    <row r="45" spans="1:14" s="116" customFormat="1" x14ac:dyDescent="0.35">
      <c r="A45" s="142">
        <v>43132</v>
      </c>
      <c r="B45" s="140" t="s">
        <v>268</v>
      </c>
      <c r="C45" s="134"/>
      <c r="D45" s="134">
        <f>7*5.5</f>
        <v>38.5</v>
      </c>
      <c r="E45" s="135">
        <f t="shared" si="4"/>
        <v>30153.489999999998</v>
      </c>
      <c r="F45" s="136"/>
      <c r="G45" s="132">
        <f t="shared" si="5"/>
        <v>21.202721550878156</v>
      </c>
      <c r="H45" s="136"/>
      <c r="I45" s="132">
        <f t="shared" si="6"/>
        <v>816.30477970880895</v>
      </c>
      <c r="J45" s="134">
        <f t="shared" si="7"/>
        <v>639336.05225718883</v>
      </c>
      <c r="K45" s="60"/>
      <c r="L45" s="204"/>
      <c r="M45" s="204"/>
      <c r="N45" s="204"/>
    </row>
    <row r="46" spans="1:14" s="116" customFormat="1" x14ac:dyDescent="0.35">
      <c r="A46" s="142">
        <v>43132</v>
      </c>
      <c r="B46" s="140" t="s">
        <v>269</v>
      </c>
      <c r="C46" s="134"/>
      <c r="D46" s="134">
        <f>7*5.5</f>
        <v>38.5</v>
      </c>
      <c r="E46" s="135">
        <f t="shared" si="4"/>
        <v>30114.989999999998</v>
      </c>
      <c r="F46" s="136"/>
      <c r="G46" s="132">
        <f t="shared" si="5"/>
        <v>21.202721550878152</v>
      </c>
      <c r="H46" s="136"/>
      <c r="I46" s="132">
        <f t="shared" si="6"/>
        <v>816.30477970880884</v>
      </c>
      <c r="J46" s="134">
        <f t="shared" si="7"/>
        <v>638519.74747747998</v>
      </c>
      <c r="K46" s="60"/>
      <c r="L46" s="204"/>
      <c r="M46" s="204"/>
      <c r="N46" s="204"/>
    </row>
    <row r="47" spans="1:14" s="190" customFormat="1" x14ac:dyDescent="0.35">
      <c r="A47" s="142">
        <v>43133</v>
      </c>
      <c r="B47" s="140" t="s">
        <v>270</v>
      </c>
      <c r="C47" s="134"/>
      <c r="D47" s="134">
        <v>1</v>
      </c>
      <c r="E47" s="135">
        <f t="shared" si="4"/>
        <v>30113.989999999998</v>
      </c>
      <c r="F47" s="136"/>
      <c r="G47" s="132">
        <f t="shared" si="5"/>
        <v>21.202721550878152</v>
      </c>
      <c r="H47" s="136"/>
      <c r="I47" s="132">
        <f t="shared" si="6"/>
        <v>21.202721550878152</v>
      </c>
      <c r="J47" s="134">
        <f t="shared" si="7"/>
        <v>638498.54475592915</v>
      </c>
      <c r="K47" s="60"/>
      <c r="L47" s="204"/>
      <c r="M47" s="204"/>
      <c r="N47" s="204"/>
    </row>
    <row r="48" spans="1:14" s="190" customFormat="1" x14ac:dyDescent="0.35">
      <c r="A48" s="142">
        <v>43134</v>
      </c>
      <c r="B48" s="140" t="s">
        <v>271</v>
      </c>
      <c r="C48" s="134"/>
      <c r="D48" s="134">
        <f>19*6.2+10*3.7</f>
        <v>154.80000000000001</v>
      </c>
      <c r="E48" s="135">
        <f t="shared" si="4"/>
        <v>29959.19</v>
      </c>
      <c r="F48" s="136"/>
      <c r="G48" s="132">
        <f t="shared" si="5"/>
        <v>21.202721550878152</v>
      </c>
      <c r="H48" s="136"/>
      <c r="I48" s="132">
        <f t="shared" si="6"/>
        <v>3282.181296075938</v>
      </c>
      <c r="J48" s="134">
        <f t="shared" si="7"/>
        <v>635216.36345985322</v>
      </c>
      <c r="K48" s="60"/>
      <c r="L48" s="204"/>
      <c r="M48" s="204"/>
      <c r="N48" s="204"/>
    </row>
    <row r="49" spans="1:14" s="190" customFormat="1" x14ac:dyDescent="0.35">
      <c r="A49" s="142">
        <v>43134</v>
      </c>
      <c r="B49" s="140" t="s">
        <v>53</v>
      </c>
      <c r="C49" s="134"/>
      <c r="D49" s="134">
        <v>0</v>
      </c>
      <c r="E49" s="135">
        <f t="shared" si="4"/>
        <v>29959.19</v>
      </c>
      <c r="F49" s="136"/>
      <c r="G49" s="132">
        <f t="shared" si="5"/>
        <v>21.202721550878152</v>
      </c>
      <c r="H49" s="136"/>
      <c r="I49" s="132">
        <f t="shared" si="6"/>
        <v>0</v>
      </c>
      <c r="J49" s="134">
        <f t="shared" si="7"/>
        <v>635216.36345985322</v>
      </c>
      <c r="K49" s="60"/>
      <c r="L49" s="204"/>
      <c r="M49" s="204"/>
      <c r="N49" s="204"/>
    </row>
    <row r="50" spans="1:14" s="190" customFormat="1" x14ac:dyDescent="0.35">
      <c r="A50" s="142">
        <v>43134</v>
      </c>
      <c r="B50" s="140" t="s">
        <v>272</v>
      </c>
      <c r="C50" s="134"/>
      <c r="D50" s="134">
        <f>10*4+2*3</f>
        <v>46</v>
      </c>
      <c r="E50" s="135">
        <f t="shared" si="4"/>
        <v>29913.19</v>
      </c>
      <c r="F50" s="136"/>
      <c r="G50" s="132">
        <f t="shared" si="5"/>
        <v>21.202721550878152</v>
      </c>
      <c r="H50" s="136"/>
      <c r="I50" s="132">
        <f t="shared" si="6"/>
        <v>975.32519134039501</v>
      </c>
      <c r="J50" s="134">
        <f t="shared" si="7"/>
        <v>634241.03826851281</v>
      </c>
      <c r="K50" s="60"/>
      <c r="L50" s="204"/>
      <c r="M50" s="204"/>
      <c r="N50" s="204"/>
    </row>
    <row r="51" spans="1:14" s="190" customFormat="1" x14ac:dyDescent="0.35">
      <c r="A51" s="142">
        <v>43136</v>
      </c>
      <c r="B51" s="140" t="s">
        <v>273</v>
      </c>
      <c r="C51" s="134"/>
      <c r="D51" s="134">
        <f>5*2.5</f>
        <v>12.5</v>
      </c>
      <c r="E51" s="135">
        <f t="shared" si="4"/>
        <v>29900.69</v>
      </c>
      <c r="F51" s="136"/>
      <c r="G51" s="132">
        <f t="shared" si="5"/>
        <v>21.202721550878152</v>
      </c>
      <c r="H51" s="136"/>
      <c r="I51" s="132">
        <f t="shared" si="6"/>
        <v>265.03401938597688</v>
      </c>
      <c r="J51" s="134">
        <f t="shared" si="7"/>
        <v>633976.00424912688</v>
      </c>
      <c r="K51" s="60"/>
      <c r="L51" s="204"/>
      <c r="M51" s="204"/>
      <c r="N51" s="204"/>
    </row>
    <row r="52" spans="1:14" s="190" customFormat="1" x14ac:dyDescent="0.35">
      <c r="A52" s="142">
        <v>43138</v>
      </c>
      <c r="B52" s="140" t="s">
        <v>57</v>
      </c>
      <c r="C52" s="134"/>
      <c r="D52" s="134">
        <v>0</v>
      </c>
      <c r="E52" s="135">
        <f t="shared" si="4"/>
        <v>29900.69</v>
      </c>
      <c r="F52" s="136"/>
      <c r="G52" s="132">
        <f t="shared" si="5"/>
        <v>21.202721550878152</v>
      </c>
      <c r="H52" s="136"/>
      <c r="I52" s="132">
        <f t="shared" si="6"/>
        <v>0</v>
      </c>
      <c r="J52" s="134">
        <f t="shared" si="7"/>
        <v>633976.00424912688</v>
      </c>
      <c r="K52" s="60"/>
      <c r="L52" s="204"/>
      <c r="M52" s="204"/>
      <c r="N52" s="204"/>
    </row>
    <row r="53" spans="1:14" s="190" customFormat="1" x14ac:dyDescent="0.35">
      <c r="A53" s="142">
        <v>43138</v>
      </c>
      <c r="B53" s="140" t="s">
        <v>274</v>
      </c>
      <c r="C53" s="134"/>
      <c r="D53" s="134">
        <f>2*2</f>
        <v>4</v>
      </c>
      <c r="E53" s="135">
        <f t="shared" si="4"/>
        <v>29896.69</v>
      </c>
      <c r="F53" s="136"/>
      <c r="G53" s="132">
        <f t="shared" si="5"/>
        <v>21.202721550878152</v>
      </c>
      <c r="H53" s="136"/>
      <c r="I53" s="132">
        <f t="shared" si="6"/>
        <v>84.810886203512609</v>
      </c>
      <c r="J53" s="134">
        <f t="shared" si="7"/>
        <v>633891.19336292334</v>
      </c>
      <c r="K53" s="60"/>
      <c r="L53" s="204"/>
      <c r="M53" s="204"/>
      <c r="N53" s="204"/>
    </row>
    <row r="54" spans="1:14" s="190" customFormat="1" x14ac:dyDescent="0.35">
      <c r="A54" s="142">
        <v>43138</v>
      </c>
      <c r="B54" s="140" t="s">
        <v>275</v>
      </c>
      <c r="C54" s="134"/>
      <c r="D54" s="134">
        <f>6*6+5*5.7</f>
        <v>64.5</v>
      </c>
      <c r="E54" s="135">
        <f t="shared" si="4"/>
        <v>29832.19</v>
      </c>
      <c r="F54" s="136"/>
      <c r="G54" s="132">
        <f t="shared" si="5"/>
        <v>21.202721550878152</v>
      </c>
      <c r="H54" s="136"/>
      <c r="I54" s="132">
        <f t="shared" si="6"/>
        <v>1367.5755400316409</v>
      </c>
      <c r="J54" s="134">
        <f t="shared" si="7"/>
        <v>632523.61782289168</v>
      </c>
      <c r="K54" s="60"/>
      <c r="L54" s="204"/>
      <c r="M54" s="204"/>
      <c r="N54" s="204"/>
    </row>
    <row r="55" spans="1:14" s="190" customFormat="1" x14ac:dyDescent="0.35">
      <c r="A55" s="142">
        <v>43138</v>
      </c>
      <c r="B55" s="140" t="s">
        <v>59</v>
      </c>
      <c r="C55" s="134"/>
      <c r="D55" s="134">
        <v>0</v>
      </c>
      <c r="E55" s="135">
        <f t="shared" si="4"/>
        <v>29832.19</v>
      </c>
      <c r="F55" s="136"/>
      <c r="G55" s="132">
        <f t="shared" si="5"/>
        <v>21.202721550878152</v>
      </c>
      <c r="H55" s="136"/>
      <c r="I55" s="132">
        <f t="shared" si="6"/>
        <v>0</v>
      </c>
      <c r="J55" s="134">
        <f t="shared" si="7"/>
        <v>632523.61782289168</v>
      </c>
      <c r="K55" s="60"/>
      <c r="L55" s="204"/>
      <c r="M55" s="204"/>
      <c r="N55" s="204"/>
    </row>
    <row r="56" spans="1:14" s="190" customFormat="1" x14ac:dyDescent="0.35">
      <c r="A56" s="142">
        <v>43138</v>
      </c>
      <c r="B56" s="140" t="s">
        <v>276</v>
      </c>
      <c r="C56" s="134"/>
      <c r="D56" s="134">
        <f>86*4+86*4.1+86*2.7+9*3.52</f>
        <v>960.4799999999999</v>
      </c>
      <c r="E56" s="135">
        <f t="shared" si="4"/>
        <v>28871.71</v>
      </c>
      <c r="F56" s="136"/>
      <c r="G56" s="132">
        <f t="shared" si="5"/>
        <v>21.202721550878152</v>
      </c>
      <c r="H56" s="136"/>
      <c r="I56" s="132">
        <f t="shared" si="6"/>
        <v>20364.789995187446</v>
      </c>
      <c r="J56" s="134">
        <f t="shared" si="7"/>
        <v>612158.82782770426</v>
      </c>
      <c r="K56" s="60"/>
      <c r="L56" s="204"/>
      <c r="M56" s="204"/>
      <c r="N56" s="204"/>
    </row>
    <row r="57" spans="1:14" s="190" customFormat="1" x14ac:dyDescent="0.35">
      <c r="A57" s="142">
        <v>43140</v>
      </c>
      <c r="B57" s="140" t="s">
        <v>277</v>
      </c>
      <c r="C57" s="134"/>
      <c r="D57" s="134">
        <f>4*2.2</f>
        <v>8.8000000000000007</v>
      </c>
      <c r="E57" s="135">
        <f t="shared" si="4"/>
        <v>28862.91</v>
      </c>
      <c r="F57" s="136"/>
      <c r="G57" s="132">
        <f t="shared" si="5"/>
        <v>21.202721550878152</v>
      </c>
      <c r="H57" s="136"/>
      <c r="I57" s="132">
        <f t="shared" si="6"/>
        <v>186.58394964772776</v>
      </c>
      <c r="J57" s="134">
        <f t="shared" si="7"/>
        <v>611972.24387805653</v>
      </c>
      <c r="K57" s="60"/>
      <c r="L57" s="204"/>
      <c r="M57" s="204"/>
      <c r="N57" s="204"/>
    </row>
    <row r="58" spans="1:14" s="190" customFormat="1" x14ac:dyDescent="0.35">
      <c r="A58" s="142">
        <v>43140</v>
      </c>
      <c r="B58" s="140" t="s">
        <v>278</v>
      </c>
      <c r="C58" s="134"/>
      <c r="D58" s="134">
        <f>7*5.8</f>
        <v>40.6</v>
      </c>
      <c r="E58" s="135">
        <f t="shared" si="4"/>
        <v>28822.31</v>
      </c>
      <c r="F58" s="136"/>
      <c r="G58" s="132">
        <f t="shared" si="5"/>
        <v>21.202721550878152</v>
      </c>
      <c r="H58" s="136"/>
      <c r="I58" s="132">
        <f t="shared" si="6"/>
        <v>860.83049496565297</v>
      </c>
      <c r="J58" s="134">
        <f t="shared" si="7"/>
        <v>611111.41338309087</v>
      </c>
      <c r="K58" s="60"/>
      <c r="L58" s="204"/>
      <c r="M58" s="204"/>
      <c r="N58" s="204"/>
    </row>
    <row r="59" spans="1:14" s="190" customFormat="1" x14ac:dyDescent="0.35">
      <c r="A59" s="142">
        <v>43141</v>
      </c>
      <c r="B59" s="140" t="s">
        <v>279</v>
      </c>
      <c r="C59" s="134"/>
      <c r="D59" s="134">
        <f>4*4.1</f>
        <v>16.399999999999999</v>
      </c>
      <c r="E59" s="135">
        <f t="shared" si="4"/>
        <v>28805.91</v>
      </c>
      <c r="F59" s="136"/>
      <c r="G59" s="132">
        <f t="shared" si="5"/>
        <v>21.202721550878152</v>
      </c>
      <c r="H59" s="136"/>
      <c r="I59" s="132">
        <f t="shared" si="6"/>
        <v>347.72463343440165</v>
      </c>
      <c r="J59" s="134">
        <f t="shared" si="7"/>
        <v>610763.68874965643</v>
      </c>
      <c r="K59" s="60"/>
      <c r="L59" s="204"/>
      <c r="M59" s="204"/>
      <c r="N59" s="204"/>
    </row>
    <row r="60" spans="1:14" s="190" customFormat="1" x14ac:dyDescent="0.35">
      <c r="A60" s="142">
        <v>43141</v>
      </c>
      <c r="B60" s="140" t="s">
        <v>280</v>
      </c>
      <c r="C60" s="134"/>
      <c r="D60" s="134">
        <f>9*2.28</f>
        <v>20.52</v>
      </c>
      <c r="E60" s="135">
        <f t="shared" si="4"/>
        <v>28785.39</v>
      </c>
      <c r="F60" s="136"/>
      <c r="G60" s="132">
        <f t="shared" si="5"/>
        <v>21.202721550878152</v>
      </c>
      <c r="H60" s="136"/>
      <c r="I60" s="132">
        <f t="shared" si="6"/>
        <v>435.07984622401966</v>
      </c>
      <c r="J60" s="134">
        <f t="shared" si="7"/>
        <v>610328.60890343238</v>
      </c>
      <c r="K60" s="60"/>
      <c r="L60" s="204"/>
      <c r="M60" s="204"/>
      <c r="N60" s="204"/>
    </row>
    <row r="61" spans="1:14" s="190" customFormat="1" x14ac:dyDescent="0.35">
      <c r="A61" s="142">
        <v>43141</v>
      </c>
      <c r="B61" s="140" t="s">
        <v>281</v>
      </c>
      <c r="C61" s="134"/>
      <c r="D61" s="134">
        <f>7*4.3+6*4.4</f>
        <v>56.5</v>
      </c>
      <c r="E61" s="135">
        <f t="shared" si="4"/>
        <v>28728.89</v>
      </c>
      <c r="F61" s="136"/>
      <c r="G61" s="132">
        <f t="shared" si="5"/>
        <v>21.202721550878149</v>
      </c>
      <c r="H61" s="136"/>
      <c r="I61" s="132">
        <f t="shared" si="6"/>
        <v>1197.9537676246155</v>
      </c>
      <c r="J61" s="134">
        <f t="shared" si="7"/>
        <v>609130.65513580781</v>
      </c>
      <c r="K61" s="60"/>
      <c r="L61" s="204"/>
      <c r="M61" s="204"/>
      <c r="N61" s="204"/>
    </row>
    <row r="62" spans="1:14" s="225" customFormat="1" x14ac:dyDescent="0.35">
      <c r="A62" s="228">
        <v>43145</v>
      </c>
      <c r="B62" s="226" t="s">
        <v>282</v>
      </c>
      <c r="C62" s="229"/>
      <c r="D62" s="229">
        <f>8*5.5+2*5+2*4+3.5</f>
        <v>65.5</v>
      </c>
      <c r="E62" s="230">
        <f t="shared" si="4"/>
        <v>28663.39</v>
      </c>
      <c r="F62" s="224"/>
      <c r="G62" s="229">
        <f t="shared" si="5"/>
        <v>21.202721550878152</v>
      </c>
      <c r="H62" s="224"/>
      <c r="I62" s="229">
        <f t="shared" si="6"/>
        <v>1388.778261582519</v>
      </c>
      <c r="J62" s="229">
        <f t="shared" si="7"/>
        <v>607741.87687422533</v>
      </c>
      <c r="K62" s="226"/>
      <c r="L62" s="32">
        <f>SUM(I45:I62)</f>
        <v>32410.480162672338</v>
      </c>
      <c r="M62" s="227"/>
      <c r="N62" s="27">
        <v>43146</v>
      </c>
    </row>
    <row r="63" spans="1:14" s="190" customFormat="1" x14ac:dyDescent="0.35">
      <c r="A63" s="142">
        <v>43147</v>
      </c>
      <c r="B63" s="140" t="s">
        <v>283</v>
      </c>
      <c r="C63" s="134"/>
      <c r="D63" s="134">
        <f>5*2</f>
        <v>10</v>
      </c>
      <c r="E63" s="135">
        <f t="shared" si="4"/>
        <v>28653.39</v>
      </c>
      <c r="F63" s="136"/>
      <c r="G63" s="132">
        <f t="shared" si="5"/>
        <v>21.202721550878152</v>
      </c>
      <c r="H63" s="136"/>
      <c r="I63" s="132">
        <f t="shared" si="6"/>
        <v>212.02721550878152</v>
      </c>
      <c r="J63" s="134">
        <f t="shared" si="7"/>
        <v>607529.84965871659</v>
      </c>
      <c r="K63" s="60"/>
      <c r="L63" s="204"/>
      <c r="M63" s="204"/>
      <c r="N63" s="204"/>
    </row>
    <row r="64" spans="1:14" s="190" customFormat="1" x14ac:dyDescent="0.35">
      <c r="A64" s="142">
        <v>43148</v>
      </c>
      <c r="B64" s="140" t="s">
        <v>284</v>
      </c>
      <c r="C64" s="134"/>
      <c r="D64" s="134">
        <f>20*5</f>
        <v>100</v>
      </c>
      <c r="E64" s="135">
        <f t="shared" si="4"/>
        <v>28553.39</v>
      </c>
      <c r="F64" s="136"/>
      <c r="G64" s="132">
        <f t="shared" si="5"/>
        <v>21.202721550878156</v>
      </c>
      <c r="H64" s="136"/>
      <c r="I64" s="132">
        <f t="shared" si="6"/>
        <v>2120.2721550878155</v>
      </c>
      <c r="J64" s="134">
        <f t="shared" si="7"/>
        <v>605409.5775036288</v>
      </c>
      <c r="K64" s="60"/>
      <c r="L64" s="204"/>
      <c r="M64" s="204"/>
      <c r="N64" s="204"/>
    </row>
    <row r="65" spans="1:14" s="190" customFormat="1" x14ac:dyDescent="0.35">
      <c r="A65" s="142">
        <v>43148</v>
      </c>
      <c r="B65" s="140" t="s">
        <v>285</v>
      </c>
      <c r="C65" s="134"/>
      <c r="D65" s="134">
        <f>3+2.5</f>
        <v>5.5</v>
      </c>
      <c r="E65" s="135">
        <f t="shared" si="4"/>
        <v>28547.89</v>
      </c>
      <c r="F65" s="136"/>
      <c r="G65" s="132">
        <f t="shared" si="5"/>
        <v>21.202721550878156</v>
      </c>
      <c r="H65" s="136"/>
      <c r="I65" s="132">
        <f t="shared" si="6"/>
        <v>116.61496852982985</v>
      </c>
      <c r="J65" s="134">
        <f t="shared" si="7"/>
        <v>605292.96253509901</v>
      </c>
      <c r="K65" s="60"/>
      <c r="L65" s="204"/>
      <c r="M65" s="204"/>
      <c r="N65" s="204"/>
    </row>
    <row r="66" spans="1:14" s="190" customFormat="1" x14ac:dyDescent="0.35">
      <c r="A66" s="142">
        <v>43148</v>
      </c>
      <c r="B66" s="140" t="s">
        <v>286</v>
      </c>
      <c r="C66" s="134"/>
      <c r="D66" s="134">
        <f>12*2.6</f>
        <v>31.200000000000003</v>
      </c>
      <c r="E66" s="135">
        <f t="shared" si="4"/>
        <v>28516.69</v>
      </c>
      <c r="F66" s="136"/>
      <c r="G66" s="132">
        <f t="shared" si="5"/>
        <v>21.202721550878156</v>
      </c>
      <c r="H66" s="136"/>
      <c r="I66" s="132">
        <f t="shared" si="6"/>
        <v>661.52491238739856</v>
      </c>
      <c r="J66" s="134">
        <f t="shared" si="7"/>
        <v>604631.43762271164</v>
      </c>
      <c r="K66" s="60"/>
      <c r="L66" s="204"/>
      <c r="M66" s="204"/>
      <c r="N66" s="204"/>
    </row>
    <row r="67" spans="1:14" s="190" customFormat="1" x14ac:dyDescent="0.35">
      <c r="A67" s="142">
        <v>43150</v>
      </c>
      <c r="B67" s="140" t="s">
        <v>287</v>
      </c>
      <c r="C67" s="134"/>
      <c r="D67" s="134">
        <f>11*3+11*2.5</f>
        <v>60.5</v>
      </c>
      <c r="E67" s="135">
        <f t="shared" si="4"/>
        <v>28456.19</v>
      </c>
      <c r="F67" s="136"/>
      <c r="G67" s="132">
        <f t="shared" si="5"/>
        <v>21.202721550878159</v>
      </c>
      <c r="H67" s="136"/>
      <c r="I67" s="132">
        <f t="shared" si="6"/>
        <v>1282.7646538281288</v>
      </c>
      <c r="J67" s="134">
        <f t="shared" si="7"/>
        <v>603348.67296888353</v>
      </c>
      <c r="K67" s="60"/>
      <c r="L67" s="204"/>
      <c r="M67" s="204"/>
      <c r="N67" s="204"/>
    </row>
    <row r="68" spans="1:14" s="190" customFormat="1" x14ac:dyDescent="0.35">
      <c r="A68" s="142">
        <v>43151</v>
      </c>
      <c r="B68" s="140" t="s">
        <v>288</v>
      </c>
      <c r="C68" s="134"/>
      <c r="D68" s="134">
        <f>13*2.35+2*4.1</f>
        <v>38.75</v>
      </c>
      <c r="E68" s="135">
        <f t="shared" si="4"/>
        <v>28417.439999999999</v>
      </c>
      <c r="F68" s="136"/>
      <c r="G68" s="132">
        <f t="shared" si="5"/>
        <v>21.202721550878159</v>
      </c>
      <c r="H68" s="136"/>
      <c r="I68" s="132">
        <f t="shared" si="6"/>
        <v>821.60546009652865</v>
      </c>
      <c r="J68" s="134">
        <f t="shared" si="7"/>
        <v>602527.06750878703</v>
      </c>
      <c r="K68" s="60"/>
      <c r="L68" s="204"/>
      <c r="M68" s="204"/>
      <c r="N68" s="204"/>
    </row>
    <row r="69" spans="1:14" s="190" customFormat="1" x14ac:dyDescent="0.35">
      <c r="A69" s="142">
        <v>43151</v>
      </c>
      <c r="B69" s="140" t="s">
        <v>289</v>
      </c>
      <c r="C69" s="134"/>
      <c r="D69" s="134">
        <f>4*1.6</f>
        <v>6.4</v>
      </c>
      <c r="E69" s="135">
        <f t="shared" si="4"/>
        <v>28411.039999999997</v>
      </c>
      <c r="F69" s="136"/>
      <c r="G69" s="132">
        <f t="shared" si="5"/>
        <v>21.202721550878159</v>
      </c>
      <c r="H69" s="136"/>
      <c r="I69" s="132">
        <f t="shared" si="6"/>
        <v>135.69741792562021</v>
      </c>
      <c r="J69" s="134">
        <f t="shared" si="7"/>
        <v>602391.37009086146</v>
      </c>
      <c r="K69" s="60"/>
      <c r="L69" s="204"/>
      <c r="M69" s="204"/>
      <c r="N69" s="204"/>
    </row>
    <row r="70" spans="1:14" s="190" customFormat="1" x14ac:dyDescent="0.35">
      <c r="A70" s="142">
        <v>43151</v>
      </c>
      <c r="B70" s="140" t="s">
        <v>290</v>
      </c>
      <c r="C70" s="134"/>
      <c r="D70" s="134">
        <f>5*1.25</f>
        <v>6.25</v>
      </c>
      <c r="E70" s="135">
        <f t="shared" si="4"/>
        <v>28404.789999999997</v>
      </c>
      <c r="F70" s="136"/>
      <c r="G70" s="132">
        <f t="shared" si="5"/>
        <v>21.202721550878163</v>
      </c>
      <c r="H70" s="136"/>
      <c r="I70" s="132">
        <f t="shared" si="6"/>
        <v>132.51700969298852</v>
      </c>
      <c r="J70" s="134">
        <f t="shared" si="7"/>
        <v>602258.85308116849</v>
      </c>
      <c r="K70" s="60"/>
      <c r="L70" s="204"/>
      <c r="M70" s="204"/>
      <c r="N70" s="204"/>
    </row>
    <row r="71" spans="1:14" s="190" customFormat="1" x14ac:dyDescent="0.35">
      <c r="A71" s="142">
        <v>43153</v>
      </c>
      <c r="B71" s="140" t="s">
        <v>291</v>
      </c>
      <c r="C71" s="134"/>
      <c r="D71" s="134">
        <f>2*1.3</f>
        <v>2.6</v>
      </c>
      <c r="E71" s="135">
        <f t="shared" si="4"/>
        <v>28402.19</v>
      </c>
      <c r="F71" s="136"/>
      <c r="G71" s="132">
        <f t="shared" si="5"/>
        <v>21.202721550878163</v>
      </c>
      <c r="H71" s="136"/>
      <c r="I71" s="132">
        <f t="shared" si="6"/>
        <v>55.127076032283227</v>
      </c>
      <c r="J71" s="134">
        <f t="shared" si="7"/>
        <v>602203.72600513615</v>
      </c>
      <c r="K71" s="60"/>
      <c r="L71" s="204"/>
      <c r="M71" s="204"/>
      <c r="N71" s="204"/>
    </row>
    <row r="72" spans="1:14" s="190" customFormat="1" x14ac:dyDescent="0.35">
      <c r="A72" s="142">
        <v>43154</v>
      </c>
      <c r="B72" s="140" t="s">
        <v>67</v>
      </c>
      <c r="C72" s="134"/>
      <c r="D72" s="134">
        <v>0</v>
      </c>
      <c r="E72" s="135">
        <f t="shared" si="4"/>
        <v>28402.19</v>
      </c>
      <c r="F72" s="136"/>
      <c r="G72" s="132">
        <f t="shared" si="5"/>
        <v>21.202721550878159</v>
      </c>
      <c r="H72" s="136"/>
      <c r="I72" s="132">
        <f t="shared" si="6"/>
        <v>0</v>
      </c>
      <c r="J72" s="134">
        <f t="shared" si="7"/>
        <v>602203.72600513615</v>
      </c>
      <c r="K72" s="60"/>
      <c r="L72" s="204"/>
      <c r="M72" s="204"/>
      <c r="N72" s="204"/>
    </row>
    <row r="73" spans="1:14" s="190" customFormat="1" x14ac:dyDescent="0.35">
      <c r="A73" s="142">
        <v>43154</v>
      </c>
      <c r="B73" s="140" t="s">
        <v>292</v>
      </c>
      <c r="C73" s="134"/>
      <c r="D73" s="134">
        <v>6</v>
      </c>
      <c r="E73" s="135">
        <f t="shared" si="4"/>
        <v>28396.19</v>
      </c>
      <c r="F73" s="136"/>
      <c r="G73" s="132">
        <f t="shared" si="5"/>
        <v>21.202721550878159</v>
      </c>
      <c r="H73" s="136"/>
      <c r="I73" s="132">
        <f t="shared" si="6"/>
        <v>127.21632930526896</v>
      </c>
      <c r="J73" s="134">
        <f t="shared" si="7"/>
        <v>602076.50967583084</v>
      </c>
      <c r="K73" s="60"/>
      <c r="L73" s="204"/>
      <c r="M73" s="204"/>
      <c r="N73" s="204"/>
    </row>
    <row r="74" spans="1:14" s="190" customFormat="1" x14ac:dyDescent="0.35">
      <c r="A74" s="142">
        <v>43155</v>
      </c>
      <c r="B74" s="140" t="s">
        <v>293</v>
      </c>
      <c r="C74" s="134"/>
      <c r="D74" s="134">
        <f>8*3.8+8*5.6</f>
        <v>75.199999999999989</v>
      </c>
      <c r="E74" s="135">
        <f t="shared" si="4"/>
        <v>28320.989999999998</v>
      </c>
      <c r="F74" s="136"/>
      <c r="G74" s="132">
        <f t="shared" si="5"/>
        <v>21.202721550878159</v>
      </c>
      <c r="H74" s="136"/>
      <c r="I74" s="132">
        <f t="shared" si="6"/>
        <v>1594.4446606260374</v>
      </c>
      <c r="J74" s="134">
        <f t="shared" si="7"/>
        <v>600482.06501520483</v>
      </c>
      <c r="K74" s="60"/>
      <c r="L74" s="204"/>
      <c r="M74" s="204"/>
      <c r="N74" s="204"/>
    </row>
    <row r="75" spans="1:14" s="190" customFormat="1" x14ac:dyDescent="0.35">
      <c r="A75" s="142">
        <v>43155</v>
      </c>
      <c r="B75" s="140" t="s">
        <v>294</v>
      </c>
      <c r="C75" s="134"/>
      <c r="D75" s="134">
        <f>4*0.5</f>
        <v>2</v>
      </c>
      <c r="E75" s="135">
        <f t="shared" ref="E75:E125" si="8">+E74-D75</f>
        <v>28318.989999999998</v>
      </c>
      <c r="F75" s="136"/>
      <c r="G75" s="132">
        <f t="shared" ref="G75:G125" si="9">+J74/E74</f>
        <v>21.202721550878159</v>
      </c>
      <c r="H75" s="136"/>
      <c r="I75" s="132">
        <f t="shared" ref="I75:I125" si="10">+D75*G75</f>
        <v>42.405443101756319</v>
      </c>
      <c r="J75" s="134">
        <f t="shared" ref="J75:J125" si="11">+J74-I75</f>
        <v>600439.65957210306</v>
      </c>
      <c r="K75" s="60"/>
      <c r="L75" s="204"/>
      <c r="M75" s="204"/>
      <c r="N75" s="204"/>
    </row>
    <row r="76" spans="1:14" s="190" customFormat="1" x14ac:dyDescent="0.35">
      <c r="A76" s="142">
        <v>43157</v>
      </c>
      <c r="B76" s="140" t="s">
        <v>295</v>
      </c>
      <c r="C76" s="134"/>
      <c r="D76" s="134">
        <f>7*2</f>
        <v>14</v>
      </c>
      <c r="E76" s="135">
        <f t="shared" si="8"/>
        <v>28304.989999999998</v>
      </c>
      <c r="F76" s="136"/>
      <c r="G76" s="132">
        <f t="shared" si="9"/>
        <v>21.202721550878159</v>
      </c>
      <c r="H76" s="136"/>
      <c r="I76" s="132">
        <f t="shared" si="10"/>
        <v>296.83810171229425</v>
      </c>
      <c r="J76" s="134">
        <f t="shared" si="11"/>
        <v>600142.82147039077</v>
      </c>
      <c r="K76" s="60"/>
      <c r="L76" s="204"/>
      <c r="M76" s="204"/>
      <c r="N76" s="204"/>
    </row>
    <row r="77" spans="1:14" s="190" customFormat="1" x14ac:dyDescent="0.35">
      <c r="A77" s="142">
        <v>43157</v>
      </c>
      <c r="B77" s="140" t="s">
        <v>296</v>
      </c>
      <c r="C77" s="134"/>
      <c r="D77" s="134">
        <f>3*3.5</f>
        <v>10.5</v>
      </c>
      <c r="E77" s="135">
        <f t="shared" si="8"/>
        <v>28294.489999999998</v>
      </c>
      <c r="F77" s="136"/>
      <c r="G77" s="132">
        <f t="shared" si="9"/>
        <v>21.202721550878159</v>
      </c>
      <c r="H77" s="136"/>
      <c r="I77" s="132">
        <f t="shared" si="10"/>
        <v>222.62857628422069</v>
      </c>
      <c r="J77" s="134">
        <f t="shared" si="11"/>
        <v>599920.1928941065</v>
      </c>
      <c r="K77" s="60"/>
      <c r="L77" s="204"/>
      <c r="M77" s="204"/>
      <c r="N77" s="204"/>
    </row>
    <row r="78" spans="1:14" s="190" customFormat="1" x14ac:dyDescent="0.35">
      <c r="A78" s="142">
        <v>43157</v>
      </c>
      <c r="B78" s="140" t="s">
        <v>297</v>
      </c>
      <c r="C78" s="134"/>
      <c r="D78" s="134">
        <f>2*2.28</f>
        <v>4.5599999999999996</v>
      </c>
      <c r="E78" s="135">
        <f t="shared" si="8"/>
        <v>28289.929999999997</v>
      </c>
      <c r="F78" s="136"/>
      <c r="G78" s="132">
        <f t="shared" si="9"/>
        <v>21.202721550878159</v>
      </c>
      <c r="H78" s="136"/>
      <c r="I78" s="132">
        <f t="shared" si="10"/>
        <v>96.684410272004399</v>
      </c>
      <c r="J78" s="134">
        <f t="shared" si="11"/>
        <v>599823.50848383445</v>
      </c>
      <c r="K78" s="60"/>
      <c r="L78" s="204"/>
      <c r="M78" s="204"/>
      <c r="N78" s="204"/>
    </row>
    <row r="79" spans="1:14" s="225" customFormat="1" x14ac:dyDescent="0.35">
      <c r="A79" s="228">
        <v>43159</v>
      </c>
      <c r="B79" s="226" t="s">
        <v>298</v>
      </c>
      <c r="C79" s="229"/>
      <c r="D79" s="229">
        <f>5*5.4</f>
        <v>27</v>
      </c>
      <c r="E79" s="230">
        <f t="shared" si="8"/>
        <v>28262.929999999997</v>
      </c>
      <c r="F79" s="224"/>
      <c r="G79" s="229">
        <f t="shared" si="9"/>
        <v>21.202721550878156</v>
      </c>
      <c r="H79" s="224"/>
      <c r="I79" s="229">
        <f t="shared" si="10"/>
        <v>572.47348187371017</v>
      </c>
      <c r="J79" s="229">
        <f t="shared" si="11"/>
        <v>599251.0350019607</v>
      </c>
      <c r="K79" s="226"/>
      <c r="L79" s="32">
        <f>SUM(I63:I79)</f>
        <v>8490.8418722646675</v>
      </c>
      <c r="M79" s="32">
        <f>SUM(L62:L79)</f>
        <v>40901.322034937009</v>
      </c>
      <c r="N79" s="227" t="s">
        <v>125</v>
      </c>
    </row>
    <row r="80" spans="1:14" s="190" customFormat="1" x14ac:dyDescent="0.35">
      <c r="A80" s="142">
        <v>43160</v>
      </c>
      <c r="B80" s="140" t="s">
        <v>299</v>
      </c>
      <c r="C80" s="134"/>
      <c r="D80" s="134">
        <f>4*3.2</f>
        <v>12.8</v>
      </c>
      <c r="E80" s="135">
        <f t="shared" si="8"/>
        <v>28250.129999999997</v>
      </c>
      <c r="F80" s="136"/>
      <c r="G80" s="132">
        <f t="shared" si="9"/>
        <v>21.202721550878156</v>
      </c>
      <c r="H80" s="136"/>
      <c r="I80" s="132">
        <f t="shared" si="10"/>
        <v>271.39483585124043</v>
      </c>
      <c r="J80" s="134">
        <f t="shared" si="11"/>
        <v>598979.64016610943</v>
      </c>
      <c r="K80" s="60"/>
      <c r="L80" s="204"/>
      <c r="M80" s="204"/>
      <c r="N80" s="204"/>
    </row>
    <row r="81" spans="1:14" s="190" customFormat="1" x14ac:dyDescent="0.35">
      <c r="A81" s="142">
        <v>43160</v>
      </c>
      <c r="B81" s="140" t="s">
        <v>300</v>
      </c>
      <c r="C81" s="134"/>
      <c r="D81" s="134">
        <f>5*4</f>
        <v>20</v>
      </c>
      <c r="E81" s="135">
        <f t="shared" si="8"/>
        <v>28230.129999999997</v>
      </c>
      <c r="F81" s="136"/>
      <c r="G81" s="132">
        <f t="shared" si="9"/>
        <v>21.202721550878156</v>
      </c>
      <c r="H81" s="136"/>
      <c r="I81" s="132">
        <f t="shared" si="10"/>
        <v>424.0544310175631</v>
      </c>
      <c r="J81" s="134">
        <f t="shared" si="11"/>
        <v>598555.58573509182</v>
      </c>
      <c r="K81" s="60"/>
      <c r="L81" s="204"/>
      <c r="M81" s="204"/>
      <c r="N81" s="204"/>
    </row>
    <row r="82" spans="1:14" x14ac:dyDescent="0.35">
      <c r="A82" s="142">
        <v>43162</v>
      </c>
      <c r="B82" s="140" t="s">
        <v>301</v>
      </c>
      <c r="C82" s="134"/>
      <c r="D82" s="134">
        <f>4*5</f>
        <v>20</v>
      </c>
      <c r="E82" s="135">
        <f t="shared" si="8"/>
        <v>28210.129999999997</v>
      </c>
      <c r="F82" s="136"/>
      <c r="G82" s="132">
        <f t="shared" si="9"/>
        <v>21.202721550878152</v>
      </c>
      <c r="H82" s="136"/>
      <c r="I82" s="132">
        <f t="shared" si="10"/>
        <v>424.05443101756305</v>
      </c>
      <c r="J82" s="134">
        <f t="shared" si="11"/>
        <v>598131.53130407422</v>
      </c>
      <c r="K82" s="60"/>
      <c r="L82" s="204"/>
      <c r="M82" s="204"/>
      <c r="N82" s="204"/>
    </row>
    <row r="83" spans="1:14" x14ac:dyDescent="0.35">
      <c r="A83" s="142">
        <v>43162</v>
      </c>
      <c r="B83" s="140" t="s">
        <v>302</v>
      </c>
      <c r="C83" s="134"/>
      <c r="D83" s="134">
        <f>5*2.8</f>
        <v>14</v>
      </c>
      <c r="E83" s="135">
        <f t="shared" si="8"/>
        <v>28196.129999999997</v>
      </c>
      <c r="F83" s="136"/>
      <c r="G83" s="132">
        <f t="shared" si="9"/>
        <v>21.202721550878152</v>
      </c>
      <c r="H83" s="136"/>
      <c r="I83" s="132">
        <f t="shared" si="10"/>
        <v>296.83810171229413</v>
      </c>
      <c r="J83" s="134">
        <f t="shared" si="11"/>
        <v>597834.69320236193</v>
      </c>
      <c r="K83" s="60"/>
      <c r="L83" s="204"/>
      <c r="M83" s="204"/>
      <c r="N83" s="204"/>
    </row>
    <row r="84" spans="1:14" x14ac:dyDescent="0.35">
      <c r="A84" s="142">
        <v>43162</v>
      </c>
      <c r="B84" s="140" t="s">
        <v>303</v>
      </c>
      <c r="C84" s="134"/>
      <c r="D84" s="134">
        <f>52*5</f>
        <v>260</v>
      </c>
      <c r="E84" s="135">
        <f t="shared" si="8"/>
        <v>27936.129999999997</v>
      </c>
      <c r="F84" s="136"/>
      <c r="G84" s="132">
        <f t="shared" si="9"/>
        <v>21.202721550878152</v>
      </c>
      <c r="H84" s="136"/>
      <c r="I84" s="132">
        <f t="shared" si="10"/>
        <v>5512.7076032283194</v>
      </c>
      <c r="J84" s="134">
        <f t="shared" si="11"/>
        <v>592321.98559913365</v>
      </c>
      <c r="K84" s="60"/>
      <c r="L84" s="204"/>
      <c r="M84" s="204"/>
      <c r="N84" s="204"/>
    </row>
    <row r="85" spans="1:14" x14ac:dyDescent="0.35">
      <c r="A85" s="142">
        <v>43162</v>
      </c>
      <c r="B85" s="140" t="s">
        <v>304</v>
      </c>
      <c r="C85" s="134"/>
      <c r="D85" s="134">
        <f>4*1.6</f>
        <v>6.4</v>
      </c>
      <c r="E85" s="135">
        <f t="shared" si="8"/>
        <v>27929.729999999996</v>
      </c>
      <c r="F85" s="136"/>
      <c r="G85" s="132">
        <f t="shared" si="9"/>
        <v>21.202721550878152</v>
      </c>
      <c r="H85" s="136"/>
      <c r="I85" s="132">
        <f t="shared" si="10"/>
        <v>135.69741792562019</v>
      </c>
      <c r="J85" s="134">
        <f t="shared" si="11"/>
        <v>592186.28818120807</v>
      </c>
      <c r="K85" s="60"/>
      <c r="L85" s="204"/>
      <c r="M85" s="204"/>
      <c r="N85" s="204"/>
    </row>
    <row r="86" spans="1:14" x14ac:dyDescent="0.35">
      <c r="A86" s="142">
        <v>43164</v>
      </c>
      <c r="B86" s="140" t="s">
        <v>305</v>
      </c>
      <c r="C86" s="134"/>
      <c r="D86" s="134">
        <f>7*8</f>
        <v>56</v>
      </c>
      <c r="E86" s="135">
        <f t="shared" si="8"/>
        <v>27873.729999999996</v>
      </c>
      <c r="F86" s="136"/>
      <c r="G86" s="132">
        <f t="shared" si="9"/>
        <v>21.202721550878156</v>
      </c>
      <c r="H86" s="136"/>
      <c r="I86" s="132">
        <f t="shared" si="10"/>
        <v>1187.3524068491768</v>
      </c>
      <c r="J86" s="134">
        <f t="shared" si="11"/>
        <v>590998.93577435892</v>
      </c>
      <c r="K86" s="60"/>
      <c r="L86" s="204"/>
      <c r="M86" s="204"/>
      <c r="N86" s="204"/>
    </row>
    <row r="87" spans="1:14" x14ac:dyDescent="0.35">
      <c r="A87" s="142">
        <v>43164</v>
      </c>
      <c r="B87" s="140" t="s">
        <v>306</v>
      </c>
      <c r="C87" s="134"/>
      <c r="D87" s="134">
        <f>7*3.7+4*3.7</f>
        <v>40.700000000000003</v>
      </c>
      <c r="E87" s="135">
        <f t="shared" si="8"/>
        <v>27833.029999999995</v>
      </c>
      <c r="F87" s="136"/>
      <c r="G87" s="132">
        <f t="shared" si="9"/>
        <v>21.202721550878156</v>
      </c>
      <c r="H87" s="136"/>
      <c r="I87" s="132">
        <f t="shared" si="10"/>
        <v>862.95076712074103</v>
      </c>
      <c r="J87" s="134">
        <f t="shared" si="11"/>
        <v>590135.98500723823</v>
      </c>
      <c r="K87" s="60"/>
      <c r="L87" s="204"/>
      <c r="M87" s="204"/>
      <c r="N87" s="204"/>
    </row>
    <row r="88" spans="1:14" x14ac:dyDescent="0.35">
      <c r="A88" s="142">
        <v>42799</v>
      </c>
      <c r="B88" s="140" t="s">
        <v>307</v>
      </c>
      <c r="C88" s="134"/>
      <c r="D88" s="134">
        <f>7*3.7</f>
        <v>25.900000000000002</v>
      </c>
      <c r="E88" s="135">
        <f t="shared" si="8"/>
        <v>27807.129999999994</v>
      </c>
      <c r="F88" s="136"/>
      <c r="G88" s="132">
        <f t="shared" si="9"/>
        <v>21.202721550878159</v>
      </c>
      <c r="H88" s="136"/>
      <c r="I88" s="132">
        <f t="shared" si="10"/>
        <v>549.15048816774436</v>
      </c>
      <c r="J88" s="134">
        <f t="shared" si="11"/>
        <v>589586.83451907046</v>
      </c>
      <c r="K88" s="60"/>
      <c r="L88" s="204"/>
      <c r="M88" s="204"/>
      <c r="N88" s="204"/>
    </row>
    <row r="89" spans="1:14" x14ac:dyDescent="0.35">
      <c r="A89" s="142">
        <v>43256</v>
      </c>
      <c r="B89" s="140" t="s">
        <v>308</v>
      </c>
      <c r="C89" s="134"/>
      <c r="D89" s="134">
        <f>13*4.95+13*4.5</f>
        <v>122.85000000000001</v>
      </c>
      <c r="E89" s="135">
        <f t="shared" si="8"/>
        <v>27684.279999999995</v>
      </c>
      <c r="F89" s="136"/>
      <c r="G89" s="132">
        <f t="shared" si="9"/>
        <v>21.202721550878159</v>
      </c>
      <c r="H89" s="136"/>
      <c r="I89" s="132">
        <f t="shared" si="10"/>
        <v>2604.7543425253821</v>
      </c>
      <c r="J89" s="134">
        <f t="shared" si="11"/>
        <v>586982.08017654507</v>
      </c>
      <c r="K89" s="60"/>
      <c r="L89" s="204"/>
      <c r="M89" s="204"/>
      <c r="N89" s="204"/>
    </row>
    <row r="90" spans="1:14" x14ac:dyDescent="0.35">
      <c r="A90" s="142">
        <v>43167</v>
      </c>
      <c r="B90" s="140" t="s">
        <v>309</v>
      </c>
      <c r="C90" s="134"/>
      <c r="D90" s="134">
        <f>14*3.2+3*2.1+2.5+4+2.3</f>
        <v>59.900000000000006</v>
      </c>
      <c r="E90" s="135">
        <f t="shared" si="8"/>
        <v>27624.379999999994</v>
      </c>
      <c r="F90" s="136"/>
      <c r="G90" s="132">
        <f t="shared" si="9"/>
        <v>21.202721550878159</v>
      </c>
      <c r="H90" s="136"/>
      <c r="I90" s="132">
        <f t="shared" si="10"/>
        <v>1270.0430208976018</v>
      </c>
      <c r="J90" s="134">
        <f t="shared" si="11"/>
        <v>585712.03715564753</v>
      </c>
      <c r="K90" s="60"/>
      <c r="L90" s="204"/>
      <c r="M90" s="204"/>
      <c r="N90" s="204"/>
    </row>
    <row r="91" spans="1:14" x14ac:dyDescent="0.35">
      <c r="A91" s="142">
        <v>43167</v>
      </c>
      <c r="B91" s="140" t="s">
        <v>310</v>
      </c>
      <c r="C91" s="134"/>
      <c r="D91" s="134">
        <f>6*2.7</f>
        <v>16.200000000000003</v>
      </c>
      <c r="E91" s="135">
        <f t="shared" si="8"/>
        <v>27608.179999999993</v>
      </c>
      <c r="F91" s="136"/>
      <c r="G91" s="132">
        <f t="shared" si="9"/>
        <v>21.202721550878163</v>
      </c>
      <c r="H91" s="136"/>
      <c r="I91" s="132">
        <f t="shared" si="10"/>
        <v>343.48408912422627</v>
      </c>
      <c r="J91" s="134">
        <f t="shared" si="11"/>
        <v>585368.55306652328</v>
      </c>
      <c r="K91" s="60"/>
      <c r="L91" s="204"/>
      <c r="M91" s="204"/>
      <c r="N91" s="204"/>
    </row>
    <row r="92" spans="1:14" x14ac:dyDescent="0.35">
      <c r="A92" s="142">
        <v>43167</v>
      </c>
      <c r="B92" s="140" t="s">
        <v>311</v>
      </c>
      <c r="C92" s="134"/>
      <c r="D92" s="134">
        <f>10*3.5</f>
        <v>35</v>
      </c>
      <c r="E92" s="135">
        <f t="shared" si="8"/>
        <v>27573.179999999993</v>
      </c>
      <c r="F92" s="136"/>
      <c r="G92" s="132">
        <f t="shared" si="9"/>
        <v>21.202721550878159</v>
      </c>
      <c r="H92" s="136"/>
      <c r="I92" s="132">
        <f t="shared" si="10"/>
        <v>742.09525428073562</v>
      </c>
      <c r="J92" s="134">
        <f t="shared" si="11"/>
        <v>584626.45781224256</v>
      </c>
      <c r="K92" s="60"/>
      <c r="L92" s="204"/>
      <c r="M92" s="204"/>
      <c r="N92" s="204"/>
    </row>
    <row r="93" spans="1:14" x14ac:dyDescent="0.35">
      <c r="A93" s="322">
        <v>43168</v>
      </c>
      <c r="B93" s="140" t="s">
        <v>312</v>
      </c>
      <c r="C93" s="144"/>
      <c r="D93" s="144">
        <v>1.3</v>
      </c>
      <c r="E93" s="135">
        <f t="shared" si="8"/>
        <v>27571.879999999994</v>
      </c>
      <c r="F93" s="136"/>
      <c r="G93" s="132">
        <f t="shared" si="9"/>
        <v>21.202721550878163</v>
      </c>
      <c r="H93" s="136"/>
      <c r="I93" s="132">
        <f t="shared" si="10"/>
        <v>27.563538016141614</v>
      </c>
      <c r="J93" s="134">
        <f t="shared" si="11"/>
        <v>584598.89427422639</v>
      </c>
      <c r="K93" s="60"/>
      <c r="L93" s="204"/>
      <c r="M93" s="204"/>
      <c r="N93" s="204"/>
    </row>
    <row r="94" spans="1:14" x14ac:dyDescent="0.35">
      <c r="A94" s="322">
        <v>43168</v>
      </c>
      <c r="B94" s="140" t="s">
        <v>313</v>
      </c>
      <c r="C94" s="144"/>
      <c r="D94" s="144">
        <f>9*4+9*5</f>
        <v>81</v>
      </c>
      <c r="E94" s="135">
        <f t="shared" si="8"/>
        <v>27490.879999999994</v>
      </c>
      <c r="F94" s="136"/>
      <c r="G94" s="132">
        <f t="shared" si="9"/>
        <v>21.202721550878159</v>
      </c>
      <c r="H94" s="136"/>
      <c r="I94" s="132">
        <f t="shared" si="10"/>
        <v>1717.420445621131</v>
      </c>
      <c r="J94" s="134">
        <f t="shared" si="11"/>
        <v>582881.47382860526</v>
      </c>
      <c r="K94" s="60"/>
      <c r="L94" s="204"/>
      <c r="M94" s="204"/>
      <c r="N94" s="204"/>
    </row>
    <row r="95" spans="1:14" x14ac:dyDescent="0.35">
      <c r="A95" s="322">
        <v>43169</v>
      </c>
      <c r="B95" s="140" t="s">
        <v>314</v>
      </c>
      <c r="C95" s="144"/>
      <c r="D95" s="144">
        <v>3</v>
      </c>
      <c r="E95" s="135">
        <f t="shared" si="8"/>
        <v>27487.879999999994</v>
      </c>
      <c r="F95" s="136"/>
      <c r="G95" s="132">
        <f t="shared" si="9"/>
        <v>21.202721550878159</v>
      </c>
      <c r="H95" s="136"/>
      <c r="I95" s="132">
        <f t="shared" si="10"/>
        <v>63.608164652634478</v>
      </c>
      <c r="J95" s="134">
        <f t="shared" si="11"/>
        <v>582817.86566395266</v>
      </c>
      <c r="K95" s="60"/>
      <c r="L95" s="204"/>
      <c r="M95" s="204"/>
      <c r="N95" s="204"/>
    </row>
    <row r="96" spans="1:14" x14ac:dyDescent="0.35">
      <c r="A96" s="322">
        <v>43169</v>
      </c>
      <c r="B96" s="140" t="s">
        <v>315</v>
      </c>
      <c r="C96" s="144"/>
      <c r="D96" s="144">
        <v>5.5</v>
      </c>
      <c r="E96" s="135">
        <f t="shared" si="8"/>
        <v>27482.379999999994</v>
      </c>
      <c r="F96" s="136"/>
      <c r="G96" s="132">
        <f t="shared" si="9"/>
        <v>21.202721550878163</v>
      </c>
      <c r="H96" s="136"/>
      <c r="I96" s="132">
        <f t="shared" si="10"/>
        <v>116.61496852982989</v>
      </c>
      <c r="J96" s="134">
        <f t="shared" si="11"/>
        <v>582701.25069542287</v>
      </c>
      <c r="K96" s="60"/>
      <c r="L96" s="204"/>
      <c r="M96" s="204"/>
      <c r="N96" s="204"/>
    </row>
    <row r="97" spans="1:14" x14ac:dyDescent="0.35">
      <c r="A97" s="322">
        <v>43169</v>
      </c>
      <c r="B97" s="140" t="s">
        <v>316</v>
      </c>
      <c r="C97" s="144"/>
      <c r="D97" s="144">
        <f>8*4.3</f>
        <v>34.4</v>
      </c>
      <c r="E97" s="135">
        <f t="shared" si="8"/>
        <v>27447.979999999992</v>
      </c>
      <c r="F97" s="136"/>
      <c r="G97" s="132">
        <f t="shared" si="9"/>
        <v>21.202721550878163</v>
      </c>
      <c r="H97" s="136"/>
      <c r="I97" s="132">
        <f t="shared" si="10"/>
        <v>729.37362135020874</v>
      </c>
      <c r="J97" s="134">
        <f t="shared" si="11"/>
        <v>581971.87707407272</v>
      </c>
      <c r="K97" s="60"/>
      <c r="L97" s="204"/>
      <c r="M97" s="204"/>
      <c r="N97" s="204"/>
    </row>
    <row r="98" spans="1:14" x14ac:dyDescent="0.35">
      <c r="A98" s="142">
        <v>43171</v>
      </c>
      <c r="B98" s="140" t="s">
        <v>317</v>
      </c>
      <c r="C98" s="134"/>
      <c r="D98" s="134">
        <f>6*4.25+2*1.92+2*1.86+1.65</f>
        <v>34.71</v>
      </c>
      <c r="E98" s="135">
        <f t="shared" si="8"/>
        <v>27413.269999999993</v>
      </c>
      <c r="F98" s="136"/>
      <c r="G98" s="132">
        <f t="shared" si="9"/>
        <v>21.202721550878167</v>
      </c>
      <c r="H98" s="136"/>
      <c r="I98" s="132">
        <f t="shared" si="10"/>
        <v>735.94646503098113</v>
      </c>
      <c r="J98" s="134">
        <f t="shared" si="11"/>
        <v>581235.93060904171</v>
      </c>
      <c r="K98" s="60"/>
      <c r="L98" s="204"/>
      <c r="M98" s="204"/>
      <c r="N98" s="204"/>
    </row>
    <row r="99" spans="1:14" x14ac:dyDescent="0.35">
      <c r="A99" s="142">
        <v>43171</v>
      </c>
      <c r="B99" s="140" t="s">
        <v>322</v>
      </c>
      <c r="C99" s="134"/>
      <c r="D99" s="134">
        <f>50*3.8+25*5.6</f>
        <v>330</v>
      </c>
      <c r="E99" s="135">
        <f t="shared" si="8"/>
        <v>27083.269999999993</v>
      </c>
      <c r="F99" s="136"/>
      <c r="G99" s="132">
        <f t="shared" si="9"/>
        <v>21.202721550878163</v>
      </c>
      <c r="H99" s="136"/>
      <c r="I99" s="132">
        <f t="shared" si="10"/>
        <v>6996.8981117897938</v>
      </c>
      <c r="J99" s="134">
        <f t="shared" si="11"/>
        <v>574239.03249725187</v>
      </c>
      <c r="K99" s="60"/>
      <c r="L99" s="204"/>
      <c r="M99" s="204"/>
      <c r="N99" s="204"/>
    </row>
    <row r="100" spans="1:14" x14ac:dyDescent="0.35">
      <c r="A100" s="142">
        <v>43171</v>
      </c>
      <c r="B100" s="140" t="s">
        <v>318</v>
      </c>
      <c r="C100" s="134"/>
      <c r="D100" s="134">
        <f>6.2+1.54</f>
        <v>7.74</v>
      </c>
      <c r="E100" s="135">
        <f t="shared" si="8"/>
        <v>27075.529999999992</v>
      </c>
      <c r="F100" s="136"/>
      <c r="G100" s="132">
        <f t="shared" si="9"/>
        <v>21.202721550878163</v>
      </c>
      <c r="H100" s="136"/>
      <c r="I100" s="132">
        <f t="shared" si="10"/>
        <v>164.109064803797</v>
      </c>
      <c r="J100" s="134">
        <f t="shared" si="11"/>
        <v>574074.92343244806</v>
      </c>
      <c r="K100" s="60"/>
      <c r="L100" s="204"/>
      <c r="M100" s="204"/>
      <c r="N100" s="204"/>
    </row>
    <row r="101" spans="1:14" x14ac:dyDescent="0.35">
      <c r="A101" s="142">
        <v>43171</v>
      </c>
      <c r="B101" s="140" t="s">
        <v>319</v>
      </c>
      <c r="C101" s="134"/>
      <c r="D101" s="134">
        <f>10*2.2</f>
        <v>22</v>
      </c>
      <c r="E101" s="135">
        <f t="shared" si="8"/>
        <v>27053.529999999992</v>
      </c>
      <c r="F101" s="136"/>
      <c r="G101" s="132">
        <f t="shared" si="9"/>
        <v>21.202721550878163</v>
      </c>
      <c r="H101" s="136"/>
      <c r="I101" s="132">
        <f t="shared" si="10"/>
        <v>466.45987411931958</v>
      </c>
      <c r="J101" s="134">
        <f t="shared" si="11"/>
        <v>573608.46355832869</v>
      </c>
      <c r="K101" s="60"/>
      <c r="L101" s="204"/>
      <c r="M101" s="204"/>
      <c r="N101" s="204"/>
    </row>
    <row r="102" spans="1:14" x14ac:dyDescent="0.35">
      <c r="A102" s="142">
        <v>43171</v>
      </c>
      <c r="B102" s="140" t="s">
        <v>320</v>
      </c>
      <c r="C102" s="134"/>
      <c r="D102" s="134">
        <f>14*4.2+16*5.2</f>
        <v>142</v>
      </c>
      <c r="E102" s="135">
        <f t="shared" si="8"/>
        <v>26911.529999999992</v>
      </c>
      <c r="F102" s="136"/>
      <c r="G102" s="132">
        <f t="shared" si="9"/>
        <v>21.202721550878163</v>
      </c>
      <c r="H102" s="136"/>
      <c r="I102" s="132">
        <f t="shared" si="10"/>
        <v>3010.7864602246991</v>
      </c>
      <c r="J102" s="134">
        <f t="shared" si="11"/>
        <v>570597.67709810403</v>
      </c>
      <c r="K102" s="60"/>
      <c r="L102" s="204"/>
      <c r="M102" s="204"/>
      <c r="N102" s="204"/>
    </row>
    <row r="103" spans="1:14" x14ac:dyDescent="0.35">
      <c r="A103" s="142">
        <v>43172</v>
      </c>
      <c r="B103" s="140" t="s">
        <v>321</v>
      </c>
      <c r="C103" s="134"/>
      <c r="D103" s="134">
        <f>4*2.2</f>
        <v>8.8000000000000007</v>
      </c>
      <c r="E103" s="135">
        <f t="shared" si="8"/>
        <v>26902.729999999992</v>
      </c>
      <c r="F103" s="136"/>
      <c r="G103" s="132">
        <f t="shared" si="9"/>
        <v>21.202721550878163</v>
      </c>
      <c r="H103" s="136"/>
      <c r="I103" s="132">
        <f t="shared" si="10"/>
        <v>186.58394964772785</v>
      </c>
      <c r="J103" s="134">
        <f t="shared" si="11"/>
        <v>570411.0931484563</v>
      </c>
      <c r="K103" s="60"/>
      <c r="L103" s="204"/>
      <c r="M103" s="204"/>
      <c r="N103" s="204"/>
    </row>
    <row r="104" spans="1:14" s="225" customFormat="1" x14ac:dyDescent="0.35">
      <c r="A104" s="228">
        <v>43174</v>
      </c>
      <c r="B104" s="226" t="s">
        <v>323</v>
      </c>
      <c r="C104" s="229"/>
      <c r="D104" s="229">
        <f>11*2.63</f>
        <v>28.93</v>
      </c>
      <c r="E104" s="230">
        <f t="shared" si="8"/>
        <v>26873.799999999992</v>
      </c>
      <c r="F104" s="224"/>
      <c r="G104" s="229">
        <f t="shared" si="9"/>
        <v>21.202721550878163</v>
      </c>
      <c r="H104" s="224"/>
      <c r="I104" s="229">
        <f t="shared" si="10"/>
        <v>613.39473446690522</v>
      </c>
      <c r="J104" s="229">
        <f t="shared" si="11"/>
        <v>569797.69841398939</v>
      </c>
      <c r="K104" s="226"/>
      <c r="L104" s="32">
        <f>SUM(I80:I104)</f>
        <v>29453.336587971375</v>
      </c>
      <c r="M104" s="227"/>
      <c r="N104" s="27">
        <v>43174</v>
      </c>
    </row>
    <row r="105" spans="1:14" x14ac:dyDescent="0.35">
      <c r="A105" s="142">
        <v>43175</v>
      </c>
      <c r="B105" s="140" t="s">
        <v>324</v>
      </c>
      <c r="C105" s="134"/>
      <c r="D105" s="134">
        <f>27*0.7+27*0.6</f>
        <v>35.099999999999994</v>
      </c>
      <c r="E105" s="135">
        <f t="shared" si="8"/>
        <v>26838.699999999993</v>
      </c>
      <c r="F105" s="136"/>
      <c r="G105" s="132">
        <f t="shared" si="9"/>
        <v>21.202721550878163</v>
      </c>
      <c r="H105" s="136"/>
      <c r="I105" s="132">
        <f t="shared" si="10"/>
        <v>744.21552643582345</v>
      </c>
      <c r="J105" s="134">
        <f t="shared" si="11"/>
        <v>569053.48288755352</v>
      </c>
      <c r="K105" s="60"/>
      <c r="L105" s="204"/>
      <c r="M105" s="204"/>
      <c r="N105" s="204"/>
    </row>
    <row r="106" spans="1:14" x14ac:dyDescent="0.35">
      <c r="A106" s="142">
        <v>43176</v>
      </c>
      <c r="B106" s="140" t="s">
        <v>325</v>
      </c>
      <c r="C106" s="134"/>
      <c r="D106" s="134">
        <f>14*5.35</f>
        <v>74.899999999999991</v>
      </c>
      <c r="E106" s="135">
        <f t="shared" si="8"/>
        <v>26763.799999999992</v>
      </c>
      <c r="F106" s="136"/>
      <c r="G106" s="132">
        <f t="shared" si="9"/>
        <v>21.202721550878159</v>
      </c>
      <c r="H106" s="136"/>
      <c r="I106" s="132">
        <f t="shared" si="10"/>
        <v>1588.0838441607739</v>
      </c>
      <c r="J106" s="134">
        <f t="shared" si="11"/>
        <v>567465.39904339274</v>
      </c>
      <c r="K106" s="60"/>
      <c r="L106" s="204"/>
      <c r="M106" s="204"/>
      <c r="N106" s="204"/>
    </row>
    <row r="107" spans="1:14" x14ac:dyDescent="0.35">
      <c r="A107" s="142">
        <v>43178</v>
      </c>
      <c r="B107" s="140" t="s">
        <v>326</v>
      </c>
      <c r="C107" s="134"/>
      <c r="D107" s="134">
        <f>14*0.7+27*0.6</f>
        <v>26</v>
      </c>
      <c r="E107" s="135">
        <f t="shared" si="8"/>
        <v>26737.799999999992</v>
      </c>
      <c r="F107" s="136"/>
      <c r="G107" s="132">
        <f t="shared" si="9"/>
        <v>21.202721550878159</v>
      </c>
      <c r="H107" s="136"/>
      <c r="I107" s="132">
        <f t="shared" si="10"/>
        <v>551.27076032283219</v>
      </c>
      <c r="J107" s="134">
        <f t="shared" si="11"/>
        <v>566914.12828306993</v>
      </c>
      <c r="K107" s="60"/>
      <c r="L107" s="204"/>
      <c r="M107" s="204"/>
      <c r="N107" s="204"/>
    </row>
    <row r="108" spans="1:14" x14ac:dyDescent="0.35">
      <c r="A108" s="142">
        <v>43178</v>
      </c>
      <c r="B108" s="140" t="s">
        <v>327</v>
      </c>
      <c r="C108" s="134"/>
      <c r="D108" s="134">
        <f>13*2.8</f>
        <v>36.4</v>
      </c>
      <c r="E108" s="135">
        <f t="shared" si="8"/>
        <v>26701.399999999991</v>
      </c>
      <c r="F108" s="136"/>
      <c r="G108" s="132">
        <f t="shared" si="9"/>
        <v>21.202721550878163</v>
      </c>
      <c r="H108" s="136"/>
      <c r="I108" s="132">
        <f t="shared" si="10"/>
        <v>771.77906445196516</v>
      </c>
      <c r="J108" s="134">
        <f t="shared" si="11"/>
        <v>566142.34921861801</v>
      </c>
      <c r="K108" s="60"/>
      <c r="L108" s="204"/>
      <c r="M108" s="204"/>
      <c r="N108" s="204"/>
    </row>
    <row r="109" spans="1:14" x14ac:dyDescent="0.35">
      <c r="A109" s="142">
        <v>43178</v>
      </c>
      <c r="B109" s="140" t="s">
        <v>328</v>
      </c>
      <c r="C109" s="134"/>
      <c r="D109" s="134">
        <f>4*3.8+4+2*0.5</f>
        <v>20.2</v>
      </c>
      <c r="E109" s="135">
        <f t="shared" si="8"/>
        <v>26681.19999999999</v>
      </c>
      <c r="F109" s="136"/>
      <c r="G109" s="132">
        <f t="shared" si="9"/>
        <v>21.202721550878163</v>
      </c>
      <c r="H109" s="136"/>
      <c r="I109" s="132">
        <f t="shared" si="10"/>
        <v>428.29497532773888</v>
      </c>
      <c r="J109" s="134">
        <f t="shared" si="11"/>
        <v>565714.05424329021</v>
      </c>
      <c r="K109" s="60"/>
      <c r="L109" s="204"/>
      <c r="M109" s="204"/>
      <c r="N109" s="204"/>
    </row>
    <row r="110" spans="1:14" x14ac:dyDescent="0.35">
      <c r="A110" s="142">
        <v>43179</v>
      </c>
      <c r="B110" s="140" t="s">
        <v>329</v>
      </c>
      <c r="C110" s="134"/>
      <c r="D110" s="134">
        <f>3*2</f>
        <v>6</v>
      </c>
      <c r="E110" s="135">
        <f t="shared" si="8"/>
        <v>26675.19999999999</v>
      </c>
      <c r="F110" s="136"/>
      <c r="G110" s="132">
        <f t="shared" si="9"/>
        <v>21.202721550878163</v>
      </c>
      <c r="H110" s="136"/>
      <c r="I110" s="132">
        <f t="shared" si="10"/>
        <v>127.21632930526897</v>
      </c>
      <c r="J110" s="134">
        <f t="shared" si="11"/>
        <v>565586.8379139849</v>
      </c>
      <c r="K110" s="60"/>
      <c r="L110" s="204"/>
      <c r="M110" s="204"/>
      <c r="N110" s="204"/>
    </row>
    <row r="111" spans="1:14" x14ac:dyDescent="0.35">
      <c r="A111" s="142">
        <v>43181</v>
      </c>
      <c r="B111" s="140" t="s">
        <v>330</v>
      </c>
      <c r="C111" s="134"/>
      <c r="D111" s="134">
        <v>2</v>
      </c>
      <c r="E111" s="135">
        <f t="shared" si="8"/>
        <v>26673.19999999999</v>
      </c>
      <c r="F111" s="136"/>
      <c r="G111" s="132">
        <f t="shared" si="9"/>
        <v>21.202721550878159</v>
      </c>
      <c r="H111" s="136"/>
      <c r="I111" s="132">
        <f t="shared" si="10"/>
        <v>42.405443101756319</v>
      </c>
      <c r="J111" s="134">
        <f t="shared" si="11"/>
        <v>565544.43247088313</v>
      </c>
      <c r="K111" s="60"/>
      <c r="L111" s="204"/>
      <c r="M111" s="204"/>
      <c r="N111" s="204"/>
    </row>
    <row r="112" spans="1:14" x14ac:dyDescent="0.35">
      <c r="A112" s="142">
        <v>43187</v>
      </c>
      <c r="B112" s="140" t="s">
        <v>331</v>
      </c>
      <c r="C112" s="134"/>
      <c r="D112" s="134">
        <v>5.5</v>
      </c>
      <c r="E112" s="135">
        <f t="shared" si="8"/>
        <v>26667.69999999999</v>
      </c>
      <c r="F112" s="136"/>
      <c r="G112" s="132">
        <f t="shared" si="9"/>
        <v>21.202721550878159</v>
      </c>
      <c r="H112" s="136"/>
      <c r="I112" s="132">
        <f t="shared" si="10"/>
        <v>116.61496852982988</v>
      </c>
      <c r="J112" s="134">
        <f t="shared" si="11"/>
        <v>565427.81750235334</v>
      </c>
      <c r="K112" s="60"/>
      <c r="L112" s="204"/>
      <c r="M112" s="204"/>
      <c r="N112" s="204"/>
    </row>
    <row r="113" spans="1:14" s="225" customFormat="1" x14ac:dyDescent="0.35">
      <c r="A113" s="228">
        <v>43190</v>
      </c>
      <c r="B113" s="226" t="s">
        <v>332</v>
      </c>
      <c r="C113" s="229"/>
      <c r="D113" s="229">
        <f>5*4.5</f>
        <v>22.5</v>
      </c>
      <c r="E113" s="230">
        <f t="shared" si="8"/>
        <v>26645.19999999999</v>
      </c>
      <c r="F113" s="224"/>
      <c r="G113" s="229">
        <f t="shared" si="9"/>
        <v>21.202721550878163</v>
      </c>
      <c r="H113" s="224"/>
      <c r="I113" s="229">
        <f t="shared" si="10"/>
        <v>477.06123489475868</v>
      </c>
      <c r="J113" s="229">
        <f t="shared" si="11"/>
        <v>564950.75626745855</v>
      </c>
      <c r="K113" s="226"/>
      <c r="L113" s="32">
        <f>SUM(I105:I113)</f>
        <v>4846.9421465307478</v>
      </c>
      <c r="M113" s="32">
        <f>SUM(L104:L113)</f>
        <v>34300.278734502121</v>
      </c>
      <c r="N113" s="27">
        <v>43190</v>
      </c>
    </row>
    <row r="114" spans="1:14" x14ac:dyDescent="0.35">
      <c r="A114" s="142">
        <v>43193</v>
      </c>
      <c r="B114" s="140" t="s">
        <v>333</v>
      </c>
      <c r="C114" s="134"/>
      <c r="D114" s="134">
        <f>10*4.2</f>
        <v>42</v>
      </c>
      <c r="E114" s="135">
        <f t="shared" si="8"/>
        <v>26603.19999999999</v>
      </c>
      <c r="F114" s="136"/>
      <c r="G114" s="132">
        <f t="shared" si="9"/>
        <v>21.202721550878159</v>
      </c>
      <c r="H114" s="136"/>
      <c r="I114" s="132">
        <f t="shared" si="10"/>
        <v>890.51430513688274</v>
      </c>
      <c r="J114" s="134">
        <f t="shared" si="11"/>
        <v>564060.24196232168</v>
      </c>
      <c r="K114" s="60"/>
      <c r="L114" s="204"/>
      <c r="M114" s="204"/>
      <c r="N114" s="204"/>
    </row>
    <row r="115" spans="1:14" x14ac:dyDescent="0.35">
      <c r="A115" s="142">
        <v>43194</v>
      </c>
      <c r="B115" s="140" t="s">
        <v>334</v>
      </c>
      <c r="C115" s="134"/>
      <c r="D115" s="134">
        <v>11</v>
      </c>
      <c r="E115" s="135">
        <f t="shared" si="8"/>
        <v>26592.19999999999</v>
      </c>
      <c r="F115" s="136"/>
      <c r="G115" s="132">
        <f t="shared" si="9"/>
        <v>21.202721550878163</v>
      </c>
      <c r="H115" s="136"/>
      <c r="I115" s="132">
        <f t="shared" si="10"/>
        <v>233.22993705965979</v>
      </c>
      <c r="J115" s="134">
        <f t="shared" si="11"/>
        <v>563827.012025262</v>
      </c>
      <c r="K115" s="60"/>
      <c r="L115" s="204"/>
      <c r="M115" s="204"/>
      <c r="N115" s="204"/>
    </row>
    <row r="116" spans="1:14" x14ac:dyDescent="0.35">
      <c r="A116" s="142">
        <v>43194</v>
      </c>
      <c r="B116" s="140" t="s">
        <v>335</v>
      </c>
      <c r="C116" s="134"/>
      <c r="D116" s="134">
        <v>4.5</v>
      </c>
      <c r="E116" s="135">
        <f t="shared" si="8"/>
        <v>26587.69999999999</v>
      </c>
      <c r="F116" s="136"/>
      <c r="G116" s="132">
        <f t="shared" si="9"/>
        <v>21.202721550878159</v>
      </c>
      <c r="H116" s="136"/>
      <c r="I116" s="132">
        <f t="shared" si="10"/>
        <v>95.412246978951714</v>
      </c>
      <c r="J116" s="134">
        <f t="shared" si="11"/>
        <v>563731.59977828304</v>
      </c>
      <c r="K116" s="60"/>
      <c r="L116" s="204"/>
      <c r="M116" s="204"/>
      <c r="N116" s="204"/>
    </row>
    <row r="117" spans="1:14" x14ac:dyDescent="0.35">
      <c r="A117" s="142">
        <v>43196</v>
      </c>
      <c r="B117" s="140" t="s">
        <v>93</v>
      </c>
      <c r="C117" s="134"/>
      <c r="D117" s="134">
        <v>0</v>
      </c>
      <c r="E117" s="135">
        <f t="shared" si="8"/>
        <v>26587.69999999999</v>
      </c>
      <c r="F117" s="136"/>
      <c r="G117" s="132">
        <f t="shared" si="9"/>
        <v>21.202721550878159</v>
      </c>
      <c r="H117" s="136"/>
      <c r="I117" s="132">
        <f t="shared" si="10"/>
        <v>0</v>
      </c>
      <c r="J117" s="134">
        <f t="shared" si="11"/>
        <v>563731.59977828304</v>
      </c>
      <c r="K117" s="60"/>
      <c r="L117" s="204"/>
      <c r="M117" s="204"/>
      <c r="N117" s="204"/>
    </row>
    <row r="118" spans="1:14" x14ac:dyDescent="0.35">
      <c r="A118" s="142">
        <v>43196</v>
      </c>
      <c r="B118" s="140" t="s">
        <v>336</v>
      </c>
      <c r="C118" s="134"/>
      <c r="D118" s="134">
        <f>17*2.5</f>
        <v>42.5</v>
      </c>
      <c r="E118" s="135">
        <f t="shared" si="8"/>
        <v>26545.19999999999</v>
      </c>
      <c r="F118" s="136"/>
      <c r="G118" s="132">
        <f t="shared" si="9"/>
        <v>21.202721550878159</v>
      </c>
      <c r="H118" s="136"/>
      <c r="I118" s="132">
        <f t="shared" si="10"/>
        <v>901.11566591232179</v>
      </c>
      <c r="J118" s="134">
        <f t="shared" si="11"/>
        <v>562830.48411237076</v>
      </c>
      <c r="K118" s="60"/>
      <c r="L118" s="204"/>
      <c r="M118" s="204"/>
      <c r="N118" s="204"/>
    </row>
    <row r="119" spans="1:14" x14ac:dyDescent="0.35">
      <c r="A119" s="142">
        <v>43197</v>
      </c>
      <c r="B119" s="140" t="s">
        <v>337</v>
      </c>
      <c r="C119" s="134"/>
      <c r="D119" s="134">
        <f>26*3.5+13*5+5</f>
        <v>161</v>
      </c>
      <c r="E119" s="135">
        <f t="shared" si="8"/>
        <v>26384.19999999999</v>
      </c>
      <c r="F119" s="136"/>
      <c r="G119" s="132">
        <f t="shared" si="9"/>
        <v>21.202721550878163</v>
      </c>
      <c r="H119" s="136"/>
      <c r="I119" s="132">
        <f t="shared" si="10"/>
        <v>3413.6381696913841</v>
      </c>
      <c r="J119" s="134">
        <f t="shared" si="11"/>
        <v>559416.84594267933</v>
      </c>
      <c r="K119" s="60"/>
      <c r="L119" s="204"/>
      <c r="M119" s="204"/>
      <c r="N119" s="204"/>
    </row>
    <row r="120" spans="1:14" x14ac:dyDescent="0.35">
      <c r="A120" s="142">
        <v>43199</v>
      </c>
      <c r="B120" s="140" t="s">
        <v>338</v>
      </c>
      <c r="C120" s="134"/>
      <c r="D120" s="134">
        <f>2*1+2*1.4</f>
        <v>4.8</v>
      </c>
      <c r="E120" s="135">
        <f t="shared" si="8"/>
        <v>26379.399999999991</v>
      </c>
      <c r="F120" s="136"/>
      <c r="G120" s="132">
        <f t="shared" si="9"/>
        <v>21.202721550878159</v>
      </c>
      <c r="H120" s="136"/>
      <c r="I120" s="132">
        <f t="shared" si="10"/>
        <v>101.77306344421517</v>
      </c>
      <c r="J120" s="134">
        <f t="shared" si="11"/>
        <v>559315.07287923514</v>
      </c>
      <c r="K120" s="60"/>
      <c r="L120" s="204"/>
      <c r="M120" s="204"/>
      <c r="N120" s="204"/>
    </row>
    <row r="121" spans="1:14" x14ac:dyDescent="0.35">
      <c r="A121" s="142">
        <v>43199</v>
      </c>
      <c r="B121" s="140" t="s">
        <v>339</v>
      </c>
      <c r="C121" s="134"/>
      <c r="D121" s="134">
        <f>2*1+2*1.4</f>
        <v>4.8</v>
      </c>
      <c r="E121" s="135">
        <f t="shared" si="8"/>
        <v>26374.599999999991</v>
      </c>
      <c r="F121" s="136"/>
      <c r="G121" s="132">
        <f t="shared" si="9"/>
        <v>21.202721550878159</v>
      </c>
      <c r="H121" s="136"/>
      <c r="I121" s="132">
        <f t="shared" si="10"/>
        <v>101.77306344421517</v>
      </c>
      <c r="J121" s="134">
        <f t="shared" si="11"/>
        <v>559213.29981579096</v>
      </c>
      <c r="K121" s="60"/>
      <c r="L121" s="204"/>
      <c r="M121" s="204"/>
      <c r="N121" s="204"/>
    </row>
    <row r="122" spans="1:14" x14ac:dyDescent="0.35">
      <c r="A122" s="142">
        <v>43199</v>
      </c>
      <c r="B122" s="140" t="s">
        <v>340</v>
      </c>
      <c r="C122" s="134"/>
      <c r="D122" s="134">
        <v>15</v>
      </c>
      <c r="E122" s="135">
        <f t="shared" si="8"/>
        <v>26359.599999999991</v>
      </c>
      <c r="F122" s="136"/>
      <c r="G122" s="132">
        <f t="shared" si="9"/>
        <v>21.202721550878159</v>
      </c>
      <c r="H122" s="136"/>
      <c r="I122" s="132">
        <f t="shared" si="10"/>
        <v>318.0408232631724</v>
      </c>
      <c r="J122" s="134">
        <f t="shared" si="11"/>
        <v>558895.25899252784</v>
      </c>
      <c r="K122" s="60"/>
      <c r="L122" s="204"/>
      <c r="M122" s="204"/>
      <c r="N122" s="204"/>
    </row>
    <row r="123" spans="1:14" x14ac:dyDescent="0.35">
      <c r="A123" s="142">
        <v>43201</v>
      </c>
      <c r="B123" s="140" t="s">
        <v>341</v>
      </c>
      <c r="C123" s="134"/>
      <c r="D123" s="134">
        <f>6*3.6+24*1.5</f>
        <v>57.6</v>
      </c>
      <c r="E123" s="135">
        <f t="shared" si="8"/>
        <v>26301.999999999993</v>
      </c>
      <c r="F123" s="136"/>
      <c r="G123" s="132">
        <f t="shared" si="9"/>
        <v>21.202721550878163</v>
      </c>
      <c r="H123" s="136"/>
      <c r="I123" s="132">
        <f t="shared" si="10"/>
        <v>1221.2767613305823</v>
      </c>
      <c r="J123" s="134">
        <f t="shared" si="11"/>
        <v>557673.9822311973</v>
      </c>
      <c r="K123" s="60"/>
      <c r="L123" s="204"/>
      <c r="M123" s="204"/>
      <c r="N123" s="204"/>
    </row>
    <row r="124" spans="1:14" x14ac:dyDescent="0.35">
      <c r="A124" s="142">
        <v>43201</v>
      </c>
      <c r="B124" s="140" t="s">
        <v>342</v>
      </c>
      <c r="C124" s="134"/>
      <c r="D124" s="134">
        <v>1.4</v>
      </c>
      <c r="E124" s="135">
        <f t="shared" si="8"/>
        <v>26300.599999999991</v>
      </c>
      <c r="F124" s="136"/>
      <c r="G124" s="132">
        <f t="shared" si="9"/>
        <v>21.202721550878163</v>
      </c>
      <c r="H124" s="136"/>
      <c r="I124" s="132">
        <f t="shared" si="10"/>
        <v>29.683810171229425</v>
      </c>
      <c r="J124" s="134">
        <f t="shared" si="11"/>
        <v>557644.29842102609</v>
      </c>
      <c r="K124" s="60"/>
      <c r="L124" s="204"/>
      <c r="M124" s="204"/>
      <c r="N124" s="204"/>
    </row>
    <row r="125" spans="1:14" x14ac:dyDescent="0.35">
      <c r="A125" s="142">
        <v>43203</v>
      </c>
      <c r="B125" s="140" t="s">
        <v>343</v>
      </c>
      <c r="C125" s="134"/>
      <c r="D125" s="134">
        <f>12*3.22</f>
        <v>38.64</v>
      </c>
      <c r="E125" s="135">
        <f t="shared" si="8"/>
        <v>26261.959999999992</v>
      </c>
      <c r="F125" s="136"/>
      <c r="G125" s="132">
        <f t="shared" si="9"/>
        <v>21.202721550878167</v>
      </c>
      <c r="H125" s="136"/>
      <c r="I125" s="132">
        <f t="shared" si="10"/>
        <v>819.27316072593237</v>
      </c>
      <c r="J125" s="134">
        <f t="shared" si="11"/>
        <v>556825.02526030014</v>
      </c>
      <c r="K125" s="60"/>
      <c r="L125" s="204"/>
      <c r="M125" s="204"/>
      <c r="N125" s="204"/>
    </row>
    <row r="126" spans="1:14" s="190" customFormat="1" x14ac:dyDescent="0.35">
      <c r="A126" s="142">
        <v>43203</v>
      </c>
      <c r="B126" s="140" t="s">
        <v>122</v>
      </c>
      <c r="C126" s="134">
        <v>15000</v>
      </c>
      <c r="D126" s="134"/>
      <c r="E126" s="135">
        <f>+E125+C126</f>
        <v>41261.959999999992</v>
      </c>
      <c r="F126" s="136">
        <f>+H126/C126</f>
        <v>23.595665333333333</v>
      </c>
      <c r="G126" s="132"/>
      <c r="H126" s="136">
        <v>353934.98</v>
      </c>
      <c r="I126" s="132"/>
      <c r="J126" s="134">
        <f>+J125+H126</f>
        <v>910760.00526030012</v>
      </c>
      <c r="K126" s="60"/>
      <c r="L126" s="204"/>
      <c r="M126" s="204"/>
      <c r="N126" s="204"/>
    </row>
    <row r="127" spans="1:14" s="225" customFormat="1" x14ac:dyDescent="0.35">
      <c r="A127" s="228">
        <v>43203</v>
      </c>
      <c r="B127" s="226" t="s">
        <v>344</v>
      </c>
      <c r="C127" s="229"/>
      <c r="D127" s="229">
        <f>9*5.15</f>
        <v>46.35</v>
      </c>
      <c r="E127" s="230">
        <f t="shared" ref="E127" si="12">+E126-D127</f>
        <v>41215.609999999993</v>
      </c>
      <c r="F127" s="224"/>
      <c r="G127" s="229">
        <f t="shared" ref="G127" si="13">+J126/E126</f>
        <v>22.072630705383368</v>
      </c>
      <c r="H127" s="224"/>
      <c r="I127" s="229">
        <f t="shared" ref="I127" si="14">+D127*G127</f>
        <v>1023.0664331945192</v>
      </c>
      <c r="J127" s="229">
        <f t="shared" ref="J127" si="15">+J126-I127</f>
        <v>909736.93882710556</v>
      </c>
      <c r="K127" s="226"/>
      <c r="L127" s="32">
        <f>SUM(I114:I127)</f>
        <v>9148.7974403530661</v>
      </c>
      <c r="M127" s="227"/>
      <c r="N127" s="27">
        <v>43203</v>
      </c>
    </row>
    <row r="128" spans="1:14" x14ac:dyDescent="0.35">
      <c r="A128" s="142">
        <v>43204</v>
      </c>
      <c r="B128" s="140" t="s">
        <v>131</v>
      </c>
      <c r="C128" s="134"/>
      <c r="D128" s="134">
        <v>0</v>
      </c>
      <c r="E128" s="135">
        <f t="shared" ref="E128:E191" si="16">+E127-D128</f>
        <v>41215.609999999993</v>
      </c>
      <c r="F128" s="136"/>
      <c r="G128" s="132">
        <f t="shared" ref="G128:G191" si="17">+J127/E127</f>
        <v>22.072630705383364</v>
      </c>
      <c r="H128" s="136"/>
      <c r="I128" s="132">
        <f t="shared" ref="I128:I191" si="18">+D128*G128</f>
        <v>0</v>
      </c>
      <c r="J128" s="132">
        <f t="shared" ref="J128:J191" si="19">+J127-I128</f>
        <v>909736.93882710556</v>
      </c>
      <c r="K128" s="60"/>
      <c r="L128" s="204"/>
      <c r="M128" s="204"/>
      <c r="N128" s="204"/>
    </row>
    <row r="129" spans="1:14" x14ac:dyDescent="0.35">
      <c r="A129" s="142">
        <v>43204</v>
      </c>
      <c r="B129" s="140" t="s">
        <v>345</v>
      </c>
      <c r="C129" s="134"/>
      <c r="D129" s="134">
        <f>14*0.5</f>
        <v>7</v>
      </c>
      <c r="E129" s="135">
        <f t="shared" si="16"/>
        <v>41208.609999999993</v>
      </c>
      <c r="F129" s="136"/>
      <c r="G129" s="132">
        <f t="shared" si="17"/>
        <v>22.072630705383364</v>
      </c>
      <c r="H129" s="136"/>
      <c r="I129" s="132">
        <f t="shared" si="18"/>
        <v>154.50841493768354</v>
      </c>
      <c r="J129" s="132">
        <f t="shared" si="19"/>
        <v>909582.43041216792</v>
      </c>
      <c r="K129" s="60"/>
      <c r="L129" s="204"/>
      <c r="M129" s="204"/>
      <c r="N129" s="204"/>
    </row>
    <row r="130" spans="1:14" s="243" customFormat="1" x14ac:dyDescent="0.35">
      <c r="A130" s="259">
        <v>43204</v>
      </c>
      <c r="B130" s="140" t="s">
        <v>132</v>
      </c>
      <c r="C130" s="132"/>
      <c r="D130" s="132">
        <v>0</v>
      </c>
      <c r="E130" s="135">
        <f t="shared" si="16"/>
        <v>41208.609999999993</v>
      </c>
      <c r="F130" s="136"/>
      <c r="G130" s="132">
        <f t="shared" si="17"/>
        <v>22.072630705383368</v>
      </c>
      <c r="H130" s="136"/>
      <c r="I130" s="132">
        <f t="shared" si="18"/>
        <v>0</v>
      </c>
      <c r="J130" s="132">
        <f t="shared" si="19"/>
        <v>909582.43041216792</v>
      </c>
      <c r="K130" s="140"/>
      <c r="L130" s="242"/>
      <c r="M130" s="244"/>
      <c r="N130" s="312"/>
    </row>
    <row r="131" spans="1:14" x14ac:dyDescent="0.35">
      <c r="A131" s="142">
        <v>43207</v>
      </c>
      <c r="B131" s="140" t="s">
        <v>346</v>
      </c>
      <c r="C131" s="134"/>
      <c r="D131" s="134">
        <f>6*3+4*1.3</f>
        <v>23.2</v>
      </c>
      <c r="E131" s="135">
        <f t="shared" si="16"/>
        <v>41185.409999999996</v>
      </c>
      <c r="F131" s="136"/>
      <c r="G131" s="132">
        <f t="shared" si="17"/>
        <v>22.072630705383368</v>
      </c>
      <c r="H131" s="136"/>
      <c r="I131" s="132">
        <f t="shared" si="18"/>
        <v>512.08503236489412</v>
      </c>
      <c r="J131" s="132">
        <f t="shared" si="19"/>
        <v>909070.34537980298</v>
      </c>
      <c r="K131" s="60"/>
      <c r="L131" s="204"/>
      <c r="M131" s="204"/>
      <c r="N131" s="204"/>
    </row>
    <row r="132" spans="1:14" x14ac:dyDescent="0.35">
      <c r="A132" s="142">
        <v>43207</v>
      </c>
      <c r="B132" s="140" t="s">
        <v>347</v>
      </c>
      <c r="C132" s="134"/>
      <c r="D132" s="134">
        <f>4*5.5</f>
        <v>22</v>
      </c>
      <c r="E132" s="135">
        <f t="shared" si="16"/>
        <v>41163.409999999996</v>
      </c>
      <c r="F132" s="136"/>
      <c r="G132" s="132">
        <f t="shared" si="17"/>
        <v>22.072630705383364</v>
      </c>
      <c r="H132" s="136"/>
      <c r="I132" s="132">
        <f t="shared" si="18"/>
        <v>485.59787551843402</v>
      </c>
      <c r="J132" s="132">
        <f t="shared" si="19"/>
        <v>908584.74750428449</v>
      </c>
      <c r="K132" s="60"/>
      <c r="L132" s="204"/>
      <c r="M132" s="204"/>
      <c r="N132" s="204"/>
    </row>
    <row r="133" spans="1:14" x14ac:dyDescent="0.35">
      <c r="A133" s="142">
        <v>43207</v>
      </c>
      <c r="B133" s="140" t="s">
        <v>348</v>
      </c>
      <c r="C133" s="134"/>
      <c r="D133" s="134">
        <f>8*4.8</f>
        <v>38.4</v>
      </c>
      <c r="E133" s="135">
        <f t="shared" si="16"/>
        <v>41125.009999999995</v>
      </c>
      <c r="F133" s="136"/>
      <c r="G133" s="132">
        <f t="shared" si="17"/>
        <v>22.072630705383364</v>
      </c>
      <c r="H133" s="136"/>
      <c r="I133" s="132">
        <f t="shared" si="18"/>
        <v>847.58901908672112</v>
      </c>
      <c r="J133" s="132">
        <f t="shared" si="19"/>
        <v>907737.15848519781</v>
      </c>
      <c r="K133" s="60"/>
      <c r="L133" s="204"/>
      <c r="M133" s="204"/>
      <c r="N133" s="204"/>
    </row>
    <row r="134" spans="1:14" x14ac:dyDescent="0.35">
      <c r="A134" s="142">
        <v>43207</v>
      </c>
      <c r="B134" s="140" t="s">
        <v>349</v>
      </c>
      <c r="C134" s="134"/>
      <c r="D134" s="134">
        <f>26*5.35</f>
        <v>139.1</v>
      </c>
      <c r="E134" s="135">
        <f t="shared" si="16"/>
        <v>40985.909999999996</v>
      </c>
      <c r="F134" s="136"/>
      <c r="G134" s="132">
        <f t="shared" si="17"/>
        <v>22.072630705383364</v>
      </c>
      <c r="H134" s="136"/>
      <c r="I134" s="132">
        <f t="shared" si="18"/>
        <v>3070.3029311188257</v>
      </c>
      <c r="J134" s="132">
        <f t="shared" si="19"/>
        <v>904666.85555407894</v>
      </c>
      <c r="K134" s="60"/>
      <c r="L134" s="204"/>
      <c r="M134" s="204"/>
      <c r="N134" s="204"/>
    </row>
    <row r="135" spans="1:14" x14ac:dyDescent="0.35">
      <c r="A135" s="142">
        <v>43208</v>
      </c>
      <c r="B135" s="140" t="s">
        <v>350</v>
      </c>
      <c r="C135" s="134"/>
      <c r="D135" s="134">
        <f>3*1+2.1</f>
        <v>5.0999999999999996</v>
      </c>
      <c r="E135" s="135">
        <f t="shared" si="16"/>
        <v>40980.81</v>
      </c>
      <c r="F135" s="136"/>
      <c r="G135" s="132">
        <f t="shared" si="17"/>
        <v>22.072630705383364</v>
      </c>
      <c r="H135" s="136"/>
      <c r="I135" s="132">
        <f t="shared" si="18"/>
        <v>112.57041659745515</v>
      </c>
      <c r="J135" s="132">
        <f t="shared" si="19"/>
        <v>904554.28513748152</v>
      </c>
      <c r="K135" s="60"/>
      <c r="L135" s="204"/>
      <c r="M135" s="204"/>
      <c r="N135" s="204"/>
    </row>
    <row r="136" spans="1:14" x14ac:dyDescent="0.35">
      <c r="A136" s="142">
        <v>43209</v>
      </c>
      <c r="B136" s="140" t="s">
        <v>351</v>
      </c>
      <c r="C136" s="134"/>
      <c r="D136" s="134">
        <f>5*4.7</f>
        <v>23.5</v>
      </c>
      <c r="E136" s="135">
        <f t="shared" si="16"/>
        <v>40957.31</v>
      </c>
      <c r="F136" s="136"/>
      <c r="G136" s="132">
        <f t="shared" si="17"/>
        <v>22.072630705383364</v>
      </c>
      <c r="H136" s="136"/>
      <c r="I136" s="132">
        <f t="shared" si="18"/>
        <v>518.70682157650901</v>
      </c>
      <c r="J136" s="132">
        <f t="shared" si="19"/>
        <v>904035.57831590506</v>
      </c>
      <c r="K136" s="60"/>
      <c r="L136" s="204"/>
      <c r="M136" s="204"/>
      <c r="N136" s="204"/>
    </row>
    <row r="137" spans="1:14" x14ac:dyDescent="0.35">
      <c r="A137" s="142">
        <v>43214</v>
      </c>
      <c r="B137" s="140" t="s">
        <v>352</v>
      </c>
      <c r="C137" s="134"/>
      <c r="D137" s="134">
        <f>14*5.7+9*4.7+2</f>
        <v>124.1</v>
      </c>
      <c r="E137" s="135">
        <f t="shared" si="16"/>
        <v>40833.21</v>
      </c>
      <c r="F137" s="136"/>
      <c r="G137" s="132">
        <f t="shared" si="17"/>
        <v>22.072630705383364</v>
      </c>
      <c r="H137" s="136"/>
      <c r="I137" s="132">
        <f t="shared" si="18"/>
        <v>2739.2134705380754</v>
      </c>
      <c r="J137" s="132">
        <f t="shared" si="19"/>
        <v>901296.36484536703</v>
      </c>
      <c r="K137" s="60"/>
      <c r="L137" s="204"/>
      <c r="M137" s="204"/>
      <c r="N137" s="204"/>
    </row>
    <row r="138" spans="1:14" x14ac:dyDescent="0.35">
      <c r="A138" s="142">
        <v>43216</v>
      </c>
      <c r="B138" s="140" t="s">
        <v>353</v>
      </c>
      <c r="C138" s="134"/>
      <c r="D138" s="134">
        <f>18*4</f>
        <v>72</v>
      </c>
      <c r="E138" s="135">
        <f t="shared" si="16"/>
        <v>40761.21</v>
      </c>
      <c r="F138" s="136"/>
      <c r="G138" s="132">
        <f t="shared" si="17"/>
        <v>22.072630705383364</v>
      </c>
      <c r="H138" s="136"/>
      <c r="I138" s="132">
        <f t="shared" si="18"/>
        <v>1589.2294107876023</v>
      </c>
      <c r="J138" s="132">
        <f t="shared" si="19"/>
        <v>899707.13543457945</v>
      </c>
      <c r="K138" s="60"/>
      <c r="L138" s="204"/>
      <c r="M138" s="204"/>
      <c r="N138" s="204"/>
    </row>
    <row r="139" spans="1:14" x14ac:dyDescent="0.35">
      <c r="A139" s="142">
        <v>43217</v>
      </c>
      <c r="B139" s="140" t="s">
        <v>354</v>
      </c>
      <c r="C139" s="134"/>
      <c r="D139" s="134">
        <f>3*2.5</f>
        <v>7.5</v>
      </c>
      <c r="E139" s="135">
        <f t="shared" si="16"/>
        <v>40753.71</v>
      </c>
      <c r="F139" s="136"/>
      <c r="G139" s="132">
        <f t="shared" si="17"/>
        <v>22.072630705383364</v>
      </c>
      <c r="H139" s="136"/>
      <c r="I139" s="132">
        <f t="shared" si="18"/>
        <v>165.54473029037524</v>
      </c>
      <c r="J139" s="132">
        <f t="shared" si="19"/>
        <v>899541.59070428903</v>
      </c>
      <c r="K139" s="60"/>
      <c r="L139" s="204"/>
      <c r="M139" s="204"/>
      <c r="N139" s="204"/>
    </row>
    <row r="140" spans="1:14" x14ac:dyDescent="0.35">
      <c r="A140" s="142">
        <v>43218</v>
      </c>
      <c r="B140" s="140" t="s">
        <v>355</v>
      </c>
      <c r="C140" s="134"/>
      <c r="D140" s="134">
        <f>14*5.2</f>
        <v>72.8</v>
      </c>
      <c r="E140" s="135">
        <f t="shared" si="16"/>
        <v>40680.909999999996</v>
      </c>
      <c r="F140" s="136"/>
      <c r="G140" s="132">
        <f t="shared" si="17"/>
        <v>22.072630705383364</v>
      </c>
      <c r="H140" s="136"/>
      <c r="I140" s="132">
        <f t="shared" si="18"/>
        <v>1606.8875153519089</v>
      </c>
      <c r="J140" s="132">
        <f t="shared" si="19"/>
        <v>897934.70318893716</v>
      </c>
      <c r="K140" s="60"/>
      <c r="L140" s="204"/>
      <c r="M140" s="204"/>
      <c r="N140" s="204"/>
    </row>
    <row r="141" spans="1:14" x14ac:dyDescent="0.35">
      <c r="A141" s="142">
        <v>43220</v>
      </c>
      <c r="B141" s="140" t="s">
        <v>356</v>
      </c>
      <c r="C141" s="134"/>
      <c r="D141" s="134">
        <v>2.4</v>
      </c>
      <c r="E141" s="135">
        <f t="shared" si="16"/>
        <v>40678.509999999995</v>
      </c>
      <c r="F141" s="136"/>
      <c r="G141" s="132">
        <f t="shared" si="17"/>
        <v>22.072630705383368</v>
      </c>
      <c r="H141" s="136"/>
      <c r="I141" s="132">
        <f t="shared" si="18"/>
        <v>52.974313692920084</v>
      </c>
      <c r="J141" s="132">
        <f t="shared" si="19"/>
        <v>897881.72887524427</v>
      </c>
      <c r="K141" s="60"/>
      <c r="L141" s="204"/>
      <c r="M141" s="204"/>
      <c r="N141" s="204"/>
    </row>
    <row r="142" spans="1:14" x14ac:dyDescent="0.35">
      <c r="A142" s="142">
        <v>43220</v>
      </c>
      <c r="B142" s="140" t="s">
        <v>357</v>
      </c>
      <c r="C142" s="134"/>
      <c r="D142" s="134">
        <f>6*6.2</f>
        <v>37.200000000000003</v>
      </c>
      <c r="E142" s="135">
        <f t="shared" si="16"/>
        <v>40641.31</v>
      </c>
      <c r="F142" s="136"/>
      <c r="G142" s="132">
        <f t="shared" si="17"/>
        <v>22.072630705383368</v>
      </c>
      <c r="H142" s="136"/>
      <c r="I142" s="132">
        <f t="shared" si="18"/>
        <v>821.10186224026131</v>
      </c>
      <c r="J142" s="132">
        <f t="shared" si="19"/>
        <v>897060.62701300404</v>
      </c>
      <c r="K142" s="60"/>
      <c r="L142" s="204"/>
      <c r="M142" s="204"/>
      <c r="N142" s="204"/>
    </row>
    <row r="143" spans="1:14" x14ac:dyDescent="0.35">
      <c r="A143" s="142">
        <v>43220</v>
      </c>
      <c r="B143" s="140" t="s">
        <v>358</v>
      </c>
      <c r="C143" s="134"/>
      <c r="D143" s="134">
        <f>2*6</f>
        <v>12</v>
      </c>
      <c r="E143" s="135">
        <f t="shared" si="16"/>
        <v>40629.31</v>
      </c>
      <c r="F143" s="136"/>
      <c r="G143" s="132">
        <f t="shared" si="17"/>
        <v>22.072630705383368</v>
      </c>
      <c r="H143" s="136"/>
      <c r="I143" s="132">
        <f t="shared" si="18"/>
        <v>264.87156846460039</v>
      </c>
      <c r="J143" s="132">
        <f t="shared" si="19"/>
        <v>896795.75544453948</v>
      </c>
      <c r="K143" s="60"/>
      <c r="L143" s="204"/>
      <c r="M143" s="204"/>
      <c r="N143" s="204"/>
    </row>
    <row r="144" spans="1:14" x14ac:dyDescent="0.35">
      <c r="A144" s="142">
        <v>43220</v>
      </c>
      <c r="B144" s="140" t="s">
        <v>360</v>
      </c>
      <c r="C144" s="206"/>
      <c r="D144" s="206">
        <f>13*4+2*5.65</f>
        <v>63.3</v>
      </c>
      <c r="E144" s="135">
        <f t="shared" si="16"/>
        <v>40566.009999999995</v>
      </c>
      <c r="F144" s="136"/>
      <c r="G144" s="132">
        <f t="shared" si="17"/>
        <v>22.072630705383368</v>
      </c>
      <c r="H144" s="136"/>
      <c r="I144" s="132">
        <f t="shared" si="18"/>
        <v>1397.1975236507672</v>
      </c>
      <c r="J144" s="132">
        <f t="shared" si="19"/>
        <v>895398.55792088876</v>
      </c>
      <c r="K144" s="60"/>
      <c r="L144" s="204"/>
      <c r="M144" s="204"/>
      <c r="N144" s="204"/>
    </row>
    <row r="145" spans="1:14" s="225" customFormat="1" x14ac:dyDescent="0.35">
      <c r="A145" s="228">
        <v>43220</v>
      </c>
      <c r="B145" s="226" t="s">
        <v>359</v>
      </c>
      <c r="C145" s="231"/>
      <c r="D145" s="231">
        <f>14*5.15+14*4.05+2*3.05+2*2+7</f>
        <v>145.9</v>
      </c>
      <c r="E145" s="230">
        <f t="shared" si="16"/>
        <v>40420.109999999993</v>
      </c>
      <c r="F145" s="224"/>
      <c r="G145" s="229">
        <f t="shared" si="17"/>
        <v>22.072630705383371</v>
      </c>
      <c r="H145" s="224"/>
      <c r="I145" s="229">
        <f t="shared" si="18"/>
        <v>3220.3968199154342</v>
      </c>
      <c r="J145" s="229">
        <f t="shared" si="19"/>
        <v>892178.16110097338</v>
      </c>
      <c r="K145" s="226"/>
      <c r="L145" s="32">
        <f>SUM(I128:I145)</f>
        <v>17558.77772613247</v>
      </c>
      <c r="M145" s="32">
        <f>SUM(L127:L145)</f>
        <v>26707.575166485534</v>
      </c>
      <c r="N145" s="27">
        <v>43220</v>
      </c>
    </row>
    <row r="146" spans="1:14" x14ac:dyDescent="0.35">
      <c r="A146" s="142">
        <v>43222</v>
      </c>
      <c r="B146" s="140" t="s">
        <v>361</v>
      </c>
      <c r="C146" s="206"/>
      <c r="D146" s="206">
        <f>4+1.2</f>
        <v>5.2</v>
      </c>
      <c r="E146" s="135">
        <f t="shared" si="16"/>
        <v>40414.909999999996</v>
      </c>
      <c r="F146" s="136"/>
      <c r="G146" s="132">
        <f t="shared" si="17"/>
        <v>22.072630705383371</v>
      </c>
      <c r="H146" s="136"/>
      <c r="I146" s="132">
        <f t="shared" si="18"/>
        <v>114.77767966799354</v>
      </c>
      <c r="J146" s="132">
        <f t="shared" si="19"/>
        <v>892063.38342130533</v>
      </c>
      <c r="K146" s="60"/>
      <c r="L146" s="204"/>
      <c r="M146" s="204"/>
      <c r="N146" s="204"/>
    </row>
    <row r="147" spans="1:14" x14ac:dyDescent="0.35">
      <c r="A147" s="142">
        <v>43223</v>
      </c>
      <c r="B147" s="140" t="s">
        <v>362</v>
      </c>
      <c r="C147" s="206"/>
      <c r="D147" s="206">
        <f>13*9.1</f>
        <v>118.3</v>
      </c>
      <c r="E147" s="135">
        <f t="shared" si="16"/>
        <v>40296.609999999993</v>
      </c>
      <c r="F147" s="136"/>
      <c r="G147" s="132">
        <f t="shared" si="17"/>
        <v>22.072630705383371</v>
      </c>
      <c r="H147" s="136"/>
      <c r="I147" s="132">
        <f t="shared" si="18"/>
        <v>2611.1922124468529</v>
      </c>
      <c r="J147" s="132">
        <f t="shared" si="19"/>
        <v>889452.19120885851</v>
      </c>
      <c r="K147" s="60"/>
      <c r="L147" s="204"/>
      <c r="M147" s="204"/>
      <c r="N147" s="204"/>
    </row>
    <row r="148" spans="1:14" x14ac:dyDescent="0.35">
      <c r="A148" s="142">
        <v>43224</v>
      </c>
      <c r="B148" s="140" t="s">
        <v>363</v>
      </c>
      <c r="C148" s="206"/>
      <c r="D148" s="206">
        <f>2*2.5</f>
        <v>5</v>
      </c>
      <c r="E148" s="135">
        <f t="shared" si="16"/>
        <v>40291.609999999993</v>
      </c>
      <c r="F148" s="136"/>
      <c r="G148" s="132">
        <f t="shared" si="17"/>
        <v>22.072630705383371</v>
      </c>
      <c r="H148" s="136"/>
      <c r="I148" s="132">
        <f t="shared" si="18"/>
        <v>110.36315352691686</v>
      </c>
      <c r="J148" s="132">
        <f t="shared" si="19"/>
        <v>889341.8280553316</v>
      </c>
      <c r="K148" s="60"/>
      <c r="L148" s="204"/>
      <c r="M148" s="204"/>
      <c r="N148" s="204"/>
    </row>
    <row r="149" spans="1:14" x14ac:dyDescent="0.35">
      <c r="A149" s="142">
        <v>43224</v>
      </c>
      <c r="B149" s="140" t="s">
        <v>364</v>
      </c>
      <c r="C149" s="206"/>
      <c r="D149" s="206">
        <f>15*0.6</f>
        <v>9</v>
      </c>
      <c r="E149" s="135">
        <f t="shared" si="16"/>
        <v>40282.609999999993</v>
      </c>
      <c r="F149" s="136"/>
      <c r="G149" s="132">
        <f t="shared" si="17"/>
        <v>22.072630705383371</v>
      </c>
      <c r="H149" s="136"/>
      <c r="I149" s="132">
        <f t="shared" si="18"/>
        <v>198.65367634845035</v>
      </c>
      <c r="J149" s="132">
        <f t="shared" si="19"/>
        <v>889143.17437898309</v>
      </c>
      <c r="K149" s="60"/>
      <c r="L149" s="204"/>
      <c r="M149" s="204"/>
      <c r="N149" s="204"/>
    </row>
    <row r="150" spans="1:14" x14ac:dyDescent="0.35">
      <c r="A150" s="142">
        <v>43229</v>
      </c>
      <c r="B150" s="140" t="s">
        <v>365</v>
      </c>
      <c r="C150" s="206"/>
      <c r="D150" s="206">
        <v>2.5</v>
      </c>
      <c r="E150" s="135">
        <f t="shared" si="16"/>
        <v>40280.109999999993</v>
      </c>
      <c r="F150" s="136"/>
      <c r="G150" s="132">
        <f t="shared" si="17"/>
        <v>22.072630705383371</v>
      </c>
      <c r="H150" s="136"/>
      <c r="I150" s="132">
        <f t="shared" si="18"/>
        <v>55.18157676345843</v>
      </c>
      <c r="J150" s="132">
        <f t="shared" si="19"/>
        <v>889087.99280221958</v>
      </c>
      <c r="K150" s="60"/>
      <c r="L150" s="204"/>
      <c r="M150" s="204"/>
      <c r="N150" s="204"/>
    </row>
    <row r="151" spans="1:14" x14ac:dyDescent="0.35">
      <c r="A151" s="142">
        <v>43230</v>
      </c>
      <c r="B151" s="140" t="s">
        <v>366</v>
      </c>
      <c r="C151" s="206"/>
      <c r="D151" s="206">
        <f>14*5.2</f>
        <v>72.8</v>
      </c>
      <c r="E151" s="135">
        <f t="shared" si="16"/>
        <v>40207.30999999999</v>
      </c>
      <c r="F151" s="136"/>
      <c r="G151" s="132">
        <f t="shared" si="17"/>
        <v>22.072630705383371</v>
      </c>
      <c r="H151" s="136"/>
      <c r="I151" s="132">
        <f t="shared" si="18"/>
        <v>1606.8875153519093</v>
      </c>
      <c r="J151" s="132">
        <f t="shared" si="19"/>
        <v>887481.10528686771</v>
      </c>
      <c r="K151" s="60"/>
      <c r="L151" s="204"/>
      <c r="M151" s="204"/>
      <c r="N151" s="204"/>
    </row>
    <row r="152" spans="1:14" x14ac:dyDescent="0.35">
      <c r="A152" s="142">
        <v>43232</v>
      </c>
      <c r="B152" s="140" t="s">
        <v>367</v>
      </c>
      <c r="C152" s="206"/>
      <c r="D152" s="206">
        <f>15*3.6</f>
        <v>54</v>
      </c>
      <c r="E152" s="135">
        <f t="shared" si="16"/>
        <v>40153.30999999999</v>
      </c>
      <c r="F152" s="136"/>
      <c r="G152" s="132">
        <f t="shared" si="17"/>
        <v>22.072630705383371</v>
      </c>
      <c r="H152" s="136"/>
      <c r="I152" s="132">
        <f t="shared" si="18"/>
        <v>1191.922058090702</v>
      </c>
      <c r="J152" s="132">
        <f t="shared" si="19"/>
        <v>886289.18322877702</v>
      </c>
      <c r="K152" s="60"/>
      <c r="L152" s="204"/>
      <c r="M152" s="204"/>
      <c r="N152" s="204"/>
    </row>
    <row r="153" spans="1:14" s="225" customFormat="1" x14ac:dyDescent="0.35">
      <c r="A153" s="228">
        <v>43232</v>
      </c>
      <c r="B153" s="226" t="s">
        <v>368</v>
      </c>
      <c r="C153" s="231"/>
      <c r="D153" s="231">
        <f>14*5+3*5.5</f>
        <v>86.5</v>
      </c>
      <c r="E153" s="230">
        <f t="shared" si="16"/>
        <v>40066.80999999999</v>
      </c>
      <c r="F153" s="224"/>
      <c r="G153" s="229">
        <f t="shared" si="17"/>
        <v>22.072630705383371</v>
      </c>
      <c r="H153" s="224"/>
      <c r="I153" s="229">
        <f t="shared" si="18"/>
        <v>1909.2825560156616</v>
      </c>
      <c r="J153" s="229">
        <f t="shared" si="19"/>
        <v>884379.90067276137</v>
      </c>
      <c r="K153" s="226"/>
      <c r="L153" s="32">
        <f>SUM(I146:I153)</f>
        <v>7798.2604282119455</v>
      </c>
      <c r="M153" s="227"/>
      <c r="N153" s="27">
        <v>43235</v>
      </c>
    </row>
    <row r="154" spans="1:14" x14ac:dyDescent="0.35">
      <c r="A154" s="142">
        <v>43236</v>
      </c>
      <c r="B154" s="140" t="s">
        <v>369</v>
      </c>
      <c r="C154" s="206"/>
      <c r="D154" s="206">
        <f>12*2.5</f>
        <v>30</v>
      </c>
      <c r="E154" s="135">
        <f t="shared" si="16"/>
        <v>40036.80999999999</v>
      </c>
      <c r="F154" s="136"/>
      <c r="G154" s="132">
        <f t="shared" si="17"/>
        <v>22.072630705383371</v>
      </c>
      <c r="H154" s="136"/>
      <c r="I154" s="132">
        <f t="shared" si="18"/>
        <v>662.17892116150119</v>
      </c>
      <c r="J154" s="132">
        <f t="shared" si="19"/>
        <v>883717.72175159992</v>
      </c>
      <c r="K154" s="60"/>
      <c r="L154" s="204"/>
      <c r="M154" s="204"/>
      <c r="N154" s="204"/>
    </row>
    <row r="155" spans="1:14" x14ac:dyDescent="0.35">
      <c r="A155" s="142">
        <v>43236</v>
      </c>
      <c r="B155" s="140" t="s">
        <v>370</v>
      </c>
      <c r="C155" s="206"/>
      <c r="D155" s="206">
        <f>22*5.9</f>
        <v>129.80000000000001</v>
      </c>
      <c r="E155" s="135">
        <f t="shared" si="16"/>
        <v>39907.009999999987</v>
      </c>
      <c r="F155" s="136"/>
      <c r="G155" s="132">
        <f t="shared" si="17"/>
        <v>22.072630705383375</v>
      </c>
      <c r="H155" s="136"/>
      <c r="I155" s="132">
        <f t="shared" si="18"/>
        <v>2865.0274655587623</v>
      </c>
      <c r="J155" s="132">
        <f t="shared" si="19"/>
        <v>880852.69428604119</v>
      </c>
      <c r="K155" s="60"/>
      <c r="L155" s="204"/>
      <c r="M155" s="204"/>
      <c r="N155" s="204"/>
    </row>
    <row r="156" spans="1:14" x14ac:dyDescent="0.35">
      <c r="A156" s="142">
        <v>43238</v>
      </c>
      <c r="B156" s="140" t="s">
        <v>371</v>
      </c>
      <c r="C156" s="206"/>
      <c r="D156" s="206">
        <v>2.5</v>
      </c>
      <c r="E156" s="135">
        <f t="shared" si="16"/>
        <v>39904.509999999987</v>
      </c>
      <c r="F156" s="136"/>
      <c r="G156" s="132">
        <f t="shared" si="17"/>
        <v>22.072630705383375</v>
      </c>
      <c r="H156" s="136"/>
      <c r="I156" s="132">
        <f t="shared" si="18"/>
        <v>55.181576763458438</v>
      </c>
      <c r="J156" s="132">
        <f t="shared" si="19"/>
        <v>880797.51270927768</v>
      </c>
      <c r="K156" s="60"/>
      <c r="L156" s="204"/>
      <c r="M156" s="204"/>
      <c r="N156" s="204"/>
    </row>
    <row r="157" spans="1:14" x14ac:dyDescent="0.35">
      <c r="A157" s="142">
        <v>43239</v>
      </c>
      <c r="B157" s="140" t="s">
        <v>372</v>
      </c>
      <c r="C157" s="206"/>
      <c r="D157" s="206">
        <f>6*3.5</f>
        <v>21</v>
      </c>
      <c r="E157" s="135">
        <f t="shared" si="16"/>
        <v>39883.509999999987</v>
      </c>
      <c r="F157" s="136"/>
      <c r="G157" s="132">
        <f t="shared" si="17"/>
        <v>22.072630705383375</v>
      </c>
      <c r="H157" s="136"/>
      <c r="I157" s="132">
        <f t="shared" si="18"/>
        <v>463.5252448130509</v>
      </c>
      <c r="J157" s="132">
        <f t="shared" si="19"/>
        <v>880333.98746446462</v>
      </c>
      <c r="K157" s="60"/>
      <c r="L157" s="204"/>
      <c r="M157" s="204"/>
      <c r="N157" s="204"/>
    </row>
    <row r="158" spans="1:14" x14ac:dyDescent="0.35">
      <c r="A158" s="142">
        <v>43241</v>
      </c>
      <c r="B158" s="140" t="s">
        <v>373</v>
      </c>
      <c r="C158" s="206"/>
      <c r="D158" s="206">
        <f>6*5.4+10*4.65</f>
        <v>78.900000000000006</v>
      </c>
      <c r="E158" s="135">
        <f t="shared" si="16"/>
        <v>39804.609999999986</v>
      </c>
      <c r="F158" s="136"/>
      <c r="G158" s="132">
        <f t="shared" si="17"/>
        <v>22.072630705383375</v>
      </c>
      <c r="H158" s="136"/>
      <c r="I158" s="132">
        <f t="shared" si="18"/>
        <v>1741.5305626547483</v>
      </c>
      <c r="J158" s="132">
        <f t="shared" si="19"/>
        <v>878592.4569018099</v>
      </c>
      <c r="K158" s="60"/>
      <c r="L158" s="204"/>
      <c r="M158" s="204"/>
      <c r="N158" s="204"/>
    </row>
    <row r="159" spans="1:14" x14ac:dyDescent="0.35">
      <c r="A159" s="142">
        <v>43249</v>
      </c>
      <c r="B159" s="140" t="s">
        <v>374</v>
      </c>
      <c r="C159" s="206"/>
      <c r="D159" s="206">
        <v>1</v>
      </c>
      <c r="E159" s="135">
        <f t="shared" si="16"/>
        <v>39803.609999999986</v>
      </c>
      <c r="F159" s="136"/>
      <c r="G159" s="132">
        <f t="shared" si="17"/>
        <v>22.072630705383375</v>
      </c>
      <c r="H159" s="136"/>
      <c r="I159" s="132">
        <f t="shared" si="18"/>
        <v>22.072630705383375</v>
      </c>
      <c r="J159" s="132">
        <f t="shared" si="19"/>
        <v>878570.38427110447</v>
      </c>
      <c r="K159" s="60"/>
      <c r="L159" s="204"/>
      <c r="M159" s="204"/>
      <c r="N159" s="204"/>
    </row>
    <row r="160" spans="1:14" x14ac:dyDescent="0.35">
      <c r="A160" s="142">
        <v>43249</v>
      </c>
      <c r="B160" s="140" t="s">
        <v>375</v>
      </c>
      <c r="C160" s="206"/>
      <c r="D160" s="206">
        <f>2*4.2</f>
        <v>8.4</v>
      </c>
      <c r="E160" s="135">
        <f t="shared" si="16"/>
        <v>39795.209999999985</v>
      </c>
      <c r="F160" s="136"/>
      <c r="G160" s="132">
        <f t="shared" si="17"/>
        <v>22.072630705383375</v>
      </c>
      <c r="H160" s="136"/>
      <c r="I160" s="132">
        <f t="shared" si="18"/>
        <v>185.41009792522036</v>
      </c>
      <c r="J160" s="132">
        <f t="shared" si="19"/>
        <v>878384.97417317925</v>
      </c>
      <c r="K160" s="60"/>
      <c r="L160" s="204"/>
      <c r="M160" s="204"/>
      <c r="N160" s="204"/>
    </row>
    <row r="161" spans="1:14" x14ac:dyDescent="0.35">
      <c r="A161" s="142">
        <v>43249</v>
      </c>
      <c r="B161" s="140" t="s">
        <v>376</v>
      </c>
      <c r="C161" s="206"/>
      <c r="D161" s="206">
        <f>2*2</f>
        <v>4</v>
      </c>
      <c r="E161" s="135">
        <f t="shared" si="16"/>
        <v>39791.209999999985</v>
      </c>
      <c r="F161" s="136"/>
      <c r="G161" s="132">
        <f t="shared" si="17"/>
        <v>22.072630705383375</v>
      </c>
      <c r="H161" s="136"/>
      <c r="I161" s="132">
        <f t="shared" si="18"/>
        <v>88.2905228215335</v>
      </c>
      <c r="J161" s="132">
        <f t="shared" si="19"/>
        <v>878296.68365035777</v>
      </c>
      <c r="K161" s="60"/>
      <c r="L161" s="204"/>
      <c r="M161" s="204"/>
      <c r="N161" s="204"/>
    </row>
    <row r="162" spans="1:14" x14ac:dyDescent="0.35">
      <c r="A162" s="142">
        <v>43249</v>
      </c>
      <c r="B162" s="140" t="s">
        <v>377</v>
      </c>
      <c r="C162" s="206"/>
      <c r="D162" s="206">
        <f>6*4.6+6*4</f>
        <v>51.599999999999994</v>
      </c>
      <c r="E162" s="135">
        <f t="shared" si="16"/>
        <v>39739.609999999986</v>
      </c>
      <c r="F162" s="136"/>
      <c r="G162" s="132">
        <f t="shared" si="17"/>
        <v>22.072630705383379</v>
      </c>
      <c r="H162" s="136"/>
      <c r="I162" s="132">
        <f t="shared" si="18"/>
        <v>1138.9477443977821</v>
      </c>
      <c r="J162" s="132">
        <f t="shared" si="19"/>
        <v>877157.73590595997</v>
      </c>
      <c r="K162" s="60"/>
      <c r="L162" s="204"/>
      <c r="M162" s="204"/>
      <c r="N162" s="204"/>
    </row>
    <row r="163" spans="1:14" s="225" customFormat="1" x14ac:dyDescent="0.35">
      <c r="A163" s="228">
        <v>43250</v>
      </c>
      <c r="B163" s="226" t="s">
        <v>378</v>
      </c>
      <c r="C163" s="231"/>
      <c r="D163" s="231">
        <f>23*4+2.22</f>
        <v>94.22</v>
      </c>
      <c r="E163" s="230">
        <f t="shared" si="16"/>
        <v>39645.389999999985</v>
      </c>
      <c r="F163" s="224"/>
      <c r="G163" s="229">
        <f t="shared" si="17"/>
        <v>22.072630705383375</v>
      </c>
      <c r="H163" s="224"/>
      <c r="I163" s="229">
        <f t="shared" si="18"/>
        <v>2079.6832650612214</v>
      </c>
      <c r="J163" s="229">
        <f t="shared" si="19"/>
        <v>875078.05264089874</v>
      </c>
      <c r="K163" s="226"/>
      <c r="L163" s="32">
        <f>SUM(I154:I163)</f>
        <v>9301.8480318626607</v>
      </c>
      <c r="M163" s="32">
        <f>SUM(L153:L163)</f>
        <v>17100.108460074607</v>
      </c>
      <c r="N163" s="27">
        <v>43251</v>
      </c>
    </row>
    <row r="164" spans="1:14" x14ac:dyDescent="0.35">
      <c r="A164" s="142">
        <v>43252</v>
      </c>
      <c r="B164" s="140" t="s">
        <v>379</v>
      </c>
      <c r="C164" s="206"/>
      <c r="D164" s="206">
        <f>3*1.9+4*2</f>
        <v>13.7</v>
      </c>
      <c r="E164" s="135">
        <f t="shared" si="16"/>
        <v>39631.689999999988</v>
      </c>
      <c r="F164" s="136"/>
      <c r="G164" s="132">
        <f t="shared" si="17"/>
        <v>22.072630705383375</v>
      </c>
      <c r="H164" s="136"/>
      <c r="I164" s="132">
        <f t="shared" si="18"/>
        <v>302.39504066375224</v>
      </c>
      <c r="J164" s="132">
        <f t="shared" si="19"/>
        <v>874775.65760023496</v>
      </c>
      <c r="K164" s="60"/>
      <c r="L164" s="204"/>
      <c r="M164" s="204"/>
      <c r="N164" s="204"/>
    </row>
    <row r="165" spans="1:14" x14ac:dyDescent="0.35">
      <c r="A165" s="142">
        <v>43252</v>
      </c>
      <c r="B165" s="140" t="s">
        <v>380</v>
      </c>
      <c r="C165" s="206"/>
      <c r="D165" s="206">
        <f>10*3+4*2.3</f>
        <v>39.200000000000003</v>
      </c>
      <c r="E165" s="135">
        <f t="shared" si="16"/>
        <v>39592.489999999991</v>
      </c>
      <c r="F165" s="136"/>
      <c r="G165" s="132">
        <f t="shared" si="17"/>
        <v>22.072630705383375</v>
      </c>
      <c r="H165" s="136"/>
      <c r="I165" s="132">
        <f t="shared" si="18"/>
        <v>865.24712365102835</v>
      </c>
      <c r="J165" s="132">
        <f t="shared" si="19"/>
        <v>873910.41047658399</v>
      </c>
      <c r="K165" s="60"/>
      <c r="L165" s="204"/>
      <c r="M165" s="204"/>
      <c r="N165" s="204"/>
    </row>
    <row r="166" spans="1:14" x14ac:dyDescent="0.35">
      <c r="A166" s="142">
        <v>43252</v>
      </c>
      <c r="B166" s="140" t="s">
        <v>381</v>
      </c>
      <c r="C166" s="206"/>
      <c r="D166" s="206">
        <v>6.1</v>
      </c>
      <c r="E166" s="135">
        <f t="shared" si="16"/>
        <v>39586.389999999992</v>
      </c>
      <c r="F166" s="136"/>
      <c r="G166" s="132">
        <f t="shared" si="17"/>
        <v>22.072630705383375</v>
      </c>
      <c r="H166" s="136"/>
      <c r="I166" s="132">
        <f t="shared" si="18"/>
        <v>134.64304730283857</v>
      </c>
      <c r="J166" s="132">
        <f t="shared" si="19"/>
        <v>873775.76742928114</v>
      </c>
      <c r="K166" s="60"/>
      <c r="L166" s="204"/>
      <c r="M166" s="204"/>
      <c r="N166" s="204"/>
    </row>
    <row r="167" spans="1:14" x14ac:dyDescent="0.35">
      <c r="A167" s="142">
        <v>43256</v>
      </c>
      <c r="B167" s="140" t="s">
        <v>382</v>
      </c>
      <c r="C167" s="206"/>
      <c r="D167" s="206">
        <v>2.5</v>
      </c>
      <c r="E167" s="135">
        <f t="shared" si="16"/>
        <v>39583.889999999992</v>
      </c>
      <c r="F167" s="136"/>
      <c r="G167" s="132">
        <f t="shared" si="17"/>
        <v>22.072630705383375</v>
      </c>
      <c r="H167" s="136"/>
      <c r="I167" s="132">
        <f t="shared" si="18"/>
        <v>55.181576763458438</v>
      </c>
      <c r="J167" s="132">
        <f t="shared" si="19"/>
        <v>873720.58585251763</v>
      </c>
      <c r="K167" s="60"/>
      <c r="L167" s="204"/>
      <c r="M167" s="204"/>
      <c r="N167" s="204"/>
    </row>
    <row r="168" spans="1:14" x14ac:dyDescent="0.35">
      <c r="A168" s="142">
        <v>43256</v>
      </c>
      <c r="B168" s="140" t="s">
        <v>383</v>
      </c>
      <c r="C168" s="206"/>
      <c r="D168" s="206">
        <f>6*4</f>
        <v>24</v>
      </c>
      <c r="E168" s="135">
        <f t="shared" si="16"/>
        <v>39559.889999999992</v>
      </c>
      <c r="F168" s="136"/>
      <c r="G168" s="132">
        <f t="shared" si="17"/>
        <v>22.072630705383371</v>
      </c>
      <c r="H168" s="136"/>
      <c r="I168" s="132">
        <f t="shared" si="18"/>
        <v>529.74313692920089</v>
      </c>
      <c r="J168" s="132">
        <f t="shared" si="19"/>
        <v>873190.8427155884</v>
      </c>
      <c r="K168" s="60"/>
      <c r="L168" s="204"/>
      <c r="M168" s="204"/>
      <c r="N168" s="204"/>
    </row>
    <row r="169" spans="1:14" s="243" customFormat="1" x14ac:dyDescent="0.35">
      <c r="A169" s="259">
        <v>43257</v>
      </c>
      <c r="B169" s="140" t="s">
        <v>384</v>
      </c>
      <c r="C169" s="260"/>
      <c r="D169" s="260">
        <f>5*6.5</f>
        <v>32.5</v>
      </c>
      <c r="E169" s="135">
        <f t="shared" si="16"/>
        <v>39527.389999999992</v>
      </c>
      <c r="F169" s="136"/>
      <c r="G169" s="132">
        <f t="shared" si="17"/>
        <v>22.072630705383371</v>
      </c>
      <c r="H169" s="136"/>
      <c r="I169" s="132">
        <f t="shared" si="18"/>
        <v>717.36049792495953</v>
      </c>
      <c r="J169" s="132">
        <f t="shared" si="19"/>
        <v>872473.48221766343</v>
      </c>
      <c r="K169" s="140"/>
      <c r="L169" s="244"/>
      <c r="M169" s="244"/>
      <c r="N169" s="244"/>
    </row>
    <row r="170" spans="1:14" x14ac:dyDescent="0.35">
      <c r="A170" s="142">
        <v>43263</v>
      </c>
      <c r="B170" s="140" t="s">
        <v>385</v>
      </c>
      <c r="C170" s="206"/>
      <c r="D170" s="206">
        <v>2.5</v>
      </c>
      <c r="E170" s="135">
        <f t="shared" si="16"/>
        <v>39524.889999999992</v>
      </c>
      <c r="F170" s="136"/>
      <c r="G170" s="132">
        <f t="shared" si="17"/>
        <v>22.072630705383371</v>
      </c>
      <c r="H170" s="136"/>
      <c r="I170" s="132">
        <f t="shared" si="18"/>
        <v>55.18157676345843</v>
      </c>
      <c r="J170" s="132">
        <f t="shared" si="19"/>
        <v>872418.30064089992</v>
      </c>
      <c r="K170" s="60"/>
      <c r="L170" s="204"/>
      <c r="M170" s="204"/>
      <c r="N170" s="204"/>
    </row>
    <row r="171" spans="1:14" x14ac:dyDescent="0.35">
      <c r="A171" s="142">
        <v>43263</v>
      </c>
      <c r="B171" s="140" t="s">
        <v>386</v>
      </c>
      <c r="C171" s="206"/>
      <c r="D171" s="206">
        <f>5*2.15+5*1.2</f>
        <v>16.75</v>
      </c>
      <c r="E171" s="135">
        <f t="shared" si="16"/>
        <v>39508.139999999992</v>
      </c>
      <c r="F171" s="136"/>
      <c r="G171" s="132">
        <f t="shared" si="17"/>
        <v>22.072630705383368</v>
      </c>
      <c r="H171" s="136"/>
      <c r="I171" s="132">
        <f t="shared" si="18"/>
        <v>369.71656431517141</v>
      </c>
      <c r="J171" s="132">
        <f t="shared" si="19"/>
        <v>872048.58407658478</v>
      </c>
      <c r="K171" s="60"/>
      <c r="L171" s="204"/>
      <c r="M171" s="204"/>
      <c r="N171" s="204"/>
    </row>
    <row r="172" spans="1:14" x14ac:dyDescent="0.35">
      <c r="A172" s="142">
        <v>43264</v>
      </c>
      <c r="B172" s="140" t="s">
        <v>387</v>
      </c>
      <c r="C172" s="206"/>
      <c r="D172" s="206">
        <f>6*3.75</f>
        <v>22.5</v>
      </c>
      <c r="E172" s="135">
        <f t="shared" si="16"/>
        <v>39485.639999999992</v>
      </c>
      <c r="F172" s="136"/>
      <c r="G172" s="132">
        <f t="shared" si="17"/>
        <v>22.072630705383371</v>
      </c>
      <c r="H172" s="136"/>
      <c r="I172" s="132">
        <f t="shared" si="18"/>
        <v>496.63419087112584</v>
      </c>
      <c r="J172" s="132">
        <f t="shared" si="19"/>
        <v>871551.94988571364</v>
      </c>
      <c r="K172" s="60"/>
      <c r="L172" s="204"/>
      <c r="M172" s="204"/>
      <c r="N172" s="204"/>
    </row>
    <row r="173" spans="1:14" s="225" customFormat="1" x14ac:dyDescent="0.35">
      <c r="A173" s="228">
        <v>43264</v>
      </c>
      <c r="B173" s="226" t="s">
        <v>388</v>
      </c>
      <c r="C173" s="231"/>
      <c r="D173" s="231">
        <f>10*4+5*5</f>
        <v>65</v>
      </c>
      <c r="E173" s="230">
        <f t="shared" si="16"/>
        <v>39420.639999999992</v>
      </c>
      <c r="F173" s="224"/>
      <c r="G173" s="229">
        <f t="shared" si="17"/>
        <v>22.072630705383371</v>
      </c>
      <c r="H173" s="224"/>
      <c r="I173" s="229">
        <f t="shared" si="18"/>
        <v>1434.7209958499191</v>
      </c>
      <c r="J173" s="229">
        <f t="shared" si="19"/>
        <v>870117.22888986371</v>
      </c>
      <c r="K173" s="226"/>
      <c r="L173" s="32">
        <f>SUM(I164:I173)</f>
        <v>4960.8237510349127</v>
      </c>
      <c r="M173" s="227"/>
      <c r="N173" s="27">
        <v>43266</v>
      </c>
    </row>
    <row r="174" spans="1:14" x14ac:dyDescent="0.35">
      <c r="A174" s="142">
        <v>43267</v>
      </c>
      <c r="B174" s="140" t="s">
        <v>389</v>
      </c>
      <c r="C174" s="206"/>
      <c r="D174" s="206">
        <v>5.3</v>
      </c>
      <c r="E174" s="135">
        <f t="shared" si="16"/>
        <v>39415.339999999989</v>
      </c>
      <c r="F174" s="136"/>
      <c r="G174" s="132">
        <f t="shared" si="17"/>
        <v>22.072630705383371</v>
      </c>
      <c r="H174" s="136"/>
      <c r="I174" s="132">
        <f t="shared" si="18"/>
        <v>116.98494273853187</v>
      </c>
      <c r="J174" s="132">
        <f t="shared" si="19"/>
        <v>870000.24394712516</v>
      </c>
      <c r="K174" s="60"/>
      <c r="L174" s="204"/>
      <c r="M174" s="204"/>
      <c r="N174" s="204"/>
    </row>
    <row r="175" spans="1:14" x14ac:dyDescent="0.35">
      <c r="A175" s="142">
        <v>43271</v>
      </c>
      <c r="B175" s="140" t="s">
        <v>390</v>
      </c>
      <c r="C175" s="206"/>
      <c r="D175" s="206">
        <f>2*2</f>
        <v>4</v>
      </c>
      <c r="E175" s="135">
        <f t="shared" si="16"/>
        <v>39411.339999999989</v>
      </c>
      <c r="F175" s="136"/>
      <c r="G175" s="132">
        <f t="shared" si="17"/>
        <v>22.072630705383371</v>
      </c>
      <c r="H175" s="136"/>
      <c r="I175" s="132">
        <f t="shared" si="18"/>
        <v>88.290522821533486</v>
      </c>
      <c r="J175" s="132">
        <f t="shared" si="19"/>
        <v>869911.95342430368</v>
      </c>
      <c r="K175" s="60"/>
      <c r="L175" s="204"/>
      <c r="M175" s="204"/>
      <c r="N175" s="204"/>
    </row>
    <row r="176" spans="1:14" x14ac:dyDescent="0.35">
      <c r="A176" s="142">
        <v>43273</v>
      </c>
      <c r="B176" s="140" t="s">
        <v>391</v>
      </c>
      <c r="C176" s="206"/>
      <c r="D176" s="206">
        <f>7*2.6+2*3.4</f>
        <v>25</v>
      </c>
      <c r="E176" s="135">
        <f t="shared" si="16"/>
        <v>39386.339999999989</v>
      </c>
      <c r="F176" s="136"/>
      <c r="G176" s="132">
        <f t="shared" si="17"/>
        <v>22.072630705383371</v>
      </c>
      <c r="H176" s="136"/>
      <c r="I176" s="132">
        <f t="shared" si="18"/>
        <v>551.81576763458429</v>
      </c>
      <c r="J176" s="132">
        <f t="shared" si="19"/>
        <v>869360.13765666913</v>
      </c>
      <c r="K176" s="60"/>
      <c r="L176" s="204"/>
      <c r="M176" s="204"/>
      <c r="N176" s="204"/>
    </row>
    <row r="177" spans="1:14" x14ac:dyDescent="0.35">
      <c r="A177" s="142">
        <v>43274</v>
      </c>
      <c r="B177" s="140" t="s">
        <v>392</v>
      </c>
      <c r="C177" s="206"/>
      <c r="D177" s="206">
        <f>2*4.35+3</f>
        <v>11.7</v>
      </c>
      <c r="E177" s="135">
        <f t="shared" si="16"/>
        <v>39374.639999999992</v>
      </c>
      <c r="F177" s="136"/>
      <c r="G177" s="132">
        <f t="shared" si="17"/>
        <v>22.072630705383375</v>
      </c>
      <c r="H177" s="136"/>
      <c r="I177" s="132">
        <f t="shared" si="18"/>
        <v>258.24977925298549</v>
      </c>
      <c r="J177" s="132">
        <f t="shared" si="19"/>
        <v>869101.8878774161</v>
      </c>
      <c r="K177" s="60"/>
      <c r="L177" s="204"/>
      <c r="M177" s="204"/>
      <c r="N177" s="204"/>
    </row>
    <row r="178" spans="1:14" x14ac:dyDescent="0.35">
      <c r="A178" s="142">
        <v>43274</v>
      </c>
      <c r="B178" s="140" t="s">
        <v>227</v>
      </c>
      <c r="C178" s="206"/>
      <c r="D178" s="206">
        <v>0</v>
      </c>
      <c r="E178" s="135">
        <f t="shared" si="16"/>
        <v>39374.639999999992</v>
      </c>
      <c r="F178" s="136"/>
      <c r="G178" s="132">
        <f t="shared" si="17"/>
        <v>22.072630705383371</v>
      </c>
      <c r="H178" s="136"/>
      <c r="I178" s="132">
        <f t="shared" si="18"/>
        <v>0</v>
      </c>
      <c r="J178" s="132">
        <f t="shared" si="19"/>
        <v>869101.8878774161</v>
      </c>
      <c r="K178" s="60"/>
      <c r="L178" s="204"/>
      <c r="M178" s="204"/>
      <c r="N178" s="204"/>
    </row>
    <row r="179" spans="1:14" x14ac:dyDescent="0.35">
      <c r="A179" s="142">
        <v>43274</v>
      </c>
      <c r="B179" s="140" t="s">
        <v>228</v>
      </c>
      <c r="C179" s="206"/>
      <c r="D179" s="206">
        <v>0</v>
      </c>
      <c r="E179" s="135">
        <f t="shared" si="16"/>
        <v>39374.639999999992</v>
      </c>
      <c r="F179" s="136"/>
      <c r="G179" s="132">
        <f t="shared" si="17"/>
        <v>22.072630705383371</v>
      </c>
      <c r="H179" s="136"/>
      <c r="I179" s="132">
        <f t="shared" si="18"/>
        <v>0</v>
      </c>
      <c r="J179" s="132">
        <f t="shared" si="19"/>
        <v>869101.8878774161</v>
      </c>
      <c r="K179" s="60"/>
      <c r="L179" s="204"/>
      <c r="M179" s="204"/>
      <c r="N179" s="204"/>
    </row>
    <row r="180" spans="1:14" x14ac:dyDescent="0.35">
      <c r="A180" s="142">
        <v>43276</v>
      </c>
      <c r="B180" s="140" t="s">
        <v>395</v>
      </c>
      <c r="C180" s="206"/>
      <c r="D180" s="206">
        <f>8*5</f>
        <v>40</v>
      </c>
      <c r="E180" s="135">
        <f t="shared" si="16"/>
        <v>39334.639999999992</v>
      </c>
      <c r="F180" s="136"/>
      <c r="G180" s="132">
        <f t="shared" si="17"/>
        <v>22.072630705383371</v>
      </c>
      <c r="H180" s="136"/>
      <c r="I180" s="132">
        <f t="shared" si="18"/>
        <v>882.90522821533489</v>
      </c>
      <c r="J180" s="132">
        <f t="shared" si="19"/>
        <v>868218.98264920071</v>
      </c>
      <c r="K180" s="60"/>
      <c r="L180" s="204"/>
      <c r="M180" s="204"/>
      <c r="N180" s="204"/>
    </row>
    <row r="181" spans="1:14" x14ac:dyDescent="0.35">
      <c r="A181" s="142">
        <v>43276</v>
      </c>
      <c r="B181" s="140" t="s">
        <v>393</v>
      </c>
      <c r="C181" s="206"/>
      <c r="D181" s="206">
        <f>2*5.35+2*4.9+2*3.5+4*2+3+4.5+2*5.2+4</f>
        <v>57.4</v>
      </c>
      <c r="E181" s="135">
        <f t="shared" si="16"/>
        <v>39277.239999999991</v>
      </c>
      <c r="F181" s="136"/>
      <c r="G181" s="132">
        <f t="shared" si="17"/>
        <v>22.072630705383368</v>
      </c>
      <c r="H181" s="136"/>
      <c r="I181" s="132">
        <f t="shared" si="18"/>
        <v>1266.9690024890053</v>
      </c>
      <c r="J181" s="132">
        <f t="shared" si="19"/>
        <v>866952.01364671171</v>
      </c>
      <c r="K181" s="60"/>
      <c r="L181" s="204"/>
      <c r="M181" s="204"/>
      <c r="N181" s="204"/>
    </row>
    <row r="182" spans="1:14" x14ac:dyDescent="0.35">
      <c r="A182" s="142">
        <v>43278</v>
      </c>
      <c r="B182" s="140" t="s">
        <v>396</v>
      </c>
      <c r="C182" s="206"/>
      <c r="D182" s="206">
        <f>56*4.7+14*1.4+40*2.05</f>
        <v>364.8</v>
      </c>
      <c r="E182" s="135">
        <f t="shared" si="16"/>
        <v>38912.439999999988</v>
      </c>
      <c r="F182" s="136"/>
      <c r="G182" s="132">
        <f t="shared" si="17"/>
        <v>22.072630705383371</v>
      </c>
      <c r="H182" s="136"/>
      <c r="I182" s="132">
        <f t="shared" si="18"/>
        <v>8052.0956813238545</v>
      </c>
      <c r="J182" s="132">
        <f t="shared" si="19"/>
        <v>858899.91796538781</v>
      </c>
      <c r="K182" s="60"/>
      <c r="L182" s="204"/>
      <c r="M182" s="204"/>
      <c r="N182" s="204"/>
    </row>
    <row r="183" spans="1:14" s="225" customFormat="1" x14ac:dyDescent="0.35">
      <c r="A183" s="228">
        <v>43280</v>
      </c>
      <c r="B183" s="226" t="s">
        <v>399</v>
      </c>
      <c r="C183" s="231"/>
      <c r="D183" s="231">
        <f>5*4+1</f>
        <v>21</v>
      </c>
      <c r="E183" s="230">
        <f t="shared" si="16"/>
        <v>38891.439999999988</v>
      </c>
      <c r="F183" s="224"/>
      <c r="G183" s="229">
        <f t="shared" si="17"/>
        <v>22.072630705383371</v>
      </c>
      <c r="H183" s="224"/>
      <c r="I183" s="229">
        <f t="shared" si="18"/>
        <v>463.52524481305079</v>
      </c>
      <c r="J183" s="229">
        <f t="shared" si="19"/>
        <v>858436.39272057475</v>
      </c>
      <c r="K183" s="226"/>
      <c r="L183" s="32">
        <f>SUM(I174:I183)</f>
        <v>11680.836169288881</v>
      </c>
      <c r="M183" s="32">
        <f>SUM(L173:L183)</f>
        <v>16641.659920323793</v>
      </c>
      <c r="N183" s="27">
        <v>43281</v>
      </c>
    </row>
    <row r="184" spans="1:14" x14ac:dyDescent="0.35">
      <c r="A184" s="142">
        <v>43284</v>
      </c>
      <c r="B184" s="140" t="s">
        <v>400</v>
      </c>
      <c r="C184" s="206"/>
      <c r="D184" s="206">
        <f>5*2.15</f>
        <v>10.75</v>
      </c>
      <c r="E184" s="135">
        <f t="shared" si="16"/>
        <v>38880.689999999988</v>
      </c>
      <c r="F184" s="136"/>
      <c r="G184" s="132">
        <f t="shared" si="17"/>
        <v>22.072630705383371</v>
      </c>
      <c r="H184" s="136"/>
      <c r="I184" s="132">
        <f t="shared" si="18"/>
        <v>237.28078008287125</v>
      </c>
      <c r="J184" s="132">
        <f t="shared" si="19"/>
        <v>858199.11194049183</v>
      </c>
      <c r="K184" s="60"/>
      <c r="L184" s="204"/>
      <c r="M184" s="204"/>
      <c r="N184" s="204"/>
    </row>
    <row r="185" spans="1:14" x14ac:dyDescent="0.35">
      <c r="A185" s="142">
        <v>43286</v>
      </c>
      <c r="B185" s="140" t="s">
        <v>408</v>
      </c>
      <c r="C185" s="206"/>
      <c r="D185" s="206">
        <f>7*2.05</f>
        <v>14.349999999999998</v>
      </c>
      <c r="E185" s="135">
        <f t="shared" si="16"/>
        <v>38866.339999999989</v>
      </c>
      <c r="F185" s="136"/>
      <c r="G185" s="132">
        <f t="shared" si="17"/>
        <v>22.072630705383368</v>
      </c>
      <c r="H185" s="136"/>
      <c r="I185" s="132">
        <f t="shared" si="18"/>
        <v>316.74225062225128</v>
      </c>
      <c r="J185" s="132">
        <f t="shared" si="19"/>
        <v>857882.36968986958</v>
      </c>
      <c r="K185" s="60"/>
      <c r="L185" s="204"/>
      <c r="M185" s="204"/>
      <c r="N185" s="204"/>
    </row>
    <row r="186" spans="1:14" x14ac:dyDescent="0.35">
      <c r="A186" s="142">
        <v>43287</v>
      </c>
      <c r="B186" s="140" t="s">
        <v>410</v>
      </c>
      <c r="C186" s="206"/>
      <c r="D186" s="206">
        <v>9</v>
      </c>
      <c r="E186" s="135">
        <f t="shared" si="16"/>
        <v>38857.339999999989</v>
      </c>
      <c r="F186" s="136"/>
      <c r="G186" s="132">
        <f t="shared" si="17"/>
        <v>22.072630705383368</v>
      </c>
      <c r="H186" s="136"/>
      <c r="I186" s="132">
        <f t="shared" si="18"/>
        <v>198.65367634845032</v>
      </c>
      <c r="J186" s="132">
        <f t="shared" si="19"/>
        <v>857683.71601352107</v>
      </c>
      <c r="K186" s="60"/>
      <c r="L186" s="204"/>
      <c r="M186" s="204"/>
      <c r="N186" s="204"/>
    </row>
    <row r="187" spans="1:14" x14ac:dyDescent="0.35">
      <c r="A187" s="142">
        <v>43287</v>
      </c>
      <c r="B187" s="140" t="s">
        <v>411</v>
      </c>
      <c r="C187" s="206"/>
      <c r="D187" s="206">
        <f>16*2.6</f>
        <v>41.6</v>
      </c>
      <c r="E187" s="135">
        <f t="shared" si="16"/>
        <v>38815.739999999991</v>
      </c>
      <c r="F187" s="136"/>
      <c r="G187" s="132">
        <f t="shared" si="17"/>
        <v>22.072630705383368</v>
      </c>
      <c r="H187" s="136"/>
      <c r="I187" s="132">
        <f t="shared" si="18"/>
        <v>918.22143734394808</v>
      </c>
      <c r="J187" s="132">
        <f t="shared" si="19"/>
        <v>856765.49457617709</v>
      </c>
      <c r="K187" s="60"/>
      <c r="L187" s="204"/>
      <c r="M187" s="204"/>
      <c r="N187" s="204"/>
    </row>
    <row r="188" spans="1:14" x14ac:dyDescent="0.35">
      <c r="A188" s="142">
        <v>43287</v>
      </c>
      <c r="B188" s="140" t="s">
        <v>412</v>
      </c>
      <c r="C188" s="206"/>
      <c r="D188" s="206">
        <v>1.85</v>
      </c>
      <c r="E188" s="135">
        <f t="shared" si="16"/>
        <v>38813.889999999992</v>
      </c>
      <c r="F188" s="136"/>
      <c r="G188" s="132">
        <f t="shared" si="17"/>
        <v>22.072630705383364</v>
      </c>
      <c r="H188" s="136"/>
      <c r="I188" s="132">
        <f t="shared" si="18"/>
        <v>40.834366804959224</v>
      </c>
      <c r="J188" s="132">
        <f t="shared" si="19"/>
        <v>856724.66020937217</v>
      </c>
      <c r="K188" s="60"/>
      <c r="L188" s="204"/>
      <c r="M188" s="204"/>
      <c r="N188" s="204"/>
    </row>
    <row r="189" spans="1:14" x14ac:dyDescent="0.35">
      <c r="A189" s="142">
        <v>43288</v>
      </c>
      <c r="B189" s="140" t="s">
        <v>413</v>
      </c>
      <c r="C189" s="206"/>
      <c r="D189" s="206">
        <v>5</v>
      </c>
      <c r="E189" s="135">
        <f t="shared" si="16"/>
        <v>38808.889999999992</v>
      </c>
      <c r="F189" s="136"/>
      <c r="G189" s="132">
        <f t="shared" si="17"/>
        <v>22.072630705383364</v>
      </c>
      <c r="H189" s="136"/>
      <c r="I189" s="132">
        <f t="shared" si="18"/>
        <v>110.36315352691682</v>
      </c>
      <c r="J189" s="132">
        <f t="shared" si="19"/>
        <v>856614.29705584527</v>
      </c>
      <c r="K189" s="60"/>
      <c r="L189" s="204"/>
      <c r="M189" s="204"/>
      <c r="N189" s="204"/>
    </row>
    <row r="190" spans="1:14" x14ac:dyDescent="0.35">
      <c r="A190" s="142">
        <v>43290</v>
      </c>
      <c r="B190" s="140" t="s">
        <v>415</v>
      </c>
      <c r="C190" s="206"/>
      <c r="D190" s="206">
        <f>15*4+15*4.3</f>
        <v>124.5</v>
      </c>
      <c r="E190" s="135">
        <f t="shared" si="16"/>
        <v>38684.389999999992</v>
      </c>
      <c r="F190" s="136"/>
      <c r="G190" s="132">
        <f t="shared" si="17"/>
        <v>22.072630705383364</v>
      </c>
      <c r="H190" s="136"/>
      <c r="I190" s="132">
        <f t="shared" si="18"/>
        <v>2748.0425228202289</v>
      </c>
      <c r="J190" s="132">
        <f t="shared" si="19"/>
        <v>853866.25453302509</v>
      </c>
      <c r="K190" s="60"/>
      <c r="L190" s="204"/>
      <c r="M190" s="204"/>
      <c r="N190" s="204"/>
    </row>
    <row r="191" spans="1:14" x14ac:dyDescent="0.35">
      <c r="A191" s="142">
        <v>43291</v>
      </c>
      <c r="B191" s="140" t="s">
        <v>416</v>
      </c>
      <c r="C191" s="206"/>
      <c r="D191" s="206">
        <v>3</v>
      </c>
      <c r="E191" s="135">
        <f t="shared" si="16"/>
        <v>38681.389999999992</v>
      </c>
      <c r="F191" s="136"/>
      <c r="G191" s="132">
        <f t="shared" si="17"/>
        <v>22.072630705383368</v>
      </c>
      <c r="H191" s="136"/>
      <c r="I191" s="132">
        <f t="shared" si="18"/>
        <v>66.217892116150097</v>
      </c>
      <c r="J191" s="132">
        <f t="shared" si="19"/>
        <v>853800.03664090892</v>
      </c>
      <c r="K191" s="60"/>
      <c r="L191" s="204"/>
      <c r="M191" s="204"/>
      <c r="N191" s="204"/>
    </row>
    <row r="192" spans="1:14" x14ac:dyDescent="0.35">
      <c r="A192" s="142">
        <v>43292</v>
      </c>
      <c r="B192" s="140" t="s">
        <v>418</v>
      </c>
      <c r="C192" s="206"/>
      <c r="D192" s="206">
        <f>3*4.5</f>
        <v>13.5</v>
      </c>
      <c r="E192" s="135">
        <f t="shared" ref="E192:E255" si="20">+E191-D192</f>
        <v>38667.889999999992</v>
      </c>
      <c r="F192" s="136"/>
      <c r="G192" s="132">
        <f t="shared" ref="G192:G255" si="21">+J191/E191</f>
        <v>22.072630705383368</v>
      </c>
      <c r="H192" s="136"/>
      <c r="I192" s="132">
        <f t="shared" ref="I192:I255" si="22">+D192*G192</f>
        <v>297.98051452267549</v>
      </c>
      <c r="J192" s="132">
        <f t="shared" ref="J192:J255" si="23">+J191-I192</f>
        <v>853502.05612638628</v>
      </c>
      <c r="K192" s="60"/>
      <c r="L192" s="204"/>
      <c r="M192" s="204"/>
      <c r="N192" s="204"/>
    </row>
    <row r="193" spans="1:14" x14ac:dyDescent="0.35">
      <c r="A193" s="142">
        <v>43292</v>
      </c>
      <c r="B193" s="140" t="s">
        <v>420</v>
      </c>
      <c r="C193" s="206"/>
      <c r="D193" s="206">
        <f>2*3.76+2*3.64</f>
        <v>14.8</v>
      </c>
      <c r="E193" s="135">
        <f t="shared" si="20"/>
        <v>38653.089999999989</v>
      </c>
      <c r="F193" s="136"/>
      <c r="G193" s="132">
        <f t="shared" si="21"/>
        <v>22.072630705383368</v>
      </c>
      <c r="H193" s="136"/>
      <c r="I193" s="132">
        <f t="shared" si="22"/>
        <v>326.67493443967385</v>
      </c>
      <c r="J193" s="132">
        <f t="shared" si="23"/>
        <v>853175.38119194657</v>
      </c>
      <c r="K193" s="60"/>
      <c r="L193" s="204"/>
      <c r="M193" s="204"/>
      <c r="N193" s="204"/>
    </row>
    <row r="194" spans="1:14" x14ac:dyDescent="0.35">
      <c r="A194" s="142">
        <v>43293</v>
      </c>
      <c r="B194" s="140" t="s">
        <v>421</v>
      </c>
      <c r="C194" s="206"/>
      <c r="D194" s="206">
        <f>6*4.8</f>
        <v>28.799999999999997</v>
      </c>
      <c r="E194" s="135">
        <f t="shared" si="20"/>
        <v>38624.289999999986</v>
      </c>
      <c r="F194" s="136"/>
      <c r="G194" s="132">
        <f t="shared" si="21"/>
        <v>22.072630705383368</v>
      </c>
      <c r="H194" s="136"/>
      <c r="I194" s="132">
        <f t="shared" si="22"/>
        <v>635.69176431504093</v>
      </c>
      <c r="J194" s="132">
        <f t="shared" si="23"/>
        <v>852539.68942763156</v>
      </c>
      <c r="K194" s="60"/>
      <c r="L194" s="204"/>
      <c r="M194" s="204"/>
      <c r="N194" s="204"/>
    </row>
    <row r="195" spans="1:14" x14ac:dyDescent="0.35">
      <c r="A195" s="142">
        <v>43293</v>
      </c>
      <c r="B195" s="140" t="s">
        <v>422</v>
      </c>
      <c r="C195" s="206"/>
      <c r="D195" s="206">
        <f>2*3.6</f>
        <v>7.2</v>
      </c>
      <c r="E195" s="135">
        <f t="shared" si="20"/>
        <v>38617.089999999989</v>
      </c>
      <c r="F195" s="136"/>
      <c r="G195" s="132">
        <f t="shared" si="21"/>
        <v>22.072630705383371</v>
      </c>
      <c r="H195" s="136"/>
      <c r="I195" s="132">
        <f t="shared" si="22"/>
        <v>158.92294107876029</v>
      </c>
      <c r="J195" s="132">
        <f t="shared" si="23"/>
        <v>852380.76648655278</v>
      </c>
      <c r="K195" s="60"/>
      <c r="L195" s="204"/>
      <c r="M195" s="204"/>
      <c r="N195" s="204"/>
    </row>
    <row r="196" spans="1:14" s="225" customFormat="1" x14ac:dyDescent="0.35">
      <c r="A196" s="228">
        <v>43294</v>
      </c>
      <c r="B196" s="226" t="s">
        <v>423</v>
      </c>
      <c r="C196" s="231"/>
      <c r="D196" s="231">
        <f>4*3</f>
        <v>12</v>
      </c>
      <c r="E196" s="230">
        <f t="shared" si="20"/>
        <v>38605.089999999989</v>
      </c>
      <c r="F196" s="224"/>
      <c r="G196" s="229">
        <f t="shared" si="21"/>
        <v>22.072630705383368</v>
      </c>
      <c r="H196" s="224"/>
      <c r="I196" s="229">
        <f t="shared" si="22"/>
        <v>264.87156846460039</v>
      </c>
      <c r="J196" s="229">
        <f t="shared" si="23"/>
        <v>852115.89491808822</v>
      </c>
      <c r="K196" s="226"/>
      <c r="L196" s="32">
        <f>SUM(I184:I196)</f>
        <v>6320.4978024865277</v>
      </c>
      <c r="M196" s="227"/>
      <c r="N196" s="27">
        <v>43296</v>
      </c>
    </row>
    <row r="197" spans="1:14" x14ac:dyDescent="0.35">
      <c r="A197" s="142">
        <v>43298</v>
      </c>
      <c r="B197" s="140" t="s">
        <v>427</v>
      </c>
      <c r="C197" s="206"/>
      <c r="D197" s="206">
        <f>2*5+8*3</f>
        <v>34</v>
      </c>
      <c r="E197" s="135">
        <f t="shared" si="20"/>
        <v>38571.089999999989</v>
      </c>
      <c r="F197" s="136"/>
      <c r="G197" s="132">
        <f t="shared" si="21"/>
        <v>22.072630705383368</v>
      </c>
      <c r="H197" s="136"/>
      <c r="I197" s="132">
        <f t="shared" si="22"/>
        <v>750.46944398303447</v>
      </c>
      <c r="J197" s="132">
        <f t="shared" si="23"/>
        <v>851365.42547410517</v>
      </c>
      <c r="K197" s="60"/>
      <c r="L197" s="204"/>
      <c r="M197" s="204"/>
      <c r="N197" s="204"/>
    </row>
    <row r="198" spans="1:14" s="190" customFormat="1" x14ac:dyDescent="0.35">
      <c r="A198" s="142">
        <v>43298</v>
      </c>
      <c r="B198" s="140" t="s">
        <v>428</v>
      </c>
      <c r="C198" s="206"/>
      <c r="D198" s="206">
        <v>5</v>
      </c>
      <c r="E198" s="135">
        <f t="shared" si="20"/>
        <v>38566.089999999989</v>
      </c>
      <c r="F198" s="136"/>
      <c r="G198" s="132">
        <f t="shared" si="21"/>
        <v>22.072630705383368</v>
      </c>
      <c r="H198" s="136"/>
      <c r="I198" s="132">
        <f t="shared" si="22"/>
        <v>110.36315352691685</v>
      </c>
      <c r="J198" s="132">
        <f t="shared" si="23"/>
        <v>851255.06232057826</v>
      </c>
      <c r="K198" s="60"/>
      <c r="L198" s="204"/>
      <c r="M198" s="204"/>
      <c r="N198" s="204"/>
    </row>
    <row r="199" spans="1:14" s="190" customFormat="1" x14ac:dyDescent="0.35">
      <c r="A199" s="142">
        <v>43299</v>
      </c>
      <c r="B199" s="140" t="s">
        <v>429</v>
      </c>
      <c r="C199" s="206"/>
      <c r="D199" s="206">
        <f>163*0.5</f>
        <v>81.5</v>
      </c>
      <c r="E199" s="135">
        <f t="shared" si="20"/>
        <v>38484.589999999989</v>
      </c>
      <c r="F199" s="136"/>
      <c r="G199" s="132">
        <f t="shared" si="21"/>
        <v>22.072630705383368</v>
      </c>
      <c r="H199" s="136"/>
      <c r="I199" s="132">
        <f t="shared" si="22"/>
        <v>1798.9194024887445</v>
      </c>
      <c r="J199" s="132">
        <f t="shared" si="23"/>
        <v>849456.14291808952</v>
      </c>
      <c r="K199" s="60"/>
      <c r="L199" s="204"/>
      <c r="M199" s="204"/>
      <c r="N199" s="204"/>
    </row>
    <row r="200" spans="1:14" s="190" customFormat="1" x14ac:dyDescent="0.35">
      <c r="A200" s="142">
        <v>43299</v>
      </c>
      <c r="B200" s="140" t="s">
        <v>431</v>
      </c>
      <c r="C200" s="206"/>
      <c r="D200" s="206">
        <f>2*3</f>
        <v>6</v>
      </c>
      <c r="E200" s="135">
        <f t="shared" si="20"/>
        <v>38478.589999999989</v>
      </c>
      <c r="F200" s="136"/>
      <c r="G200" s="132">
        <f t="shared" si="21"/>
        <v>22.072630705383368</v>
      </c>
      <c r="H200" s="136"/>
      <c r="I200" s="132">
        <f t="shared" si="22"/>
        <v>132.43578423230019</v>
      </c>
      <c r="J200" s="132">
        <f t="shared" si="23"/>
        <v>849323.70713385718</v>
      </c>
      <c r="K200" s="60"/>
      <c r="L200" s="204"/>
      <c r="M200" s="204"/>
      <c r="N200" s="204"/>
    </row>
    <row r="201" spans="1:14" s="190" customFormat="1" x14ac:dyDescent="0.35">
      <c r="A201" s="142">
        <v>43299</v>
      </c>
      <c r="B201" s="140" t="s">
        <v>432</v>
      </c>
      <c r="C201" s="206"/>
      <c r="D201" s="206">
        <f>6*5</f>
        <v>30</v>
      </c>
      <c r="E201" s="135">
        <f t="shared" si="20"/>
        <v>38448.589999999989</v>
      </c>
      <c r="F201" s="136"/>
      <c r="G201" s="132">
        <f t="shared" si="21"/>
        <v>22.072630705383368</v>
      </c>
      <c r="H201" s="136"/>
      <c r="I201" s="132">
        <f t="shared" si="22"/>
        <v>662.17892116150108</v>
      </c>
      <c r="J201" s="132">
        <f t="shared" si="23"/>
        <v>848661.52821269573</v>
      </c>
      <c r="K201" s="60"/>
      <c r="L201" s="204"/>
      <c r="M201" s="204"/>
      <c r="N201" s="204"/>
    </row>
    <row r="202" spans="1:14" s="190" customFormat="1" x14ac:dyDescent="0.35">
      <c r="A202" s="142">
        <v>43300</v>
      </c>
      <c r="B202" s="140" t="s">
        <v>434</v>
      </c>
      <c r="C202" s="206"/>
      <c r="D202" s="206">
        <f>8*5.4</f>
        <v>43.2</v>
      </c>
      <c r="E202" s="135">
        <f t="shared" si="20"/>
        <v>38405.389999999992</v>
      </c>
      <c r="F202" s="136"/>
      <c r="G202" s="132">
        <f t="shared" si="21"/>
        <v>22.072630705383368</v>
      </c>
      <c r="H202" s="136"/>
      <c r="I202" s="132">
        <f t="shared" si="22"/>
        <v>953.53764647256151</v>
      </c>
      <c r="J202" s="132">
        <f t="shared" si="23"/>
        <v>847707.99056622316</v>
      </c>
      <c r="K202" s="60"/>
      <c r="L202" s="204"/>
      <c r="M202" s="204"/>
      <c r="N202" s="204"/>
    </row>
    <row r="203" spans="1:14" s="190" customFormat="1" x14ac:dyDescent="0.35">
      <c r="A203" s="142">
        <v>43301</v>
      </c>
      <c r="B203" s="140" t="s">
        <v>436</v>
      </c>
      <c r="C203" s="206"/>
      <c r="D203" s="206">
        <f>4*2.45</f>
        <v>9.8000000000000007</v>
      </c>
      <c r="E203" s="135">
        <f t="shared" si="20"/>
        <v>38395.589999999989</v>
      </c>
      <c r="F203" s="136"/>
      <c r="G203" s="132">
        <f t="shared" si="21"/>
        <v>22.072630705383368</v>
      </c>
      <c r="H203" s="136"/>
      <c r="I203" s="132">
        <f t="shared" si="22"/>
        <v>216.31178091275703</v>
      </c>
      <c r="J203" s="132">
        <f t="shared" si="23"/>
        <v>847491.67878531036</v>
      </c>
      <c r="K203" s="60"/>
      <c r="L203" s="204"/>
      <c r="M203" s="204"/>
      <c r="N203" s="204"/>
    </row>
    <row r="204" spans="1:14" s="190" customFormat="1" x14ac:dyDescent="0.35">
      <c r="A204" s="142">
        <v>43302</v>
      </c>
      <c r="B204" s="140" t="s">
        <v>440</v>
      </c>
      <c r="C204" s="206"/>
      <c r="D204" s="206">
        <f>10*4</f>
        <v>40</v>
      </c>
      <c r="E204" s="135">
        <f t="shared" si="20"/>
        <v>38355.589999999989</v>
      </c>
      <c r="F204" s="136"/>
      <c r="G204" s="132">
        <f t="shared" si="21"/>
        <v>22.072630705383368</v>
      </c>
      <c r="H204" s="136"/>
      <c r="I204" s="132">
        <f t="shared" si="22"/>
        <v>882.90522821533477</v>
      </c>
      <c r="J204" s="132">
        <f t="shared" si="23"/>
        <v>846608.77355709497</v>
      </c>
      <c r="K204" s="60"/>
      <c r="L204" s="204"/>
      <c r="M204" s="204"/>
      <c r="N204" s="204"/>
    </row>
    <row r="205" spans="1:14" s="190" customFormat="1" x14ac:dyDescent="0.35">
      <c r="A205" s="142">
        <v>43305</v>
      </c>
      <c r="B205" s="140" t="s">
        <v>442</v>
      </c>
      <c r="C205" s="206"/>
      <c r="D205" s="206">
        <f>5*4</f>
        <v>20</v>
      </c>
      <c r="E205" s="135">
        <f t="shared" si="20"/>
        <v>38335.589999999989</v>
      </c>
      <c r="F205" s="136"/>
      <c r="G205" s="132">
        <f t="shared" si="21"/>
        <v>22.072630705383368</v>
      </c>
      <c r="H205" s="136"/>
      <c r="I205" s="132">
        <f t="shared" si="22"/>
        <v>441.45261410766739</v>
      </c>
      <c r="J205" s="132">
        <f t="shared" si="23"/>
        <v>846167.32094298734</v>
      </c>
      <c r="K205" s="60"/>
      <c r="L205" s="204"/>
      <c r="M205" s="204"/>
      <c r="N205" s="204"/>
    </row>
    <row r="206" spans="1:14" s="190" customFormat="1" x14ac:dyDescent="0.35">
      <c r="A206" s="142">
        <v>43305</v>
      </c>
      <c r="B206" s="140" t="s">
        <v>443</v>
      </c>
      <c r="C206" s="206"/>
      <c r="D206" s="206">
        <f>2.8+2.3</f>
        <v>5.0999999999999996</v>
      </c>
      <c r="E206" s="135">
        <f t="shared" si="20"/>
        <v>38330.489999999991</v>
      </c>
      <c r="F206" s="136"/>
      <c r="G206" s="132">
        <f t="shared" si="21"/>
        <v>22.072630705383368</v>
      </c>
      <c r="H206" s="136"/>
      <c r="I206" s="132">
        <f t="shared" si="22"/>
        <v>112.57041659745516</v>
      </c>
      <c r="J206" s="132">
        <f t="shared" si="23"/>
        <v>846054.75052638992</v>
      </c>
      <c r="K206" s="60"/>
      <c r="L206" s="204"/>
      <c r="M206" s="204"/>
      <c r="N206" s="204"/>
    </row>
    <row r="207" spans="1:14" s="190" customFormat="1" x14ac:dyDescent="0.35">
      <c r="A207" s="142">
        <v>43306</v>
      </c>
      <c r="B207" s="140" t="s">
        <v>444</v>
      </c>
      <c r="C207" s="206"/>
      <c r="D207" s="206">
        <f>10*4</f>
        <v>40</v>
      </c>
      <c r="E207" s="135">
        <f t="shared" si="20"/>
        <v>38290.489999999991</v>
      </c>
      <c r="F207" s="136"/>
      <c r="G207" s="132">
        <f t="shared" si="21"/>
        <v>22.072630705383368</v>
      </c>
      <c r="H207" s="136"/>
      <c r="I207" s="132">
        <f t="shared" si="22"/>
        <v>882.90522821533477</v>
      </c>
      <c r="J207" s="132">
        <f t="shared" si="23"/>
        <v>845171.84529817454</v>
      </c>
      <c r="K207" s="60"/>
      <c r="L207" s="204"/>
      <c r="M207" s="204"/>
      <c r="N207" s="204"/>
    </row>
    <row r="208" spans="1:14" s="190" customFormat="1" x14ac:dyDescent="0.35">
      <c r="A208" s="142">
        <v>43307</v>
      </c>
      <c r="B208" s="140" t="s">
        <v>445</v>
      </c>
      <c r="C208" s="206"/>
      <c r="D208" s="206">
        <f>3*2.75+3*2.5</f>
        <v>15.75</v>
      </c>
      <c r="E208" s="135">
        <f t="shared" si="20"/>
        <v>38274.739999999991</v>
      </c>
      <c r="F208" s="136"/>
      <c r="G208" s="132">
        <f t="shared" si="21"/>
        <v>22.072630705383368</v>
      </c>
      <c r="H208" s="136"/>
      <c r="I208" s="132">
        <f t="shared" si="22"/>
        <v>347.64393360978806</v>
      </c>
      <c r="J208" s="132">
        <f t="shared" si="23"/>
        <v>844824.20136456471</v>
      </c>
      <c r="K208" s="60"/>
      <c r="L208" s="204"/>
      <c r="M208" s="204"/>
      <c r="N208" s="204"/>
    </row>
    <row r="209" spans="1:14" s="190" customFormat="1" x14ac:dyDescent="0.35">
      <c r="A209" s="142">
        <v>43307</v>
      </c>
      <c r="B209" s="140" t="s">
        <v>446</v>
      </c>
      <c r="C209" s="206"/>
      <c r="D209" s="206">
        <f>11*4.35</f>
        <v>47.849999999999994</v>
      </c>
      <c r="E209" s="135">
        <f t="shared" si="20"/>
        <v>38226.889999999992</v>
      </c>
      <c r="F209" s="136"/>
      <c r="G209" s="132">
        <f t="shared" si="21"/>
        <v>22.072630705383364</v>
      </c>
      <c r="H209" s="136"/>
      <c r="I209" s="132">
        <f t="shared" si="22"/>
        <v>1056.1753792525938</v>
      </c>
      <c r="J209" s="132">
        <f t="shared" si="23"/>
        <v>843768.02598531207</v>
      </c>
      <c r="K209" s="60"/>
      <c r="L209" s="204"/>
      <c r="M209" s="204"/>
      <c r="N209" s="204"/>
    </row>
    <row r="210" spans="1:14" s="190" customFormat="1" x14ac:dyDescent="0.35">
      <c r="A210" s="142">
        <v>43307</v>
      </c>
      <c r="B210" s="140" t="s">
        <v>447</v>
      </c>
      <c r="C210" s="206"/>
      <c r="D210" s="206">
        <f>13*4</f>
        <v>52</v>
      </c>
      <c r="E210" s="135">
        <f t="shared" si="20"/>
        <v>38174.889999999992</v>
      </c>
      <c r="F210" s="136"/>
      <c r="G210" s="132">
        <f t="shared" si="21"/>
        <v>22.072630705383364</v>
      </c>
      <c r="H210" s="136"/>
      <c r="I210" s="132">
        <f t="shared" si="22"/>
        <v>1147.7767966799349</v>
      </c>
      <c r="J210" s="132">
        <f t="shared" si="23"/>
        <v>842620.24918863212</v>
      </c>
      <c r="K210" s="60"/>
      <c r="L210" s="204"/>
      <c r="M210" s="204"/>
      <c r="N210" s="204"/>
    </row>
    <row r="211" spans="1:14" s="225" customFormat="1" x14ac:dyDescent="0.35">
      <c r="A211" s="228">
        <v>43309</v>
      </c>
      <c r="B211" s="226" t="s">
        <v>452</v>
      </c>
      <c r="C211" s="231"/>
      <c r="D211" s="231">
        <f>12*4+12*3+6</f>
        <v>90</v>
      </c>
      <c r="E211" s="230">
        <f t="shared" si="20"/>
        <v>38084.889999999992</v>
      </c>
      <c r="F211" s="224"/>
      <c r="G211" s="229">
        <f t="shared" si="21"/>
        <v>22.072630705383364</v>
      </c>
      <c r="H211" s="224"/>
      <c r="I211" s="229">
        <f t="shared" si="22"/>
        <v>1986.5367634845029</v>
      </c>
      <c r="J211" s="229">
        <f t="shared" si="23"/>
        <v>840633.71242514765</v>
      </c>
      <c r="K211" s="226"/>
      <c r="L211" s="32">
        <f>SUM(I197:I211)</f>
        <v>11482.182492940428</v>
      </c>
      <c r="M211" s="32">
        <f>SUM(L196:L211)</f>
        <v>17802.680295426955</v>
      </c>
      <c r="N211" s="27">
        <v>43312</v>
      </c>
    </row>
    <row r="212" spans="1:14" s="190" customFormat="1" x14ac:dyDescent="0.35">
      <c r="A212" s="142">
        <v>43313</v>
      </c>
      <c r="B212" s="140" t="s">
        <v>453</v>
      </c>
      <c r="C212" s="206"/>
      <c r="D212" s="206">
        <f>20*3+4</f>
        <v>64</v>
      </c>
      <c r="E212" s="135">
        <f t="shared" si="20"/>
        <v>38020.889999999992</v>
      </c>
      <c r="F212" s="136"/>
      <c r="G212" s="132">
        <f t="shared" si="21"/>
        <v>22.072630705383364</v>
      </c>
      <c r="H212" s="136"/>
      <c r="I212" s="132">
        <f t="shared" si="22"/>
        <v>1412.6483651445353</v>
      </c>
      <c r="J212" s="132">
        <f t="shared" si="23"/>
        <v>839221.06406000315</v>
      </c>
      <c r="K212" s="60"/>
      <c r="L212" s="204"/>
      <c r="M212" s="204"/>
      <c r="N212" s="204"/>
    </row>
    <row r="213" spans="1:14" s="190" customFormat="1" x14ac:dyDescent="0.35">
      <c r="A213" s="142">
        <v>43313</v>
      </c>
      <c r="B213" s="140" t="s">
        <v>454</v>
      </c>
      <c r="C213" s="206"/>
      <c r="D213" s="206">
        <f>22*3</f>
        <v>66</v>
      </c>
      <c r="E213" s="135">
        <f t="shared" si="20"/>
        <v>37954.889999999992</v>
      </c>
      <c r="F213" s="136"/>
      <c r="G213" s="132">
        <f t="shared" si="21"/>
        <v>22.072630705383364</v>
      </c>
      <c r="H213" s="136"/>
      <c r="I213" s="132">
        <f t="shared" si="22"/>
        <v>1456.7936265553021</v>
      </c>
      <c r="J213" s="132">
        <f t="shared" si="23"/>
        <v>837764.27043344779</v>
      </c>
      <c r="K213" s="60"/>
      <c r="L213" s="204"/>
      <c r="M213" s="204"/>
      <c r="N213" s="204"/>
    </row>
    <row r="214" spans="1:14" s="190" customFormat="1" x14ac:dyDescent="0.35">
      <c r="A214" s="142">
        <v>43314</v>
      </c>
      <c r="B214" s="140" t="s">
        <v>455</v>
      </c>
      <c r="C214" s="206"/>
      <c r="D214" s="206">
        <v>16</v>
      </c>
      <c r="E214" s="135">
        <f t="shared" si="20"/>
        <v>37938.889999999992</v>
      </c>
      <c r="F214" s="136"/>
      <c r="G214" s="132">
        <f t="shared" si="21"/>
        <v>22.072630705383364</v>
      </c>
      <c r="H214" s="136"/>
      <c r="I214" s="132">
        <f t="shared" si="22"/>
        <v>353.16209128613383</v>
      </c>
      <c r="J214" s="132">
        <f t="shared" si="23"/>
        <v>837411.10834216163</v>
      </c>
      <c r="K214" s="60"/>
      <c r="L214" s="204"/>
      <c r="M214" s="204"/>
      <c r="N214" s="204"/>
    </row>
    <row r="215" spans="1:14" s="190" customFormat="1" x14ac:dyDescent="0.35">
      <c r="A215" s="142">
        <v>43316</v>
      </c>
      <c r="B215" s="140" t="s">
        <v>457</v>
      </c>
      <c r="C215" s="206"/>
      <c r="D215" s="206">
        <f>5*1.6</f>
        <v>8</v>
      </c>
      <c r="E215" s="135">
        <f t="shared" si="20"/>
        <v>37930.889999999992</v>
      </c>
      <c r="F215" s="136"/>
      <c r="G215" s="132">
        <f t="shared" si="21"/>
        <v>22.072630705383364</v>
      </c>
      <c r="H215" s="136"/>
      <c r="I215" s="132">
        <f t="shared" si="22"/>
        <v>176.58104564306691</v>
      </c>
      <c r="J215" s="132">
        <f t="shared" si="23"/>
        <v>837234.52729651856</v>
      </c>
      <c r="K215" s="60"/>
      <c r="L215" s="204"/>
      <c r="M215" s="204"/>
      <c r="N215" s="204"/>
    </row>
    <row r="216" spans="1:14" s="190" customFormat="1" x14ac:dyDescent="0.35">
      <c r="A216" s="142">
        <v>43321</v>
      </c>
      <c r="B216" s="140" t="s">
        <v>461</v>
      </c>
      <c r="C216" s="206"/>
      <c r="D216" s="206">
        <f>26*4.9</f>
        <v>127.4</v>
      </c>
      <c r="E216" s="135">
        <f t="shared" si="20"/>
        <v>37803.489999999991</v>
      </c>
      <c r="F216" s="136"/>
      <c r="G216" s="132">
        <f t="shared" si="21"/>
        <v>22.072630705383361</v>
      </c>
      <c r="H216" s="136"/>
      <c r="I216" s="132">
        <f t="shared" si="22"/>
        <v>2812.0531518658404</v>
      </c>
      <c r="J216" s="132">
        <f t="shared" si="23"/>
        <v>834422.47414465272</v>
      </c>
      <c r="K216" s="60"/>
      <c r="L216" s="204"/>
      <c r="M216" s="204"/>
      <c r="N216" s="204"/>
    </row>
    <row r="217" spans="1:14" s="190" customFormat="1" x14ac:dyDescent="0.35">
      <c r="A217" s="142">
        <v>43323</v>
      </c>
      <c r="B217" s="140" t="s">
        <v>463</v>
      </c>
      <c r="C217" s="206"/>
      <c r="D217" s="206">
        <f>2.5+4.5</f>
        <v>7</v>
      </c>
      <c r="E217" s="135">
        <f t="shared" si="20"/>
        <v>37796.489999999991</v>
      </c>
      <c r="F217" s="136"/>
      <c r="G217" s="132">
        <f t="shared" si="21"/>
        <v>22.072630705383364</v>
      </c>
      <c r="H217" s="136"/>
      <c r="I217" s="132">
        <f t="shared" si="22"/>
        <v>154.50841493768354</v>
      </c>
      <c r="J217" s="132">
        <f t="shared" si="23"/>
        <v>834267.96572971507</v>
      </c>
      <c r="K217" s="60"/>
      <c r="L217" s="204"/>
      <c r="M217" s="204"/>
      <c r="N217" s="204"/>
    </row>
    <row r="218" spans="1:14" s="190" customFormat="1" x14ac:dyDescent="0.35">
      <c r="A218" s="142">
        <v>43323</v>
      </c>
      <c r="B218" s="140" t="s">
        <v>464</v>
      </c>
      <c r="C218" s="206"/>
      <c r="D218" s="206">
        <v>3</v>
      </c>
      <c r="E218" s="135">
        <f t="shared" si="20"/>
        <v>37793.489999999991</v>
      </c>
      <c r="F218" s="136"/>
      <c r="G218" s="132">
        <f t="shared" si="21"/>
        <v>22.072630705383364</v>
      </c>
      <c r="H218" s="136"/>
      <c r="I218" s="132">
        <f t="shared" si="22"/>
        <v>66.217892116150097</v>
      </c>
      <c r="J218" s="132">
        <f t="shared" si="23"/>
        <v>834201.7478375989</v>
      </c>
      <c r="K218" s="60"/>
      <c r="L218" s="204"/>
      <c r="M218" s="204"/>
      <c r="N218" s="204"/>
    </row>
    <row r="219" spans="1:14" s="190" customFormat="1" x14ac:dyDescent="0.35">
      <c r="A219" s="142">
        <v>43323</v>
      </c>
      <c r="B219" s="140" t="s">
        <v>465</v>
      </c>
      <c r="C219" s="206"/>
      <c r="D219" s="206">
        <f>15*5.4</f>
        <v>81</v>
      </c>
      <c r="E219" s="135">
        <f t="shared" si="20"/>
        <v>37712.489999999991</v>
      </c>
      <c r="F219" s="136"/>
      <c r="G219" s="132">
        <f t="shared" si="21"/>
        <v>22.072630705383364</v>
      </c>
      <c r="H219" s="136"/>
      <c r="I219" s="132">
        <f t="shared" si="22"/>
        <v>1787.8830871360526</v>
      </c>
      <c r="J219" s="132">
        <f t="shared" si="23"/>
        <v>832413.86475046282</v>
      </c>
      <c r="K219" s="60"/>
      <c r="L219" s="204"/>
      <c r="M219" s="204"/>
      <c r="N219" s="204"/>
    </row>
    <row r="220" spans="1:14" s="190" customFormat="1" x14ac:dyDescent="0.35">
      <c r="A220" s="142">
        <v>43323</v>
      </c>
      <c r="B220" s="140" t="s">
        <v>466</v>
      </c>
      <c r="C220" s="206"/>
      <c r="D220" s="206">
        <f>10*3.2</f>
        <v>32</v>
      </c>
      <c r="E220" s="135">
        <f t="shared" si="20"/>
        <v>37680.489999999991</v>
      </c>
      <c r="F220" s="136"/>
      <c r="G220" s="132">
        <f t="shared" si="21"/>
        <v>22.072630705383364</v>
      </c>
      <c r="H220" s="136"/>
      <c r="I220" s="132">
        <f t="shared" si="22"/>
        <v>706.32418257226766</v>
      </c>
      <c r="J220" s="132">
        <f t="shared" si="23"/>
        <v>831707.54056789051</v>
      </c>
      <c r="K220" s="60"/>
      <c r="L220" s="204"/>
      <c r="M220" s="204"/>
      <c r="N220" s="204"/>
    </row>
    <row r="221" spans="1:14" s="190" customFormat="1" x14ac:dyDescent="0.35">
      <c r="A221" s="142">
        <v>43323</v>
      </c>
      <c r="B221" s="140" t="s">
        <v>467</v>
      </c>
      <c r="C221" s="206"/>
      <c r="D221" s="206">
        <f>6*3</f>
        <v>18</v>
      </c>
      <c r="E221" s="135">
        <f t="shared" si="20"/>
        <v>37662.489999999991</v>
      </c>
      <c r="F221" s="136"/>
      <c r="G221" s="132">
        <f t="shared" si="21"/>
        <v>22.072630705383361</v>
      </c>
      <c r="H221" s="136"/>
      <c r="I221" s="132">
        <f t="shared" si="22"/>
        <v>397.30735269690047</v>
      </c>
      <c r="J221" s="132">
        <f t="shared" si="23"/>
        <v>831310.23321519361</v>
      </c>
      <c r="K221" s="60"/>
      <c r="L221" s="204"/>
      <c r="M221" s="204"/>
      <c r="N221" s="204"/>
    </row>
    <row r="222" spans="1:14" s="190" customFormat="1" x14ac:dyDescent="0.35">
      <c r="A222" s="142">
        <v>43326</v>
      </c>
      <c r="B222" s="140" t="s">
        <v>468</v>
      </c>
      <c r="C222" s="206"/>
      <c r="D222" s="206">
        <f>5*5+3*4.5+3.8+2.35+2.2</f>
        <v>46.85</v>
      </c>
      <c r="E222" s="135">
        <f t="shared" si="20"/>
        <v>37615.639999999992</v>
      </c>
      <c r="F222" s="136"/>
      <c r="G222" s="132">
        <f t="shared" si="21"/>
        <v>22.072630705383361</v>
      </c>
      <c r="H222" s="136"/>
      <c r="I222" s="132">
        <f t="shared" si="22"/>
        <v>1034.1027485472105</v>
      </c>
      <c r="J222" s="132">
        <f t="shared" si="23"/>
        <v>830276.1304666464</v>
      </c>
      <c r="K222" s="60"/>
      <c r="L222" s="204"/>
      <c r="M222" s="204"/>
      <c r="N222" s="204"/>
    </row>
    <row r="223" spans="1:14" s="225" customFormat="1" x14ac:dyDescent="0.35">
      <c r="A223" s="228">
        <v>43326</v>
      </c>
      <c r="B223" s="226" t="s">
        <v>469</v>
      </c>
      <c r="C223" s="231"/>
      <c r="D223" s="231">
        <f>5*4.7</f>
        <v>23.5</v>
      </c>
      <c r="E223" s="230">
        <f t="shared" si="20"/>
        <v>37592.139999999992</v>
      </c>
      <c r="F223" s="224"/>
      <c r="G223" s="229">
        <f t="shared" si="21"/>
        <v>22.072630705383361</v>
      </c>
      <c r="H223" s="224"/>
      <c r="I223" s="229">
        <f t="shared" si="22"/>
        <v>518.70682157650901</v>
      </c>
      <c r="J223" s="229">
        <f t="shared" si="23"/>
        <v>829757.42364506994</v>
      </c>
      <c r="K223" s="226"/>
      <c r="L223" s="32">
        <f>SUM(I212:I223)</f>
        <v>10876.288780077653</v>
      </c>
      <c r="M223" s="227"/>
      <c r="N223" s="27">
        <v>43327</v>
      </c>
    </row>
    <row r="224" spans="1:14" x14ac:dyDescent="0.35">
      <c r="A224" s="142">
        <v>43329</v>
      </c>
      <c r="B224" s="140" t="s">
        <v>471</v>
      </c>
      <c r="C224" s="206"/>
      <c r="D224" s="206">
        <f>10*3</f>
        <v>30</v>
      </c>
      <c r="E224" s="135">
        <f t="shared" si="20"/>
        <v>37562.139999999992</v>
      </c>
      <c r="F224" s="136"/>
      <c r="G224" s="132">
        <f t="shared" si="21"/>
        <v>22.072630705383361</v>
      </c>
      <c r="H224" s="136"/>
      <c r="I224" s="132">
        <f t="shared" si="22"/>
        <v>662.17892116150085</v>
      </c>
      <c r="J224" s="132">
        <f t="shared" si="23"/>
        <v>829095.24472390849</v>
      </c>
      <c r="K224" s="60"/>
      <c r="L224" s="204"/>
      <c r="M224" s="204"/>
      <c r="N224" s="204"/>
    </row>
    <row r="225" spans="1:14" x14ac:dyDescent="0.35">
      <c r="A225" s="142">
        <v>43330</v>
      </c>
      <c r="B225" s="140" t="s">
        <v>472</v>
      </c>
      <c r="C225" s="206"/>
      <c r="D225" s="206">
        <f>10*4.2</f>
        <v>42</v>
      </c>
      <c r="E225" s="135">
        <f t="shared" si="20"/>
        <v>37520.139999999992</v>
      </c>
      <c r="F225" s="136"/>
      <c r="G225" s="132">
        <f t="shared" si="21"/>
        <v>22.072630705383364</v>
      </c>
      <c r="H225" s="136"/>
      <c r="I225" s="132">
        <f t="shared" si="22"/>
        <v>927.05048962610135</v>
      </c>
      <c r="J225" s="132">
        <f t="shared" si="23"/>
        <v>828168.19423428236</v>
      </c>
      <c r="K225" s="60"/>
      <c r="L225" s="204"/>
      <c r="M225" s="204"/>
      <c r="N225" s="204"/>
    </row>
    <row r="226" spans="1:14" x14ac:dyDescent="0.35">
      <c r="A226" s="142">
        <v>43330</v>
      </c>
      <c r="B226" s="140" t="s">
        <v>478</v>
      </c>
      <c r="C226" s="206"/>
      <c r="D226" s="206">
        <f>6*5.53</f>
        <v>33.18</v>
      </c>
      <c r="E226" s="135">
        <f t="shared" si="20"/>
        <v>37486.959999999992</v>
      </c>
      <c r="F226" s="136"/>
      <c r="G226" s="132">
        <f t="shared" si="21"/>
        <v>22.072630705383364</v>
      </c>
      <c r="H226" s="136"/>
      <c r="I226" s="132">
        <f t="shared" si="22"/>
        <v>732.36988680462002</v>
      </c>
      <c r="J226" s="132">
        <f t="shared" si="23"/>
        <v>827435.82434747776</v>
      </c>
      <c r="K226" s="60"/>
      <c r="L226" s="204"/>
      <c r="M226" s="204"/>
      <c r="N226" s="204"/>
    </row>
    <row r="227" spans="1:14" x14ac:dyDescent="0.35">
      <c r="A227" s="142">
        <v>43332</v>
      </c>
      <c r="B227" s="140" t="s">
        <v>479</v>
      </c>
      <c r="C227" s="206"/>
      <c r="D227" s="206">
        <f>4*4.5</f>
        <v>18</v>
      </c>
      <c r="E227" s="135">
        <f t="shared" si="20"/>
        <v>37468.959999999992</v>
      </c>
      <c r="F227" s="136"/>
      <c r="G227" s="132">
        <f t="shared" si="21"/>
        <v>22.072630705383364</v>
      </c>
      <c r="H227" s="136"/>
      <c r="I227" s="132">
        <f t="shared" si="22"/>
        <v>397.30735269690058</v>
      </c>
      <c r="J227" s="132">
        <f t="shared" si="23"/>
        <v>827038.51699478086</v>
      </c>
      <c r="K227" s="60"/>
      <c r="L227" s="204"/>
      <c r="M227" s="204"/>
      <c r="N227" s="204"/>
    </row>
    <row r="228" spans="1:14" s="190" customFormat="1" x14ac:dyDescent="0.35">
      <c r="A228" s="142">
        <v>43332</v>
      </c>
      <c r="B228" s="140" t="s">
        <v>480</v>
      </c>
      <c r="C228" s="206"/>
      <c r="D228" s="206">
        <f>4*2</f>
        <v>8</v>
      </c>
      <c r="E228" s="135">
        <f t="shared" si="20"/>
        <v>37460.959999999992</v>
      </c>
      <c r="F228" s="136"/>
      <c r="G228" s="132">
        <f t="shared" si="21"/>
        <v>22.072630705383364</v>
      </c>
      <c r="H228" s="136"/>
      <c r="I228" s="132">
        <f t="shared" si="22"/>
        <v>176.58104564306691</v>
      </c>
      <c r="J228" s="132">
        <f t="shared" si="23"/>
        <v>826861.93594913778</v>
      </c>
      <c r="K228" s="60"/>
      <c r="L228" s="204"/>
      <c r="M228" s="204"/>
      <c r="N228" s="204"/>
    </row>
    <row r="229" spans="1:14" s="190" customFormat="1" x14ac:dyDescent="0.35">
      <c r="A229" s="142">
        <v>43333</v>
      </c>
      <c r="B229" s="140" t="s">
        <v>481</v>
      </c>
      <c r="C229" s="206"/>
      <c r="D229" s="206">
        <v>3</v>
      </c>
      <c r="E229" s="135">
        <f t="shared" si="20"/>
        <v>37457.959999999992</v>
      </c>
      <c r="F229" s="136"/>
      <c r="G229" s="132">
        <f t="shared" si="21"/>
        <v>22.072630705383364</v>
      </c>
      <c r="H229" s="136"/>
      <c r="I229" s="132">
        <f t="shared" si="22"/>
        <v>66.217892116150097</v>
      </c>
      <c r="J229" s="132">
        <f t="shared" si="23"/>
        <v>826795.71805702162</v>
      </c>
      <c r="K229" s="60"/>
      <c r="L229" s="204"/>
      <c r="M229" s="204"/>
      <c r="N229" s="204"/>
    </row>
    <row r="230" spans="1:14" s="190" customFormat="1" x14ac:dyDescent="0.35">
      <c r="A230" s="142">
        <v>43335</v>
      </c>
      <c r="B230" s="140" t="s">
        <v>485</v>
      </c>
      <c r="C230" s="206"/>
      <c r="D230" s="206">
        <v>6</v>
      </c>
      <c r="E230" s="135">
        <f t="shared" si="20"/>
        <v>37451.959999999992</v>
      </c>
      <c r="F230" s="136"/>
      <c r="G230" s="132">
        <f t="shared" si="21"/>
        <v>22.072630705383364</v>
      </c>
      <c r="H230" s="136"/>
      <c r="I230" s="132">
        <f t="shared" si="22"/>
        <v>132.43578423230019</v>
      </c>
      <c r="J230" s="132">
        <f t="shared" si="23"/>
        <v>826663.28227278928</v>
      </c>
      <c r="K230" s="60"/>
      <c r="L230" s="204"/>
      <c r="M230" s="204"/>
      <c r="N230" s="204"/>
    </row>
    <row r="231" spans="1:14" s="190" customFormat="1" x14ac:dyDescent="0.35">
      <c r="A231" s="142">
        <v>43335</v>
      </c>
      <c r="B231" s="140" t="s">
        <v>487</v>
      </c>
      <c r="C231" s="206"/>
      <c r="D231" s="206">
        <v>13.2</v>
      </c>
      <c r="E231" s="135">
        <f t="shared" si="20"/>
        <v>37438.759999999995</v>
      </c>
      <c r="F231" s="136"/>
      <c r="G231" s="132">
        <f t="shared" si="21"/>
        <v>22.072630705383361</v>
      </c>
      <c r="H231" s="136"/>
      <c r="I231" s="132">
        <f t="shared" si="22"/>
        <v>291.35872531106037</v>
      </c>
      <c r="J231" s="132">
        <f t="shared" si="23"/>
        <v>826371.92354747816</v>
      </c>
      <c r="K231" s="60"/>
      <c r="L231" s="204"/>
      <c r="M231" s="204"/>
      <c r="N231" s="204"/>
    </row>
    <row r="232" spans="1:14" s="190" customFormat="1" x14ac:dyDescent="0.35">
      <c r="A232" s="142">
        <v>43336</v>
      </c>
      <c r="B232" s="140" t="s">
        <v>489</v>
      </c>
      <c r="C232" s="206"/>
      <c r="D232" s="206">
        <f>6*10.5+3*5.5</f>
        <v>79.5</v>
      </c>
      <c r="E232" s="135">
        <f t="shared" si="20"/>
        <v>37359.259999999995</v>
      </c>
      <c r="F232" s="136"/>
      <c r="G232" s="132">
        <f t="shared" si="21"/>
        <v>22.072630705383357</v>
      </c>
      <c r="H232" s="136"/>
      <c r="I232" s="132">
        <f t="shared" si="22"/>
        <v>1754.774141077977</v>
      </c>
      <c r="J232" s="132">
        <f t="shared" si="23"/>
        <v>824617.14940640016</v>
      </c>
      <c r="K232" s="60"/>
      <c r="L232" s="204"/>
      <c r="M232" s="204"/>
      <c r="N232" s="204"/>
    </row>
    <row r="233" spans="1:14" s="190" customFormat="1" x14ac:dyDescent="0.35">
      <c r="A233" s="142">
        <v>43340</v>
      </c>
      <c r="B233" s="140" t="s">
        <v>494</v>
      </c>
      <c r="C233" s="206"/>
      <c r="D233" s="206">
        <f>10*5.2+10*3.1</f>
        <v>83</v>
      </c>
      <c r="E233" s="135">
        <f t="shared" si="20"/>
        <v>37276.259999999995</v>
      </c>
      <c r="F233" s="136"/>
      <c r="G233" s="132">
        <f t="shared" si="21"/>
        <v>22.072630705383357</v>
      </c>
      <c r="H233" s="136"/>
      <c r="I233" s="132">
        <f t="shared" si="22"/>
        <v>1832.0283485468187</v>
      </c>
      <c r="J233" s="132">
        <f t="shared" si="23"/>
        <v>822785.12105785334</v>
      </c>
      <c r="K233" s="60"/>
      <c r="L233" s="204"/>
      <c r="M233" s="204"/>
      <c r="N233" s="204"/>
    </row>
    <row r="234" spans="1:14" s="190" customFormat="1" x14ac:dyDescent="0.35">
      <c r="A234" s="142">
        <v>43340</v>
      </c>
      <c r="B234" s="140" t="s">
        <v>495</v>
      </c>
      <c r="C234" s="206"/>
      <c r="D234" s="206">
        <f>20*4.5</f>
        <v>90</v>
      </c>
      <c r="E234" s="135">
        <f t="shared" si="20"/>
        <v>37186.259999999995</v>
      </c>
      <c r="F234" s="136"/>
      <c r="G234" s="132">
        <f t="shared" si="21"/>
        <v>22.072630705383357</v>
      </c>
      <c r="H234" s="136"/>
      <c r="I234" s="132">
        <f t="shared" si="22"/>
        <v>1986.5367634845022</v>
      </c>
      <c r="J234" s="132">
        <f t="shared" si="23"/>
        <v>820798.58429436886</v>
      </c>
      <c r="K234" s="60"/>
      <c r="L234" s="204"/>
      <c r="M234" s="204"/>
      <c r="N234" s="204"/>
    </row>
    <row r="235" spans="1:14" s="190" customFormat="1" x14ac:dyDescent="0.35">
      <c r="A235" s="142">
        <v>43340</v>
      </c>
      <c r="B235" s="140" t="s">
        <v>496</v>
      </c>
      <c r="C235" s="206"/>
      <c r="D235" s="206">
        <f>22*5.3+22*6</f>
        <v>248.6</v>
      </c>
      <c r="E235" s="135">
        <f t="shared" si="20"/>
        <v>36937.659999999996</v>
      </c>
      <c r="F235" s="136"/>
      <c r="G235" s="132">
        <f t="shared" si="21"/>
        <v>22.072630705383357</v>
      </c>
      <c r="H235" s="136"/>
      <c r="I235" s="132">
        <f t="shared" si="22"/>
        <v>5487.2559933583025</v>
      </c>
      <c r="J235" s="132">
        <f t="shared" si="23"/>
        <v>815311.32830101054</v>
      </c>
      <c r="K235" s="60"/>
      <c r="L235" s="204"/>
      <c r="M235" s="204"/>
      <c r="N235" s="204"/>
    </row>
    <row r="236" spans="1:14" s="190" customFormat="1" x14ac:dyDescent="0.35">
      <c r="A236" s="142">
        <v>43342</v>
      </c>
      <c r="B236" s="140" t="s">
        <v>498</v>
      </c>
      <c r="C236" s="206"/>
      <c r="D236" s="206">
        <f>10*5.2+10*3.2</f>
        <v>84</v>
      </c>
      <c r="E236" s="135">
        <f t="shared" si="20"/>
        <v>36853.659999999996</v>
      </c>
      <c r="F236" s="136"/>
      <c r="G236" s="132">
        <f t="shared" si="21"/>
        <v>22.072630705383357</v>
      </c>
      <c r="H236" s="136"/>
      <c r="I236" s="132">
        <f t="shared" si="22"/>
        <v>1854.100979252202</v>
      </c>
      <c r="J236" s="132">
        <f t="shared" si="23"/>
        <v>813457.22732175828</v>
      </c>
      <c r="K236" s="60"/>
      <c r="L236" s="204"/>
      <c r="M236" s="204"/>
      <c r="N236" s="204"/>
    </row>
    <row r="237" spans="1:14" s="190" customFormat="1" x14ac:dyDescent="0.35">
      <c r="A237" s="142">
        <v>43343</v>
      </c>
      <c r="B237" s="140" t="s">
        <v>502</v>
      </c>
      <c r="C237" s="206"/>
      <c r="D237" s="206">
        <f>4*2.2</f>
        <v>8.8000000000000007</v>
      </c>
      <c r="E237" s="135">
        <f t="shared" si="20"/>
        <v>36844.859999999993</v>
      </c>
      <c r="F237" s="136"/>
      <c r="G237" s="132">
        <f t="shared" si="21"/>
        <v>22.072630705383357</v>
      </c>
      <c r="H237" s="136"/>
      <c r="I237" s="132">
        <f t="shared" si="22"/>
        <v>194.23915020737357</v>
      </c>
      <c r="J237" s="132">
        <f t="shared" si="23"/>
        <v>813262.98817155091</v>
      </c>
      <c r="K237" s="60"/>
      <c r="L237" s="204"/>
      <c r="M237" s="204"/>
      <c r="N237" s="204"/>
    </row>
    <row r="238" spans="1:14" s="190" customFormat="1" x14ac:dyDescent="0.35">
      <c r="A238" s="142">
        <v>43343</v>
      </c>
      <c r="B238" s="140" t="s">
        <v>503</v>
      </c>
      <c r="C238" s="206"/>
      <c r="D238" s="203">
        <f>26*3.6</f>
        <v>93.600000000000009</v>
      </c>
      <c r="E238" s="135">
        <f t="shared" si="20"/>
        <v>36751.259999999995</v>
      </c>
      <c r="F238" s="136"/>
      <c r="G238" s="132">
        <f t="shared" si="21"/>
        <v>22.072630705383357</v>
      </c>
      <c r="H238" s="136"/>
      <c r="I238" s="132">
        <f t="shared" si="22"/>
        <v>2065.9982340238826</v>
      </c>
      <c r="J238" s="132">
        <f t="shared" si="23"/>
        <v>811196.98993752699</v>
      </c>
      <c r="K238" s="60"/>
      <c r="L238" s="204"/>
      <c r="M238" s="204"/>
      <c r="N238" s="204"/>
    </row>
    <row r="239" spans="1:14" s="225" customFormat="1" x14ac:dyDescent="0.35">
      <c r="A239" s="228">
        <v>43343</v>
      </c>
      <c r="B239" s="226" t="s">
        <v>504</v>
      </c>
      <c r="C239" s="231"/>
      <c r="D239" s="231">
        <f>13*5.2</f>
        <v>67.600000000000009</v>
      </c>
      <c r="E239" s="230">
        <f t="shared" si="20"/>
        <v>36683.659999999996</v>
      </c>
      <c r="F239" s="224"/>
      <c r="G239" s="229">
        <f t="shared" si="21"/>
        <v>22.072630705383357</v>
      </c>
      <c r="H239" s="224"/>
      <c r="I239" s="229">
        <f t="shared" si="22"/>
        <v>1492.1098356839152</v>
      </c>
      <c r="J239" s="229">
        <f t="shared" si="23"/>
        <v>809704.88010184304</v>
      </c>
      <c r="K239" s="226"/>
      <c r="L239" s="32">
        <f>SUM(I224:I239)</f>
        <v>20052.543543226671</v>
      </c>
      <c r="M239" s="32">
        <f>SUM(L223:L239)</f>
        <v>30928.832323304327</v>
      </c>
      <c r="N239" s="27">
        <v>43343</v>
      </c>
    </row>
    <row r="240" spans="1:14" s="190" customFormat="1" x14ac:dyDescent="0.35">
      <c r="A240" s="142">
        <v>43344</v>
      </c>
      <c r="B240" s="140" t="s">
        <v>507</v>
      </c>
      <c r="C240" s="206"/>
      <c r="D240" s="206">
        <v>2</v>
      </c>
      <c r="E240" s="135">
        <f t="shared" si="20"/>
        <v>36681.659999999996</v>
      </c>
      <c r="F240" s="136"/>
      <c r="G240" s="132">
        <f t="shared" si="21"/>
        <v>22.072630705383354</v>
      </c>
      <c r="H240" s="136"/>
      <c r="I240" s="132">
        <f t="shared" si="22"/>
        <v>44.145261410766707</v>
      </c>
      <c r="J240" s="132">
        <f t="shared" si="23"/>
        <v>809660.7348404323</v>
      </c>
      <c r="K240" s="60"/>
      <c r="L240" s="204"/>
      <c r="M240" s="204"/>
      <c r="N240" s="204"/>
    </row>
    <row r="241" spans="1:14" s="190" customFormat="1" x14ac:dyDescent="0.35">
      <c r="A241" s="142">
        <v>43344</v>
      </c>
      <c r="B241" s="140" t="s">
        <v>508</v>
      </c>
      <c r="C241" s="206"/>
      <c r="D241" s="206">
        <v>8.8000000000000007</v>
      </c>
      <c r="E241" s="135">
        <f t="shared" si="20"/>
        <v>36672.859999999993</v>
      </c>
      <c r="F241" s="136"/>
      <c r="G241" s="132">
        <f t="shared" si="21"/>
        <v>22.072630705383354</v>
      </c>
      <c r="H241" s="136"/>
      <c r="I241" s="132">
        <f t="shared" si="22"/>
        <v>194.23915020737354</v>
      </c>
      <c r="J241" s="132">
        <f t="shared" si="23"/>
        <v>809466.49569022493</v>
      </c>
      <c r="K241" s="60"/>
      <c r="L241" s="204"/>
      <c r="M241" s="204"/>
      <c r="N241" s="204"/>
    </row>
    <row r="242" spans="1:14" s="190" customFormat="1" x14ac:dyDescent="0.35">
      <c r="A242" s="142">
        <v>43346</v>
      </c>
      <c r="B242" s="140" t="s">
        <v>510</v>
      </c>
      <c r="C242" s="206"/>
      <c r="D242" s="206">
        <v>3</v>
      </c>
      <c r="E242" s="135">
        <f t="shared" si="20"/>
        <v>36669.859999999993</v>
      </c>
      <c r="F242" s="136"/>
      <c r="G242" s="132">
        <f t="shared" si="21"/>
        <v>22.072630705383357</v>
      </c>
      <c r="H242" s="136"/>
      <c r="I242" s="132">
        <f t="shared" si="22"/>
        <v>66.217892116150068</v>
      </c>
      <c r="J242" s="132">
        <f t="shared" si="23"/>
        <v>809400.27779810876</v>
      </c>
      <c r="K242" s="60"/>
      <c r="L242" s="204"/>
      <c r="M242" s="204"/>
      <c r="N242" s="204"/>
    </row>
    <row r="243" spans="1:14" s="190" customFormat="1" x14ac:dyDescent="0.35">
      <c r="A243" s="142">
        <v>43347</v>
      </c>
      <c r="B243" s="140" t="s">
        <v>512</v>
      </c>
      <c r="C243" s="206"/>
      <c r="D243" s="206">
        <f>10*5.3+10*3.1</f>
        <v>84</v>
      </c>
      <c r="E243" s="135">
        <f t="shared" si="20"/>
        <v>36585.859999999993</v>
      </c>
      <c r="F243" s="136"/>
      <c r="G243" s="132">
        <f t="shared" si="21"/>
        <v>22.072630705383357</v>
      </c>
      <c r="H243" s="136"/>
      <c r="I243" s="132">
        <f t="shared" si="22"/>
        <v>1854.100979252202</v>
      </c>
      <c r="J243" s="132">
        <f t="shared" si="23"/>
        <v>807546.1768188565</v>
      </c>
      <c r="K243" s="60"/>
      <c r="L243" s="204"/>
      <c r="M243" s="204"/>
      <c r="N243" s="204"/>
    </row>
    <row r="244" spans="1:14" s="190" customFormat="1" x14ac:dyDescent="0.35">
      <c r="A244" s="142">
        <v>43316</v>
      </c>
      <c r="B244" s="140" t="s">
        <v>515</v>
      </c>
      <c r="C244" s="206"/>
      <c r="D244" s="206">
        <v>0</v>
      </c>
      <c r="E244" s="135">
        <f t="shared" si="20"/>
        <v>36585.859999999993</v>
      </c>
      <c r="F244" s="136"/>
      <c r="G244" s="132">
        <f t="shared" si="21"/>
        <v>22.072630705383354</v>
      </c>
      <c r="H244" s="136"/>
      <c r="I244" s="132">
        <f t="shared" si="22"/>
        <v>0</v>
      </c>
      <c r="J244" s="132">
        <f t="shared" si="23"/>
        <v>807546.1768188565</v>
      </c>
      <c r="K244" s="60"/>
      <c r="L244" s="204"/>
      <c r="M244" s="204"/>
      <c r="N244" s="204"/>
    </row>
    <row r="245" spans="1:14" s="190" customFormat="1" x14ac:dyDescent="0.35">
      <c r="A245" s="142">
        <v>43347</v>
      </c>
      <c r="B245" s="140" t="s">
        <v>516</v>
      </c>
      <c r="C245" s="206"/>
      <c r="D245" s="206">
        <f>6*5.7+6*1.85</f>
        <v>45.300000000000004</v>
      </c>
      <c r="E245" s="135">
        <f t="shared" si="20"/>
        <v>36540.55999999999</v>
      </c>
      <c r="F245" s="136"/>
      <c r="G245" s="132">
        <f t="shared" si="21"/>
        <v>22.072630705383354</v>
      </c>
      <c r="H245" s="136"/>
      <c r="I245" s="132">
        <f t="shared" si="22"/>
        <v>999.890170953866</v>
      </c>
      <c r="J245" s="132">
        <f t="shared" si="23"/>
        <v>806546.28664790269</v>
      </c>
      <c r="K245" s="60"/>
      <c r="L245" s="204"/>
      <c r="M245" s="204"/>
      <c r="N245" s="204"/>
    </row>
    <row r="246" spans="1:14" s="190" customFormat="1" x14ac:dyDescent="0.35">
      <c r="A246" s="142">
        <v>43349</v>
      </c>
      <c r="B246" s="140" t="s">
        <v>518</v>
      </c>
      <c r="C246" s="206"/>
      <c r="D246" s="206">
        <f>7*4+3*2.3</f>
        <v>34.9</v>
      </c>
      <c r="E246" s="135">
        <f t="shared" si="20"/>
        <v>36505.659999999989</v>
      </c>
      <c r="F246" s="136"/>
      <c r="G246" s="132">
        <f t="shared" si="21"/>
        <v>22.072630705383357</v>
      </c>
      <c r="H246" s="136"/>
      <c r="I246" s="132">
        <f t="shared" si="22"/>
        <v>770.33481161787915</v>
      </c>
      <c r="J246" s="132">
        <f t="shared" si="23"/>
        <v>805775.95183628483</v>
      </c>
      <c r="K246" s="60"/>
      <c r="L246" s="204"/>
      <c r="M246" s="204"/>
      <c r="N246" s="204"/>
    </row>
    <row r="247" spans="1:14" s="190" customFormat="1" x14ac:dyDescent="0.35">
      <c r="A247" s="142">
        <v>43349</v>
      </c>
      <c r="B247" s="140" t="s">
        <v>520</v>
      </c>
      <c r="C247" s="206"/>
      <c r="D247" s="206">
        <f>6*5</f>
        <v>30</v>
      </c>
      <c r="E247" s="135">
        <f t="shared" si="20"/>
        <v>36475.659999999989</v>
      </c>
      <c r="F247" s="136"/>
      <c r="G247" s="132">
        <f t="shared" si="21"/>
        <v>22.072630705383361</v>
      </c>
      <c r="H247" s="136"/>
      <c r="I247" s="132">
        <f t="shared" si="22"/>
        <v>662.17892116150085</v>
      </c>
      <c r="J247" s="132">
        <f t="shared" si="23"/>
        <v>805113.77291512338</v>
      </c>
      <c r="K247" s="60"/>
      <c r="L247" s="204"/>
      <c r="M247" s="204"/>
      <c r="N247" s="204"/>
    </row>
    <row r="248" spans="1:14" s="190" customFormat="1" x14ac:dyDescent="0.35">
      <c r="A248" s="142">
        <v>43349</v>
      </c>
      <c r="B248" s="140" t="s">
        <v>521</v>
      </c>
      <c r="C248" s="206"/>
      <c r="D248" s="206">
        <v>2.5</v>
      </c>
      <c r="E248" s="135">
        <f t="shared" si="20"/>
        <v>36473.159999999989</v>
      </c>
      <c r="F248" s="136"/>
      <c r="G248" s="132">
        <f t="shared" si="21"/>
        <v>22.072630705383361</v>
      </c>
      <c r="H248" s="136"/>
      <c r="I248" s="132">
        <f t="shared" si="22"/>
        <v>55.181576763458402</v>
      </c>
      <c r="J248" s="132">
        <f t="shared" si="23"/>
        <v>805058.59133835987</v>
      </c>
      <c r="K248" s="60"/>
      <c r="L248" s="204"/>
      <c r="M248" s="204"/>
      <c r="N248" s="204"/>
    </row>
    <row r="249" spans="1:14" s="190" customFormat="1" x14ac:dyDescent="0.35">
      <c r="A249" s="142">
        <v>43349</v>
      </c>
      <c r="B249" s="140" t="s">
        <v>522</v>
      </c>
      <c r="C249" s="206"/>
      <c r="D249" s="206">
        <v>1.6</v>
      </c>
      <c r="E249" s="135">
        <f t="shared" si="20"/>
        <v>36471.55999999999</v>
      </c>
      <c r="F249" s="136"/>
      <c r="G249" s="132">
        <f t="shared" si="21"/>
        <v>22.072630705383357</v>
      </c>
      <c r="H249" s="136"/>
      <c r="I249" s="132">
        <f t="shared" si="22"/>
        <v>35.316209128613373</v>
      </c>
      <c r="J249" s="132">
        <f t="shared" si="23"/>
        <v>805023.27512923128</v>
      </c>
      <c r="K249" s="60"/>
      <c r="L249" s="204"/>
      <c r="M249" s="204"/>
      <c r="N249" s="204"/>
    </row>
    <row r="250" spans="1:14" s="190" customFormat="1" x14ac:dyDescent="0.35">
      <c r="A250" s="142">
        <v>43350</v>
      </c>
      <c r="B250" s="140" t="s">
        <v>523</v>
      </c>
      <c r="C250" s="206"/>
      <c r="D250" s="206">
        <f>8.1+8+7.9+7.8+7.7+7.6+7.5+7.4</f>
        <v>62</v>
      </c>
      <c r="E250" s="135">
        <f t="shared" si="20"/>
        <v>36409.55999999999</v>
      </c>
      <c r="F250" s="136"/>
      <c r="G250" s="132">
        <f t="shared" si="21"/>
        <v>22.072630705383357</v>
      </c>
      <c r="H250" s="136"/>
      <c r="I250" s="132">
        <f t="shared" si="22"/>
        <v>1368.5031037337681</v>
      </c>
      <c r="J250" s="132">
        <f t="shared" si="23"/>
        <v>803654.77202549751</v>
      </c>
      <c r="K250" s="60"/>
      <c r="L250" s="204"/>
      <c r="M250" s="204"/>
      <c r="N250" s="204"/>
    </row>
    <row r="251" spans="1:14" s="190" customFormat="1" x14ac:dyDescent="0.35">
      <c r="A251" s="142">
        <v>43350</v>
      </c>
      <c r="B251" s="140" t="s">
        <v>524</v>
      </c>
      <c r="C251" s="206"/>
      <c r="D251" s="206">
        <f>7.3+7.2+7.1+6.9+6.8+6.7</f>
        <v>42</v>
      </c>
      <c r="E251" s="135">
        <f t="shared" si="20"/>
        <v>36367.55999999999</v>
      </c>
      <c r="F251" s="136"/>
      <c r="G251" s="132">
        <f t="shared" si="21"/>
        <v>22.072630705383357</v>
      </c>
      <c r="H251" s="136"/>
      <c r="I251" s="132">
        <f t="shared" si="22"/>
        <v>927.05048962610101</v>
      </c>
      <c r="J251" s="132">
        <f t="shared" si="23"/>
        <v>802727.72153587139</v>
      </c>
      <c r="K251" s="60"/>
      <c r="L251" s="204"/>
      <c r="M251" s="204"/>
      <c r="N251" s="204"/>
    </row>
    <row r="252" spans="1:14" s="190" customFormat="1" x14ac:dyDescent="0.35">
      <c r="A252" s="142">
        <v>43353</v>
      </c>
      <c r="B252" s="140" t="s">
        <v>526</v>
      </c>
      <c r="C252" s="206"/>
      <c r="D252" s="206">
        <f>5*4.65+5.35+4.9+4.1+3.25+2.5+1.5+1</f>
        <v>45.85</v>
      </c>
      <c r="E252" s="135">
        <f t="shared" si="20"/>
        <v>36321.709999999992</v>
      </c>
      <c r="F252" s="136"/>
      <c r="G252" s="132">
        <f t="shared" si="21"/>
        <v>22.072630705383357</v>
      </c>
      <c r="H252" s="136"/>
      <c r="I252" s="132">
        <f t="shared" si="22"/>
        <v>1012.030117841827</v>
      </c>
      <c r="J252" s="132">
        <f t="shared" si="23"/>
        <v>801715.6914180296</v>
      </c>
      <c r="K252" s="60"/>
      <c r="L252" s="204"/>
      <c r="M252" s="204"/>
      <c r="N252" s="204"/>
    </row>
    <row r="253" spans="1:14" s="190" customFormat="1" x14ac:dyDescent="0.35">
      <c r="A253" s="142">
        <v>43353</v>
      </c>
      <c r="B253" s="140" t="s">
        <v>527</v>
      </c>
      <c r="C253" s="206"/>
      <c r="D253" s="206">
        <f>5.25+4.5+89.55</f>
        <v>99.3</v>
      </c>
      <c r="E253" s="135">
        <f t="shared" si="20"/>
        <v>36222.409999999989</v>
      </c>
      <c r="F253" s="136"/>
      <c r="G253" s="132">
        <f t="shared" si="21"/>
        <v>22.072630705383357</v>
      </c>
      <c r="H253" s="136"/>
      <c r="I253" s="132">
        <f t="shared" si="22"/>
        <v>2191.8122290445672</v>
      </c>
      <c r="J253" s="132">
        <f t="shared" si="23"/>
        <v>799523.87918898498</v>
      </c>
      <c r="K253" s="60"/>
      <c r="L253" s="204"/>
      <c r="M253" s="204"/>
      <c r="N253" s="204"/>
    </row>
    <row r="254" spans="1:14" s="190" customFormat="1" x14ac:dyDescent="0.35">
      <c r="A254" s="142">
        <v>43353</v>
      </c>
      <c r="B254" s="140" t="s">
        <v>528</v>
      </c>
      <c r="C254" s="206"/>
      <c r="D254" s="206">
        <v>20</v>
      </c>
      <c r="E254" s="135">
        <f t="shared" si="20"/>
        <v>36202.409999999989</v>
      </c>
      <c r="F254" s="136"/>
      <c r="G254" s="132">
        <f t="shared" si="21"/>
        <v>22.072630705383357</v>
      </c>
      <c r="H254" s="136"/>
      <c r="I254" s="132">
        <f t="shared" si="22"/>
        <v>441.45261410766716</v>
      </c>
      <c r="J254" s="132">
        <f t="shared" si="23"/>
        <v>799082.42657487735</v>
      </c>
      <c r="K254" s="60"/>
      <c r="L254" s="204"/>
      <c r="M254" s="204"/>
      <c r="N254" s="204"/>
    </row>
    <row r="255" spans="1:14" s="190" customFormat="1" x14ac:dyDescent="0.35">
      <c r="A255" s="142">
        <v>43353</v>
      </c>
      <c r="B255" s="140" t="s">
        <v>529</v>
      </c>
      <c r="C255" s="206"/>
      <c r="D255" s="206">
        <v>0</v>
      </c>
      <c r="E255" s="135">
        <f t="shared" si="20"/>
        <v>36202.409999999989</v>
      </c>
      <c r="F255" s="136"/>
      <c r="G255" s="132">
        <f t="shared" si="21"/>
        <v>22.072630705383361</v>
      </c>
      <c r="H255" s="136"/>
      <c r="I255" s="132">
        <f t="shared" si="22"/>
        <v>0</v>
      </c>
      <c r="J255" s="132">
        <f t="shared" si="23"/>
        <v>799082.42657487735</v>
      </c>
      <c r="K255" s="60"/>
      <c r="L255" s="204"/>
      <c r="M255" s="204"/>
      <c r="N255" s="204"/>
    </row>
    <row r="256" spans="1:14" s="190" customFormat="1" x14ac:dyDescent="0.35">
      <c r="A256" s="142">
        <v>43355</v>
      </c>
      <c r="B256" s="140" t="s">
        <v>530</v>
      </c>
      <c r="C256" s="206"/>
      <c r="D256" s="206">
        <v>2.2000000000000002</v>
      </c>
      <c r="E256" s="135">
        <f t="shared" ref="E256:E319" si="24">+E255-D256</f>
        <v>36200.209999999992</v>
      </c>
      <c r="F256" s="136"/>
      <c r="G256" s="132">
        <f t="shared" ref="G256:G319" si="25">+J255/E255</f>
        <v>22.072630705383361</v>
      </c>
      <c r="H256" s="136"/>
      <c r="I256" s="132">
        <f t="shared" ref="I256:I319" si="26">+D256*G256</f>
        <v>48.559787551843399</v>
      </c>
      <c r="J256" s="132">
        <f t="shared" ref="J256:J319" si="27">+J255-I256</f>
        <v>799033.86678732547</v>
      </c>
      <c r="K256" s="60"/>
      <c r="L256" s="204"/>
      <c r="M256" s="204"/>
      <c r="N256" s="204"/>
    </row>
    <row r="257" spans="1:14" s="225" customFormat="1" x14ac:dyDescent="0.35">
      <c r="A257" s="228">
        <v>43358</v>
      </c>
      <c r="B257" s="226" t="s">
        <v>563</v>
      </c>
      <c r="C257" s="231"/>
      <c r="D257" s="231">
        <v>0</v>
      </c>
      <c r="E257" s="230">
        <f t="shared" si="24"/>
        <v>36200.209999999992</v>
      </c>
      <c r="F257" s="224"/>
      <c r="G257" s="229">
        <f t="shared" si="25"/>
        <v>22.072630705383357</v>
      </c>
      <c r="H257" s="224"/>
      <c r="I257" s="229">
        <f t="shared" si="26"/>
        <v>0</v>
      </c>
      <c r="J257" s="229">
        <f t="shared" si="27"/>
        <v>799033.86678732547</v>
      </c>
      <c r="K257" s="226"/>
      <c r="L257" s="32">
        <f>SUM(I240:I257)</f>
        <v>10671.013314517582</v>
      </c>
      <c r="M257" s="227"/>
      <c r="N257" s="27">
        <v>43358</v>
      </c>
    </row>
    <row r="258" spans="1:14" s="190" customFormat="1" x14ac:dyDescent="0.35">
      <c r="A258" s="142">
        <v>43363</v>
      </c>
      <c r="B258" s="140" t="s">
        <v>537</v>
      </c>
      <c r="C258" s="206"/>
      <c r="D258" s="206">
        <f>3*4</f>
        <v>12</v>
      </c>
      <c r="E258" s="135">
        <f t="shared" si="24"/>
        <v>36188.209999999992</v>
      </c>
      <c r="F258" s="136"/>
      <c r="G258" s="132">
        <f t="shared" si="25"/>
        <v>22.072630705383357</v>
      </c>
      <c r="H258" s="136"/>
      <c r="I258" s="132">
        <f t="shared" si="26"/>
        <v>264.87156846460027</v>
      </c>
      <c r="J258" s="132">
        <f t="shared" si="27"/>
        <v>798768.99521886092</v>
      </c>
      <c r="K258" s="60"/>
      <c r="L258" s="204"/>
      <c r="M258" s="204"/>
      <c r="N258" s="204"/>
    </row>
    <row r="259" spans="1:14" s="190" customFormat="1" x14ac:dyDescent="0.35">
      <c r="A259" s="142">
        <v>43363</v>
      </c>
      <c r="B259" s="140" t="s">
        <v>538</v>
      </c>
      <c r="C259" s="206"/>
      <c r="D259" s="206">
        <f>4*4.8</f>
        <v>19.2</v>
      </c>
      <c r="E259" s="135">
        <f t="shared" si="24"/>
        <v>36169.009999999995</v>
      </c>
      <c r="F259" s="136"/>
      <c r="G259" s="132">
        <f t="shared" si="25"/>
        <v>22.072630705383357</v>
      </c>
      <c r="H259" s="136"/>
      <c r="I259" s="132">
        <f t="shared" si="26"/>
        <v>423.79450954336045</v>
      </c>
      <c r="J259" s="132">
        <f t="shared" si="27"/>
        <v>798345.20070931758</v>
      </c>
      <c r="K259" s="60"/>
      <c r="L259" s="204"/>
      <c r="M259" s="204"/>
      <c r="N259" s="204"/>
    </row>
    <row r="260" spans="1:14" s="190" customFormat="1" x14ac:dyDescent="0.35">
      <c r="A260" s="142">
        <v>43365</v>
      </c>
      <c r="B260" s="140" t="s">
        <v>542</v>
      </c>
      <c r="C260" s="206"/>
      <c r="D260" s="206">
        <f>10*5.85+10*4</f>
        <v>98.5</v>
      </c>
      <c r="E260" s="135">
        <f t="shared" si="24"/>
        <v>36070.509999999995</v>
      </c>
      <c r="F260" s="136"/>
      <c r="G260" s="132">
        <f t="shared" si="25"/>
        <v>22.072630705383357</v>
      </c>
      <c r="H260" s="136"/>
      <c r="I260" s="132">
        <f t="shared" si="26"/>
        <v>2174.1541244802606</v>
      </c>
      <c r="J260" s="132">
        <f t="shared" si="27"/>
        <v>796171.04658483737</v>
      </c>
      <c r="K260" s="60"/>
      <c r="L260" s="204"/>
      <c r="M260" s="204"/>
      <c r="N260" s="204"/>
    </row>
    <row r="261" spans="1:14" s="190" customFormat="1" x14ac:dyDescent="0.35">
      <c r="A261" s="142">
        <v>43365</v>
      </c>
      <c r="B261" s="140" t="s">
        <v>543</v>
      </c>
      <c r="C261" s="206"/>
      <c r="D261" s="206">
        <f>12*8.7+2*5.9</f>
        <v>116.19999999999999</v>
      </c>
      <c r="E261" s="135">
        <f t="shared" si="24"/>
        <v>35954.31</v>
      </c>
      <c r="F261" s="136"/>
      <c r="G261" s="132">
        <f t="shared" si="25"/>
        <v>22.072630705383357</v>
      </c>
      <c r="H261" s="136"/>
      <c r="I261" s="132">
        <f t="shared" si="26"/>
        <v>2564.8396879655456</v>
      </c>
      <c r="J261" s="132">
        <f t="shared" si="27"/>
        <v>793606.20689687179</v>
      </c>
      <c r="K261" s="60"/>
      <c r="L261" s="204"/>
      <c r="M261" s="204"/>
      <c r="N261" s="204"/>
    </row>
    <row r="262" spans="1:14" s="190" customFormat="1" x14ac:dyDescent="0.35">
      <c r="A262" s="142">
        <v>43367</v>
      </c>
      <c r="B262" s="140" t="s">
        <v>544</v>
      </c>
      <c r="C262" s="206"/>
      <c r="D262" s="206">
        <f>2*4.9</f>
        <v>9.8000000000000007</v>
      </c>
      <c r="E262" s="135">
        <f t="shared" si="24"/>
        <v>35944.509999999995</v>
      </c>
      <c r="F262" s="136"/>
      <c r="G262" s="132">
        <f t="shared" si="25"/>
        <v>22.072630705383357</v>
      </c>
      <c r="H262" s="136"/>
      <c r="I262" s="132">
        <f t="shared" si="26"/>
        <v>216.31178091275692</v>
      </c>
      <c r="J262" s="132">
        <f t="shared" si="27"/>
        <v>793389.89511595899</v>
      </c>
      <c r="K262" s="60"/>
      <c r="L262" s="204"/>
      <c r="M262" s="204"/>
      <c r="N262" s="204"/>
    </row>
    <row r="263" spans="1:14" s="190" customFormat="1" x14ac:dyDescent="0.35">
      <c r="A263" s="142">
        <v>43368</v>
      </c>
      <c r="B263" s="140" t="s">
        <v>545</v>
      </c>
      <c r="C263" s="206"/>
      <c r="D263" s="206">
        <v>13</v>
      </c>
      <c r="E263" s="135">
        <f t="shared" si="24"/>
        <v>35931.509999999995</v>
      </c>
      <c r="F263" s="136"/>
      <c r="G263" s="132">
        <f t="shared" si="25"/>
        <v>22.072630705383357</v>
      </c>
      <c r="H263" s="136"/>
      <c r="I263" s="132">
        <f t="shared" si="26"/>
        <v>286.94419916998362</v>
      </c>
      <c r="J263" s="132">
        <f t="shared" si="27"/>
        <v>793102.95091678901</v>
      </c>
      <c r="K263" s="60"/>
      <c r="L263" s="204"/>
      <c r="M263" s="204"/>
      <c r="N263" s="204"/>
    </row>
    <row r="264" spans="1:14" s="225" customFormat="1" x14ac:dyDescent="0.35">
      <c r="A264" s="228">
        <v>43369</v>
      </c>
      <c r="B264" s="226" t="s">
        <v>547</v>
      </c>
      <c r="C264" s="231"/>
      <c r="D264" s="231">
        <v>1.5</v>
      </c>
      <c r="E264" s="230">
        <f t="shared" si="24"/>
        <v>35930.009999999995</v>
      </c>
      <c r="F264" s="224"/>
      <c r="G264" s="229">
        <f t="shared" si="25"/>
        <v>22.072630705383357</v>
      </c>
      <c r="H264" s="224"/>
      <c r="I264" s="229">
        <f t="shared" si="26"/>
        <v>33.108946058075034</v>
      </c>
      <c r="J264" s="229">
        <f t="shared" si="27"/>
        <v>793069.84197073092</v>
      </c>
      <c r="K264" s="226"/>
      <c r="L264" s="32">
        <f>SUM(I258:I264)</f>
        <v>5964.0248165945823</v>
      </c>
      <c r="M264" s="32">
        <f>SUM(L257:L264)</f>
        <v>16635.038131112164</v>
      </c>
      <c r="N264" s="27">
        <v>43373</v>
      </c>
    </row>
    <row r="265" spans="1:14" s="190" customFormat="1" x14ac:dyDescent="0.35">
      <c r="A265" s="142">
        <v>43374</v>
      </c>
      <c r="B265" s="140" t="s">
        <v>552</v>
      </c>
      <c r="C265" s="206"/>
      <c r="D265" s="206">
        <v>80</v>
      </c>
      <c r="E265" s="135">
        <f t="shared" si="24"/>
        <v>35850.009999999995</v>
      </c>
      <c r="F265" s="136"/>
      <c r="G265" s="132">
        <f t="shared" si="25"/>
        <v>22.072630705383357</v>
      </c>
      <c r="H265" s="136"/>
      <c r="I265" s="132">
        <f t="shared" si="26"/>
        <v>1765.8104564306686</v>
      </c>
      <c r="J265" s="132">
        <f t="shared" si="27"/>
        <v>791304.03151430027</v>
      </c>
      <c r="K265" s="60"/>
      <c r="L265" s="204"/>
      <c r="M265" s="204"/>
      <c r="N265" s="204"/>
    </row>
    <row r="266" spans="1:14" s="190" customFormat="1" x14ac:dyDescent="0.35">
      <c r="A266" s="142">
        <v>43375</v>
      </c>
      <c r="B266" s="140" t="s">
        <v>553</v>
      </c>
      <c r="C266" s="206"/>
      <c r="D266" s="206">
        <f>13*5.5</f>
        <v>71.5</v>
      </c>
      <c r="E266" s="135">
        <f t="shared" si="24"/>
        <v>35778.509999999995</v>
      </c>
      <c r="F266" s="136"/>
      <c r="G266" s="132">
        <f t="shared" si="25"/>
        <v>22.072630705383357</v>
      </c>
      <c r="H266" s="136"/>
      <c r="I266" s="132">
        <f t="shared" si="26"/>
        <v>1578.19309543491</v>
      </c>
      <c r="J266" s="132">
        <f t="shared" si="27"/>
        <v>789725.83841886534</v>
      </c>
      <c r="K266" s="60"/>
      <c r="L266" s="204"/>
      <c r="M266" s="204"/>
      <c r="N266" s="204"/>
    </row>
    <row r="267" spans="1:14" s="190" customFormat="1" x14ac:dyDescent="0.35">
      <c r="A267" s="142">
        <v>43375</v>
      </c>
      <c r="B267" s="140" t="s">
        <v>554</v>
      </c>
      <c r="C267" s="206"/>
      <c r="D267" s="206">
        <v>95.15</v>
      </c>
      <c r="E267" s="135">
        <f t="shared" si="24"/>
        <v>35683.359999999993</v>
      </c>
      <c r="F267" s="136"/>
      <c r="G267" s="132">
        <f t="shared" si="25"/>
        <v>22.072630705383357</v>
      </c>
      <c r="H267" s="136"/>
      <c r="I267" s="132">
        <f t="shared" si="26"/>
        <v>2100.2108116172267</v>
      </c>
      <c r="J267" s="132">
        <f t="shared" si="27"/>
        <v>787625.62760724814</v>
      </c>
      <c r="K267" s="60"/>
      <c r="L267" s="204"/>
      <c r="M267" s="204"/>
      <c r="N267" s="204"/>
    </row>
    <row r="268" spans="1:14" s="190" customFormat="1" x14ac:dyDescent="0.35">
      <c r="A268" s="142">
        <v>43375</v>
      </c>
      <c r="B268" s="140" t="s">
        <v>555</v>
      </c>
      <c r="C268" s="206"/>
      <c r="D268" s="206">
        <f>10*3.9</f>
        <v>39</v>
      </c>
      <c r="E268" s="135">
        <f t="shared" si="24"/>
        <v>35644.359999999993</v>
      </c>
      <c r="F268" s="136"/>
      <c r="G268" s="132">
        <f t="shared" si="25"/>
        <v>22.072630705383357</v>
      </c>
      <c r="H268" s="136"/>
      <c r="I268" s="132">
        <f t="shared" si="26"/>
        <v>860.83259750995092</v>
      </c>
      <c r="J268" s="132">
        <f t="shared" si="27"/>
        <v>786764.79500973818</v>
      </c>
      <c r="K268" s="60"/>
      <c r="L268" s="204"/>
      <c r="M268" s="204"/>
      <c r="N268" s="204"/>
    </row>
    <row r="269" spans="1:14" s="190" customFormat="1" x14ac:dyDescent="0.35">
      <c r="A269" s="142">
        <v>43375</v>
      </c>
      <c r="B269" s="140" t="s">
        <v>556</v>
      </c>
      <c r="C269" s="206"/>
      <c r="D269" s="206">
        <f>41*1.5</f>
        <v>61.5</v>
      </c>
      <c r="E269" s="135">
        <f t="shared" si="24"/>
        <v>35582.859999999993</v>
      </c>
      <c r="F269" s="136"/>
      <c r="G269" s="132">
        <f t="shared" si="25"/>
        <v>22.072630705383357</v>
      </c>
      <c r="H269" s="136"/>
      <c r="I269" s="132">
        <f t="shared" si="26"/>
        <v>1357.4667883810764</v>
      </c>
      <c r="J269" s="132">
        <f t="shared" si="27"/>
        <v>785407.32822135708</v>
      </c>
      <c r="K269" s="60"/>
      <c r="L269" s="204"/>
      <c r="M269" s="204"/>
      <c r="N269" s="204"/>
    </row>
    <row r="270" spans="1:14" s="190" customFormat="1" x14ac:dyDescent="0.35">
      <c r="A270" s="142">
        <v>43375</v>
      </c>
      <c r="B270" s="140" t="s">
        <v>557</v>
      </c>
      <c r="C270" s="206"/>
      <c r="D270" s="206">
        <f>29*4+8*3.5</f>
        <v>144</v>
      </c>
      <c r="E270" s="135">
        <f t="shared" si="24"/>
        <v>35438.859999999993</v>
      </c>
      <c r="F270" s="136"/>
      <c r="G270" s="132">
        <f t="shared" si="25"/>
        <v>22.072630705383357</v>
      </c>
      <c r="H270" s="136"/>
      <c r="I270" s="132">
        <f t="shared" si="26"/>
        <v>3178.4588215752033</v>
      </c>
      <c r="J270" s="132">
        <f t="shared" si="27"/>
        <v>782228.86939978192</v>
      </c>
      <c r="K270" s="60"/>
      <c r="L270" s="204"/>
      <c r="M270" s="204"/>
      <c r="N270" s="204"/>
    </row>
    <row r="271" spans="1:14" s="190" customFormat="1" x14ac:dyDescent="0.35">
      <c r="A271" s="142">
        <v>43376</v>
      </c>
      <c r="B271" s="140" t="s">
        <v>558</v>
      </c>
      <c r="C271" s="206"/>
      <c r="D271" s="206">
        <f>2.85+2</f>
        <v>4.8499999999999996</v>
      </c>
      <c r="E271" s="135">
        <f t="shared" si="24"/>
        <v>35434.009999999995</v>
      </c>
      <c r="F271" s="136"/>
      <c r="G271" s="132">
        <f t="shared" si="25"/>
        <v>22.072630705383357</v>
      </c>
      <c r="H271" s="136"/>
      <c r="I271" s="132">
        <f t="shared" si="26"/>
        <v>107.05225892110927</v>
      </c>
      <c r="J271" s="132">
        <f t="shared" si="27"/>
        <v>782121.81714086083</v>
      </c>
      <c r="K271" s="60"/>
      <c r="L271" s="204"/>
      <c r="M271" s="204"/>
      <c r="N271" s="204"/>
    </row>
    <row r="272" spans="1:14" s="190" customFormat="1" x14ac:dyDescent="0.35">
      <c r="A272" s="142">
        <v>43377</v>
      </c>
      <c r="B272" s="140" t="s">
        <v>560</v>
      </c>
      <c r="C272" s="206"/>
      <c r="D272" s="206">
        <f>10*5.2</f>
        <v>52</v>
      </c>
      <c r="E272" s="135">
        <f t="shared" si="24"/>
        <v>35382.009999999995</v>
      </c>
      <c r="F272" s="136"/>
      <c r="G272" s="132">
        <f t="shared" si="25"/>
        <v>22.072630705383357</v>
      </c>
      <c r="H272" s="136"/>
      <c r="I272" s="132">
        <f t="shared" si="26"/>
        <v>1147.7767966799345</v>
      </c>
      <c r="J272" s="132">
        <f t="shared" si="27"/>
        <v>780974.04034418089</v>
      </c>
      <c r="K272" s="60"/>
      <c r="L272" s="204"/>
      <c r="M272" s="204"/>
      <c r="N272" s="204"/>
    </row>
    <row r="273" spans="1:14" s="190" customFormat="1" x14ac:dyDescent="0.35">
      <c r="A273" s="142">
        <v>43377</v>
      </c>
      <c r="B273" s="140" t="s">
        <v>562</v>
      </c>
      <c r="C273" s="206"/>
      <c r="D273" s="206">
        <f>6*5</f>
        <v>30</v>
      </c>
      <c r="E273" s="135">
        <f t="shared" si="24"/>
        <v>35352.009999999995</v>
      </c>
      <c r="F273" s="136"/>
      <c r="G273" s="132">
        <f t="shared" si="25"/>
        <v>22.072630705383357</v>
      </c>
      <c r="H273" s="136"/>
      <c r="I273" s="132">
        <f t="shared" si="26"/>
        <v>662.17892116150074</v>
      </c>
      <c r="J273" s="132">
        <f t="shared" si="27"/>
        <v>780311.86142301944</v>
      </c>
      <c r="K273" s="60"/>
      <c r="L273" s="204"/>
      <c r="M273" s="204"/>
      <c r="N273" s="204"/>
    </row>
    <row r="274" spans="1:14" s="190" customFormat="1" x14ac:dyDescent="0.35">
      <c r="A274" s="142">
        <v>43377</v>
      </c>
      <c r="B274" s="140" t="s">
        <v>564</v>
      </c>
      <c r="C274" s="206"/>
      <c r="D274" s="206">
        <f>11*5</f>
        <v>55</v>
      </c>
      <c r="E274" s="135">
        <f t="shared" si="24"/>
        <v>35297.009999999995</v>
      </c>
      <c r="F274" s="136"/>
      <c r="G274" s="132">
        <f t="shared" si="25"/>
        <v>22.072630705383357</v>
      </c>
      <c r="H274" s="136"/>
      <c r="I274" s="132">
        <f t="shared" si="26"/>
        <v>1213.9946887960846</v>
      </c>
      <c r="J274" s="132">
        <f t="shared" si="27"/>
        <v>779097.86673422332</v>
      </c>
      <c r="K274" s="60"/>
      <c r="L274" s="204"/>
      <c r="M274" s="204"/>
      <c r="N274" s="204"/>
    </row>
    <row r="275" spans="1:14" s="190" customFormat="1" x14ac:dyDescent="0.35">
      <c r="A275" s="142">
        <v>43379</v>
      </c>
      <c r="B275" s="140" t="s">
        <v>565</v>
      </c>
      <c r="C275" s="206"/>
      <c r="D275" s="206">
        <f>2*3.15</f>
        <v>6.3</v>
      </c>
      <c r="E275" s="135">
        <f t="shared" si="24"/>
        <v>35290.709999999992</v>
      </c>
      <c r="F275" s="136"/>
      <c r="G275" s="132">
        <f t="shared" si="25"/>
        <v>22.072630705383357</v>
      </c>
      <c r="H275" s="136"/>
      <c r="I275" s="132">
        <f t="shared" si="26"/>
        <v>139.05757344391515</v>
      </c>
      <c r="J275" s="132">
        <f t="shared" si="27"/>
        <v>778958.80916077946</v>
      </c>
      <c r="K275" s="60"/>
      <c r="L275" s="204"/>
      <c r="M275" s="204"/>
      <c r="N275" s="204"/>
    </row>
    <row r="276" spans="1:14" s="190" customFormat="1" x14ac:dyDescent="0.35">
      <c r="A276" s="142">
        <v>43382</v>
      </c>
      <c r="B276" s="140" t="s">
        <v>568</v>
      </c>
      <c r="C276" s="206"/>
      <c r="D276" s="206">
        <f>2*3+2*2.5</f>
        <v>11</v>
      </c>
      <c r="E276" s="135">
        <f t="shared" si="24"/>
        <v>35279.709999999992</v>
      </c>
      <c r="F276" s="136"/>
      <c r="G276" s="132">
        <f t="shared" si="25"/>
        <v>22.072630705383361</v>
      </c>
      <c r="H276" s="136"/>
      <c r="I276" s="132">
        <f t="shared" si="26"/>
        <v>242.79893775921698</v>
      </c>
      <c r="J276" s="132">
        <f t="shared" si="27"/>
        <v>778716.01022302022</v>
      </c>
      <c r="K276" s="60"/>
      <c r="L276" s="204"/>
      <c r="M276" s="204"/>
      <c r="N276" s="204"/>
    </row>
    <row r="277" spans="1:14" s="190" customFormat="1" x14ac:dyDescent="0.35">
      <c r="A277" s="142">
        <v>43382</v>
      </c>
      <c r="B277" s="140" t="s">
        <v>570</v>
      </c>
      <c r="C277" s="206"/>
      <c r="D277" s="206">
        <f>6*2.2</f>
        <v>13.200000000000001</v>
      </c>
      <c r="E277" s="135">
        <f t="shared" si="24"/>
        <v>35266.509999999995</v>
      </c>
      <c r="F277" s="136"/>
      <c r="G277" s="132">
        <f t="shared" si="25"/>
        <v>22.072630705383361</v>
      </c>
      <c r="H277" s="136"/>
      <c r="I277" s="132">
        <f t="shared" si="26"/>
        <v>291.35872531106037</v>
      </c>
      <c r="J277" s="132">
        <f t="shared" si="27"/>
        <v>778424.6514977091</v>
      </c>
      <c r="K277" s="60"/>
      <c r="L277" s="204"/>
      <c r="M277" s="204"/>
      <c r="N277" s="204"/>
    </row>
    <row r="278" spans="1:14" s="190" customFormat="1" x14ac:dyDescent="0.35">
      <c r="A278" s="142">
        <v>43383</v>
      </c>
      <c r="B278" s="140" t="s">
        <v>576</v>
      </c>
      <c r="C278" s="206"/>
      <c r="D278" s="206">
        <f>6*3.3</f>
        <v>19.799999999999997</v>
      </c>
      <c r="E278" s="135">
        <f t="shared" si="24"/>
        <v>35246.709999999992</v>
      </c>
      <c r="F278" s="136"/>
      <c r="G278" s="132">
        <f t="shared" si="25"/>
        <v>22.072630705383357</v>
      </c>
      <c r="H278" s="136"/>
      <c r="I278" s="132">
        <f t="shared" si="26"/>
        <v>437.03808796659041</v>
      </c>
      <c r="J278" s="132">
        <f t="shared" si="27"/>
        <v>777987.61340974248</v>
      </c>
      <c r="K278" s="60"/>
      <c r="L278" s="204"/>
      <c r="M278" s="204"/>
      <c r="N278" s="204"/>
    </row>
    <row r="279" spans="1:14" s="190" customFormat="1" x14ac:dyDescent="0.35">
      <c r="A279" s="142">
        <v>43384</v>
      </c>
      <c r="B279" s="140" t="s">
        <v>577</v>
      </c>
      <c r="C279" s="206"/>
      <c r="D279" s="206">
        <v>0</v>
      </c>
      <c r="E279" s="135">
        <f t="shared" si="24"/>
        <v>35246.709999999992</v>
      </c>
      <c r="F279" s="136"/>
      <c r="G279" s="132">
        <f t="shared" si="25"/>
        <v>22.072630705383357</v>
      </c>
      <c r="H279" s="136"/>
      <c r="I279" s="132">
        <f t="shared" si="26"/>
        <v>0</v>
      </c>
      <c r="J279" s="132">
        <f t="shared" si="27"/>
        <v>777987.61340974248</v>
      </c>
      <c r="K279" s="60"/>
      <c r="L279" s="204"/>
      <c r="M279" s="204"/>
      <c r="N279" s="204"/>
    </row>
    <row r="280" spans="1:14" s="190" customFormat="1" x14ac:dyDescent="0.35">
      <c r="A280" s="142">
        <v>43384</v>
      </c>
      <c r="B280" s="140" t="s">
        <v>578</v>
      </c>
      <c r="C280" s="206"/>
      <c r="D280" s="206">
        <f>5*5.6+7*4.8</f>
        <v>61.6</v>
      </c>
      <c r="E280" s="135">
        <f t="shared" si="24"/>
        <v>35185.109999999993</v>
      </c>
      <c r="F280" s="136"/>
      <c r="G280" s="132">
        <f t="shared" si="25"/>
        <v>22.072630705383357</v>
      </c>
      <c r="H280" s="136"/>
      <c r="I280" s="132">
        <f t="shared" si="26"/>
        <v>1359.6740514516148</v>
      </c>
      <c r="J280" s="132">
        <f t="shared" si="27"/>
        <v>776627.93935829087</v>
      </c>
      <c r="K280" s="60"/>
      <c r="L280" s="204"/>
      <c r="M280" s="204"/>
      <c r="N280" s="204"/>
    </row>
    <row r="281" spans="1:14" s="190" customFormat="1" x14ac:dyDescent="0.35">
      <c r="A281" s="142">
        <v>43384</v>
      </c>
      <c r="B281" s="140" t="s">
        <v>581</v>
      </c>
      <c r="C281" s="206"/>
      <c r="D281" s="206">
        <v>4.7</v>
      </c>
      <c r="E281" s="135">
        <f t="shared" si="24"/>
        <v>35180.409999999996</v>
      </c>
      <c r="F281" s="136"/>
      <c r="G281" s="132">
        <f t="shared" si="25"/>
        <v>22.072630705383357</v>
      </c>
      <c r="H281" s="136"/>
      <c r="I281" s="132">
        <f t="shared" si="26"/>
        <v>103.74136431530178</v>
      </c>
      <c r="J281" s="132">
        <f t="shared" si="27"/>
        <v>776524.1979939756</v>
      </c>
      <c r="K281" s="60"/>
      <c r="L281" s="204"/>
      <c r="M281" s="204"/>
      <c r="N281" s="204"/>
    </row>
    <row r="282" spans="1:14" s="190" customFormat="1" x14ac:dyDescent="0.35">
      <c r="A282" s="142">
        <v>43384</v>
      </c>
      <c r="B282" s="140" t="s">
        <v>582</v>
      </c>
      <c r="C282" s="206"/>
      <c r="D282" s="206">
        <f>10*3.9</f>
        <v>39</v>
      </c>
      <c r="E282" s="135">
        <f t="shared" si="24"/>
        <v>35141.409999999996</v>
      </c>
      <c r="F282" s="136"/>
      <c r="G282" s="132">
        <f t="shared" si="25"/>
        <v>22.072630705383357</v>
      </c>
      <c r="H282" s="136"/>
      <c r="I282" s="132">
        <f t="shared" si="26"/>
        <v>860.83259750995092</v>
      </c>
      <c r="J282" s="132">
        <f t="shared" si="27"/>
        <v>775663.36539646564</v>
      </c>
      <c r="K282" s="60"/>
      <c r="L282" s="204"/>
      <c r="M282" s="204"/>
      <c r="N282" s="204"/>
    </row>
    <row r="283" spans="1:14" s="190" customFormat="1" x14ac:dyDescent="0.35">
      <c r="A283" s="142">
        <v>13</v>
      </c>
      <c r="B283" s="140" t="s">
        <v>585</v>
      </c>
      <c r="C283" s="206"/>
      <c r="D283" s="206">
        <f>12*3.2+2*0.92</f>
        <v>40.240000000000009</v>
      </c>
      <c r="E283" s="135">
        <f t="shared" si="24"/>
        <v>35101.17</v>
      </c>
      <c r="F283" s="136"/>
      <c r="G283" s="132">
        <f t="shared" si="25"/>
        <v>22.072630705383357</v>
      </c>
      <c r="H283" s="136"/>
      <c r="I283" s="132">
        <f t="shared" si="26"/>
        <v>888.20265958462653</v>
      </c>
      <c r="J283" s="132">
        <f t="shared" si="27"/>
        <v>774775.16273688106</v>
      </c>
      <c r="K283" s="60"/>
      <c r="L283" s="204"/>
      <c r="M283" s="204"/>
      <c r="N283" s="204"/>
    </row>
    <row r="284" spans="1:14" s="190" customFormat="1" x14ac:dyDescent="0.35">
      <c r="A284" s="142">
        <v>43386</v>
      </c>
      <c r="B284" s="140" t="s">
        <v>586</v>
      </c>
      <c r="C284" s="206"/>
      <c r="D284" s="206">
        <f>6*2.5</f>
        <v>15</v>
      </c>
      <c r="E284" s="135">
        <f t="shared" si="24"/>
        <v>35086.17</v>
      </c>
      <c r="F284" s="136"/>
      <c r="G284" s="132">
        <f t="shared" si="25"/>
        <v>22.072630705383357</v>
      </c>
      <c r="H284" s="136"/>
      <c r="I284" s="132">
        <f t="shared" si="26"/>
        <v>331.08946058075037</v>
      </c>
      <c r="J284" s="132">
        <f t="shared" si="27"/>
        <v>774444.07327630033</v>
      </c>
      <c r="K284" s="60"/>
      <c r="L284" s="204"/>
      <c r="M284" s="204"/>
      <c r="N284" s="204"/>
    </row>
    <row r="285" spans="1:14" s="190" customFormat="1" x14ac:dyDescent="0.35">
      <c r="A285" s="142">
        <v>43388</v>
      </c>
      <c r="B285" s="140" t="s">
        <v>590</v>
      </c>
      <c r="C285" s="206"/>
      <c r="D285" s="206">
        <f>3*3.15+2.6+2</f>
        <v>14.049999999999999</v>
      </c>
      <c r="E285" s="135">
        <f t="shared" si="24"/>
        <v>35072.119999999995</v>
      </c>
      <c r="F285" s="136"/>
      <c r="G285" s="132">
        <f t="shared" si="25"/>
        <v>22.072630705383357</v>
      </c>
      <c r="H285" s="136"/>
      <c r="I285" s="132">
        <f t="shared" si="26"/>
        <v>310.12046141063615</v>
      </c>
      <c r="J285" s="132">
        <f t="shared" si="27"/>
        <v>774133.95281488972</v>
      </c>
      <c r="K285" s="60"/>
      <c r="L285" s="204"/>
      <c r="M285" s="204"/>
      <c r="N285" s="204"/>
    </row>
    <row r="286" spans="1:14" s="190" customFormat="1" x14ac:dyDescent="0.35">
      <c r="A286" s="142">
        <v>43388</v>
      </c>
      <c r="B286" s="140" t="s">
        <v>591</v>
      </c>
      <c r="C286" s="206"/>
      <c r="D286" s="206">
        <f>15*8</f>
        <v>120</v>
      </c>
      <c r="E286" s="135">
        <f t="shared" si="24"/>
        <v>34952.119999999995</v>
      </c>
      <c r="F286" s="136"/>
      <c r="G286" s="132">
        <f t="shared" si="25"/>
        <v>22.072630705383361</v>
      </c>
      <c r="H286" s="136"/>
      <c r="I286" s="132">
        <f t="shared" si="26"/>
        <v>2648.7156846460034</v>
      </c>
      <c r="J286" s="132">
        <f t="shared" si="27"/>
        <v>771485.23713024368</v>
      </c>
      <c r="K286" s="60"/>
      <c r="L286" s="204"/>
      <c r="M286" s="204"/>
      <c r="N286" s="204"/>
    </row>
    <row r="287" spans="1:14" s="225" customFormat="1" x14ac:dyDescent="0.35">
      <c r="A287" s="228">
        <v>43388</v>
      </c>
      <c r="B287" s="226" t="s">
        <v>592</v>
      </c>
      <c r="C287" s="231"/>
      <c r="D287" s="231">
        <f>15*3.5</f>
        <v>52.5</v>
      </c>
      <c r="E287" s="230">
        <f t="shared" si="24"/>
        <v>34899.619999999995</v>
      </c>
      <c r="F287" s="224"/>
      <c r="G287" s="229">
        <f t="shared" si="25"/>
        <v>22.072630705383357</v>
      </c>
      <c r="H287" s="224"/>
      <c r="I287" s="229">
        <f t="shared" si="26"/>
        <v>1158.8131120326263</v>
      </c>
      <c r="J287" s="229">
        <f t="shared" si="27"/>
        <v>770326.42401821108</v>
      </c>
      <c r="K287" s="226"/>
      <c r="L287" s="32">
        <f>SUM(I265:I287)</f>
        <v>22743.417952519954</v>
      </c>
      <c r="M287" s="227"/>
      <c r="N287" s="27">
        <v>43388</v>
      </c>
    </row>
    <row r="288" spans="1:14" s="190" customFormat="1" x14ac:dyDescent="0.35">
      <c r="A288" s="142">
        <v>43389</v>
      </c>
      <c r="B288" s="140" t="s">
        <v>594</v>
      </c>
      <c r="C288" s="206"/>
      <c r="D288" s="206">
        <f>7*5</f>
        <v>35</v>
      </c>
      <c r="E288" s="135">
        <f t="shared" si="24"/>
        <v>34864.619999999995</v>
      </c>
      <c r="F288" s="136"/>
      <c r="G288" s="132">
        <f t="shared" si="25"/>
        <v>22.072630705383357</v>
      </c>
      <c r="H288" s="136"/>
      <c r="I288" s="132">
        <f t="shared" si="26"/>
        <v>772.54207468841753</v>
      </c>
      <c r="J288" s="132">
        <f t="shared" si="27"/>
        <v>769553.88194352272</v>
      </c>
      <c r="K288" s="60"/>
      <c r="L288" s="204"/>
      <c r="M288" s="204"/>
      <c r="N288" s="204"/>
    </row>
    <row r="289" spans="1:14" s="190" customFormat="1" x14ac:dyDescent="0.35">
      <c r="A289" s="142">
        <v>43390</v>
      </c>
      <c r="B289" s="140" t="s">
        <v>595</v>
      </c>
      <c r="C289" s="206"/>
      <c r="D289" s="206">
        <f>2*4.2+4</f>
        <v>12.4</v>
      </c>
      <c r="E289" s="135">
        <f t="shared" si="24"/>
        <v>34852.219999999994</v>
      </c>
      <c r="F289" s="136"/>
      <c r="G289" s="132">
        <f t="shared" si="25"/>
        <v>22.072630705383361</v>
      </c>
      <c r="H289" s="136"/>
      <c r="I289" s="132">
        <f t="shared" si="26"/>
        <v>273.70062074675366</v>
      </c>
      <c r="J289" s="132">
        <f t="shared" si="27"/>
        <v>769280.18132277601</v>
      </c>
      <c r="K289" s="60"/>
      <c r="L289" s="204"/>
      <c r="M289" s="204"/>
      <c r="N289" s="204"/>
    </row>
    <row r="290" spans="1:14" s="190" customFormat="1" x14ac:dyDescent="0.35">
      <c r="A290" s="142">
        <v>43391</v>
      </c>
      <c r="B290" s="140" t="s">
        <v>597</v>
      </c>
      <c r="C290" s="206"/>
      <c r="D290" s="206">
        <f>2*5</f>
        <v>10</v>
      </c>
      <c r="E290" s="135">
        <f t="shared" si="24"/>
        <v>34842.219999999994</v>
      </c>
      <c r="F290" s="136"/>
      <c r="G290" s="132">
        <f t="shared" si="25"/>
        <v>22.072630705383364</v>
      </c>
      <c r="H290" s="136"/>
      <c r="I290" s="132">
        <f t="shared" si="26"/>
        <v>220.72630705383364</v>
      </c>
      <c r="J290" s="132">
        <f t="shared" si="27"/>
        <v>769059.4550157222</v>
      </c>
      <c r="K290" s="60"/>
      <c r="L290" s="204"/>
      <c r="M290" s="204"/>
      <c r="N290" s="204"/>
    </row>
    <row r="291" spans="1:14" s="190" customFormat="1" x14ac:dyDescent="0.35">
      <c r="A291" s="142">
        <v>43392</v>
      </c>
      <c r="B291" s="140" t="s">
        <v>599</v>
      </c>
      <c r="C291" s="206"/>
      <c r="D291" s="206">
        <f>10*6.9+5.2+2*3.5+3+2*2.5+2+2*1.5+1+3*4.2</f>
        <v>107.80000000000001</v>
      </c>
      <c r="E291" s="135">
        <f t="shared" si="24"/>
        <v>34734.419999999991</v>
      </c>
      <c r="F291" s="136"/>
      <c r="G291" s="132">
        <f t="shared" si="25"/>
        <v>22.072630705383364</v>
      </c>
      <c r="H291" s="136"/>
      <c r="I291" s="132">
        <f t="shared" si="26"/>
        <v>2379.4295900403267</v>
      </c>
      <c r="J291" s="132">
        <f t="shared" si="27"/>
        <v>766680.02542568184</v>
      </c>
      <c r="K291" s="60"/>
      <c r="L291" s="204"/>
      <c r="M291" s="204"/>
      <c r="N291" s="204"/>
    </row>
    <row r="292" spans="1:14" s="190" customFormat="1" x14ac:dyDescent="0.35">
      <c r="A292" s="142">
        <v>43392</v>
      </c>
      <c r="B292" s="140" t="s">
        <v>603</v>
      </c>
      <c r="C292" s="206"/>
      <c r="D292" s="206">
        <f>14*4.35</f>
        <v>60.899999999999991</v>
      </c>
      <c r="E292" s="135">
        <f t="shared" si="24"/>
        <v>34673.51999999999</v>
      </c>
      <c r="F292" s="136"/>
      <c r="G292" s="132">
        <f t="shared" si="25"/>
        <v>22.072630705383364</v>
      </c>
      <c r="H292" s="136"/>
      <c r="I292" s="132">
        <f t="shared" si="26"/>
        <v>1344.2232099578466</v>
      </c>
      <c r="J292" s="132">
        <f t="shared" si="27"/>
        <v>765335.80221572402</v>
      </c>
      <c r="K292" s="60"/>
      <c r="L292" s="204"/>
      <c r="M292" s="204"/>
      <c r="N292" s="204"/>
    </row>
    <row r="293" spans="1:14" s="190" customFormat="1" x14ac:dyDescent="0.35">
      <c r="A293" s="142">
        <v>43395</v>
      </c>
      <c r="B293" s="140" t="s">
        <v>604</v>
      </c>
      <c r="C293" s="206"/>
      <c r="D293" s="206">
        <f>3*3.5</f>
        <v>10.5</v>
      </c>
      <c r="E293" s="135">
        <f t="shared" si="24"/>
        <v>34663.01999999999</v>
      </c>
      <c r="F293" s="136"/>
      <c r="G293" s="132">
        <f t="shared" si="25"/>
        <v>22.072630705383364</v>
      </c>
      <c r="H293" s="136"/>
      <c r="I293" s="132">
        <f t="shared" si="26"/>
        <v>231.76262240652534</v>
      </c>
      <c r="J293" s="132">
        <f t="shared" si="27"/>
        <v>765104.03959331755</v>
      </c>
      <c r="K293" s="60"/>
      <c r="L293" s="204"/>
      <c r="M293" s="204"/>
      <c r="N293" s="204"/>
    </row>
    <row r="294" spans="1:14" s="190" customFormat="1" x14ac:dyDescent="0.35">
      <c r="A294" s="142">
        <v>43396</v>
      </c>
      <c r="B294" s="140" t="s">
        <v>605</v>
      </c>
      <c r="C294" s="206"/>
      <c r="D294" s="206">
        <v>0</v>
      </c>
      <c r="E294" s="135">
        <f t="shared" si="24"/>
        <v>34663.01999999999</v>
      </c>
      <c r="F294" s="136"/>
      <c r="G294" s="132">
        <f t="shared" si="25"/>
        <v>22.072630705383368</v>
      </c>
      <c r="H294" s="136"/>
      <c r="I294" s="132">
        <f t="shared" si="26"/>
        <v>0</v>
      </c>
      <c r="J294" s="132">
        <f t="shared" si="27"/>
        <v>765104.03959331755</v>
      </c>
      <c r="K294" s="60"/>
      <c r="L294" s="204"/>
      <c r="M294" s="204"/>
      <c r="N294" s="204"/>
    </row>
    <row r="295" spans="1:14" s="190" customFormat="1" x14ac:dyDescent="0.35">
      <c r="A295" s="142">
        <v>43396</v>
      </c>
      <c r="B295" s="140" t="s">
        <v>606</v>
      </c>
      <c r="C295" s="206"/>
      <c r="D295" s="206">
        <f>2*3.9</f>
        <v>7.8</v>
      </c>
      <c r="E295" s="135">
        <f t="shared" si="24"/>
        <v>34655.219999999987</v>
      </c>
      <c r="F295" s="136"/>
      <c r="G295" s="132">
        <f t="shared" si="25"/>
        <v>22.072630705383368</v>
      </c>
      <c r="H295" s="136"/>
      <c r="I295" s="132">
        <f t="shared" si="26"/>
        <v>172.16651950199028</v>
      </c>
      <c r="J295" s="132">
        <f t="shared" si="27"/>
        <v>764931.8730738156</v>
      </c>
      <c r="K295" s="60"/>
      <c r="L295" s="204"/>
      <c r="M295" s="204"/>
      <c r="N295" s="204"/>
    </row>
    <row r="296" spans="1:14" s="190" customFormat="1" x14ac:dyDescent="0.35">
      <c r="A296" s="142">
        <v>43397</v>
      </c>
      <c r="B296" s="140" t="s">
        <v>607</v>
      </c>
      <c r="C296" s="206"/>
      <c r="D296" s="206">
        <v>2</v>
      </c>
      <c r="E296" s="135">
        <f t="shared" si="24"/>
        <v>34653.219999999987</v>
      </c>
      <c r="F296" s="136"/>
      <c r="G296" s="132">
        <f t="shared" si="25"/>
        <v>22.072630705383371</v>
      </c>
      <c r="H296" s="136"/>
      <c r="I296" s="132">
        <f t="shared" si="26"/>
        <v>44.145261410766743</v>
      </c>
      <c r="J296" s="132">
        <f t="shared" si="27"/>
        <v>764887.72781240486</v>
      </c>
      <c r="K296" s="60"/>
      <c r="L296" s="204"/>
      <c r="M296" s="204"/>
      <c r="N296" s="204"/>
    </row>
    <row r="297" spans="1:14" s="190" customFormat="1" x14ac:dyDescent="0.35">
      <c r="A297" s="142">
        <v>43397</v>
      </c>
      <c r="B297" s="140" t="s">
        <v>608</v>
      </c>
      <c r="C297" s="206"/>
      <c r="D297" s="206">
        <f>3*4.5</f>
        <v>13.5</v>
      </c>
      <c r="E297" s="135">
        <f t="shared" si="24"/>
        <v>34639.719999999987</v>
      </c>
      <c r="F297" s="136"/>
      <c r="G297" s="132">
        <f t="shared" si="25"/>
        <v>22.072630705383371</v>
      </c>
      <c r="H297" s="136"/>
      <c r="I297" s="132">
        <f t="shared" si="26"/>
        <v>297.98051452267549</v>
      </c>
      <c r="J297" s="132">
        <f t="shared" si="27"/>
        <v>764589.74729788222</v>
      </c>
      <c r="K297" s="60"/>
      <c r="L297" s="204"/>
      <c r="M297" s="204"/>
      <c r="N297" s="204"/>
    </row>
    <row r="298" spans="1:14" s="190" customFormat="1" x14ac:dyDescent="0.35">
      <c r="A298" s="142">
        <v>43398</v>
      </c>
      <c r="B298" s="140" t="s">
        <v>610</v>
      </c>
      <c r="C298" s="206"/>
      <c r="D298" s="206">
        <f>11*6</f>
        <v>66</v>
      </c>
      <c r="E298" s="135">
        <f t="shared" si="24"/>
        <v>34573.719999999987</v>
      </c>
      <c r="F298" s="136"/>
      <c r="G298" s="132">
        <f t="shared" si="25"/>
        <v>22.072630705383371</v>
      </c>
      <c r="H298" s="136"/>
      <c r="I298" s="132">
        <f t="shared" si="26"/>
        <v>1456.7936265553026</v>
      </c>
      <c r="J298" s="132">
        <f t="shared" si="27"/>
        <v>763132.95367132686</v>
      </c>
      <c r="K298" s="60"/>
      <c r="L298" s="204"/>
      <c r="M298" s="204"/>
      <c r="N298" s="204"/>
    </row>
    <row r="299" spans="1:14" s="190" customFormat="1" x14ac:dyDescent="0.35">
      <c r="A299" s="142">
        <v>43399</v>
      </c>
      <c r="B299" s="140" t="s">
        <v>611</v>
      </c>
      <c r="C299" s="206"/>
      <c r="D299" s="206">
        <f>4*1.1</f>
        <v>4.4000000000000004</v>
      </c>
      <c r="E299" s="135">
        <f t="shared" si="24"/>
        <v>34569.319999999985</v>
      </c>
      <c r="F299" s="136"/>
      <c r="G299" s="132">
        <f t="shared" si="25"/>
        <v>22.072630705383371</v>
      </c>
      <c r="H299" s="136"/>
      <c r="I299" s="132">
        <f t="shared" si="26"/>
        <v>97.119575103686842</v>
      </c>
      <c r="J299" s="132">
        <f t="shared" si="27"/>
        <v>763035.83409622312</v>
      </c>
      <c r="K299" s="60"/>
      <c r="L299" s="204"/>
      <c r="M299" s="204"/>
      <c r="N299" s="204"/>
    </row>
    <row r="300" spans="1:14" s="190" customFormat="1" x14ac:dyDescent="0.35">
      <c r="A300" s="142">
        <v>43399</v>
      </c>
      <c r="B300" s="140" t="s">
        <v>613</v>
      </c>
      <c r="C300" s="206"/>
      <c r="D300" s="206">
        <f>8*4.5</f>
        <v>36</v>
      </c>
      <c r="E300" s="135">
        <f t="shared" si="24"/>
        <v>34533.319999999985</v>
      </c>
      <c r="F300" s="136"/>
      <c r="G300" s="132">
        <f t="shared" si="25"/>
        <v>22.072630705383371</v>
      </c>
      <c r="H300" s="136"/>
      <c r="I300" s="132">
        <f t="shared" si="26"/>
        <v>794.61470539380139</v>
      </c>
      <c r="J300" s="132">
        <f t="shared" si="27"/>
        <v>762241.21939082933</v>
      </c>
      <c r="K300" s="60"/>
      <c r="L300" s="204"/>
      <c r="M300" s="204"/>
      <c r="N300" s="204"/>
    </row>
    <row r="301" spans="1:14" s="190" customFormat="1" x14ac:dyDescent="0.35">
      <c r="A301" s="142">
        <v>43399</v>
      </c>
      <c r="B301" s="140" t="s">
        <v>615</v>
      </c>
      <c r="C301" s="206"/>
      <c r="D301" s="206">
        <f>24*3</f>
        <v>72</v>
      </c>
      <c r="E301" s="135">
        <f t="shared" si="24"/>
        <v>34461.319999999985</v>
      </c>
      <c r="F301" s="136"/>
      <c r="G301" s="132">
        <f t="shared" si="25"/>
        <v>22.072630705383371</v>
      </c>
      <c r="H301" s="136"/>
      <c r="I301" s="132">
        <f t="shared" si="26"/>
        <v>1589.2294107876028</v>
      </c>
      <c r="J301" s="132">
        <f t="shared" si="27"/>
        <v>760651.98998004175</v>
      </c>
      <c r="K301" s="60"/>
      <c r="L301" s="204"/>
      <c r="M301" s="204"/>
      <c r="N301" s="204"/>
    </row>
    <row r="302" spans="1:14" s="190" customFormat="1" x14ac:dyDescent="0.35">
      <c r="A302" s="142">
        <v>43399</v>
      </c>
      <c r="B302" s="140" t="s">
        <v>616</v>
      </c>
      <c r="C302" s="206"/>
      <c r="D302" s="206">
        <f>26*0.2</f>
        <v>5.2</v>
      </c>
      <c r="E302" s="135">
        <f t="shared" si="24"/>
        <v>34456.119999999988</v>
      </c>
      <c r="F302" s="136"/>
      <c r="G302" s="132">
        <f t="shared" si="25"/>
        <v>22.072630705383371</v>
      </c>
      <c r="H302" s="136"/>
      <c r="I302" s="132">
        <f t="shared" si="26"/>
        <v>114.77767966799354</v>
      </c>
      <c r="J302" s="132">
        <f t="shared" si="27"/>
        <v>760537.21230037371</v>
      </c>
      <c r="K302" s="60"/>
      <c r="L302" s="204"/>
      <c r="M302" s="204"/>
      <c r="N302" s="204"/>
    </row>
    <row r="303" spans="1:14" s="190" customFormat="1" x14ac:dyDescent="0.35">
      <c r="A303" s="142">
        <v>43400</v>
      </c>
      <c r="B303" s="140" t="s">
        <v>618</v>
      </c>
      <c r="C303" s="206"/>
      <c r="D303" s="206">
        <f>14*3.25+13*3.75+6</f>
        <v>100.25</v>
      </c>
      <c r="E303" s="135">
        <f t="shared" si="24"/>
        <v>34355.869999999988</v>
      </c>
      <c r="F303" s="136"/>
      <c r="G303" s="132">
        <f t="shared" si="25"/>
        <v>22.072630705383368</v>
      </c>
      <c r="H303" s="136"/>
      <c r="I303" s="132">
        <f t="shared" si="26"/>
        <v>2212.7812282146824</v>
      </c>
      <c r="J303" s="132">
        <f t="shared" si="27"/>
        <v>758324.43107215897</v>
      </c>
      <c r="K303" s="60"/>
      <c r="L303" s="204"/>
      <c r="M303" s="204"/>
      <c r="N303" s="204"/>
    </row>
    <row r="304" spans="1:14" s="190" customFormat="1" x14ac:dyDescent="0.35">
      <c r="A304" s="142">
        <v>43400</v>
      </c>
      <c r="B304" s="140" t="s">
        <v>623</v>
      </c>
      <c r="C304" s="206"/>
      <c r="D304" s="206">
        <f>6*3</f>
        <v>18</v>
      </c>
      <c r="E304" s="135">
        <f t="shared" si="24"/>
        <v>34337.869999999988</v>
      </c>
      <c r="F304" s="136"/>
      <c r="G304" s="132">
        <f t="shared" si="25"/>
        <v>22.072630705383368</v>
      </c>
      <c r="H304" s="136"/>
      <c r="I304" s="132">
        <f t="shared" si="26"/>
        <v>397.30735269690064</v>
      </c>
      <c r="J304" s="132">
        <f t="shared" si="27"/>
        <v>757927.12371946208</v>
      </c>
      <c r="K304" s="60"/>
      <c r="L304" s="204"/>
      <c r="M304" s="204"/>
      <c r="N304" s="204"/>
    </row>
    <row r="305" spans="1:14" s="190" customFormat="1" x14ac:dyDescent="0.35">
      <c r="A305" s="142">
        <v>43400</v>
      </c>
      <c r="B305" s="140" t="s">
        <v>624</v>
      </c>
      <c r="C305" s="206"/>
      <c r="D305" s="206">
        <f>7*4.2</f>
        <v>29.400000000000002</v>
      </c>
      <c r="E305" s="135">
        <f t="shared" si="24"/>
        <v>34308.469999999987</v>
      </c>
      <c r="F305" s="136"/>
      <c r="G305" s="132">
        <f t="shared" si="25"/>
        <v>22.072630705383368</v>
      </c>
      <c r="H305" s="136"/>
      <c r="I305" s="132">
        <f t="shared" si="26"/>
        <v>648.93534273827106</v>
      </c>
      <c r="J305" s="132">
        <f t="shared" si="27"/>
        <v>757278.18837672379</v>
      </c>
      <c r="K305" s="60"/>
      <c r="L305" s="204"/>
      <c r="M305" s="204"/>
      <c r="N305" s="204"/>
    </row>
    <row r="306" spans="1:14" s="190" customFormat="1" x14ac:dyDescent="0.35">
      <c r="A306" s="142">
        <v>43400</v>
      </c>
      <c r="B306" s="140" t="s">
        <v>625</v>
      </c>
      <c r="C306" s="206"/>
      <c r="D306" s="206">
        <f>10*2</f>
        <v>20</v>
      </c>
      <c r="E306" s="135">
        <f t="shared" si="24"/>
        <v>34288.469999999987</v>
      </c>
      <c r="F306" s="136"/>
      <c r="G306" s="132">
        <f t="shared" si="25"/>
        <v>22.072630705383368</v>
      </c>
      <c r="H306" s="136"/>
      <c r="I306" s="132">
        <f t="shared" si="26"/>
        <v>441.45261410766739</v>
      </c>
      <c r="J306" s="132">
        <f t="shared" si="27"/>
        <v>756836.73576261615</v>
      </c>
      <c r="K306" s="60"/>
      <c r="L306" s="204"/>
      <c r="M306" s="204"/>
      <c r="N306" s="204"/>
    </row>
    <row r="307" spans="1:14" s="190" customFormat="1" x14ac:dyDescent="0.35">
      <c r="A307" s="142">
        <v>43400</v>
      </c>
      <c r="B307" s="140" t="s">
        <v>626</v>
      </c>
      <c r="C307" s="206"/>
      <c r="D307" s="206">
        <f>14*5.7+7*5.86+7*6.66+2*2.9+9*3.85+6</f>
        <v>213.89000000000001</v>
      </c>
      <c r="E307" s="135">
        <f t="shared" si="24"/>
        <v>34074.579999999987</v>
      </c>
      <c r="F307" s="136"/>
      <c r="G307" s="132">
        <f t="shared" si="25"/>
        <v>22.072630705383368</v>
      </c>
      <c r="H307" s="136"/>
      <c r="I307" s="132">
        <f t="shared" si="26"/>
        <v>4721.1149815744493</v>
      </c>
      <c r="J307" s="132">
        <f t="shared" si="27"/>
        <v>752115.62078104168</v>
      </c>
      <c r="K307" s="60"/>
      <c r="L307" s="204"/>
      <c r="M307" s="204"/>
      <c r="N307" s="204"/>
    </row>
    <row r="308" spans="1:14" s="190" customFormat="1" x14ac:dyDescent="0.35">
      <c r="A308" s="142">
        <v>43402</v>
      </c>
      <c r="B308" s="140" t="s">
        <v>628</v>
      </c>
      <c r="C308" s="206"/>
      <c r="D308" s="206">
        <v>3.25</v>
      </c>
      <c r="E308" s="135">
        <f t="shared" si="24"/>
        <v>34071.329999999987</v>
      </c>
      <c r="F308" s="136"/>
      <c r="G308" s="132">
        <f t="shared" si="25"/>
        <v>22.072630705383368</v>
      </c>
      <c r="H308" s="136"/>
      <c r="I308" s="132">
        <f t="shared" si="26"/>
        <v>71.736049792495947</v>
      </c>
      <c r="J308" s="132">
        <f t="shared" si="27"/>
        <v>752043.88473124919</v>
      </c>
      <c r="K308" s="60"/>
      <c r="L308" s="204"/>
      <c r="M308" s="204"/>
      <c r="N308" s="204"/>
    </row>
    <row r="309" spans="1:14" s="190" customFormat="1" x14ac:dyDescent="0.35">
      <c r="A309" s="142">
        <v>43403</v>
      </c>
      <c r="B309" s="140" t="s">
        <v>629</v>
      </c>
      <c r="C309" s="206"/>
      <c r="D309" s="206">
        <f>6*4</f>
        <v>24</v>
      </c>
      <c r="E309" s="135">
        <f t="shared" si="24"/>
        <v>34047.329999999987</v>
      </c>
      <c r="F309" s="136"/>
      <c r="G309" s="132">
        <f t="shared" si="25"/>
        <v>22.072630705383368</v>
      </c>
      <c r="H309" s="136"/>
      <c r="I309" s="132">
        <f t="shared" si="26"/>
        <v>529.74313692920077</v>
      </c>
      <c r="J309" s="132">
        <f t="shared" si="27"/>
        <v>751514.14159431995</v>
      </c>
      <c r="K309" s="60"/>
      <c r="L309" s="204"/>
      <c r="M309" s="204"/>
      <c r="N309" s="204"/>
    </row>
    <row r="310" spans="1:14" s="190" customFormat="1" x14ac:dyDescent="0.35">
      <c r="A310" s="142">
        <v>43403</v>
      </c>
      <c r="B310" s="140" t="s">
        <v>630</v>
      </c>
      <c r="C310" s="206"/>
      <c r="D310" s="206">
        <v>1.75</v>
      </c>
      <c r="E310" s="135">
        <f t="shared" si="24"/>
        <v>34045.579999999987</v>
      </c>
      <c r="F310" s="136"/>
      <c r="G310" s="132">
        <f t="shared" si="25"/>
        <v>22.072630705383364</v>
      </c>
      <c r="H310" s="136"/>
      <c r="I310" s="132">
        <f t="shared" si="26"/>
        <v>38.627103734420885</v>
      </c>
      <c r="J310" s="132">
        <f t="shared" si="27"/>
        <v>751475.51449058554</v>
      </c>
      <c r="K310" s="60"/>
      <c r="L310" s="204"/>
      <c r="M310" s="204"/>
      <c r="N310" s="204"/>
    </row>
    <row r="311" spans="1:14" s="225" customFormat="1" x14ac:dyDescent="0.35">
      <c r="A311" s="228">
        <v>43404</v>
      </c>
      <c r="B311" s="226" t="s">
        <v>631</v>
      </c>
      <c r="C311" s="231"/>
      <c r="D311" s="231">
        <f>15*7.8</f>
        <v>117</v>
      </c>
      <c r="E311" s="230">
        <f t="shared" si="24"/>
        <v>33928.579999999987</v>
      </c>
      <c r="F311" s="224"/>
      <c r="G311" s="229">
        <f t="shared" si="25"/>
        <v>22.072630705383368</v>
      </c>
      <c r="H311" s="224"/>
      <c r="I311" s="229">
        <f t="shared" si="26"/>
        <v>2582.497792529854</v>
      </c>
      <c r="J311" s="229">
        <f t="shared" si="27"/>
        <v>748893.01669805567</v>
      </c>
      <c r="K311" s="226"/>
      <c r="L311" s="32">
        <f>SUM(I288:I311)</f>
        <v>21433.407320155467</v>
      </c>
      <c r="M311" s="32">
        <f>SUM(L287:L311)</f>
        <v>44176.825272675422</v>
      </c>
      <c r="N311" s="27">
        <v>43404</v>
      </c>
    </row>
    <row r="312" spans="1:14" s="190" customFormat="1" x14ac:dyDescent="0.35">
      <c r="A312" s="142">
        <v>43405</v>
      </c>
      <c r="B312" s="140" t="s">
        <v>632</v>
      </c>
      <c r="C312" s="206"/>
      <c r="D312" s="206">
        <f>2*3.75</f>
        <v>7.5</v>
      </c>
      <c r="E312" s="135">
        <f t="shared" si="24"/>
        <v>33921.079999999987</v>
      </c>
      <c r="F312" s="136"/>
      <c r="G312" s="132">
        <f t="shared" si="25"/>
        <v>22.072630705383364</v>
      </c>
      <c r="H312" s="136"/>
      <c r="I312" s="132">
        <f t="shared" si="26"/>
        <v>165.54473029037524</v>
      </c>
      <c r="J312" s="132">
        <f t="shared" si="27"/>
        <v>748727.47196776525</v>
      </c>
      <c r="K312" s="60"/>
      <c r="L312" s="204"/>
      <c r="M312" s="204"/>
      <c r="N312" s="204"/>
    </row>
    <row r="313" spans="1:14" s="190" customFormat="1" x14ac:dyDescent="0.35">
      <c r="A313" s="142">
        <v>43407</v>
      </c>
      <c r="B313" s="140" t="s">
        <v>633</v>
      </c>
      <c r="C313" s="206"/>
      <c r="D313" s="206">
        <v>0</v>
      </c>
      <c r="E313" s="135">
        <f t="shared" si="24"/>
        <v>33921.079999999987</v>
      </c>
      <c r="F313" s="136"/>
      <c r="G313" s="132">
        <f t="shared" si="25"/>
        <v>22.072630705383364</v>
      </c>
      <c r="H313" s="136"/>
      <c r="I313" s="132">
        <f t="shared" si="26"/>
        <v>0</v>
      </c>
      <c r="J313" s="132">
        <f t="shared" si="27"/>
        <v>748727.47196776525</v>
      </c>
      <c r="K313" s="60"/>
      <c r="L313" s="204"/>
      <c r="M313" s="204"/>
      <c r="N313" s="204"/>
    </row>
    <row r="314" spans="1:14" s="190" customFormat="1" x14ac:dyDescent="0.35">
      <c r="A314" s="142">
        <v>43407</v>
      </c>
      <c r="B314" s="140" t="s">
        <v>634</v>
      </c>
      <c r="C314" s="206"/>
      <c r="D314" s="206">
        <f>7*5.1</f>
        <v>35.699999999999996</v>
      </c>
      <c r="E314" s="135">
        <f t="shared" si="24"/>
        <v>33885.37999999999</v>
      </c>
      <c r="F314" s="136"/>
      <c r="G314" s="132">
        <f t="shared" si="25"/>
        <v>22.072630705383364</v>
      </c>
      <c r="H314" s="136"/>
      <c r="I314" s="132">
        <f t="shared" si="26"/>
        <v>787.99291618218604</v>
      </c>
      <c r="J314" s="132">
        <f t="shared" si="27"/>
        <v>747939.4790515831</v>
      </c>
      <c r="K314" s="60"/>
      <c r="L314" s="204"/>
      <c r="M314" s="204"/>
      <c r="N314" s="204"/>
    </row>
    <row r="315" spans="1:14" s="190" customFormat="1" x14ac:dyDescent="0.35">
      <c r="A315" s="142">
        <v>43405</v>
      </c>
      <c r="B315" s="140" t="s">
        <v>635</v>
      </c>
      <c r="C315" s="206"/>
      <c r="D315" s="206">
        <f>3*1.8</f>
        <v>5.4</v>
      </c>
      <c r="E315" s="135">
        <f t="shared" si="24"/>
        <v>33879.979999999989</v>
      </c>
      <c r="F315" s="136"/>
      <c r="G315" s="132">
        <f t="shared" si="25"/>
        <v>22.072630705383364</v>
      </c>
      <c r="H315" s="136"/>
      <c r="I315" s="132">
        <f t="shared" si="26"/>
        <v>119.19220580907017</v>
      </c>
      <c r="J315" s="132">
        <f t="shared" si="27"/>
        <v>747820.28684577404</v>
      </c>
      <c r="K315" s="60"/>
      <c r="L315" s="204"/>
      <c r="M315" s="204"/>
      <c r="N315" s="204"/>
    </row>
    <row r="316" spans="1:14" s="190" customFormat="1" x14ac:dyDescent="0.35">
      <c r="A316" s="142">
        <v>43409</v>
      </c>
      <c r="B316" s="140" t="s">
        <v>637</v>
      </c>
      <c r="C316" s="206"/>
      <c r="D316" s="206">
        <f>2*6+5</f>
        <v>17</v>
      </c>
      <c r="E316" s="135">
        <f t="shared" si="24"/>
        <v>33862.979999999989</v>
      </c>
      <c r="F316" s="136"/>
      <c r="G316" s="132">
        <f t="shared" si="25"/>
        <v>22.072630705383364</v>
      </c>
      <c r="H316" s="136"/>
      <c r="I316" s="132">
        <f t="shared" si="26"/>
        <v>375.23472199151718</v>
      </c>
      <c r="J316" s="132">
        <f t="shared" si="27"/>
        <v>747445.05212378257</v>
      </c>
      <c r="K316" s="60"/>
      <c r="L316" s="204"/>
      <c r="M316" s="204"/>
      <c r="N316" s="204"/>
    </row>
    <row r="317" spans="1:14" s="190" customFormat="1" x14ac:dyDescent="0.35">
      <c r="A317" s="142">
        <v>43409</v>
      </c>
      <c r="B317" s="140" t="s">
        <v>638</v>
      </c>
      <c r="C317" s="206"/>
      <c r="D317" s="206">
        <v>3.5</v>
      </c>
      <c r="E317" s="135">
        <f t="shared" si="24"/>
        <v>33859.479999999989</v>
      </c>
      <c r="F317" s="136"/>
      <c r="G317" s="132">
        <f t="shared" si="25"/>
        <v>22.072630705383368</v>
      </c>
      <c r="H317" s="136"/>
      <c r="I317" s="132">
        <f t="shared" si="26"/>
        <v>77.254207468841784</v>
      </c>
      <c r="J317" s="132">
        <f t="shared" si="27"/>
        <v>747367.79791631375</v>
      </c>
      <c r="K317" s="60"/>
      <c r="L317" s="204"/>
      <c r="M317" s="204"/>
      <c r="N317" s="204"/>
    </row>
    <row r="318" spans="1:14" s="190" customFormat="1" x14ac:dyDescent="0.35">
      <c r="A318" s="142">
        <v>43409</v>
      </c>
      <c r="B318" s="140" t="s">
        <v>639</v>
      </c>
      <c r="C318" s="206"/>
      <c r="D318" s="206">
        <f>6*5.3</f>
        <v>31.799999999999997</v>
      </c>
      <c r="E318" s="135">
        <f t="shared" si="24"/>
        <v>33827.679999999986</v>
      </c>
      <c r="F318" s="136"/>
      <c r="G318" s="132">
        <f t="shared" si="25"/>
        <v>22.072630705383368</v>
      </c>
      <c r="H318" s="136"/>
      <c r="I318" s="132">
        <f t="shared" si="26"/>
        <v>701.90965643119102</v>
      </c>
      <c r="J318" s="132">
        <f t="shared" si="27"/>
        <v>746665.88825988257</v>
      </c>
      <c r="K318" s="60"/>
      <c r="L318" s="204"/>
      <c r="M318" s="204"/>
      <c r="N318" s="204"/>
    </row>
    <row r="319" spans="1:14" s="190" customFormat="1" x14ac:dyDescent="0.35">
      <c r="A319" s="142">
        <v>43409</v>
      </c>
      <c r="B319" s="140" t="s">
        <v>640</v>
      </c>
      <c r="C319" s="206"/>
      <c r="D319" s="206">
        <f>5*4.5</f>
        <v>22.5</v>
      </c>
      <c r="E319" s="135">
        <f t="shared" si="24"/>
        <v>33805.179999999986</v>
      </c>
      <c r="F319" s="136"/>
      <c r="G319" s="132">
        <f t="shared" si="25"/>
        <v>22.072630705383368</v>
      </c>
      <c r="H319" s="136"/>
      <c r="I319" s="132">
        <f t="shared" si="26"/>
        <v>496.63419087112578</v>
      </c>
      <c r="J319" s="132">
        <f t="shared" si="27"/>
        <v>746169.25406901143</v>
      </c>
      <c r="K319" s="60"/>
      <c r="L319" s="204"/>
      <c r="M319" s="204"/>
      <c r="N319" s="204"/>
    </row>
    <row r="320" spans="1:14" s="190" customFormat="1" x14ac:dyDescent="0.35">
      <c r="A320" s="142">
        <v>43409</v>
      </c>
      <c r="B320" s="140" t="s">
        <v>641</v>
      </c>
      <c r="C320" s="206"/>
      <c r="D320" s="206">
        <f>20*3</f>
        <v>60</v>
      </c>
      <c r="E320" s="135">
        <f t="shared" ref="E320:E383" si="28">+E319-D320</f>
        <v>33745.179999999986</v>
      </c>
      <c r="F320" s="136"/>
      <c r="G320" s="132">
        <f t="shared" ref="G320:G383" si="29">+J319/E319</f>
        <v>22.072630705383368</v>
      </c>
      <c r="H320" s="136"/>
      <c r="I320" s="132">
        <f t="shared" ref="I320:I383" si="30">+D320*G320</f>
        <v>1324.3578423230022</v>
      </c>
      <c r="J320" s="132">
        <f t="shared" ref="J320:J383" si="31">+J319-I320</f>
        <v>744844.8962266884</v>
      </c>
      <c r="K320" s="60"/>
      <c r="L320" s="204"/>
      <c r="M320" s="204"/>
      <c r="N320" s="204"/>
    </row>
    <row r="321" spans="1:14" s="190" customFormat="1" x14ac:dyDescent="0.35">
      <c r="A321" s="142">
        <v>43410</v>
      </c>
      <c r="B321" s="140" t="s">
        <v>643</v>
      </c>
      <c r="C321" s="206"/>
      <c r="D321" s="206">
        <f>3*4</f>
        <v>12</v>
      </c>
      <c r="E321" s="135">
        <f t="shared" si="28"/>
        <v>33733.179999999986</v>
      </c>
      <c r="F321" s="136"/>
      <c r="G321" s="132">
        <f t="shared" si="29"/>
        <v>22.072630705383368</v>
      </c>
      <c r="H321" s="136"/>
      <c r="I321" s="132">
        <f t="shared" si="30"/>
        <v>264.87156846460039</v>
      </c>
      <c r="J321" s="132">
        <f t="shared" si="31"/>
        <v>744580.02465822385</v>
      </c>
      <c r="K321" s="60"/>
      <c r="L321" s="204"/>
      <c r="M321" s="204"/>
      <c r="N321" s="204"/>
    </row>
    <row r="322" spans="1:14" s="190" customFormat="1" x14ac:dyDescent="0.35">
      <c r="A322" s="142">
        <v>43410</v>
      </c>
      <c r="B322" s="140" t="s">
        <v>644</v>
      </c>
      <c r="C322" s="206"/>
      <c r="D322" s="206">
        <f>4*2.5</f>
        <v>10</v>
      </c>
      <c r="E322" s="135">
        <f t="shared" si="28"/>
        <v>33723.179999999986</v>
      </c>
      <c r="F322" s="136"/>
      <c r="G322" s="132">
        <f t="shared" si="29"/>
        <v>22.072630705383368</v>
      </c>
      <c r="H322" s="136"/>
      <c r="I322" s="132">
        <f t="shared" si="30"/>
        <v>220.72630705383369</v>
      </c>
      <c r="J322" s="132">
        <f t="shared" si="31"/>
        <v>744359.29835117003</v>
      </c>
      <c r="K322" s="60"/>
      <c r="L322" s="204"/>
      <c r="M322" s="204"/>
      <c r="N322" s="204"/>
    </row>
    <row r="323" spans="1:14" x14ac:dyDescent="0.35">
      <c r="A323" s="142">
        <v>43410</v>
      </c>
      <c r="B323" s="140" t="s">
        <v>645</v>
      </c>
      <c r="C323" s="206"/>
      <c r="D323" s="206">
        <f>11*3.7+2*1.4</f>
        <v>43.5</v>
      </c>
      <c r="E323" s="135">
        <f t="shared" si="28"/>
        <v>33679.679999999986</v>
      </c>
      <c r="F323" s="136"/>
      <c r="G323" s="132">
        <f t="shared" si="29"/>
        <v>22.072630705383368</v>
      </c>
      <c r="H323" s="136"/>
      <c r="I323" s="132">
        <f t="shared" si="30"/>
        <v>960.15943568417651</v>
      </c>
      <c r="J323" s="132">
        <f t="shared" si="31"/>
        <v>743399.13891548582</v>
      </c>
      <c r="K323" s="206"/>
      <c r="L323" s="204"/>
      <c r="M323" s="204"/>
      <c r="N323" s="204"/>
    </row>
    <row r="324" spans="1:14" s="190" customFormat="1" x14ac:dyDescent="0.35">
      <c r="A324" s="142">
        <v>43410</v>
      </c>
      <c r="B324" s="140" t="s">
        <v>646</v>
      </c>
      <c r="C324" s="206"/>
      <c r="D324" s="206">
        <f>32*0.8</f>
        <v>25.6</v>
      </c>
      <c r="E324" s="135">
        <f t="shared" si="28"/>
        <v>33654.079999999987</v>
      </c>
      <c r="F324" s="136"/>
      <c r="G324" s="132">
        <f t="shared" si="29"/>
        <v>22.072630705383368</v>
      </c>
      <c r="H324" s="136"/>
      <c r="I324" s="132">
        <f t="shared" si="30"/>
        <v>565.0593460578142</v>
      </c>
      <c r="J324" s="132">
        <f t="shared" si="31"/>
        <v>742834.079569428</v>
      </c>
      <c r="K324" s="206"/>
      <c r="L324" s="204"/>
      <c r="M324" s="204"/>
      <c r="N324" s="204"/>
    </row>
    <row r="325" spans="1:14" s="190" customFormat="1" x14ac:dyDescent="0.35">
      <c r="A325" s="142">
        <v>43410</v>
      </c>
      <c r="B325" s="140" t="s">
        <v>647</v>
      </c>
      <c r="C325" s="206"/>
      <c r="D325" s="206">
        <f>12*2.35</f>
        <v>28.200000000000003</v>
      </c>
      <c r="E325" s="135">
        <f t="shared" si="28"/>
        <v>33625.87999999999</v>
      </c>
      <c r="F325" s="136"/>
      <c r="G325" s="132">
        <f t="shared" si="29"/>
        <v>22.072630705383368</v>
      </c>
      <c r="H325" s="136"/>
      <c r="I325" s="132">
        <f t="shared" si="30"/>
        <v>622.44818589181102</v>
      </c>
      <c r="J325" s="132">
        <f t="shared" si="31"/>
        <v>742211.63138353615</v>
      </c>
      <c r="K325" s="206"/>
      <c r="L325" s="204"/>
      <c r="M325" s="204"/>
      <c r="N325" s="204"/>
    </row>
    <row r="326" spans="1:14" s="190" customFormat="1" x14ac:dyDescent="0.35">
      <c r="A326" s="142">
        <v>43411</v>
      </c>
      <c r="B326" s="140" t="s">
        <v>651</v>
      </c>
      <c r="C326" s="206"/>
      <c r="D326" s="206">
        <f>17*5.4</f>
        <v>91.800000000000011</v>
      </c>
      <c r="E326" s="135">
        <f t="shared" si="28"/>
        <v>33534.079999999987</v>
      </c>
      <c r="F326" s="136"/>
      <c r="G326" s="132">
        <f t="shared" si="29"/>
        <v>22.072630705383364</v>
      </c>
      <c r="H326" s="136"/>
      <c r="I326" s="132">
        <f t="shared" si="30"/>
        <v>2026.2674987541932</v>
      </c>
      <c r="J326" s="132">
        <f t="shared" si="31"/>
        <v>740185.36388478195</v>
      </c>
      <c r="K326" s="206"/>
      <c r="L326" s="204"/>
      <c r="M326" s="204"/>
      <c r="N326" s="204"/>
    </row>
    <row r="327" spans="1:14" s="190" customFormat="1" x14ac:dyDescent="0.35">
      <c r="A327" s="142">
        <v>43411</v>
      </c>
      <c r="B327" s="140" t="s">
        <v>652</v>
      </c>
      <c r="C327" s="206"/>
      <c r="D327" s="206">
        <f>22*5.9</f>
        <v>129.80000000000001</v>
      </c>
      <c r="E327" s="135">
        <f t="shared" si="28"/>
        <v>33404.279999999984</v>
      </c>
      <c r="F327" s="136"/>
      <c r="G327" s="132">
        <f t="shared" si="29"/>
        <v>22.072630705383368</v>
      </c>
      <c r="H327" s="136"/>
      <c r="I327" s="132">
        <f t="shared" si="30"/>
        <v>2865.0274655587614</v>
      </c>
      <c r="J327" s="132">
        <f t="shared" si="31"/>
        <v>737320.33641922323</v>
      </c>
      <c r="K327" s="206"/>
      <c r="L327" s="204"/>
      <c r="M327" s="204"/>
      <c r="N327" s="204"/>
    </row>
    <row r="328" spans="1:14" s="190" customFormat="1" x14ac:dyDescent="0.35">
      <c r="A328" s="142">
        <v>43412</v>
      </c>
      <c r="B328" s="140" t="s">
        <v>653</v>
      </c>
      <c r="C328" s="206"/>
      <c r="D328" s="206">
        <f>6*5.73+4*4.8+4*2.3</f>
        <v>62.78</v>
      </c>
      <c r="E328" s="135">
        <f t="shared" si="28"/>
        <v>33341.499999999985</v>
      </c>
      <c r="F328" s="136"/>
      <c r="G328" s="132">
        <f t="shared" si="29"/>
        <v>22.072630705383368</v>
      </c>
      <c r="H328" s="136"/>
      <c r="I328" s="132">
        <f t="shared" si="30"/>
        <v>1385.7197556839678</v>
      </c>
      <c r="J328" s="132">
        <f t="shared" si="31"/>
        <v>735934.6166635392</v>
      </c>
      <c r="K328" s="206"/>
      <c r="L328" s="204"/>
      <c r="M328" s="204"/>
      <c r="N328" s="204"/>
    </row>
    <row r="329" spans="1:14" s="190" customFormat="1" x14ac:dyDescent="0.35">
      <c r="A329" s="142">
        <v>43412</v>
      </c>
      <c r="B329" s="140" t="s">
        <v>654</v>
      </c>
      <c r="C329" s="206"/>
      <c r="D329" s="206">
        <f>13*6+16*4.85+9*5+4.25+3.6+3+2.25+1.6</f>
        <v>215.29999999999998</v>
      </c>
      <c r="E329" s="135">
        <f t="shared" si="28"/>
        <v>33126.199999999983</v>
      </c>
      <c r="F329" s="136"/>
      <c r="G329" s="132">
        <f t="shared" si="29"/>
        <v>22.072630705383368</v>
      </c>
      <c r="H329" s="136"/>
      <c r="I329" s="132">
        <f t="shared" si="30"/>
        <v>4752.2373908690388</v>
      </c>
      <c r="J329" s="132">
        <f t="shared" si="31"/>
        <v>731182.37927267014</v>
      </c>
      <c r="K329" s="206"/>
      <c r="L329" s="204"/>
      <c r="M329" s="204"/>
      <c r="N329" s="204"/>
    </row>
    <row r="330" spans="1:14" s="190" customFormat="1" x14ac:dyDescent="0.35">
      <c r="A330" s="142">
        <v>43412</v>
      </c>
      <c r="B330" s="140" t="s">
        <v>655</v>
      </c>
      <c r="C330" s="206"/>
      <c r="D330" s="206">
        <f>1+5.3+4.35+3.4+2.4+1.5+12+0.5</f>
        <v>30.45</v>
      </c>
      <c r="E330" s="135">
        <f t="shared" si="28"/>
        <v>33095.749999999985</v>
      </c>
      <c r="F330" s="136"/>
      <c r="G330" s="132">
        <f t="shared" si="29"/>
        <v>22.072630705383368</v>
      </c>
      <c r="H330" s="136"/>
      <c r="I330" s="132">
        <f t="shared" si="30"/>
        <v>672.11160497892354</v>
      </c>
      <c r="J330" s="132">
        <f t="shared" si="31"/>
        <v>730510.26766769122</v>
      </c>
      <c r="K330" s="206"/>
      <c r="L330" s="204"/>
      <c r="M330" s="204"/>
      <c r="N330" s="204"/>
    </row>
    <row r="331" spans="1:14" s="190" customFormat="1" x14ac:dyDescent="0.35">
      <c r="A331" s="142">
        <v>43412</v>
      </c>
      <c r="B331" s="140" t="s">
        <v>656</v>
      </c>
      <c r="C331" s="206"/>
      <c r="D331" s="206">
        <f>6*5</f>
        <v>30</v>
      </c>
      <c r="E331" s="135">
        <f t="shared" si="28"/>
        <v>33065.749999999985</v>
      </c>
      <c r="F331" s="136"/>
      <c r="G331" s="132">
        <f t="shared" si="29"/>
        <v>22.072630705383368</v>
      </c>
      <c r="H331" s="136"/>
      <c r="I331" s="132">
        <f t="shared" si="30"/>
        <v>662.17892116150108</v>
      </c>
      <c r="J331" s="132">
        <f t="shared" si="31"/>
        <v>729848.08874652977</v>
      </c>
      <c r="K331" s="206"/>
      <c r="L331" s="204"/>
      <c r="M331" s="204"/>
      <c r="N331" s="204"/>
    </row>
    <row r="332" spans="1:14" s="190" customFormat="1" x14ac:dyDescent="0.35">
      <c r="A332" s="142">
        <v>43412</v>
      </c>
      <c r="B332" s="140" t="s">
        <v>657</v>
      </c>
      <c r="C332" s="206"/>
      <c r="D332" s="206">
        <f>17*5</f>
        <v>85</v>
      </c>
      <c r="E332" s="135">
        <f t="shared" si="28"/>
        <v>32980.749999999985</v>
      </c>
      <c r="F332" s="136"/>
      <c r="G332" s="132">
        <f t="shared" si="29"/>
        <v>22.072630705383368</v>
      </c>
      <c r="H332" s="136"/>
      <c r="I332" s="132">
        <f t="shared" si="30"/>
        <v>1876.1736099575862</v>
      </c>
      <c r="J332" s="132">
        <f t="shared" si="31"/>
        <v>727971.91513657221</v>
      </c>
      <c r="K332" s="206"/>
      <c r="L332" s="204"/>
      <c r="M332" s="204"/>
      <c r="N332" s="204"/>
    </row>
    <row r="333" spans="1:14" s="190" customFormat="1" x14ac:dyDescent="0.35">
      <c r="A333" s="142">
        <v>43412</v>
      </c>
      <c r="B333" s="140" t="s">
        <v>658</v>
      </c>
      <c r="C333" s="206"/>
      <c r="D333" s="206">
        <f>10*5.5+4*5.1+2*4.2+2*3.64+6*3.58+3.43+5*1.66+5</f>
        <v>129.29000000000002</v>
      </c>
      <c r="E333" s="135">
        <f t="shared" si="28"/>
        <v>32851.459999999985</v>
      </c>
      <c r="F333" s="136"/>
      <c r="G333" s="132">
        <f t="shared" si="29"/>
        <v>22.072630705383368</v>
      </c>
      <c r="H333" s="136"/>
      <c r="I333" s="132">
        <f t="shared" si="30"/>
        <v>2853.7704238990159</v>
      </c>
      <c r="J333" s="132">
        <f t="shared" si="31"/>
        <v>725118.14471267315</v>
      </c>
      <c r="K333" s="206"/>
      <c r="L333" s="204"/>
      <c r="M333" s="204"/>
      <c r="N333" s="204"/>
    </row>
    <row r="334" spans="1:14" s="190" customFormat="1" x14ac:dyDescent="0.35">
      <c r="A334" s="142">
        <v>43413</v>
      </c>
      <c r="B334" s="140" t="s">
        <v>660</v>
      </c>
      <c r="C334" s="206"/>
      <c r="D334" s="206">
        <f>7*3.45</f>
        <v>24.150000000000002</v>
      </c>
      <c r="E334" s="135">
        <f t="shared" si="28"/>
        <v>32827.309999999983</v>
      </c>
      <c r="F334" s="136"/>
      <c r="G334" s="132">
        <f t="shared" si="29"/>
        <v>22.072630705383368</v>
      </c>
      <c r="H334" s="136"/>
      <c r="I334" s="132">
        <f t="shared" si="30"/>
        <v>533.05403153500833</v>
      </c>
      <c r="J334" s="132">
        <f t="shared" si="31"/>
        <v>724585.0906811381</v>
      </c>
      <c r="K334" s="206"/>
      <c r="L334" s="204"/>
      <c r="M334" s="204"/>
      <c r="N334" s="204"/>
    </row>
    <row r="335" spans="1:14" s="190" customFormat="1" x14ac:dyDescent="0.35">
      <c r="A335" s="142">
        <v>43413</v>
      </c>
      <c r="B335" s="140" t="s">
        <v>661</v>
      </c>
      <c r="C335" s="206"/>
      <c r="D335" s="206">
        <f>14*2.7+3</f>
        <v>40.800000000000004</v>
      </c>
      <c r="E335" s="135">
        <f t="shared" si="28"/>
        <v>32786.50999999998</v>
      </c>
      <c r="F335" s="136"/>
      <c r="G335" s="132">
        <f t="shared" si="29"/>
        <v>22.072630705383368</v>
      </c>
      <c r="H335" s="136"/>
      <c r="I335" s="132">
        <f t="shared" si="30"/>
        <v>900.56333277964154</v>
      </c>
      <c r="J335" s="132">
        <f t="shared" si="31"/>
        <v>723684.52734835842</v>
      </c>
      <c r="K335" s="206"/>
      <c r="L335" s="204"/>
      <c r="M335" s="204"/>
      <c r="N335" s="204"/>
    </row>
    <row r="336" spans="1:14" s="190" customFormat="1" x14ac:dyDescent="0.35">
      <c r="A336" s="142">
        <v>43414</v>
      </c>
      <c r="B336" s="140" t="s">
        <v>665</v>
      </c>
      <c r="C336" s="206"/>
      <c r="D336" s="206">
        <f>5*4.5</f>
        <v>22.5</v>
      </c>
      <c r="E336" s="135">
        <f t="shared" si="28"/>
        <v>32764.00999999998</v>
      </c>
      <c r="F336" s="136"/>
      <c r="G336" s="132">
        <f t="shared" si="29"/>
        <v>22.072630705383368</v>
      </c>
      <c r="H336" s="136"/>
      <c r="I336" s="132">
        <f t="shared" si="30"/>
        <v>496.63419087112578</v>
      </c>
      <c r="J336" s="132">
        <f t="shared" si="31"/>
        <v>723187.89315748727</v>
      </c>
      <c r="K336" s="206"/>
      <c r="L336" s="204"/>
      <c r="M336" s="204"/>
      <c r="N336" s="204"/>
    </row>
    <row r="337" spans="1:14" s="190" customFormat="1" x14ac:dyDescent="0.35">
      <c r="A337" s="142">
        <v>43414</v>
      </c>
      <c r="B337" s="140" t="s">
        <v>666</v>
      </c>
      <c r="C337" s="206"/>
      <c r="D337" s="206">
        <f>3*2.4+3*4.5+2*3.5+2*2</f>
        <v>31.7</v>
      </c>
      <c r="E337" s="135">
        <f t="shared" si="28"/>
        <v>32732.309999999979</v>
      </c>
      <c r="F337" s="136"/>
      <c r="G337" s="132">
        <f t="shared" si="29"/>
        <v>22.072630705383368</v>
      </c>
      <c r="H337" s="136"/>
      <c r="I337" s="132">
        <f t="shared" si="30"/>
        <v>699.70239336065276</v>
      </c>
      <c r="J337" s="132">
        <f t="shared" si="31"/>
        <v>722488.1907641266</v>
      </c>
      <c r="K337" s="206"/>
      <c r="L337" s="204"/>
      <c r="M337" s="204"/>
      <c r="N337" s="204"/>
    </row>
    <row r="338" spans="1:14" s="190" customFormat="1" x14ac:dyDescent="0.35">
      <c r="A338" s="142">
        <v>43416</v>
      </c>
      <c r="B338" s="140" t="s">
        <v>667</v>
      </c>
      <c r="C338" s="206"/>
      <c r="D338" s="206">
        <v>1</v>
      </c>
      <c r="E338" s="135">
        <f t="shared" si="28"/>
        <v>32731.309999999979</v>
      </c>
      <c r="F338" s="136"/>
      <c r="G338" s="132">
        <f t="shared" si="29"/>
        <v>22.072630705383368</v>
      </c>
      <c r="H338" s="136"/>
      <c r="I338" s="132">
        <f t="shared" si="30"/>
        <v>22.072630705383368</v>
      </c>
      <c r="J338" s="132">
        <f t="shared" si="31"/>
        <v>722466.11813342117</v>
      </c>
      <c r="K338" s="206"/>
      <c r="L338" s="204"/>
      <c r="M338" s="204"/>
      <c r="N338" s="204"/>
    </row>
    <row r="339" spans="1:14" s="190" customFormat="1" x14ac:dyDescent="0.35">
      <c r="A339" s="142">
        <v>43416</v>
      </c>
      <c r="B339" s="140" t="s">
        <v>669</v>
      </c>
      <c r="C339" s="206"/>
      <c r="D339" s="206">
        <f>5*5.5</f>
        <v>27.5</v>
      </c>
      <c r="E339" s="135">
        <f t="shared" si="28"/>
        <v>32703.809999999979</v>
      </c>
      <c r="F339" s="136"/>
      <c r="G339" s="132">
        <f t="shared" si="29"/>
        <v>22.072630705383364</v>
      </c>
      <c r="H339" s="136"/>
      <c r="I339" s="132">
        <f t="shared" si="30"/>
        <v>606.99734439804251</v>
      </c>
      <c r="J339" s="132">
        <f t="shared" si="31"/>
        <v>721859.12078902312</v>
      </c>
      <c r="K339" s="206"/>
      <c r="L339" s="204"/>
      <c r="M339" s="204"/>
      <c r="N339" s="204"/>
    </row>
    <row r="340" spans="1:14" x14ac:dyDescent="0.35">
      <c r="A340" s="142">
        <v>43417</v>
      </c>
      <c r="B340" s="63" t="s">
        <v>681</v>
      </c>
      <c r="C340" s="206"/>
      <c r="D340" s="206">
        <f>14*3.1+14*3.55+5*3.8</f>
        <v>112.1</v>
      </c>
      <c r="E340" s="135">
        <f t="shared" si="28"/>
        <v>32591.709999999981</v>
      </c>
      <c r="F340" s="136"/>
      <c r="G340" s="132">
        <f t="shared" si="29"/>
        <v>22.072630705383364</v>
      </c>
      <c r="H340" s="136"/>
      <c r="I340" s="132">
        <f t="shared" si="30"/>
        <v>2474.341902073475</v>
      </c>
      <c r="J340" s="132">
        <f t="shared" si="31"/>
        <v>719384.77888694964</v>
      </c>
      <c r="K340" s="206"/>
      <c r="L340" s="204"/>
      <c r="M340" s="204"/>
      <c r="N340" s="204"/>
    </row>
    <row r="341" spans="1:14" x14ac:dyDescent="0.35">
      <c r="A341" s="142">
        <v>43418</v>
      </c>
      <c r="B341" s="63" t="s">
        <v>682</v>
      </c>
      <c r="C341" s="206"/>
      <c r="D341" s="206">
        <f>6*4.5</f>
        <v>27</v>
      </c>
      <c r="E341" s="135">
        <f t="shared" si="28"/>
        <v>32564.709999999981</v>
      </c>
      <c r="F341" s="136"/>
      <c r="G341" s="132">
        <f t="shared" si="29"/>
        <v>22.072630705383364</v>
      </c>
      <c r="H341" s="136"/>
      <c r="I341" s="132">
        <f t="shared" si="30"/>
        <v>595.96102904535087</v>
      </c>
      <c r="J341" s="132">
        <f t="shared" si="31"/>
        <v>718788.81785790424</v>
      </c>
      <c r="K341" s="206"/>
      <c r="L341" s="204"/>
      <c r="M341" s="204"/>
      <c r="N341" s="204"/>
    </row>
    <row r="342" spans="1:14" s="190" customFormat="1" x14ac:dyDescent="0.35">
      <c r="A342" s="142">
        <v>43418</v>
      </c>
      <c r="B342" s="63" t="s">
        <v>679</v>
      </c>
      <c r="C342" s="206"/>
      <c r="D342" s="206">
        <f>3*6</f>
        <v>18</v>
      </c>
      <c r="E342" s="135">
        <f t="shared" si="28"/>
        <v>32546.709999999981</v>
      </c>
      <c r="F342" s="136"/>
      <c r="G342" s="132">
        <f t="shared" si="29"/>
        <v>22.072630705383364</v>
      </c>
      <c r="H342" s="136"/>
      <c r="I342" s="132">
        <f t="shared" si="30"/>
        <v>397.30735269690058</v>
      </c>
      <c r="J342" s="132">
        <f t="shared" si="31"/>
        <v>718391.51050520735</v>
      </c>
      <c r="K342" s="206"/>
      <c r="L342" s="204"/>
      <c r="M342" s="204"/>
      <c r="N342" s="204"/>
    </row>
    <row r="343" spans="1:14" s="225" customFormat="1" x14ac:dyDescent="0.35">
      <c r="A343" s="228">
        <v>43419</v>
      </c>
      <c r="B343" s="226" t="s">
        <v>680</v>
      </c>
      <c r="C343" s="231"/>
      <c r="D343" s="231">
        <v>4.2</v>
      </c>
      <c r="E343" s="230">
        <f t="shared" si="28"/>
        <v>32542.50999999998</v>
      </c>
      <c r="F343" s="224"/>
      <c r="G343" s="229">
        <f t="shared" si="29"/>
        <v>22.072630705383364</v>
      </c>
      <c r="H343" s="224"/>
      <c r="I343" s="229">
        <f t="shared" si="30"/>
        <v>92.705048962610135</v>
      </c>
      <c r="J343" s="229">
        <f t="shared" si="31"/>
        <v>718298.80545624474</v>
      </c>
      <c r="K343" s="231"/>
      <c r="L343" s="32">
        <f>SUM(I312:I343)</f>
        <v>30594.211241810721</v>
      </c>
      <c r="M343" s="227"/>
      <c r="N343" s="27">
        <v>43419</v>
      </c>
    </row>
    <row r="344" spans="1:14" x14ac:dyDescent="0.35">
      <c r="A344" s="142">
        <v>43420</v>
      </c>
      <c r="B344" s="63" t="s">
        <v>684</v>
      </c>
      <c r="C344" s="206"/>
      <c r="D344" s="206">
        <f>8*6.5</f>
        <v>52</v>
      </c>
      <c r="E344" s="135">
        <f t="shared" si="28"/>
        <v>32490.50999999998</v>
      </c>
      <c r="F344" s="136"/>
      <c r="G344" s="132">
        <f t="shared" si="29"/>
        <v>22.072630705383364</v>
      </c>
      <c r="H344" s="136"/>
      <c r="I344" s="132">
        <f t="shared" si="30"/>
        <v>1147.7767966799349</v>
      </c>
      <c r="J344" s="132">
        <f t="shared" si="31"/>
        <v>717151.02865956479</v>
      </c>
      <c r="K344" s="206"/>
      <c r="L344" s="204"/>
      <c r="M344" s="204"/>
      <c r="N344" s="204"/>
    </row>
    <row r="345" spans="1:14" s="190" customFormat="1" x14ac:dyDescent="0.35">
      <c r="A345" s="142">
        <v>43421</v>
      </c>
      <c r="B345" s="140" t="s">
        <v>672</v>
      </c>
      <c r="C345" s="206"/>
      <c r="D345" s="206">
        <f>4*3.9</f>
        <v>15.6</v>
      </c>
      <c r="E345" s="135">
        <f t="shared" si="28"/>
        <v>32474.909999999982</v>
      </c>
      <c r="F345" s="136"/>
      <c r="G345" s="132">
        <f t="shared" si="29"/>
        <v>22.072630705383364</v>
      </c>
      <c r="H345" s="136"/>
      <c r="I345" s="132">
        <f t="shared" si="30"/>
        <v>344.3330390039805</v>
      </c>
      <c r="J345" s="132">
        <f t="shared" si="31"/>
        <v>716806.69562056079</v>
      </c>
      <c r="K345" s="206"/>
      <c r="L345" s="204"/>
      <c r="M345" s="204"/>
      <c r="N345" s="204"/>
    </row>
    <row r="346" spans="1:14" s="190" customFormat="1" x14ac:dyDescent="0.35">
      <c r="A346" s="142">
        <v>43421</v>
      </c>
      <c r="B346" s="140" t="s">
        <v>673</v>
      </c>
      <c r="C346" s="206"/>
      <c r="D346" s="206">
        <v>0.7</v>
      </c>
      <c r="E346" s="135">
        <f t="shared" si="28"/>
        <v>32474.209999999981</v>
      </c>
      <c r="F346" s="136"/>
      <c r="G346" s="132">
        <f t="shared" si="29"/>
        <v>22.072630705383361</v>
      </c>
      <c r="H346" s="136"/>
      <c r="I346" s="132">
        <f t="shared" si="30"/>
        <v>15.450841493768351</v>
      </c>
      <c r="J346" s="132">
        <f t="shared" si="31"/>
        <v>716791.244779067</v>
      </c>
      <c r="K346" s="206"/>
      <c r="L346" s="204"/>
      <c r="M346" s="204"/>
      <c r="N346" s="204"/>
    </row>
    <row r="347" spans="1:14" s="190" customFormat="1" x14ac:dyDescent="0.35">
      <c r="A347" s="142">
        <v>43423</v>
      </c>
      <c r="B347" s="140" t="s">
        <v>677</v>
      </c>
      <c r="C347" s="206"/>
      <c r="D347" s="206">
        <f>11*6+8*5.3</f>
        <v>108.4</v>
      </c>
      <c r="E347" s="135">
        <f t="shared" si="28"/>
        <v>32365.809999999979</v>
      </c>
      <c r="F347" s="136"/>
      <c r="G347" s="132">
        <f t="shared" si="29"/>
        <v>22.072630705383361</v>
      </c>
      <c r="H347" s="136"/>
      <c r="I347" s="132">
        <f t="shared" si="30"/>
        <v>2392.6731684635565</v>
      </c>
      <c r="J347" s="132">
        <f t="shared" si="31"/>
        <v>714398.57161060348</v>
      </c>
      <c r="K347" s="206"/>
      <c r="L347" s="204"/>
      <c r="M347" s="204"/>
      <c r="N347" s="204"/>
    </row>
    <row r="348" spans="1:14" s="190" customFormat="1" x14ac:dyDescent="0.35">
      <c r="A348" s="142">
        <v>43424</v>
      </c>
      <c r="B348" s="140" t="s">
        <v>685</v>
      </c>
      <c r="C348" s="206"/>
      <c r="D348" s="206">
        <f>2*2</f>
        <v>4</v>
      </c>
      <c r="E348" s="135">
        <f t="shared" si="28"/>
        <v>32361.809999999979</v>
      </c>
      <c r="F348" s="136"/>
      <c r="G348" s="132">
        <f t="shared" si="29"/>
        <v>22.072630705383364</v>
      </c>
      <c r="H348" s="136"/>
      <c r="I348" s="132">
        <f t="shared" si="30"/>
        <v>88.290522821533457</v>
      </c>
      <c r="J348" s="132">
        <f t="shared" si="31"/>
        <v>714310.281087782</v>
      </c>
      <c r="K348" s="206"/>
      <c r="L348" s="204"/>
      <c r="M348" s="204"/>
      <c r="N348" s="204"/>
    </row>
    <row r="349" spans="1:14" s="190" customFormat="1" x14ac:dyDescent="0.35">
      <c r="A349" s="142">
        <v>43426</v>
      </c>
      <c r="B349" s="140" t="s">
        <v>686</v>
      </c>
      <c r="C349" s="206"/>
      <c r="D349" s="206">
        <f>10*4+20*6.6</f>
        <v>172</v>
      </c>
      <c r="E349" s="135">
        <f t="shared" si="28"/>
        <v>32189.809999999979</v>
      </c>
      <c r="F349" s="136"/>
      <c r="G349" s="132">
        <f t="shared" si="29"/>
        <v>22.072630705383364</v>
      </c>
      <c r="H349" s="136"/>
      <c r="I349" s="132">
        <f t="shared" si="30"/>
        <v>3796.4924813259386</v>
      </c>
      <c r="J349" s="132">
        <f t="shared" si="31"/>
        <v>710513.78860645602</v>
      </c>
      <c r="K349" s="206"/>
      <c r="L349" s="204"/>
      <c r="M349" s="204"/>
      <c r="N349" s="204"/>
    </row>
    <row r="350" spans="1:14" s="190" customFormat="1" x14ac:dyDescent="0.35">
      <c r="A350" s="142">
        <v>43427</v>
      </c>
      <c r="B350" s="140" t="s">
        <v>687</v>
      </c>
      <c r="C350" s="206"/>
      <c r="D350" s="206">
        <f>6*4.7+4*3.7</f>
        <v>43</v>
      </c>
      <c r="E350" s="135">
        <f t="shared" si="28"/>
        <v>32146.809999999979</v>
      </c>
      <c r="F350" s="136"/>
      <c r="G350" s="132">
        <f t="shared" si="29"/>
        <v>22.072630705383364</v>
      </c>
      <c r="H350" s="136"/>
      <c r="I350" s="132">
        <f t="shared" si="30"/>
        <v>949.12312033148464</v>
      </c>
      <c r="J350" s="132">
        <f t="shared" si="31"/>
        <v>709564.66548612458</v>
      </c>
      <c r="K350" s="206"/>
      <c r="L350" s="204"/>
      <c r="M350" s="204"/>
      <c r="N350" s="204"/>
    </row>
    <row r="351" spans="1:14" s="190" customFormat="1" x14ac:dyDescent="0.35">
      <c r="A351" s="142">
        <v>43427</v>
      </c>
      <c r="B351" s="140" t="s">
        <v>688</v>
      </c>
      <c r="C351" s="206"/>
      <c r="D351" s="206">
        <v>3.5</v>
      </c>
      <c r="E351" s="135">
        <f t="shared" si="28"/>
        <v>32143.309999999979</v>
      </c>
      <c r="F351" s="136"/>
      <c r="G351" s="132">
        <f t="shared" si="29"/>
        <v>22.072630705383364</v>
      </c>
      <c r="H351" s="136"/>
      <c r="I351" s="132">
        <f t="shared" si="30"/>
        <v>77.25420746884177</v>
      </c>
      <c r="J351" s="132">
        <f t="shared" si="31"/>
        <v>709487.41127865575</v>
      </c>
      <c r="K351" s="206"/>
      <c r="L351" s="204"/>
      <c r="M351" s="204"/>
      <c r="N351" s="204"/>
    </row>
    <row r="352" spans="1:14" s="190" customFormat="1" x14ac:dyDescent="0.35">
      <c r="A352" s="142">
        <v>43427</v>
      </c>
      <c r="B352" s="140" t="s">
        <v>689</v>
      </c>
      <c r="C352" s="206"/>
      <c r="D352" s="206">
        <v>0</v>
      </c>
      <c r="E352" s="135">
        <f t="shared" si="28"/>
        <v>32143.309999999979</v>
      </c>
      <c r="F352" s="136"/>
      <c r="G352" s="132">
        <f t="shared" si="29"/>
        <v>22.072630705383364</v>
      </c>
      <c r="H352" s="136"/>
      <c r="I352" s="132">
        <f t="shared" si="30"/>
        <v>0</v>
      </c>
      <c r="J352" s="132">
        <f t="shared" si="31"/>
        <v>709487.41127865575</v>
      </c>
      <c r="K352" s="206"/>
      <c r="L352" s="204"/>
      <c r="M352" s="204"/>
      <c r="N352" s="204"/>
    </row>
    <row r="353" spans="1:14" s="190" customFormat="1" x14ac:dyDescent="0.35">
      <c r="A353" s="142">
        <v>43427</v>
      </c>
      <c r="B353" s="140" t="s">
        <v>691</v>
      </c>
      <c r="C353" s="206"/>
      <c r="D353" s="206">
        <f>6*4.5+4*2.7+2*2.55</f>
        <v>42.9</v>
      </c>
      <c r="E353" s="135">
        <f t="shared" si="28"/>
        <v>32100.409999999978</v>
      </c>
      <c r="F353" s="136"/>
      <c r="G353" s="132">
        <f t="shared" si="29"/>
        <v>22.072630705383364</v>
      </c>
      <c r="H353" s="136"/>
      <c r="I353" s="132">
        <f t="shared" si="30"/>
        <v>946.91585726094627</v>
      </c>
      <c r="J353" s="132">
        <f t="shared" si="31"/>
        <v>708540.49542139482</v>
      </c>
      <c r="K353" s="206"/>
      <c r="L353" s="204"/>
      <c r="M353" s="204"/>
      <c r="N353" s="204"/>
    </row>
    <row r="354" spans="1:14" s="190" customFormat="1" x14ac:dyDescent="0.35">
      <c r="A354" s="142">
        <v>43427</v>
      </c>
      <c r="B354" s="140" t="s">
        <v>692</v>
      </c>
      <c r="C354" s="206"/>
      <c r="D354" s="206">
        <f>5*6.5+9*7</f>
        <v>95.5</v>
      </c>
      <c r="E354" s="135">
        <f t="shared" si="28"/>
        <v>32004.909999999978</v>
      </c>
      <c r="F354" s="136"/>
      <c r="G354" s="132">
        <f t="shared" si="29"/>
        <v>22.072630705383368</v>
      </c>
      <c r="H354" s="136"/>
      <c r="I354" s="132">
        <f t="shared" si="30"/>
        <v>2107.9362323641117</v>
      </c>
      <c r="J354" s="132">
        <f t="shared" si="31"/>
        <v>706432.55918903067</v>
      </c>
      <c r="K354" s="206"/>
      <c r="L354" s="204"/>
      <c r="M354" s="204"/>
      <c r="N354" s="204"/>
    </row>
    <row r="355" spans="1:14" s="190" customFormat="1" x14ac:dyDescent="0.35">
      <c r="A355" s="142">
        <v>43428</v>
      </c>
      <c r="B355" s="140" t="s">
        <v>694</v>
      </c>
      <c r="C355" s="206"/>
      <c r="D355" s="206">
        <f>8*3.48</f>
        <v>27.84</v>
      </c>
      <c r="E355" s="135">
        <f t="shared" si="28"/>
        <v>31977.069999999978</v>
      </c>
      <c r="F355" s="136"/>
      <c r="G355" s="132">
        <f t="shared" si="29"/>
        <v>22.072630705383368</v>
      </c>
      <c r="H355" s="136"/>
      <c r="I355" s="132">
        <f t="shared" si="30"/>
        <v>614.50203883787299</v>
      </c>
      <c r="J355" s="132">
        <f t="shared" si="31"/>
        <v>705818.05715019279</v>
      </c>
      <c r="K355" s="206"/>
      <c r="L355" s="204"/>
      <c r="M355" s="204"/>
      <c r="N355" s="204"/>
    </row>
    <row r="356" spans="1:14" s="190" customFormat="1" x14ac:dyDescent="0.35">
      <c r="A356" s="142">
        <v>43428</v>
      </c>
      <c r="B356" s="140" t="s">
        <v>698</v>
      </c>
      <c r="C356" s="206"/>
      <c r="D356" s="206">
        <f>3*5</f>
        <v>15</v>
      </c>
      <c r="E356" s="135">
        <f t="shared" si="28"/>
        <v>31962.069999999978</v>
      </c>
      <c r="F356" s="136"/>
      <c r="G356" s="132">
        <f t="shared" si="29"/>
        <v>22.072630705383368</v>
      </c>
      <c r="H356" s="136"/>
      <c r="I356" s="132">
        <f t="shared" si="30"/>
        <v>331.08946058075054</v>
      </c>
      <c r="J356" s="132">
        <f t="shared" si="31"/>
        <v>705486.96768961207</v>
      </c>
      <c r="K356" s="206"/>
      <c r="L356" s="204"/>
      <c r="M356" s="204"/>
      <c r="N356" s="204"/>
    </row>
    <row r="357" spans="1:14" s="190" customFormat="1" x14ac:dyDescent="0.35">
      <c r="A357" s="142">
        <v>43430</v>
      </c>
      <c r="B357" s="140" t="s">
        <v>699</v>
      </c>
      <c r="C357" s="206"/>
      <c r="D357" s="206">
        <f>7*6.8+6*3.6</f>
        <v>69.2</v>
      </c>
      <c r="E357" s="135">
        <f t="shared" si="28"/>
        <v>31892.869999999977</v>
      </c>
      <c r="F357" s="136"/>
      <c r="G357" s="132">
        <f t="shared" si="29"/>
        <v>22.072630705383368</v>
      </c>
      <c r="H357" s="136"/>
      <c r="I357" s="132">
        <f t="shared" si="30"/>
        <v>1527.4260448125292</v>
      </c>
      <c r="J357" s="132">
        <f t="shared" si="31"/>
        <v>703959.54164479952</v>
      </c>
      <c r="K357" s="206"/>
      <c r="L357" s="204"/>
      <c r="M357" s="204"/>
      <c r="N357" s="204"/>
    </row>
    <row r="358" spans="1:14" s="190" customFormat="1" x14ac:dyDescent="0.35">
      <c r="A358" s="142">
        <v>43431</v>
      </c>
      <c r="B358" s="140" t="s">
        <v>700</v>
      </c>
      <c r="C358" s="206"/>
      <c r="D358" s="206">
        <v>5</v>
      </c>
      <c r="E358" s="135">
        <f t="shared" si="28"/>
        <v>31887.869999999977</v>
      </c>
      <c r="F358" s="136"/>
      <c r="G358" s="132">
        <f t="shared" si="29"/>
        <v>22.072630705383368</v>
      </c>
      <c r="H358" s="136"/>
      <c r="I358" s="132">
        <f t="shared" si="30"/>
        <v>110.36315352691685</v>
      </c>
      <c r="J358" s="132">
        <f t="shared" si="31"/>
        <v>703849.17849127261</v>
      </c>
      <c r="K358" s="206"/>
      <c r="L358" s="204"/>
      <c r="M358" s="204"/>
      <c r="N358" s="204"/>
    </row>
    <row r="359" spans="1:14" s="190" customFormat="1" x14ac:dyDescent="0.35">
      <c r="A359" s="142">
        <v>43431</v>
      </c>
      <c r="B359" s="140" t="s">
        <v>702</v>
      </c>
      <c r="C359" s="206"/>
      <c r="D359" s="206">
        <f>5*5.15</f>
        <v>25.75</v>
      </c>
      <c r="E359" s="135">
        <f t="shared" si="28"/>
        <v>31862.119999999977</v>
      </c>
      <c r="F359" s="136"/>
      <c r="G359" s="132">
        <f t="shared" si="29"/>
        <v>22.072630705383368</v>
      </c>
      <c r="H359" s="136"/>
      <c r="I359" s="132">
        <f t="shared" si="30"/>
        <v>568.37024066362176</v>
      </c>
      <c r="J359" s="132">
        <f t="shared" si="31"/>
        <v>703280.80825060897</v>
      </c>
      <c r="K359" s="206"/>
      <c r="L359" s="204"/>
      <c r="M359" s="204"/>
      <c r="N359" s="204"/>
    </row>
    <row r="360" spans="1:14" s="225" customFormat="1" x14ac:dyDescent="0.35">
      <c r="A360" s="228">
        <v>43433</v>
      </c>
      <c r="B360" s="226" t="s">
        <v>704</v>
      </c>
      <c r="C360" s="231"/>
      <c r="D360" s="231">
        <f>3*5.35+3*3.65</f>
        <v>26.999999999999996</v>
      </c>
      <c r="E360" s="230">
        <f t="shared" si="28"/>
        <v>31835.119999999977</v>
      </c>
      <c r="F360" s="224"/>
      <c r="G360" s="229">
        <f t="shared" si="29"/>
        <v>22.072630705383368</v>
      </c>
      <c r="H360" s="224"/>
      <c r="I360" s="229">
        <f t="shared" si="30"/>
        <v>595.96102904535087</v>
      </c>
      <c r="J360" s="229">
        <f t="shared" si="31"/>
        <v>702684.84722156357</v>
      </c>
      <c r="K360" s="231"/>
      <c r="L360" s="32">
        <f>SUM(I344:I360)</f>
        <v>15613.958234681138</v>
      </c>
      <c r="M360" s="32">
        <f>SUM(L343:L360)</f>
        <v>46208.169476491857</v>
      </c>
      <c r="N360" s="27">
        <v>43434</v>
      </c>
    </row>
    <row r="361" spans="1:14" s="190" customFormat="1" x14ac:dyDescent="0.35">
      <c r="A361" s="142">
        <v>43435</v>
      </c>
      <c r="B361" s="140" t="s">
        <v>706</v>
      </c>
      <c r="C361" s="206"/>
      <c r="D361" s="206">
        <v>4</v>
      </c>
      <c r="E361" s="135">
        <f t="shared" si="28"/>
        <v>31831.119999999977</v>
      </c>
      <c r="F361" s="136"/>
      <c r="G361" s="132">
        <f t="shared" si="29"/>
        <v>22.072630705383364</v>
      </c>
      <c r="H361" s="136"/>
      <c r="I361" s="132">
        <f t="shared" si="30"/>
        <v>88.290522821533457</v>
      </c>
      <c r="J361" s="132">
        <f t="shared" si="31"/>
        <v>702596.55669874209</v>
      </c>
      <c r="K361" s="206"/>
      <c r="L361" s="204"/>
      <c r="M361" s="204"/>
      <c r="N361" s="204"/>
    </row>
    <row r="362" spans="1:14" s="190" customFormat="1" x14ac:dyDescent="0.35">
      <c r="A362" s="142">
        <v>43435</v>
      </c>
      <c r="B362" s="140" t="s">
        <v>707</v>
      </c>
      <c r="C362" s="206"/>
      <c r="D362" s="206">
        <f>5*5.1</f>
        <v>25.5</v>
      </c>
      <c r="E362" s="135">
        <f t="shared" si="28"/>
        <v>31805.619999999977</v>
      </c>
      <c r="F362" s="136"/>
      <c r="G362" s="132">
        <f t="shared" si="29"/>
        <v>22.072630705383368</v>
      </c>
      <c r="H362" s="136"/>
      <c r="I362" s="132">
        <f t="shared" si="30"/>
        <v>562.85208298727594</v>
      </c>
      <c r="J362" s="132">
        <f t="shared" si="31"/>
        <v>702033.70461575477</v>
      </c>
      <c r="K362" s="206"/>
      <c r="L362" s="204"/>
      <c r="M362" s="204"/>
      <c r="N362" s="204"/>
    </row>
    <row r="363" spans="1:14" s="190" customFormat="1" x14ac:dyDescent="0.35">
      <c r="A363" s="142">
        <v>43435</v>
      </c>
      <c r="B363" s="140" t="s">
        <v>708</v>
      </c>
      <c r="C363" s="206"/>
      <c r="D363" s="206">
        <f>10*6.05</f>
        <v>60.5</v>
      </c>
      <c r="E363" s="135">
        <f t="shared" si="28"/>
        <v>31745.119999999977</v>
      </c>
      <c r="F363" s="136"/>
      <c r="G363" s="132">
        <f t="shared" si="29"/>
        <v>22.072630705383364</v>
      </c>
      <c r="H363" s="136"/>
      <c r="I363" s="132">
        <f t="shared" si="30"/>
        <v>1335.3941576756936</v>
      </c>
      <c r="J363" s="132">
        <f t="shared" si="31"/>
        <v>700698.3104580791</v>
      </c>
      <c r="K363" s="206"/>
      <c r="L363" s="204"/>
      <c r="M363" s="204"/>
      <c r="N363" s="204"/>
    </row>
    <row r="364" spans="1:14" s="190" customFormat="1" x14ac:dyDescent="0.35">
      <c r="A364" s="142">
        <v>43438</v>
      </c>
      <c r="B364" s="140" t="s">
        <v>709</v>
      </c>
      <c r="C364" s="206"/>
      <c r="D364" s="206">
        <f>15*2.4+15*3</f>
        <v>81</v>
      </c>
      <c r="E364" s="135">
        <f t="shared" si="28"/>
        <v>31664.119999999977</v>
      </c>
      <c r="F364" s="136"/>
      <c r="G364" s="132">
        <f t="shared" si="29"/>
        <v>22.072630705383364</v>
      </c>
      <c r="H364" s="136"/>
      <c r="I364" s="132">
        <f t="shared" si="30"/>
        <v>1787.8830871360526</v>
      </c>
      <c r="J364" s="132">
        <f t="shared" si="31"/>
        <v>698910.42737094301</v>
      </c>
      <c r="K364" s="206"/>
      <c r="L364" s="204"/>
      <c r="M364" s="204"/>
      <c r="N364" s="204"/>
    </row>
    <row r="365" spans="1:14" s="190" customFormat="1" x14ac:dyDescent="0.35">
      <c r="A365" s="142">
        <v>43438</v>
      </c>
      <c r="B365" s="140" t="s">
        <v>710</v>
      </c>
      <c r="C365" s="206"/>
      <c r="D365" s="206">
        <f>2*5.3+2*5.1+3*5+3*4.7+6.1+5.75</f>
        <v>61.75</v>
      </c>
      <c r="E365" s="135">
        <f t="shared" si="28"/>
        <v>31602.369999999977</v>
      </c>
      <c r="F365" s="136"/>
      <c r="G365" s="132">
        <f t="shared" si="29"/>
        <v>22.072630705383364</v>
      </c>
      <c r="H365" s="136"/>
      <c r="I365" s="132">
        <f t="shared" si="30"/>
        <v>1362.9849460574228</v>
      </c>
      <c r="J365" s="132">
        <f t="shared" si="31"/>
        <v>697547.44242488558</v>
      </c>
      <c r="K365" s="206"/>
      <c r="L365" s="204"/>
      <c r="M365" s="204"/>
      <c r="N365" s="204"/>
    </row>
    <row r="366" spans="1:14" s="190" customFormat="1" x14ac:dyDescent="0.35">
      <c r="A366" s="142">
        <v>43438</v>
      </c>
      <c r="B366" s="140" t="s">
        <v>712</v>
      </c>
      <c r="C366" s="206"/>
      <c r="D366" s="206">
        <f>8*3</f>
        <v>24</v>
      </c>
      <c r="E366" s="135">
        <f t="shared" si="28"/>
        <v>31578.369999999977</v>
      </c>
      <c r="F366" s="136"/>
      <c r="G366" s="132">
        <f t="shared" si="29"/>
        <v>22.072630705383364</v>
      </c>
      <c r="H366" s="136"/>
      <c r="I366" s="132">
        <f t="shared" si="30"/>
        <v>529.74313692920077</v>
      </c>
      <c r="J366" s="132">
        <f t="shared" si="31"/>
        <v>697017.69928795635</v>
      </c>
      <c r="K366" s="206"/>
      <c r="L366" s="204"/>
      <c r="M366" s="204"/>
      <c r="N366" s="204"/>
    </row>
    <row r="367" spans="1:14" s="190" customFormat="1" x14ac:dyDescent="0.35">
      <c r="A367" s="142">
        <v>43438</v>
      </c>
      <c r="B367" s="140" t="s">
        <v>713</v>
      </c>
      <c r="C367" s="206"/>
      <c r="D367" s="206">
        <v>1.2</v>
      </c>
      <c r="E367" s="135">
        <f t="shared" si="28"/>
        <v>31577.169999999976</v>
      </c>
      <c r="F367" s="136"/>
      <c r="G367" s="132">
        <f t="shared" si="29"/>
        <v>22.072630705383364</v>
      </c>
      <c r="H367" s="136"/>
      <c r="I367" s="132">
        <f t="shared" si="30"/>
        <v>26.487156846460035</v>
      </c>
      <c r="J367" s="132">
        <f t="shared" si="31"/>
        <v>696991.2121311099</v>
      </c>
      <c r="K367" s="206"/>
      <c r="L367" s="204"/>
      <c r="M367" s="204"/>
      <c r="N367" s="204"/>
    </row>
    <row r="368" spans="1:14" s="190" customFormat="1" x14ac:dyDescent="0.35">
      <c r="A368" s="142">
        <v>43438</v>
      </c>
      <c r="B368" s="140" t="s">
        <v>715</v>
      </c>
      <c r="C368" s="206"/>
      <c r="D368" s="206">
        <f>16*1.15</f>
        <v>18.399999999999999</v>
      </c>
      <c r="E368" s="135">
        <f t="shared" si="28"/>
        <v>31558.769999999975</v>
      </c>
      <c r="F368" s="136"/>
      <c r="G368" s="132">
        <f t="shared" si="29"/>
        <v>22.072630705383364</v>
      </c>
      <c r="H368" s="136"/>
      <c r="I368" s="132">
        <f t="shared" si="30"/>
        <v>406.13640497905385</v>
      </c>
      <c r="J368" s="132">
        <f t="shared" si="31"/>
        <v>696585.07572613086</v>
      </c>
      <c r="K368" s="206"/>
      <c r="L368" s="204"/>
      <c r="M368" s="204"/>
      <c r="N368" s="204"/>
    </row>
    <row r="369" spans="1:14" s="190" customFormat="1" x14ac:dyDescent="0.35">
      <c r="A369" s="142">
        <v>43439</v>
      </c>
      <c r="B369" s="140" t="s">
        <v>716</v>
      </c>
      <c r="C369" s="206"/>
      <c r="D369" s="206">
        <f>10*5.76+2*4.6</f>
        <v>66.8</v>
      </c>
      <c r="E369" s="135">
        <f t="shared" si="28"/>
        <v>31491.969999999976</v>
      </c>
      <c r="F369" s="136"/>
      <c r="G369" s="132">
        <f t="shared" si="29"/>
        <v>22.072630705383364</v>
      </c>
      <c r="H369" s="136"/>
      <c r="I369" s="132">
        <f t="shared" si="30"/>
        <v>1474.4517311196087</v>
      </c>
      <c r="J369" s="132">
        <f t="shared" si="31"/>
        <v>695110.62399501121</v>
      </c>
      <c r="K369" s="206"/>
      <c r="L369" s="204"/>
      <c r="M369" s="204"/>
      <c r="N369" s="204"/>
    </row>
    <row r="370" spans="1:14" s="190" customFormat="1" x14ac:dyDescent="0.35">
      <c r="A370" s="142">
        <v>43444</v>
      </c>
      <c r="B370" s="140" t="s">
        <v>720</v>
      </c>
      <c r="C370" s="206"/>
      <c r="D370" s="206">
        <f>10*3.5</f>
        <v>35</v>
      </c>
      <c r="E370" s="135">
        <f t="shared" si="28"/>
        <v>31456.969999999976</v>
      </c>
      <c r="F370" s="136"/>
      <c r="G370" s="132">
        <f t="shared" si="29"/>
        <v>22.072630705383364</v>
      </c>
      <c r="H370" s="136"/>
      <c r="I370" s="132">
        <f t="shared" si="30"/>
        <v>772.54207468841776</v>
      </c>
      <c r="J370" s="132">
        <f t="shared" si="31"/>
        <v>694338.08192032285</v>
      </c>
      <c r="K370" s="206"/>
      <c r="L370" s="204"/>
      <c r="M370" s="204"/>
      <c r="N370" s="204"/>
    </row>
    <row r="371" spans="1:14" s="190" customFormat="1" x14ac:dyDescent="0.35">
      <c r="A371" s="142">
        <v>43444</v>
      </c>
      <c r="B371" s="140" t="s">
        <v>721</v>
      </c>
      <c r="C371" s="206"/>
      <c r="D371" s="206">
        <f>10*3.5</f>
        <v>35</v>
      </c>
      <c r="E371" s="135">
        <f t="shared" si="28"/>
        <v>31421.969999999976</v>
      </c>
      <c r="F371" s="136"/>
      <c r="G371" s="132">
        <f t="shared" si="29"/>
        <v>22.072630705383364</v>
      </c>
      <c r="H371" s="136"/>
      <c r="I371" s="132">
        <f t="shared" si="30"/>
        <v>772.54207468841776</v>
      </c>
      <c r="J371" s="132">
        <f t="shared" si="31"/>
        <v>693565.53984563448</v>
      </c>
      <c r="K371" s="206"/>
      <c r="L371" s="204"/>
      <c r="M371" s="204"/>
      <c r="N371" s="204"/>
    </row>
    <row r="372" spans="1:14" s="190" customFormat="1" x14ac:dyDescent="0.35">
      <c r="A372" s="142">
        <v>43444</v>
      </c>
      <c r="B372" s="140" t="s">
        <v>722</v>
      </c>
      <c r="C372" s="206"/>
      <c r="D372" s="206">
        <f>11*6+11*4</f>
        <v>110</v>
      </c>
      <c r="E372" s="135">
        <f t="shared" si="28"/>
        <v>31311.969999999976</v>
      </c>
      <c r="F372" s="136"/>
      <c r="G372" s="132">
        <f t="shared" si="29"/>
        <v>22.072630705383368</v>
      </c>
      <c r="H372" s="136"/>
      <c r="I372" s="132">
        <f t="shared" si="30"/>
        <v>2427.9893775921705</v>
      </c>
      <c r="J372" s="132">
        <f t="shared" si="31"/>
        <v>691137.55046804226</v>
      </c>
      <c r="K372" s="206"/>
      <c r="L372" s="204"/>
      <c r="M372" s="204"/>
      <c r="N372" s="204"/>
    </row>
    <row r="373" spans="1:14" s="190" customFormat="1" x14ac:dyDescent="0.35">
      <c r="A373" s="142">
        <v>43445</v>
      </c>
      <c r="B373" s="140" t="s">
        <v>723</v>
      </c>
      <c r="C373" s="206"/>
      <c r="D373" s="206">
        <f>22*3+9</f>
        <v>75</v>
      </c>
      <c r="E373" s="135">
        <f t="shared" si="28"/>
        <v>31236.969999999976</v>
      </c>
      <c r="F373" s="136"/>
      <c r="G373" s="132">
        <f t="shared" si="29"/>
        <v>22.072630705383364</v>
      </c>
      <c r="H373" s="136"/>
      <c r="I373" s="132">
        <f t="shared" si="30"/>
        <v>1655.4473029037524</v>
      </c>
      <c r="J373" s="132">
        <f t="shared" si="31"/>
        <v>689482.10316513851</v>
      </c>
      <c r="K373" s="206"/>
      <c r="L373" s="204"/>
      <c r="M373" s="204"/>
      <c r="N373" s="204"/>
    </row>
    <row r="374" spans="1:14" s="190" customFormat="1" x14ac:dyDescent="0.35">
      <c r="A374" s="142">
        <v>43445</v>
      </c>
      <c r="B374" s="140" t="s">
        <v>725</v>
      </c>
      <c r="C374" s="206"/>
      <c r="D374" s="206">
        <f>12*3.4+3</f>
        <v>43.8</v>
      </c>
      <c r="E374" s="135">
        <f t="shared" si="28"/>
        <v>31193.169999999976</v>
      </c>
      <c r="F374" s="136"/>
      <c r="G374" s="132">
        <f t="shared" si="29"/>
        <v>22.072630705383368</v>
      </c>
      <c r="H374" s="136"/>
      <c r="I374" s="132">
        <f t="shared" si="30"/>
        <v>966.78122489579141</v>
      </c>
      <c r="J374" s="132">
        <f t="shared" si="31"/>
        <v>688515.32194024278</v>
      </c>
      <c r="K374" s="206"/>
      <c r="L374" s="204"/>
      <c r="M374" s="204"/>
      <c r="N374" s="204"/>
    </row>
    <row r="375" spans="1:14" s="190" customFormat="1" x14ac:dyDescent="0.35">
      <c r="A375" s="142">
        <v>43445</v>
      </c>
      <c r="B375" s="140" t="s">
        <v>726</v>
      </c>
      <c r="C375" s="206"/>
      <c r="D375" s="206">
        <f>22*2.1</f>
        <v>46.2</v>
      </c>
      <c r="E375" s="135">
        <f t="shared" si="28"/>
        <v>31146.969999999976</v>
      </c>
      <c r="F375" s="136"/>
      <c r="G375" s="132">
        <f t="shared" si="29"/>
        <v>22.072630705383368</v>
      </c>
      <c r="H375" s="136"/>
      <c r="I375" s="132">
        <f t="shared" si="30"/>
        <v>1019.7555385887117</v>
      </c>
      <c r="J375" s="132">
        <f t="shared" si="31"/>
        <v>687495.56640165404</v>
      </c>
      <c r="K375" s="206"/>
      <c r="L375" s="204"/>
      <c r="M375" s="204"/>
      <c r="N375" s="204"/>
    </row>
    <row r="376" spans="1:14" s="190" customFormat="1" x14ac:dyDescent="0.35">
      <c r="A376" s="142">
        <v>43445</v>
      </c>
      <c r="B376" s="140" t="s">
        <v>728</v>
      </c>
      <c r="C376" s="206"/>
      <c r="D376" s="206">
        <v>3.5</v>
      </c>
      <c r="E376" s="135">
        <f t="shared" si="28"/>
        <v>31143.469999999976</v>
      </c>
      <c r="F376" s="136"/>
      <c r="G376" s="132">
        <f t="shared" si="29"/>
        <v>22.072630705383368</v>
      </c>
      <c r="H376" s="136"/>
      <c r="I376" s="132">
        <f t="shared" si="30"/>
        <v>77.254207468841784</v>
      </c>
      <c r="J376" s="132">
        <f t="shared" si="31"/>
        <v>687418.31219418522</v>
      </c>
      <c r="K376" s="206"/>
      <c r="L376" s="204"/>
      <c r="M376" s="204"/>
      <c r="N376" s="204"/>
    </row>
    <row r="377" spans="1:14" s="190" customFormat="1" x14ac:dyDescent="0.35">
      <c r="A377" s="142">
        <v>43445</v>
      </c>
      <c r="B377" s="140" t="s">
        <v>729</v>
      </c>
      <c r="C377" s="206"/>
      <c r="D377" s="206">
        <v>0</v>
      </c>
      <c r="E377" s="135">
        <f t="shared" si="28"/>
        <v>31143.469999999976</v>
      </c>
      <c r="F377" s="136"/>
      <c r="G377" s="132">
        <f t="shared" si="29"/>
        <v>22.072630705383368</v>
      </c>
      <c r="H377" s="136"/>
      <c r="I377" s="132">
        <f t="shared" si="30"/>
        <v>0</v>
      </c>
      <c r="J377" s="132">
        <f t="shared" si="31"/>
        <v>687418.31219418522</v>
      </c>
      <c r="K377" s="206"/>
      <c r="L377" s="204"/>
      <c r="M377" s="204"/>
      <c r="N377" s="204"/>
    </row>
    <row r="378" spans="1:14" s="190" customFormat="1" x14ac:dyDescent="0.35">
      <c r="A378" s="142">
        <v>43445</v>
      </c>
      <c r="B378" s="140" t="s">
        <v>731</v>
      </c>
      <c r="C378" s="206"/>
      <c r="D378" s="206">
        <f>5*4</f>
        <v>20</v>
      </c>
      <c r="E378" s="135">
        <f t="shared" si="28"/>
        <v>31123.469999999976</v>
      </c>
      <c r="F378" s="136"/>
      <c r="G378" s="132">
        <f t="shared" si="29"/>
        <v>22.072630705383368</v>
      </c>
      <c r="H378" s="136"/>
      <c r="I378" s="132">
        <f t="shared" si="30"/>
        <v>441.45261410766739</v>
      </c>
      <c r="J378" s="132">
        <f t="shared" si="31"/>
        <v>686976.85958007758</v>
      </c>
      <c r="K378" s="206"/>
      <c r="L378" s="204"/>
      <c r="M378" s="204"/>
      <c r="N378" s="204"/>
    </row>
    <row r="379" spans="1:14" s="190" customFormat="1" x14ac:dyDescent="0.35">
      <c r="A379" s="142">
        <v>43446</v>
      </c>
      <c r="B379" s="140" t="s">
        <v>734</v>
      </c>
      <c r="C379" s="206"/>
      <c r="D379" s="206">
        <f>20*3</f>
        <v>60</v>
      </c>
      <c r="E379" s="135">
        <f t="shared" si="28"/>
        <v>31063.469999999976</v>
      </c>
      <c r="F379" s="136"/>
      <c r="G379" s="132">
        <f t="shared" si="29"/>
        <v>22.072630705383368</v>
      </c>
      <c r="H379" s="136"/>
      <c r="I379" s="132">
        <f t="shared" si="30"/>
        <v>1324.3578423230022</v>
      </c>
      <c r="J379" s="132">
        <f t="shared" si="31"/>
        <v>685652.50173775456</v>
      </c>
      <c r="K379" s="206"/>
      <c r="L379" s="204"/>
      <c r="M379" s="204"/>
      <c r="N379" s="204"/>
    </row>
    <row r="380" spans="1:14" s="190" customFormat="1" x14ac:dyDescent="0.35">
      <c r="A380" s="142">
        <v>43446</v>
      </c>
      <c r="B380" s="140" t="s">
        <v>735</v>
      </c>
      <c r="C380" s="206"/>
      <c r="D380" s="206">
        <f>8*5.6</f>
        <v>44.8</v>
      </c>
      <c r="E380" s="135">
        <f t="shared" si="28"/>
        <v>31018.669999999976</v>
      </c>
      <c r="F380" s="136"/>
      <c r="G380" s="132">
        <f t="shared" si="29"/>
        <v>22.072630705383368</v>
      </c>
      <c r="H380" s="136"/>
      <c r="I380" s="132">
        <f t="shared" si="30"/>
        <v>988.85385560117481</v>
      </c>
      <c r="J380" s="132">
        <f t="shared" si="31"/>
        <v>684663.6478821534</v>
      </c>
      <c r="K380" s="206"/>
      <c r="L380" s="204"/>
      <c r="M380" s="204"/>
      <c r="N380" s="204"/>
    </row>
    <row r="381" spans="1:14" s="190" customFormat="1" x14ac:dyDescent="0.35">
      <c r="A381" s="142">
        <v>43447</v>
      </c>
      <c r="B381" s="140" t="s">
        <v>739</v>
      </c>
      <c r="C381" s="206"/>
      <c r="D381" s="206">
        <f>6*2.1</f>
        <v>12.600000000000001</v>
      </c>
      <c r="E381" s="135">
        <f t="shared" si="28"/>
        <v>31006.069999999978</v>
      </c>
      <c r="F381" s="136"/>
      <c r="G381" s="132">
        <f t="shared" si="29"/>
        <v>22.072630705383368</v>
      </c>
      <c r="H381" s="136"/>
      <c r="I381" s="132">
        <f t="shared" si="30"/>
        <v>278.11514688783046</v>
      </c>
      <c r="J381" s="132">
        <f t="shared" si="31"/>
        <v>684385.53273526556</v>
      </c>
      <c r="K381" s="206"/>
      <c r="L381" s="204"/>
      <c r="M381" s="204"/>
      <c r="N381" s="204"/>
    </row>
    <row r="382" spans="1:14" s="190" customFormat="1" x14ac:dyDescent="0.35">
      <c r="A382" s="142">
        <v>43447</v>
      </c>
      <c r="B382" s="140" t="s">
        <v>741</v>
      </c>
      <c r="C382" s="206"/>
      <c r="D382" s="206">
        <f>4*3</f>
        <v>12</v>
      </c>
      <c r="E382" s="135">
        <f t="shared" si="28"/>
        <v>30994.069999999978</v>
      </c>
      <c r="F382" s="136"/>
      <c r="G382" s="132">
        <f t="shared" si="29"/>
        <v>22.072630705383368</v>
      </c>
      <c r="H382" s="136"/>
      <c r="I382" s="132">
        <f t="shared" si="30"/>
        <v>264.87156846460039</v>
      </c>
      <c r="J382" s="132">
        <f t="shared" si="31"/>
        <v>684120.661166801</v>
      </c>
      <c r="K382" s="206"/>
      <c r="L382" s="204"/>
      <c r="M382" s="204"/>
      <c r="N382" s="204"/>
    </row>
    <row r="383" spans="1:14" s="190" customFormat="1" x14ac:dyDescent="0.35">
      <c r="A383" s="142">
        <v>43448</v>
      </c>
      <c r="B383" s="140" t="s">
        <v>744</v>
      </c>
      <c r="C383" s="206"/>
      <c r="D383" s="206">
        <f>5.85+4+2*3.3</f>
        <v>16.45</v>
      </c>
      <c r="E383" s="135">
        <f t="shared" si="28"/>
        <v>30977.619999999977</v>
      </c>
      <c r="F383" s="136"/>
      <c r="G383" s="132">
        <f t="shared" si="29"/>
        <v>22.072630705383368</v>
      </c>
      <c r="H383" s="136"/>
      <c r="I383" s="132">
        <f t="shared" si="30"/>
        <v>363.0947751035564</v>
      </c>
      <c r="J383" s="132">
        <f t="shared" si="31"/>
        <v>683757.5663916975</v>
      </c>
      <c r="K383" s="206"/>
      <c r="L383" s="204"/>
      <c r="M383" s="204"/>
      <c r="N383" s="204"/>
    </row>
    <row r="384" spans="1:14" s="225" customFormat="1" x14ac:dyDescent="0.35">
      <c r="A384" s="228">
        <v>43449</v>
      </c>
      <c r="B384" s="226" t="s">
        <v>745</v>
      </c>
      <c r="C384" s="231"/>
      <c r="D384" s="231">
        <f>10*5.5</f>
        <v>55</v>
      </c>
      <c r="E384" s="230">
        <f t="shared" ref="E384:E402" si="32">+E383-D384</f>
        <v>30922.619999999977</v>
      </c>
      <c r="F384" s="224"/>
      <c r="G384" s="229">
        <f t="shared" ref="G384:G402" si="33">+J383/E383</f>
        <v>22.072630705383371</v>
      </c>
      <c r="H384" s="224"/>
      <c r="I384" s="229">
        <f t="shared" ref="I384:I402" si="34">+D384*G384</f>
        <v>1213.9946887960855</v>
      </c>
      <c r="J384" s="229">
        <f t="shared" ref="J384:J402" si="35">+J383-I384</f>
        <v>682543.57170290139</v>
      </c>
      <c r="K384" s="231"/>
      <c r="L384" s="32">
        <f>SUM(I361:I384)</f>
        <v>20141.275518662322</v>
      </c>
      <c r="M384" s="227"/>
      <c r="N384" s="27">
        <v>43449</v>
      </c>
    </row>
    <row r="385" spans="1:14" s="190" customFormat="1" x14ac:dyDescent="0.35">
      <c r="A385" s="142">
        <v>43451</v>
      </c>
      <c r="B385" s="140" t="s">
        <v>746</v>
      </c>
      <c r="C385" s="206"/>
      <c r="D385" s="206">
        <v>1.94</v>
      </c>
      <c r="E385" s="135">
        <f t="shared" si="32"/>
        <v>30920.679999999978</v>
      </c>
      <c r="F385" s="136"/>
      <c r="G385" s="132">
        <f t="shared" si="33"/>
        <v>22.072630705383368</v>
      </c>
      <c r="H385" s="136"/>
      <c r="I385" s="132">
        <f t="shared" si="34"/>
        <v>42.820903568443732</v>
      </c>
      <c r="J385" s="132">
        <f t="shared" si="35"/>
        <v>682500.75079933298</v>
      </c>
      <c r="K385" s="206"/>
      <c r="L385" s="204"/>
      <c r="M385" s="204"/>
      <c r="N385" s="204"/>
    </row>
    <row r="386" spans="1:14" s="190" customFormat="1" x14ac:dyDescent="0.35">
      <c r="A386" s="142">
        <v>43451</v>
      </c>
      <c r="B386" s="140" t="s">
        <v>747</v>
      </c>
      <c r="C386" s="206"/>
      <c r="D386" s="206">
        <f>7*5.3+5*4.56</f>
        <v>59.9</v>
      </c>
      <c r="E386" s="135">
        <f t="shared" si="32"/>
        <v>30860.779999999977</v>
      </c>
      <c r="F386" s="136"/>
      <c r="G386" s="132">
        <f t="shared" si="33"/>
        <v>22.072630705383371</v>
      </c>
      <c r="H386" s="136"/>
      <c r="I386" s="132">
        <f t="shared" si="34"/>
        <v>1322.150579252464</v>
      </c>
      <c r="J386" s="132">
        <f t="shared" si="35"/>
        <v>681178.60022008047</v>
      </c>
      <c r="K386" s="206"/>
      <c r="L386" s="204"/>
      <c r="M386" s="204"/>
      <c r="N386" s="204"/>
    </row>
    <row r="387" spans="1:14" s="190" customFormat="1" x14ac:dyDescent="0.35">
      <c r="A387" s="142">
        <v>43452</v>
      </c>
      <c r="B387" s="140" t="s">
        <v>748</v>
      </c>
      <c r="C387" s="206"/>
      <c r="D387" s="206">
        <v>0</v>
      </c>
      <c r="E387" s="135">
        <f t="shared" si="32"/>
        <v>30860.779999999977</v>
      </c>
      <c r="F387" s="136"/>
      <c r="G387" s="132">
        <f t="shared" si="33"/>
        <v>22.072630705383368</v>
      </c>
      <c r="H387" s="136"/>
      <c r="I387" s="132">
        <f t="shared" si="34"/>
        <v>0</v>
      </c>
      <c r="J387" s="132">
        <f t="shared" si="35"/>
        <v>681178.60022008047</v>
      </c>
      <c r="K387" s="206"/>
      <c r="L387" s="204"/>
      <c r="M387" s="204"/>
      <c r="N387" s="204"/>
    </row>
    <row r="388" spans="1:14" s="190" customFormat="1" x14ac:dyDescent="0.35">
      <c r="A388" s="142">
        <v>43452</v>
      </c>
      <c r="B388" s="140" t="s">
        <v>749</v>
      </c>
      <c r="C388" s="206"/>
      <c r="D388" s="206">
        <f>17-4.9</f>
        <v>12.1</v>
      </c>
      <c r="E388" s="135">
        <f t="shared" si="32"/>
        <v>30848.679999999978</v>
      </c>
      <c r="F388" s="136"/>
      <c r="G388" s="132">
        <f t="shared" si="33"/>
        <v>22.072630705383368</v>
      </c>
      <c r="H388" s="136"/>
      <c r="I388" s="132">
        <f t="shared" si="34"/>
        <v>267.07883153513876</v>
      </c>
      <c r="J388" s="132">
        <f t="shared" si="35"/>
        <v>680911.52138854528</v>
      </c>
      <c r="K388" s="206"/>
      <c r="L388" s="204"/>
      <c r="M388" s="204"/>
      <c r="N388" s="204"/>
    </row>
    <row r="389" spans="1:14" s="190" customFormat="1" x14ac:dyDescent="0.35">
      <c r="A389" s="142">
        <v>43452</v>
      </c>
      <c r="B389" s="140" t="s">
        <v>751</v>
      </c>
      <c r="C389" s="206"/>
      <c r="D389" s="206">
        <f>13*4.9+13*5.05+26*1.1+5.4</f>
        <v>163.35</v>
      </c>
      <c r="E389" s="135">
        <f t="shared" si="32"/>
        <v>30685.32999999998</v>
      </c>
      <c r="F389" s="136"/>
      <c r="G389" s="132">
        <f t="shared" si="33"/>
        <v>22.072630705383368</v>
      </c>
      <c r="H389" s="136"/>
      <c r="I389" s="132">
        <f t="shared" si="34"/>
        <v>3605.564225724373</v>
      </c>
      <c r="J389" s="132">
        <f t="shared" si="35"/>
        <v>677305.95716282097</v>
      </c>
      <c r="K389" s="206"/>
      <c r="L389" s="204"/>
      <c r="M389" s="204"/>
      <c r="N389" s="204"/>
    </row>
    <row r="390" spans="1:14" s="190" customFormat="1" x14ac:dyDescent="0.35">
      <c r="A390" s="142">
        <v>43452</v>
      </c>
      <c r="B390" s="140" t="s">
        <v>754</v>
      </c>
      <c r="C390" s="206"/>
      <c r="D390" s="206">
        <f>2*3.91</f>
        <v>7.82</v>
      </c>
      <c r="E390" s="135">
        <f t="shared" si="32"/>
        <v>30677.50999999998</v>
      </c>
      <c r="F390" s="136"/>
      <c r="G390" s="132">
        <f t="shared" si="33"/>
        <v>22.072630705383368</v>
      </c>
      <c r="H390" s="136"/>
      <c r="I390" s="132">
        <f t="shared" si="34"/>
        <v>172.60797211609795</v>
      </c>
      <c r="J390" s="132">
        <f t="shared" si="35"/>
        <v>677133.34919070487</v>
      </c>
      <c r="K390" s="206"/>
      <c r="L390" s="204"/>
      <c r="M390" s="204"/>
      <c r="N390" s="204"/>
    </row>
    <row r="391" spans="1:14" s="190" customFormat="1" x14ac:dyDescent="0.35">
      <c r="A391" s="142">
        <v>43453</v>
      </c>
      <c r="B391" s="140" t="s">
        <v>757</v>
      </c>
      <c r="C391" s="206"/>
      <c r="D391" s="206"/>
      <c r="E391" s="135">
        <f t="shared" si="32"/>
        <v>30677.50999999998</v>
      </c>
      <c r="F391" s="136"/>
      <c r="G391" s="132">
        <f t="shared" si="33"/>
        <v>22.072630705383368</v>
      </c>
      <c r="H391" s="136"/>
      <c r="I391" s="132">
        <f t="shared" si="34"/>
        <v>0</v>
      </c>
      <c r="J391" s="132">
        <f t="shared" si="35"/>
        <v>677133.34919070487</v>
      </c>
      <c r="K391" s="206"/>
      <c r="L391" s="204"/>
      <c r="M391" s="204"/>
      <c r="N391" s="204"/>
    </row>
    <row r="392" spans="1:14" s="190" customFormat="1" x14ac:dyDescent="0.35">
      <c r="A392" s="142">
        <v>43453</v>
      </c>
      <c r="B392" s="140" t="s">
        <v>758</v>
      </c>
      <c r="C392" s="206"/>
      <c r="D392" s="206">
        <f>20*5.5</f>
        <v>110</v>
      </c>
      <c r="E392" s="135">
        <f t="shared" si="32"/>
        <v>30567.50999999998</v>
      </c>
      <c r="F392" s="136"/>
      <c r="G392" s="132">
        <f t="shared" si="33"/>
        <v>22.072630705383368</v>
      </c>
      <c r="H392" s="136"/>
      <c r="I392" s="132">
        <f t="shared" si="34"/>
        <v>2427.9893775921705</v>
      </c>
      <c r="J392" s="132">
        <f t="shared" si="35"/>
        <v>674705.35981311265</v>
      </c>
      <c r="K392" s="206"/>
      <c r="L392" s="204"/>
      <c r="M392" s="204"/>
      <c r="N392" s="204"/>
    </row>
    <row r="393" spans="1:14" s="190" customFormat="1" x14ac:dyDescent="0.35">
      <c r="A393" s="142">
        <v>43453</v>
      </c>
      <c r="B393" s="140" t="s">
        <v>760</v>
      </c>
      <c r="C393" s="206"/>
      <c r="D393" s="206">
        <f>3*1.95</f>
        <v>5.85</v>
      </c>
      <c r="E393" s="135">
        <f t="shared" si="32"/>
        <v>30561.659999999982</v>
      </c>
      <c r="F393" s="136"/>
      <c r="G393" s="132">
        <f t="shared" si="33"/>
        <v>22.072630705383364</v>
      </c>
      <c r="H393" s="136"/>
      <c r="I393" s="132">
        <f t="shared" si="34"/>
        <v>129.12488962649266</v>
      </c>
      <c r="J393" s="132">
        <f t="shared" si="35"/>
        <v>674576.23492348613</v>
      </c>
      <c r="K393" s="206"/>
      <c r="L393" s="204"/>
      <c r="M393" s="204"/>
      <c r="N393" s="204"/>
    </row>
    <row r="394" spans="1:14" s="190" customFormat="1" x14ac:dyDescent="0.35">
      <c r="A394" s="142">
        <v>43453</v>
      </c>
      <c r="B394" s="140" t="s">
        <v>761</v>
      </c>
      <c r="C394" s="206"/>
      <c r="D394" s="206">
        <f>16*4.17</f>
        <v>66.72</v>
      </c>
      <c r="E394" s="135">
        <f t="shared" si="32"/>
        <v>30494.939999999981</v>
      </c>
      <c r="F394" s="136"/>
      <c r="G394" s="132">
        <f t="shared" si="33"/>
        <v>22.072630705383364</v>
      </c>
      <c r="H394" s="136"/>
      <c r="I394" s="132">
        <f t="shared" si="34"/>
        <v>1472.685920663178</v>
      </c>
      <c r="J394" s="132">
        <f t="shared" si="35"/>
        <v>673103.54900282295</v>
      </c>
      <c r="K394" s="206"/>
      <c r="L394" s="204"/>
      <c r="M394" s="204"/>
      <c r="N394" s="204"/>
    </row>
    <row r="395" spans="1:14" s="190" customFormat="1" x14ac:dyDescent="0.35">
      <c r="A395" s="142">
        <v>43454</v>
      </c>
      <c r="B395" s="140" t="s">
        <v>764</v>
      </c>
      <c r="C395" s="206"/>
      <c r="D395" s="206">
        <f>3*2.7</f>
        <v>8.1000000000000014</v>
      </c>
      <c r="E395" s="135">
        <f t="shared" si="32"/>
        <v>30486.839999999982</v>
      </c>
      <c r="F395" s="136"/>
      <c r="G395" s="132">
        <f t="shared" si="33"/>
        <v>22.072630705383364</v>
      </c>
      <c r="H395" s="136"/>
      <c r="I395" s="132">
        <f t="shared" si="34"/>
        <v>178.78830871360529</v>
      </c>
      <c r="J395" s="132">
        <f t="shared" si="35"/>
        <v>672924.76069410937</v>
      </c>
      <c r="K395" s="206"/>
      <c r="L395" s="204"/>
      <c r="M395" s="204"/>
      <c r="N395" s="204"/>
    </row>
    <row r="396" spans="1:14" s="190" customFormat="1" x14ac:dyDescent="0.35">
      <c r="A396" s="142">
        <v>43454</v>
      </c>
      <c r="B396" s="140" t="s">
        <v>766</v>
      </c>
      <c r="C396" s="206"/>
      <c r="D396" s="206">
        <f>10*0.7+12</f>
        <v>19</v>
      </c>
      <c r="E396" s="135">
        <f t="shared" si="32"/>
        <v>30467.839999999982</v>
      </c>
      <c r="F396" s="136"/>
      <c r="G396" s="132">
        <f t="shared" si="33"/>
        <v>22.072630705383364</v>
      </c>
      <c r="H396" s="136"/>
      <c r="I396" s="132">
        <f t="shared" si="34"/>
        <v>419.37998340228393</v>
      </c>
      <c r="J396" s="132">
        <f t="shared" si="35"/>
        <v>672505.38071070705</v>
      </c>
      <c r="K396" s="206"/>
      <c r="L396" s="204"/>
      <c r="M396" s="204"/>
      <c r="N396" s="204"/>
    </row>
    <row r="397" spans="1:14" s="190" customFormat="1" x14ac:dyDescent="0.35">
      <c r="A397" s="142">
        <v>43455</v>
      </c>
      <c r="B397" s="140" t="s">
        <v>767</v>
      </c>
      <c r="C397" s="206"/>
      <c r="D397" s="206">
        <f>4*5.5+2</f>
        <v>24</v>
      </c>
      <c r="E397" s="135">
        <f t="shared" si="32"/>
        <v>30443.839999999982</v>
      </c>
      <c r="F397" s="136"/>
      <c r="G397" s="132">
        <f t="shared" si="33"/>
        <v>22.072630705383364</v>
      </c>
      <c r="H397" s="136"/>
      <c r="I397" s="132">
        <f t="shared" si="34"/>
        <v>529.74313692920077</v>
      </c>
      <c r="J397" s="132">
        <f t="shared" si="35"/>
        <v>671975.63757377781</v>
      </c>
      <c r="K397" s="206"/>
      <c r="L397" s="204"/>
      <c r="M397" s="204"/>
      <c r="N397" s="204"/>
    </row>
    <row r="398" spans="1:14" s="190" customFormat="1" x14ac:dyDescent="0.35">
      <c r="A398" s="142">
        <v>43455</v>
      </c>
      <c r="B398" s="140" t="s">
        <v>768</v>
      </c>
      <c r="C398" s="206"/>
      <c r="D398" s="206">
        <v>1.5</v>
      </c>
      <c r="E398" s="135">
        <f t="shared" si="32"/>
        <v>30442.339999999982</v>
      </c>
      <c r="F398" s="136"/>
      <c r="G398" s="132">
        <f t="shared" si="33"/>
        <v>22.072630705383361</v>
      </c>
      <c r="H398" s="136"/>
      <c r="I398" s="132">
        <f t="shared" si="34"/>
        <v>33.108946058075041</v>
      </c>
      <c r="J398" s="132">
        <f t="shared" si="35"/>
        <v>671942.52862771973</v>
      </c>
      <c r="K398" s="206"/>
      <c r="L398" s="204"/>
      <c r="M398" s="204"/>
      <c r="N398" s="204"/>
    </row>
    <row r="399" spans="1:14" s="190" customFormat="1" x14ac:dyDescent="0.35">
      <c r="A399" s="142">
        <v>43455</v>
      </c>
      <c r="B399" s="140" t="s">
        <v>769</v>
      </c>
      <c r="C399" s="206"/>
      <c r="D399" s="206">
        <f>5*1.8</f>
        <v>9</v>
      </c>
      <c r="E399" s="135">
        <f t="shared" si="32"/>
        <v>30433.339999999982</v>
      </c>
      <c r="F399" s="136"/>
      <c r="G399" s="132">
        <f t="shared" si="33"/>
        <v>22.072630705383361</v>
      </c>
      <c r="H399" s="136"/>
      <c r="I399" s="132">
        <f t="shared" si="34"/>
        <v>198.65367634845023</v>
      </c>
      <c r="J399" s="132">
        <f t="shared" si="35"/>
        <v>671743.87495137122</v>
      </c>
      <c r="K399" s="206"/>
      <c r="L399" s="204"/>
      <c r="M399" s="204"/>
      <c r="N399" s="204"/>
    </row>
    <row r="400" spans="1:14" s="190" customFormat="1" x14ac:dyDescent="0.35">
      <c r="A400" s="142">
        <v>43456</v>
      </c>
      <c r="B400" s="140" t="s">
        <v>770</v>
      </c>
      <c r="C400" s="206"/>
      <c r="D400" s="206">
        <f>7*6</f>
        <v>42</v>
      </c>
      <c r="E400" s="135">
        <f t="shared" si="32"/>
        <v>30391.339999999982</v>
      </c>
      <c r="F400" s="136"/>
      <c r="G400" s="132">
        <f t="shared" si="33"/>
        <v>22.072630705383361</v>
      </c>
      <c r="H400" s="136"/>
      <c r="I400" s="132">
        <f t="shared" si="34"/>
        <v>927.05048962610113</v>
      </c>
      <c r="J400" s="132">
        <f t="shared" si="35"/>
        <v>670816.8244617451</v>
      </c>
      <c r="K400" s="206"/>
      <c r="L400" s="204"/>
      <c r="M400" s="204"/>
      <c r="N400" s="204"/>
    </row>
    <row r="401" spans="1:14" s="190" customFormat="1" x14ac:dyDescent="0.35">
      <c r="A401" s="142">
        <v>43456</v>
      </c>
      <c r="B401" s="140" t="s">
        <v>771</v>
      </c>
      <c r="C401" s="206"/>
      <c r="D401" s="206">
        <f>6*5</f>
        <v>30</v>
      </c>
      <c r="E401" s="135">
        <f t="shared" si="32"/>
        <v>30361.339999999982</v>
      </c>
      <c r="F401" s="136"/>
      <c r="G401" s="132">
        <f t="shared" si="33"/>
        <v>22.072630705383361</v>
      </c>
      <c r="H401" s="136"/>
      <c r="I401" s="132">
        <f t="shared" si="34"/>
        <v>662.17892116150085</v>
      </c>
      <c r="J401" s="132">
        <f t="shared" si="35"/>
        <v>670154.64554058365</v>
      </c>
      <c r="K401" s="206"/>
      <c r="L401" s="204"/>
      <c r="M401" s="204"/>
      <c r="N401" s="204"/>
    </row>
    <row r="402" spans="1:14" s="225" customFormat="1" x14ac:dyDescent="0.35">
      <c r="A402" s="228">
        <v>43456</v>
      </c>
      <c r="B402" s="226" t="s">
        <v>774</v>
      </c>
      <c r="C402" s="231"/>
      <c r="D402" s="231">
        <f>13*6</f>
        <v>78</v>
      </c>
      <c r="E402" s="230">
        <f t="shared" si="32"/>
        <v>30283.339999999982</v>
      </c>
      <c r="F402" s="224"/>
      <c r="G402" s="229">
        <f t="shared" si="33"/>
        <v>22.072630705383361</v>
      </c>
      <c r="H402" s="224"/>
      <c r="I402" s="229">
        <f t="shared" si="34"/>
        <v>1721.6651950199021</v>
      </c>
      <c r="J402" s="229">
        <f t="shared" si="35"/>
        <v>668432.98034556373</v>
      </c>
      <c r="K402" s="231"/>
      <c r="L402" s="32">
        <f>SUM(I385:I402)</f>
        <v>14110.591357337482</v>
      </c>
      <c r="M402" s="317">
        <f>SUM(L384:L402)</f>
        <v>34251.866875999804</v>
      </c>
      <c r="N402" s="27">
        <v>43465</v>
      </c>
    </row>
    <row r="403" spans="1:14" ht="15" thickBot="1" x14ac:dyDescent="0.4">
      <c r="A403" s="206"/>
      <c r="B403" s="140" t="s">
        <v>135</v>
      </c>
      <c r="C403" s="133">
        <f>SUM(C9:C402)</f>
        <v>46833.32</v>
      </c>
      <c r="D403" s="133">
        <f>SUM(D9:D402)</f>
        <v>16549.980000000003</v>
      </c>
      <c r="E403" s="206"/>
      <c r="F403" s="206"/>
      <c r="G403" s="206"/>
      <c r="H403" s="133">
        <f>SUM(H9:H300)</f>
        <v>1028888</v>
      </c>
      <c r="I403" s="133">
        <f>SUM(I9:I402)</f>
        <v>360455.01965443639</v>
      </c>
      <c r="J403" s="206"/>
      <c r="K403" s="206"/>
      <c r="L403" s="204"/>
      <c r="M403" s="311">
        <f>SUM(M44:M402)</f>
        <v>360455.01965443639</v>
      </c>
      <c r="N403" s="245"/>
    </row>
    <row r="404" spans="1:14" ht="15" thickTop="1" x14ac:dyDescent="0.35">
      <c r="A404" s="200"/>
      <c r="B404" s="201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45"/>
      <c r="N404" s="245"/>
    </row>
    <row r="405" spans="1:14" x14ac:dyDescent="0.35">
      <c r="A405" s="120"/>
      <c r="B405" s="201"/>
      <c r="M405" s="250"/>
    </row>
    <row r="406" spans="1:14" x14ac:dyDescent="0.35">
      <c r="A406" s="309" t="s">
        <v>230</v>
      </c>
      <c r="B406" s="201"/>
      <c r="C406" s="200"/>
      <c r="D406" s="200"/>
      <c r="E406" s="200"/>
      <c r="F406" s="200"/>
      <c r="G406" s="204"/>
      <c r="H406" s="204"/>
      <c r="I406" s="204"/>
      <c r="J406" s="204"/>
    </row>
    <row r="407" spans="1:14" x14ac:dyDescent="0.35">
      <c r="A407" s="309" t="s">
        <v>233</v>
      </c>
      <c r="B407" s="201"/>
      <c r="C407" s="200"/>
      <c r="D407" s="200"/>
      <c r="E407" s="200"/>
      <c r="F407" s="200"/>
      <c r="G407" s="204"/>
      <c r="H407" s="204"/>
      <c r="I407" s="204"/>
      <c r="J407" s="245">
        <f>+E402*F126</f>
        <v>714555.55581554619</v>
      </c>
    </row>
    <row r="408" spans="1:14" x14ac:dyDescent="0.35">
      <c r="A408" s="309" t="s">
        <v>231</v>
      </c>
      <c r="B408" s="201"/>
      <c r="C408" s="200"/>
      <c r="D408" s="200"/>
      <c r="E408" s="200"/>
      <c r="F408" s="200"/>
      <c r="G408" s="204"/>
      <c r="H408" s="204"/>
      <c r="I408" s="204"/>
      <c r="J408" s="310">
        <f>+J402</f>
        <v>668432.98034556373</v>
      </c>
    </row>
    <row r="409" spans="1:14" ht="15" thickBot="1" x14ac:dyDescent="0.4">
      <c r="A409" s="309"/>
      <c r="B409" s="201" t="s">
        <v>232</v>
      </c>
      <c r="C409" s="200"/>
      <c r="D409" s="200"/>
      <c r="E409" s="200"/>
      <c r="F409" s="200"/>
      <c r="G409" s="204"/>
      <c r="H409" s="204"/>
      <c r="I409" s="204"/>
      <c r="J409" s="311">
        <f>+J407-J408</f>
        <v>46122.575469982461</v>
      </c>
    </row>
    <row r="410" spans="1:14" ht="15" thickTop="1" x14ac:dyDescent="0.35">
      <c r="A410" s="120"/>
      <c r="B410" s="201"/>
    </row>
    <row r="411" spans="1:14" x14ac:dyDescent="0.35">
      <c r="A411" s="120"/>
      <c r="B411" s="201"/>
    </row>
    <row r="412" spans="1:14" x14ac:dyDescent="0.35">
      <c r="A412" s="120"/>
      <c r="B412" s="201"/>
    </row>
    <row r="413" spans="1:14" x14ac:dyDescent="0.35">
      <c r="A413" s="120"/>
      <c r="B413" s="201"/>
    </row>
    <row r="414" spans="1:14" x14ac:dyDescent="0.35">
      <c r="A414" s="120"/>
      <c r="B414" s="201"/>
    </row>
    <row r="415" spans="1:14" x14ac:dyDescent="0.35">
      <c r="A415" s="120"/>
      <c r="B415" s="201"/>
    </row>
    <row r="416" spans="1:14" x14ac:dyDescent="0.35">
      <c r="A416" s="120"/>
      <c r="B416" s="201"/>
    </row>
    <row r="417" spans="1:2" x14ac:dyDescent="0.35">
      <c r="A417" s="120"/>
      <c r="B417" s="201"/>
    </row>
    <row r="418" spans="1:2" x14ac:dyDescent="0.35">
      <c r="A418" s="120"/>
      <c r="B418" s="201"/>
    </row>
    <row r="419" spans="1:2" x14ac:dyDescent="0.35">
      <c r="A419" s="120"/>
      <c r="B419" s="201"/>
    </row>
    <row r="420" spans="1:2" x14ac:dyDescent="0.35">
      <c r="A420" s="120"/>
      <c r="B420" s="201"/>
    </row>
    <row r="421" spans="1:2" x14ac:dyDescent="0.35">
      <c r="A421" s="120"/>
      <c r="B421" s="201"/>
    </row>
    <row r="422" spans="1:2" x14ac:dyDescent="0.35">
      <c r="A422" s="120"/>
      <c r="B422" s="201"/>
    </row>
    <row r="423" spans="1:2" x14ac:dyDescent="0.35">
      <c r="A423" s="120"/>
      <c r="B423" s="201"/>
    </row>
    <row r="424" spans="1:2" x14ac:dyDescent="0.35">
      <c r="A424" s="120"/>
      <c r="B424" s="201"/>
    </row>
    <row r="425" spans="1:2" x14ac:dyDescent="0.35">
      <c r="A425" s="120"/>
      <c r="B425" s="201"/>
    </row>
    <row r="426" spans="1:2" x14ac:dyDescent="0.35">
      <c r="A426" s="120"/>
      <c r="B426" s="120"/>
    </row>
    <row r="427" spans="1:2" x14ac:dyDescent="0.35">
      <c r="A427" s="120"/>
      <c r="B427" s="120"/>
    </row>
  </sheetData>
  <mergeCells count="5">
    <mergeCell ref="C7:E7"/>
    <mergeCell ref="F7:G7"/>
    <mergeCell ref="H7:J7"/>
    <mergeCell ref="A5:K5"/>
    <mergeCell ref="A6:K6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workbookViewId="0">
      <selection sqref="A1:N37"/>
    </sheetView>
  </sheetViews>
  <sheetFormatPr baseColWidth="10" defaultRowHeight="14.5" x14ac:dyDescent="0.35"/>
  <cols>
    <col min="2" max="2" width="30.36328125" customWidth="1"/>
  </cols>
  <sheetData>
    <row r="1" spans="1:14" x14ac:dyDescent="0.35">
      <c r="A1" s="191" t="s">
        <v>0</v>
      </c>
      <c r="B1" s="192"/>
      <c r="C1" s="277"/>
      <c r="D1" s="198"/>
      <c r="E1" s="198"/>
      <c r="F1" s="198"/>
      <c r="G1" s="198"/>
      <c r="H1" s="199" t="s">
        <v>1</v>
      </c>
      <c r="I1" s="198"/>
      <c r="J1" s="198"/>
      <c r="K1" s="150"/>
      <c r="L1" s="160"/>
      <c r="M1" s="160"/>
      <c r="N1" s="160"/>
    </row>
    <row r="2" spans="1:14" x14ac:dyDescent="0.35">
      <c r="A2" s="193" t="s">
        <v>2</v>
      </c>
      <c r="B2" s="194"/>
      <c r="C2" s="200"/>
      <c r="D2" s="200"/>
      <c r="E2" s="200"/>
      <c r="F2" s="200"/>
      <c r="G2" s="200"/>
      <c r="H2" s="201" t="s">
        <v>222</v>
      </c>
      <c r="I2" s="200"/>
      <c r="J2" s="200"/>
      <c r="K2" s="151"/>
      <c r="L2" s="160"/>
      <c r="M2" s="160"/>
      <c r="N2" s="160"/>
    </row>
    <row r="3" spans="1:14" x14ac:dyDescent="0.35">
      <c r="A3" s="195" t="s">
        <v>3</v>
      </c>
      <c r="B3" s="196"/>
      <c r="C3" s="120"/>
      <c r="D3" s="200"/>
      <c r="E3" s="200"/>
      <c r="F3" s="200"/>
      <c r="G3" s="200"/>
      <c r="H3" s="201" t="s">
        <v>4</v>
      </c>
      <c r="I3" s="200"/>
      <c r="J3" s="200"/>
      <c r="K3" s="151"/>
      <c r="L3" s="160"/>
      <c r="M3" s="160"/>
      <c r="N3" s="160"/>
    </row>
    <row r="4" spans="1:14" x14ac:dyDescent="0.35">
      <c r="A4" s="197"/>
      <c r="B4" s="200"/>
      <c r="C4" s="200"/>
      <c r="D4" s="327" t="s">
        <v>5</v>
      </c>
      <c r="E4" s="327"/>
      <c r="F4" s="327"/>
      <c r="G4" s="327"/>
      <c r="H4" s="327"/>
      <c r="I4" s="200"/>
      <c r="J4" s="200"/>
      <c r="K4" s="151"/>
      <c r="L4" s="160"/>
      <c r="M4" s="160"/>
      <c r="N4" s="160"/>
    </row>
    <row r="5" spans="1:14" x14ac:dyDescent="0.35">
      <c r="A5" s="197"/>
      <c r="B5" s="202"/>
      <c r="C5" s="200"/>
      <c r="D5" s="333" t="s">
        <v>25</v>
      </c>
      <c r="E5" s="333"/>
      <c r="F5" s="333"/>
      <c r="G5" s="333"/>
      <c r="H5" s="200"/>
      <c r="I5" s="200"/>
      <c r="J5" s="200"/>
      <c r="K5" s="151"/>
      <c r="L5" s="160"/>
      <c r="M5" s="160"/>
      <c r="N5" s="160"/>
    </row>
    <row r="6" spans="1:14" x14ac:dyDescent="0.35">
      <c r="A6" s="197"/>
      <c r="B6" s="202"/>
      <c r="C6" s="200"/>
      <c r="D6" s="334" t="s">
        <v>6</v>
      </c>
      <c r="E6" s="334"/>
      <c r="F6" s="334"/>
      <c r="G6" s="334"/>
      <c r="H6" s="200"/>
      <c r="I6" s="200"/>
      <c r="J6" s="200"/>
      <c r="K6" s="151"/>
      <c r="L6" s="160"/>
      <c r="M6" s="160"/>
      <c r="N6" s="160"/>
    </row>
    <row r="7" spans="1:14" x14ac:dyDescent="0.35">
      <c r="A7" s="145" t="s">
        <v>7</v>
      </c>
      <c r="B7" s="152" t="s">
        <v>8</v>
      </c>
      <c r="C7" s="328" t="s">
        <v>9</v>
      </c>
      <c r="D7" s="328"/>
      <c r="E7" s="329"/>
      <c r="F7" s="330" t="s">
        <v>10</v>
      </c>
      <c r="G7" s="330"/>
      <c r="H7" s="331" t="s">
        <v>11</v>
      </c>
      <c r="I7" s="332"/>
      <c r="J7" s="332"/>
      <c r="K7" s="278"/>
      <c r="L7" s="160"/>
      <c r="M7" s="160"/>
      <c r="N7" s="160"/>
    </row>
    <row r="8" spans="1:14" x14ac:dyDescent="0.35">
      <c r="A8" s="146"/>
      <c r="B8" s="153"/>
      <c r="C8" s="153" t="s">
        <v>13</v>
      </c>
      <c r="D8" s="154" t="s">
        <v>14</v>
      </c>
      <c r="E8" s="155" t="s">
        <v>15</v>
      </c>
      <c r="F8" s="156" t="s">
        <v>16</v>
      </c>
      <c r="G8" s="156" t="s">
        <v>17</v>
      </c>
      <c r="H8" s="154" t="s">
        <v>18</v>
      </c>
      <c r="I8" s="157" t="s">
        <v>19</v>
      </c>
      <c r="J8" s="158" t="s">
        <v>20</v>
      </c>
      <c r="K8" s="149" t="s">
        <v>12</v>
      </c>
      <c r="L8" s="160"/>
      <c r="M8" s="160"/>
      <c r="N8" s="160"/>
    </row>
    <row r="9" spans="1:14" x14ac:dyDescent="0.35">
      <c r="A9" s="147">
        <v>43102</v>
      </c>
      <c r="B9" s="148" t="s">
        <v>24</v>
      </c>
      <c r="C9" s="161">
        <v>1561.2</v>
      </c>
      <c r="D9" s="159"/>
      <c r="E9" s="163">
        <v>1561.2</v>
      </c>
      <c r="F9" s="159">
        <f>+H9/C9</f>
        <v>19.821284909044326</v>
      </c>
      <c r="G9" s="159"/>
      <c r="H9" s="203">
        <v>30944.99</v>
      </c>
      <c r="I9" s="162"/>
      <c r="J9" s="162">
        <f>+H9</f>
        <v>30944.99</v>
      </c>
      <c r="K9" s="209"/>
      <c r="L9" s="204"/>
      <c r="M9" s="204"/>
      <c r="N9" s="204"/>
    </row>
    <row r="10" spans="1:14" s="225" customFormat="1" x14ac:dyDescent="0.35">
      <c r="A10" s="232">
        <v>43120</v>
      </c>
      <c r="B10" s="226" t="s">
        <v>41</v>
      </c>
      <c r="C10" s="233"/>
      <c r="D10" s="233">
        <v>3</v>
      </c>
      <c r="E10" s="234">
        <f>+E9-D10</f>
        <v>1558.2</v>
      </c>
      <c r="F10" s="223"/>
      <c r="G10" s="233">
        <f>+J9/E9</f>
        <v>19.821284909044326</v>
      </c>
      <c r="H10" s="223"/>
      <c r="I10" s="233">
        <f>+D10*G10</f>
        <v>59.463854727132983</v>
      </c>
      <c r="J10" s="233">
        <f>+J9-I10</f>
        <v>30885.52614527287</v>
      </c>
      <c r="K10" s="164"/>
      <c r="L10" s="235">
        <f t="shared" ref="L10:L15" si="0">SUM(I10)</f>
        <v>59.463854727132983</v>
      </c>
      <c r="M10" s="235">
        <f>SUM(L10)</f>
        <v>59.463854727132983</v>
      </c>
      <c r="N10" s="27">
        <v>43131</v>
      </c>
    </row>
    <row r="11" spans="1:14" s="225" customFormat="1" x14ac:dyDescent="0.35">
      <c r="A11" s="232">
        <v>43137</v>
      </c>
      <c r="B11" s="226" t="s">
        <v>56</v>
      </c>
      <c r="C11" s="233"/>
      <c r="D11" s="233">
        <f>9*3</f>
        <v>27</v>
      </c>
      <c r="E11" s="234">
        <f>+E10-D11</f>
        <v>1531.2</v>
      </c>
      <c r="F11" s="223"/>
      <c r="G11" s="233">
        <f t="shared" ref="G11:G14" si="1">+J10/E10</f>
        <v>19.821284909044326</v>
      </c>
      <c r="H11" s="223"/>
      <c r="I11" s="233">
        <f>+D11*G11</f>
        <v>535.17469254419677</v>
      </c>
      <c r="J11" s="233">
        <f t="shared" ref="J11:J13" si="2">+J10-I11</f>
        <v>30350.351452728672</v>
      </c>
      <c r="K11" s="164"/>
      <c r="L11" s="235">
        <f t="shared" si="0"/>
        <v>535.17469254419677</v>
      </c>
      <c r="M11" s="235"/>
      <c r="N11" s="27">
        <v>43146</v>
      </c>
    </row>
    <row r="12" spans="1:14" s="225" customFormat="1" x14ac:dyDescent="0.35">
      <c r="A12" s="232">
        <v>43154</v>
      </c>
      <c r="B12" s="226" t="s">
        <v>66</v>
      </c>
      <c r="C12" s="233"/>
      <c r="D12" s="233">
        <f>5*3</f>
        <v>15</v>
      </c>
      <c r="E12" s="234">
        <f>+E11-D12</f>
        <v>1516.2</v>
      </c>
      <c r="F12" s="223"/>
      <c r="G12" s="233">
        <f t="shared" si="1"/>
        <v>19.821284909044326</v>
      </c>
      <c r="H12" s="223"/>
      <c r="I12" s="233">
        <f>+D12*G12</f>
        <v>297.3192736356649</v>
      </c>
      <c r="J12" s="233">
        <f t="shared" si="2"/>
        <v>30053.032179093007</v>
      </c>
      <c r="K12" s="164"/>
      <c r="L12" s="235">
        <f t="shared" si="0"/>
        <v>297.3192736356649</v>
      </c>
      <c r="M12" s="235">
        <f>SUM(L11:L12)</f>
        <v>832.49396617986167</v>
      </c>
      <c r="N12" s="27">
        <v>43159</v>
      </c>
    </row>
    <row r="13" spans="1:14" s="225" customFormat="1" x14ac:dyDescent="0.35">
      <c r="A13" s="232">
        <v>43167</v>
      </c>
      <c r="B13" s="226" t="s">
        <v>78</v>
      </c>
      <c r="C13" s="233"/>
      <c r="D13" s="233">
        <f>50*3</f>
        <v>150</v>
      </c>
      <c r="E13" s="234">
        <f>+E12-D13</f>
        <v>1366.2</v>
      </c>
      <c r="F13" s="223"/>
      <c r="G13" s="233">
        <f t="shared" si="1"/>
        <v>19.821284909044326</v>
      </c>
      <c r="H13" s="223"/>
      <c r="I13" s="233">
        <f>+D13*G13</f>
        <v>2973.1927363566488</v>
      </c>
      <c r="J13" s="233">
        <f t="shared" si="2"/>
        <v>27079.839442736356</v>
      </c>
      <c r="K13" s="164"/>
      <c r="L13" s="235">
        <f t="shared" si="0"/>
        <v>2973.1927363566488</v>
      </c>
      <c r="M13" s="235">
        <f>SUM(L13)</f>
        <v>2973.1927363566488</v>
      </c>
      <c r="N13" s="27">
        <v>43174</v>
      </c>
    </row>
    <row r="14" spans="1:14" s="225" customFormat="1" x14ac:dyDescent="0.35">
      <c r="A14" s="238">
        <v>43214</v>
      </c>
      <c r="B14" s="226" t="s">
        <v>110</v>
      </c>
      <c r="C14" s="231"/>
      <c r="D14" s="239">
        <f>5*3</f>
        <v>15</v>
      </c>
      <c r="E14" s="234">
        <f>+E13-D14</f>
        <v>1351.2</v>
      </c>
      <c r="F14" s="223"/>
      <c r="G14" s="233">
        <f t="shared" si="1"/>
        <v>19.821284909044323</v>
      </c>
      <c r="H14" s="223"/>
      <c r="I14" s="233">
        <f>+D14*G14</f>
        <v>297.31927363566484</v>
      </c>
      <c r="J14" s="233">
        <f t="shared" ref="J14" si="3">+J13-I14</f>
        <v>26782.520169100691</v>
      </c>
      <c r="K14" s="164"/>
      <c r="L14" s="235">
        <f t="shared" si="0"/>
        <v>297.31927363566484</v>
      </c>
      <c r="M14" s="235">
        <f>SUM(L14)</f>
        <v>297.31927363566484</v>
      </c>
      <c r="N14" s="27">
        <v>43220</v>
      </c>
    </row>
    <row r="15" spans="1:14" s="225" customFormat="1" x14ac:dyDescent="0.35">
      <c r="A15" s="238">
        <v>43315</v>
      </c>
      <c r="B15" s="226" t="s">
        <v>456</v>
      </c>
      <c r="C15" s="231"/>
      <c r="D15" s="239">
        <f>23*3</f>
        <v>69</v>
      </c>
      <c r="E15" s="234">
        <f t="shared" ref="E15:E26" si="4">+E14-D15</f>
        <v>1282.2</v>
      </c>
      <c r="F15" s="223"/>
      <c r="G15" s="233">
        <f t="shared" ref="G15:G26" si="5">+J14/E14</f>
        <v>19.821284909044323</v>
      </c>
      <c r="H15" s="223"/>
      <c r="I15" s="233">
        <f t="shared" ref="I15:I26" si="6">+D15*G15</f>
        <v>1367.6686587240583</v>
      </c>
      <c r="J15" s="233">
        <f t="shared" ref="J15:J26" si="7">+J14-I15</f>
        <v>25414.851510376633</v>
      </c>
      <c r="K15" s="164"/>
      <c r="L15" s="235">
        <f t="shared" si="0"/>
        <v>1367.6686587240583</v>
      </c>
      <c r="M15" s="235">
        <f>SUM(L15)</f>
        <v>1367.6686587240583</v>
      </c>
      <c r="N15" s="27">
        <v>43327</v>
      </c>
    </row>
    <row r="16" spans="1:14" s="225" customFormat="1" x14ac:dyDescent="0.35">
      <c r="A16" s="238">
        <v>43364</v>
      </c>
      <c r="B16" s="226" t="s">
        <v>541</v>
      </c>
      <c r="C16" s="231"/>
      <c r="D16" s="239">
        <f>2*3</f>
        <v>6</v>
      </c>
      <c r="E16" s="234">
        <f t="shared" si="4"/>
        <v>1276.2</v>
      </c>
      <c r="F16" s="223"/>
      <c r="G16" s="233">
        <f t="shared" si="5"/>
        <v>19.821284909044323</v>
      </c>
      <c r="H16" s="223"/>
      <c r="I16" s="233">
        <f t="shared" si="6"/>
        <v>118.92770945426594</v>
      </c>
      <c r="J16" s="233">
        <f t="shared" si="7"/>
        <v>25295.923800922366</v>
      </c>
      <c r="K16" s="164"/>
      <c r="L16" s="235">
        <f>SUM(I16)</f>
        <v>118.92770945426594</v>
      </c>
      <c r="M16" s="235">
        <f>SUM(L16)</f>
        <v>118.92770945426594</v>
      </c>
      <c r="N16" s="27">
        <v>43373</v>
      </c>
    </row>
    <row r="17" spans="1:14" s="225" customFormat="1" x14ac:dyDescent="0.35">
      <c r="A17" s="238">
        <v>43388</v>
      </c>
      <c r="B17" s="226" t="s">
        <v>588</v>
      </c>
      <c r="C17" s="231"/>
      <c r="D17" s="239">
        <f>2*3</f>
        <v>6</v>
      </c>
      <c r="E17" s="234">
        <f t="shared" si="4"/>
        <v>1270.2</v>
      </c>
      <c r="F17" s="223"/>
      <c r="G17" s="233">
        <f t="shared" si="5"/>
        <v>19.821284909044323</v>
      </c>
      <c r="H17" s="223"/>
      <c r="I17" s="233">
        <f t="shared" si="6"/>
        <v>118.92770945426594</v>
      </c>
      <c r="J17" s="233">
        <f t="shared" si="7"/>
        <v>25176.9960914681</v>
      </c>
      <c r="K17" s="164"/>
      <c r="L17" s="235">
        <f>SUM(I17)</f>
        <v>118.92770945426594</v>
      </c>
      <c r="M17" s="227"/>
      <c r="N17" s="27">
        <v>43388</v>
      </c>
    </row>
    <row r="18" spans="1:14" s="71" customFormat="1" x14ac:dyDescent="0.35">
      <c r="A18" s="315">
        <v>43392</v>
      </c>
      <c r="B18" s="63" t="s">
        <v>598</v>
      </c>
      <c r="C18" s="276"/>
      <c r="D18" s="316">
        <f>8*3</f>
        <v>24</v>
      </c>
      <c r="E18" s="313">
        <f t="shared" si="4"/>
        <v>1246.2</v>
      </c>
      <c r="F18" s="105"/>
      <c r="G18" s="159">
        <f t="shared" si="5"/>
        <v>19.821284909044323</v>
      </c>
      <c r="H18" s="105"/>
      <c r="I18" s="159">
        <f t="shared" si="6"/>
        <v>475.71083781706375</v>
      </c>
      <c r="J18" s="159">
        <f t="shared" si="7"/>
        <v>24701.285253651036</v>
      </c>
      <c r="K18" s="165"/>
      <c r="L18" s="166"/>
      <c r="M18" s="166"/>
      <c r="N18" s="166"/>
    </row>
    <row r="19" spans="1:14" s="71" customFormat="1" x14ac:dyDescent="0.35">
      <c r="A19" s="143">
        <v>43397</v>
      </c>
      <c r="B19" s="220" t="s">
        <v>609</v>
      </c>
      <c r="C19" s="221"/>
      <c r="D19" s="221">
        <f>2*3</f>
        <v>6</v>
      </c>
      <c r="E19" s="313">
        <f t="shared" si="4"/>
        <v>1240.2</v>
      </c>
      <c r="F19" s="105"/>
      <c r="G19" s="159">
        <f t="shared" si="5"/>
        <v>19.821284909044323</v>
      </c>
      <c r="H19" s="105"/>
      <c r="I19" s="159">
        <f t="shared" si="6"/>
        <v>118.92770945426594</v>
      </c>
      <c r="J19" s="159">
        <f t="shared" si="7"/>
        <v>24582.35754419677</v>
      </c>
      <c r="K19" s="165"/>
      <c r="L19" s="166"/>
      <c r="M19" s="166"/>
      <c r="N19" s="166"/>
    </row>
    <row r="20" spans="1:14" s="225" customFormat="1" x14ac:dyDescent="0.35">
      <c r="A20" s="232">
        <v>43399</v>
      </c>
      <c r="B20" s="226" t="s">
        <v>614</v>
      </c>
      <c r="C20" s="233"/>
      <c r="D20" s="233">
        <f>2*3</f>
        <v>6</v>
      </c>
      <c r="E20" s="234">
        <f t="shared" si="4"/>
        <v>1234.2</v>
      </c>
      <c r="F20" s="223"/>
      <c r="G20" s="233">
        <f t="shared" si="5"/>
        <v>19.821284909044323</v>
      </c>
      <c r="H20" s="223"/>
      <c r="I20" s="233">
        <f t="shared" si="6"/>
        <v>118.92770945426594</v>
      </c>
      <c r="J20" s="233">
        <f t="shared" si="7"/>
        <v>24463.429834742503</v>
      </c>
      <c r="K20" s="164"/>
      <c r="L20" s="235">
        <f>SUM(I18:I20)</f>
        <v>713.56625672559562</v>
      </c>
      <c r="M20" s="235">
        <f>SUM(L17:L20)</f>
        <v>832.49396617986156</v>
      </c>
      <c r="N20" s="27">
        <v>43404</v>
      </c>
    </row>
    <row r="21" spans="1:14" s="71" customFormat="1" x14ac:dyDescent="0.35">
      <c r="A21" s="143">
        <v>43413</v>
      </c>
      <c r="B21" s="63" t="s">
        <v>662</v>
      </c>
      <c r="C21" s="144"/>
      <c r="D21" s="144">
        <f>5*3</f>
        <v>15</v>
      </c>
      <c r="E21" s="313">
        <f t="shared" si="4"/>
        <v>1219.2</v>
      </c>
      <c r="F21" s="105"/>
      <c r="G21" s="159">
        <f t="shared" si="5"/>
        <v>19.821284909044323</v>
      </c>
      <c r="H21" s="105"/>
      <c r="I21" s="159">
        <f t="shared" si="6"/>
        <v>297.31927363566484</v>
      </c>
      <c r="J21" s="159">
        <f t="shared" si="7"/>
        <v>24166.110561106838</v>
      </c>
      <c r="K21" s="165"/>
      <c r="L21" s="166"/>
      <c r="M21" s="166"/>
      <c r="N21" s="166"/>
    </row>
    <row r="22" spans="1:14" s="71" customFormat="1" x14ac:dyDescent="0.35">
      <c r="A22" s="143">
        <v>43414</v>
      </c>
      <c r="B22" s="63" t="s">
        <v>663</v>
      </c>
      <c r="C22" s="144"/>
      <c r="D22" s="144">
        <f>7*5</f>
        <v>35</v>
      </c>
      <c r="E22" s="313">
        <f t="shared" si="4"/>
        <v>1184.2</v>
      </c>
      <c r="F22" s="105"/>
      <c r="G22" s="159">
        <f t="shared" si="5"/>
        <v>19.821284909044323</v>
      </c>
      <c r="H22" s="105"/>
      <c r="I22" s="159">
        <f t="shared" si="6"/>
        <v>693.74497181655124</v>
      </c>
      <c r="J22" s="159">
        <f t="shared" si="7"/>
        <v>23472.365589290286</v>
      </c>
      <c r="K22" s="165"/>
      <c r="L22" s="166"/>
      <c r="M22" s="166"/>
      <c r="N22" s="166"/>
    </row>
    <row r="23" spans="1:14" s="225" customFormat="1" x14ac:dyDescent="0.35">
      <c r="A23" s="232">
        <v>43416</v>
      </c>
      <c r="B23" s="226" t="s">
        <v>668</v>
      </c>
      <c r="C23" s="233"/>
      <c r="D23" s="233">
        <f>44*3</f>
        <v>132</v>
      </c>
      <c r="E23" s="234">
        <f t="shared" si="4"/>
        <v>1052.2</v>
      </c>
      <c r="F23" s="223"/>
      <c r="G23" s="233">
        <f t="shared" si="5"/>
        <v>19.821284909044323</v>
      </c>
      <c r="H23" s="223"/>
      <c r="I23" s="233">
        <f t="shared" si="6"/>
        <v>2616.4096079938508</v>
      </c>
      <c r="J23" s="233">
        <f t="shared" si="7"/>
        <v>20855.955981296436</v>
      </c>
      <c r="K23" s="164"/>
      <c r="L23" s="235">
        <f>SUM(I21:I23)</f>
        <v>3607.4738534460666</v>
      </c>
      <c r="M23" s="227"/>
      <c r="N23" s="27">
        <v>43419</v>
      </c>
    </row>
    <row r="24" spans="1:14" s="71" customFormat="1" x14ac:dyDescent="0.35">
      <c r="A24" s="143">
        <v>43423</v>
      </c>
      <c r="B24" s="63" t="s">
        <v>676</v>
      </c>
      <c r="C24" s="144"/>
      <c r="D24" s="144">
        <f>8*3</f>
        <v>24</v>
      </c>
      <c r="E24" s="313">
        <f t="shared" si="4"/>
        <v>1028.2</v>
      </c>
      <c r="F24" s="105"/>
      <c r="G24" s="159">
        <f t="shared" si="5"/>
        <v>19.821284909044323</v>
      </c>
      <c r="H24" s="105"/>
      <c r="I24" s="159">
        <f t="shared" si="6"/>
        <v>475.71083781706375</v>
      </c>
      <c r="J24" s="159">
        <f t="shared" si="7"/>
        <v>20380.245143479373</v>
      </c>
      <c r="K24" s="165"/>
      <c r="L24" s="166"/>
      <c r="M24" s="166"/>
      <c r="N24" s="166"/>
    </row>
    <row r="25" spans="1:14" s="225" customFormat="1" x14ac:dyDescent="0.35">
      <c r="A25" s="232">
        <v>43427</v>
      </c>
      <c r="B25" s="226" t="s">
        <v>690</v>
      </c>
      <c r="C25" s="233"/>
      <c r="D25" s="233">
        <f>8*3</f>
        <v>24</v>
      </c>
      <c r="E25" s="234">
        <f t="shared" si="4"/>
        <v>1004.2</v>
      </c>
      <c r="F25" s="223"/>
      <c r="G25" s="233">
        <f t="shared" si="5"/>
        <v>19.821284909044323</v>
      </c>
      <c r="H25" s="223"/>
      <c r="I25" s="233">
        <f t="shared" si="6"/>
        <v>475.71083781706375</v>
      </c>
      <c r="J25" s="233">
        <f t="shared" si="7"/>
        <v>19904.53430566231</v>
      </c>
      <c r="K25" s="164"/>
      <c r="L25" s="235">
        <f>SUM(I24:I25)</f>
        <v>951.4216756341275</v>
      </c>
      <c r="M25" s="235">
        <f>SUM(L23:L25)</f>
        <v>4558.8955290801941</v>
      </c>
      <c r="N25" s="27">
        <v>43434</v>
      </c>
    </row>
    <row r="26" spans="1:14" s="71" customFormat="1" x14ac:dyDescent="0.35">
      <c r="A26" s="143">
        <v>43438</v>
      </c>
      <c r="B26" s="63" t="s">
        <v>711</v>
      </c>
      <c r="C26" s="144"/>
      <c r="D26" s="144">
        <f>30*3</f>
        <v>90</v>
      </c>
      <c r="E26" s="313">
        <f t="shared" si="4"/>
        <v>914.2</v>
      </c>
      <c r="F26" s="105"/>
      <c r="G26" s="159">
        <f t="shared" si="5"/>
        <v>19.821284909044323</v>
      </c>
      <c r="H26" s="105"/>
      <c r="I26" s="159">
        <f t="shared" si="6"/>
        <v>1783.9156418139892</v>
      </c>
      <c r="J26" s="159">
        <f t="shared" si="7"/>
        <v>18120.61866384832</v>
      </c>
      <c r="K26" s="165"/>
      <c r="L26" s="166"/>
      <c r="M26" s="166"/>
      <c r="N26" s="166"/>
    </row>
    <row r="27" spans="1:14" s="71" customFormat="1" x14ac:dyDescent="0.35">
      <c r="A27" s="143">
        <v>43438</v>
      </c>
      <c r="B27" s="63" t="s">
        <v>714</v>
      </c>
      <c r="C27" s="144"/>
      <c r="D27" s="144">
        <f>28*3</f>
        <v>84</v>
      </c>
      <c r="E27" s="313">
        <f t="shared" ref="E27:E30" si="8">+E26-D27</f>
        <v>830.2</v>
      </c>
      <c r="F27" s="105"/>
      <c r="G27" s="159">
        <f t="shared" ref="G27:G30" si="9">+J26/E26</f>
        <v>19.821284909044323</v>
      </c>
      <c r="H27" s="105"/>
      <c r="I27" s="159">
        <f t="shared" ref="I27:I30" si="10">+D27*G27</f>
        <v>1664.9879323597231</v>
      </c>
      <c r="J27" s="159">
        <f t="shared" ref="J27:J30" si="11">+J26-I27</f>
        <v>16455.630731488596</v>
      </c>
      <c r="K27" s="165"/>
      <c r="L27" s="166"/>
      <c r="M27" s="166"/>
      <c r="N27" s="166"/>
    </row>
    <row r="28" spans="1:14" s="71" customFormat="1" x14ac:dyDescent="0.35">
      <c r="A28" s="143">
        <v>43445</v>
      </c>
      <c r="B28" s="63" t="s">
        <v>724</v>
      </c>
      <c r="C28" s="144"/>
      <c r="D28" s="144">
        <f>26*3</f>
        <v>78</v>
      </c>
      <c r="E28" s="313">
        <f t="shared" si="8"/>
        <v>752.2</v>
      </c>
      <c r="F28" s="105"/>
      <c r="G28" s="159">
        <f t="shared" si="9"/>
        <v>19.821284909044319</v>
      </c>
      <c r="H28" s="105"/>
      <c r="I28" s="159">
        <f t="shared" si="10"/>
        <v>1546.0602229054568</v>
      </c>
      <c r="J28" s="159">
        <f t="shared" si="11"/>
        <v>14909.57050858314</v>
      </c>
      <c r="K28" s="165"/>
      <c r="L28" s="166"/>
      <c r="M28" s="166"/>
      <c r="N28" s="166"/>
    </row>
    <row r="29" spans="1:14" s="225" customFormat="1" x14ac:dyDescent="0.35">
      <c r="A29" s="232">
        <v>43446</v>
      </c>
      <c r="B29" s="226" t="s">
        <v>736</v>
      </c>
      <c r="C29" s="233"/>
      <c r="D29" s="233">
        <f>28*3</f>
        <v>84</v>
      </c>
      <c r="E29" s="234">
        <f t="shared" si="8"/>
        <v>668.2</v>
      </c>
      <c r="F29" s="223"/>
      <c r="G29" s="233">
        <f t="shared" si="9"/>
        <v>19.821284909044323</v>
      </c>
      <c r="H29" s="223"/>
      <c r="I29" s="233">
        <f t="shared" si="10"/>
        <v>1664.9879323597231</v>
      </c>
      <c r="J29" s="233">
        <f t="shared" si="11"/>
        <v>13244.582576223416</v>
      </c>
      <c r="K29" s="164"/>
      <c r="L29" s="235">
        <f>SUM(I26:I29)</f>
        <v>6659.9517294388925</v>
      </c>
      <c r="M29" s="227"/>
      <c r="N29" s="27">
        <v>43449</v>
      </c>
    </row>
    <row r="30" spans="1:14" s="225" customFormat="1" x14ac:dyDescent="0.35">
      <c r="A30" s="232">
        <v>43454</v>
      </c>
      <c r="B30" s="226" t="s">
        <v>765</v>
      </c>
      <c r="C30" s="233"/>
      <c r="D30" s="233">
        <f>4*3</f>
        <v>12</v>
      </c>
      <c r="E30" s="234">
        <f t="shared" si="8"/>
        <v>656.2</v>
      </c>
      <c r="F30" s="223"/>
      <c r="G30" s="233">
        <f t="shared" si="9"/>
        <v>19.821284909044323</v>
      </c>
      <c r="H30" s="223"/>
      <c r="I30" s="233">
        <f t="shared" si="10"/>
        <v>237.85541890853187</v>
      </c>
      <c r="J30" s="233">
        <f t="shared" si="11"/>
        <v>13006.727157314885</v>
      </c>
      <c r="K30" s="164"/>
      <c r="L30" s="235">
        <f>SUM(I30)</f>
        <v>237.85541890853187</v>
      </c>
      <c r="M30" s="323">
        <f>SUM(L29:L30)</f>
        <v>6897.8071483474241</v>
      </c>
      <c r="N30" s="27">
        <v>43465</v>
      </c>
    </row>
    <row r="31" spans="1:14" ht="15" thickBot="1" x14ac:dyDescent="0.4">
      <c r="A31" s="279"/>
      <c r="B31" s="280" t="s">
        <v>135</v>
      </c>
      <c r="C31" s="281">
        <f>SUM(C9:C30)</f>
        <v>1561.2</v>
      </c>
      <c r="D31" s="281">
        <f>SUM(D9:D30)</f>
        <v>905</v>
      </c>
      <c r="E31" s="282"/>
      <c r="F31" s="282"/>
      <c r="G31" s="282"/>
      <c r="H31" s="281">
        <f>SUM(H9:H30)</f>
        <v>30944.99</v>
      </c>
      <c r="I31" s="281">
        <f>SUM(I9:I30)</f>
        <v>17938.262842685115</v>
      </c>
      <c r="J31" s="282"/>
      <c r="K31" s="283"/>
      <c r="L31" s="204"/>
      <c r="M31" s="324">
        <f>SUM(M10:M30)</f>
        <v>17938.262842685112</v>
      </c>
      <c r="N31" s="275"/>
    </row>
    <row r="32" spans="1:14" x14ac:dyDescent="0.35">
      <c r="N32" s="251"/>
    </row>
    <row r="34" spans="1:10" x14ac:dyDescent="0.35">
      <c r="A34" s="309" t="s">
        <v>230</v>
      </c>
      <c r="B34" s="201"/>
      <c r="C34" s="200"/>
      <c r="D34" s="200"/>
      <c r="E34" s="200"/>
      <c r="F34" s="200"/>
      <c r="G34" s="204"/>
      <c r="H34" s="204"/>
      <c r="I34" s="204"/>
      <c r="J34" s="204"/>
    </row>
    <row r="35" spans="1:10" x14ac:dyDescent="0.35">
      <c r="A35" s="309" t="s">
        <v>233</v>
      </c>
      <c r="B35" s="201"/>
      <c r="C35" s="200"/>
      <c r="D35" s="200"/>
      <c r="E35" s="200"/>
      <c r="F35" s="200"/>
      <c r="G35" s="204"/>
      <c r="H35" s="204"/>
      <c r="I35" s="204"/>
      <c r="J35" s="245">
        <f>+E30*F9</f>
        <v>13006.727157314888</v>
      </c>
    </row>
    <row r="36" spans="1:10" x14ac:dyDescent="0.35">
      <c r="A36" s="309" t="s">
        <v>231</v>
      </c>
      <c r="B36" s="201"/>
      <c r="C36" s="200"/>
      <c r="D36" s="200"/>
      <c r="E36" s="200"/>
      <c r="F36" s="200"/>
      <c r="G36" s="204"/>
      <c r="H36" s="204"/>
      <c r="I36" s="204"/>
      <c r="J36" s="310">
        <f>+J30</f>
        <v>13006.727157314885</v>
      </c>
    </row>
    <row r="37" spans="1:10" ht="15" thickBot="1" x14ac:dyDescent="0.4">
      <c r="A37" s="309"/>
      <c r="B37" s="201" t="s">
        <v>232</v>
      </c>
      <c r="C37" s="200"/>
      <c r="D37" s="200"/>
      <c r="E37" s="200"/>
      <c r="F37" s="200"/>
      <c r="G37" s="204"/>
      <c r="H37" s="204"/>
      <c r="I37" s="204"/>
      <c r="J37" s="311">
        <f>+J35-J36</f>
        <v>0</v>
      </c>
    </row>
    <row r="38" spans="1:10" ht="15" thickTop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  <ignoredErrors>
    <ignoredError sqref="D13 D18 D2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5"/>
  <sheetViews>
    <sheetView workbookViewId="0">
      <selection sqref="A1:M97"/>
    </sheetView>
  </sheetViews>
  <sheetFormatPr baseColWidth="10" defaultRowHeight="14.5" x14ac:dyDescent="0.35"/>
  <cols>
    <col min="2" max="2" width="30.54296875" customWidth="1"/>
    <col min="3" max="3" width="12.81640625" bestFit="1" customWidth="1"/>
  </cols>
  <sheetData>
    <row r="1" spans="1:13" x14ac:dyDescent="0.35">
      <c r="A1" s="168" t="s">
        <v>0</v>
      </c>
      <c r="B1" s="169"/>
      <c r="C1" s="175"/>
      <c r="D1" s="175"/>
      <c r="E1" s="175"/>
      <c r="F1" s="175"/>
      <c r="G1" s="175"/>
      <c r="H1" s="176" t="s">
        <v>1</v>
      </c>
      <c r="I1" s="175"/>
      <c r="J1" s="183"/>
      <c r="K1" s="180"/>
      <c r="L1" s="180"/>
      <c r="M1" s="180"/>
    </row>
    <row r="2" spans="1:13" x14ac:dyDescent="0.35">
      <c r="A2" s="170" t="s">
        <v>2</v>
      </c>
      <c r="B2" s="171"/>
      <c r="C2" s="177"/>
      <c r="D2" s="177"/>
      <c r="E2" s="177"/>
      <c r="F2" s="177"/>
      <c r="G2" s="177"/>
      <c r="H2" s="178" t="s">
        <v>26</v>
      </c>
      <c r="I2" s="177"/>
      <c r="J2" s="184"/>
      <c r="K2" s="180"/>
      <c r="L2" s="180"/>
      <c r="M2" s="180"/>
    </row>
    <row r="3" spans="1:13" x14ac:dyDescent="0.35">
      <c r="A3" s="172" t="s">
        <v>3</v>
      </c>
      <c r="B3" s="173"/>
      <c r="C3" s="177"/>
      <c r="D3" s="177"/>
      <c r="E3" s="177"/>
      <c r="F3" s="177"/>
      <c r="G3" s="177"/>
      <c r="H3" s="178" t="s">
        <v>27</v>
      </c>
      <c r="I3" s="177"/>
      <c r="J3" s="184"/>
      <c r="K3" s="180"/>
      <c r="L3" s="180"/>
      <c r="M3" s="180"/>
    </row>
    <row r="4" spans="1:13" x14ac:dyDescent="0.35">
      <c r="A4" s="174"/>
      <c r="B4" s="177"/>
      <c r="C4" s="177"/>
      <c r="D4" s="327" t="s">
        <v>5</v>
      </c>
      <c r="E4" s="327"/>
      <c r="F4" s="327"/>
      <c r="G4" s="327"/>
      <c r="H4" s="327"/>
      <c r="I4" s="178"/>
      <c r="J4" s="184"/>
      <c r="K4" s="180"/>
      <c r="L4" s="180"/>
      <c r="M4" s="180"/>
    </row>
    <row r="5" spans="1:13" x14ac:dyDescent="0.35">
      <c r="A5" s="174"/>
      <c r="B5" s="179"/>
      <c r="C5" s="177"/>
      <c r="D5" s="333" t="s">
        <v>30</v>
      </c>
      <c r="E5" s="333"/>
      <c r="F5" s="333"/>
      <c r="G5" s="333"/>
      <c r="H5" s="177"/>
      <c r="I5" s="178"/>
      <c r="J5" s="184"/>
      <c r="K5" s="180"/>
      <c r="L5" s="180"/>
      <c r="M5" s="180"/>
    </row>
    <row r="6" spans="1:13" x14ac:dyDescent="0.35">
      <c r="A6" s="174"/>
      <c r="B6" s="179"/>
      <c r="C6" s="177"/>
      <c r="D6" s="177" t="s">
        <v>6</v>
      </c>
      <c r="E6" s="179"/>
      <c r="F6" s="179"/>
      <c r="G6" s="177"/>
      <c r="H6" s="177"/>
      <c r="I6" s="178"/>
      <c r="J6" s="184"/>
      <c r="K6" s="180"/>
      <c r="L6" s="180"/>
      <c r="M6" s="180"/>
    </row>
    <row r="7" spans="1:13" x14ac:dyDescent="0.35">
      <c r="A7" s="174" t="s">
        <v>7</v>
      </c>
      <c r="B7" s="188" t="s">
        <v>8</v>
      </c>
      <c r="C7" s="346" t="s">
        <v>9</v>
      </c>
      <c r="D7" s="347"/>
      <c r="E7" s="348"/>
      <c r="F7" s="346" t="s">
        <v>10</v>
      </c>
      <c r="G7" s="348"/>
      <c r="H7" s="346" t="s">
        <v>11</v>
      </c>
      <c r="I7" s="347"/>
      <c r="J7" s="349"/>
      <c r="K7" s="180"/>
      <c r="L7" s="180"/>
      <c r="M7" s="180"/>
    </row>
    <row r="8" spans="1:13" x14ac:dyDescent="0.35">
      <c r="A8" s="185"/>
      <c r="B8" s="186"/>
      <c r="C8" s="187" t="s">
        <v>28</v>
      </c>
      <c r="D8" s="187" t="s">
        <v>14</v>
      </c>
      <c r="E8" s="187" t="s">
        <v>20</v>
      </c>
      <c r="F8" s="187" t="s">
        <v>16</v>
      </c>
      <c r="G8" s="187" t="s">
        <v>17</v>
      </c>
      <c r="H8" s="187" t="s">
        <v>18</v>
      </c>
      <c r="I8" s="187" t="s">
        <v>19</v>
      </c>
      <c r="J8" s="187" t="s">
        <v>20</v>
      </c>
      <c r="K8" s="180"/>
      <c r="L8" s="180"/>
      <c r="M8" s="180"/>
    </row>
    <row r="9" spans="1:13" x14ac:dyDescent="0.35">
      <c r="A9" s="181">
        <v>42737</v>
      </c>
      <c r="B9" s="182" t="s">
        <v>29</v>
      </c>
      <c r="C9" s="264">
        <v>1065536</v>
      </c>
      <c r="D9" s="264"/>
      <c r="E9" s="264">
        <f>+C9</f>
        <v>1065536</v>
      </c>
      <c r="F9" s="264">
        <f>+H9/C9</f>
        <v>0.19772340868820951</v>
      </c>
      <c r="G9" s="265"/>
      <c r="H9" s="266">
        <v>210681.41</v>
      </c>
      <c r="I9" s="264"/>
      <c r="J9" s="267">
        <f>+H9</f>
        <v>210681.41</v>
      </c>
      <c r="K9" s="236"/>
      <c r="L9" s="180"/>
      <c r="M9" s="180"/>
    </row>
    <row r="10" spans="1:13" s="225" customFormat="1" x14ac:dyDescent="0.35">
      <c r="A10" s="228">
        <v>43117</v>
      </c>
      <c r="B10" s="231" t="s">
        <v>35</v>
      </c>
      <c r="C10" s="268"/>
      <c r="D10" s="268">
        <v>100</v>
      </c>
      <c r="E10" s="269">
        <f t="shared" ref="E10" si="0">+E9-D10</f>
        <v>1065436</v>
      </c>
      <c r="F10" s="269"/>
      <c r="G10" s="269">
        <f>+J9/E9</f>
        <v>0.19772340868820951</v>
      </c>
      <c r="H10" s="269"/>
      <c r="I10" s="269">
        <f t="shared" ref="I10" si="1">+D10*G10</f>
        <v>19.772340868820951</v>
      </c>
      <c r="J10" s="270">
        <f>+J9-I10</f>
        <v>210661.63765913117</v>
      </c>
      <c r="K10" s="237">
        <f>SUM(I10)</f>
        <v>19.772340868820951</v>
      </c>
      <c r="L10" s="227"/>
      <c r="M10" s="27">
        <v>43115</v>
      </c>
    </row>
    <row r="11" spans="1:13" s="167" customFormat="1" x14ac:dyDescent="0.35">
      <c r="A11" s="142">
        <v>43119</v>
      </c>
      <c r="B11" s="182" t="s">
        <v>37</v>
      </c>
      <c r="C11" s="263"/>
      <c r="D11" s="263">
        <v>50</v>
      </c>
      <c r="E11" s="272">
        <f t="shared" ref="E11:E74" si="2">+E10-D11</f>
        <v>1065386</v>
      </c>
      <c r="F11" s="272"/>
      <c r="G11" s="272">
        <f t="shared" ref="G11:G74" si="3">+J10/E10</f>
        <v>0.19772340868820951</v>
      </c>
      <c r="H11" s="272"/>
      <c r="I11" s="272">
        <f t="shared" ref="I11:I74" si="4">+D11*G11</f>
        <v>9.8861704344104755</v>
      </c>
      <c r="J11" s="273">
        <f t="shared" ref="J11:J74" si="5">+J10-I11</f>
        <v>210651.75148869675</v>
      </c>
      <c r="K11" s="180"/>
      <c r="L11" s="180"/>
      <c r="M11" s="180"/>
    </row>
    <row r="12" spans="1:13" s="225" customFormat="1" x14ac:dyDescent="0.35">
      <c r="A12" s="228">
        <v>43120</v>
      </c>
      <c r="B12" s="231" t="s">
        <v>40</v>
      </c>
      <c r="C12" s="268"/>
      <c r="D12" s="268">
        <v>250</v>
      </c>
      <c r="E12" s="269">
        <f t="shared" si="2"/>
        <v>1065136</v>
      </c>
      <c r="F12" s="269"/>
      <c r="G12" s="269">
        <f t="shared" si="3"/>
        <v>0.19772340868820948</v>
      </c>
      <c r="H12" s="269"/>
      <c r="I12" s="269">
        <f t="shared" si="4"/>
        <v>49.430852172052369</v>
      </c>
      <c r="J12" s="270">
        <f t="shared" si="5"/>
        <v>210602.3206365247</v>
      </c>
      <c r="K12" s="237">
        <f>SUM(I11:I12)</f>
        <v>59.317022606462842</v>
      </c>
      <c r="L12" s="237">
        <f>SUM(K10:K12)</f>
        <v>79.08936347528379</v>
      </c>
      <c r="M12" s="27">
        <v>43131</v>
      </c>
    </row>
    <row r="13" spans="1:13" s="167" customFormat="1" x14ac:dyDescent="0.35">
      <c r="A13" s="142">
        <v>43134</v>
      </c>
      <c r="B13" s="182" t="s">
        <v>49</v>
      </c>
      <c r="C13" s="263"/>
      <c r="D13" s="263">
        <v>50</v>
      </c>
      <c r="E13" s="272">
        <f t="shared" si="2"/>
        <v>1065086</v>
      </c>
      <c r="F13" s="272"/>
      <c r="G13" s="272">
        <f t="shared" si="3"/>
        <v>0.19772340868820948</v>
      </c>
      <c r="H13" s="272"/>
      <c r="I13" s="272">
        <f t="shared" si="4"/>
        <v>9.8861704344104737</v>
      </c>
      <c r="J13" s="273">
        <f t="shared" si="5"/>
        <v>210592.43446609029</v>
      </c>
      <c r="K13" s="180"/>
      <c r="L13" s="180"/>
      <c r="M13" s="180"/>
    </row>
    <row r="14" spans="1:13" s="167" customFormat="1" x14ac:dyDescent="0.35">
      <c r="A14" s="142">
        <v>43134</v>
      </c>
      <c r="B14" s="182" t="s">
        <v>54</v>
      </c>
      <c r="C14" s="263"/>
      <c r="D14" s="263">
        <v>400</v>
      </c>
      <c r="E14" s="272">
        <f t="shared" si="2"/>
        <v>1064686</v>
      </c>
      <c r="F14" s="272"/>
      <c r="G14" s="272">
        <f t="shared" si="3"/>
        <v>0.19772340868820948</v>
      </c>
      <c r="H14" s="272"/>
      <c r="I14" s="272">
        <f t="shared" si="4"/>
        <v>79.08936347528379</v>
      </c>
      <c r="J14" s="273">
        <f t="shared" si="5"/>
        <v>210513.34510261501</v>
      </c>
      <c r="K14" s="180"/>
      <c r="L14" s="180"/>
      <c r="M14" s="180"/>
    </row>
    <row r="15" spans="1:13" s="225" customFormat="1" x14ac:dyDescent="0.35">
      <c r="A15" s="228">
        <v>43140</v>
      </c>
      <c r="B15" s="231" t="s">
        <v>61</v>
      </c>
      <c r="C15" s="268"/>
      <c r="D15" s="268">
        <v>100</v>
      </c>
      <c r="E15" s="269">
        <f t="shared" si="2"/>
        <v>1064586</v>
      </c>
      <c r="F15" s="269"/>
      <c r="G15" s="269">
        <f t="shared" si="3"/>
        <v>0.19772340868820951</v>
      </c>
      <c r="H15" s="269"/>
      <c r="I15" s="269">
        <f t="shared" si="4"/>
        <v>19.772340868820951</v>
      </c>
      <c r="J15" s="270">
        <f t="shared" si="5"/>
        <v>210493.57276174618</v>
      </c>
      <c r="K15" s="237">
        <f>SUM(I13:I15)</f>
        <v>108.74787477851521</v>
      </c>
      <c r="L15" s="227"/>
      <c r="M15" s="27">
        <v>43146</v>
      </c>
    </row>
    <row r="16" spans="1:13" s="167" customFormat="1" x14ac:dyDescent="0.35">
      <c r="A16" s="142">
        <v>43157</v>
      </c>
      <c r="B16" s="182" t="s">
        <v>68</v>
      </c>
      <c r="C16" s="263"/>
      <c r="D16" s="263">
        <v>400</v>
      </c>
      <c r="E16" s="272">
        <f t="shared" si="2"/>
        <v>1064186</v>
      </c>
      <c r="F16" s="272"/>
      <c r="G16" s="272">
        <f t="shared" si="3"/>
        <v>0.19772340868820948</v>
      </c>
      <c r="H16" s="272"/>
      <c r="I16" s="272">
        <f t="shared" si="4"/>
        <v>79.08936347528379</v>
      </c>
      <c r="J16" s="273">
        <f t="shared" si="5"/>
        <v>210414.48339827091</v>
      </c>
      <c r="K16" s="180"/>
      <c r="L16" s="180"/>
      <c r="M16" s="180"/>
    </row>
    <row r="17" spans="1:13" s="167" customFormat="1" x14ac:dyDescent="0.35">
      <c r="A17" s="142">
        <v>43158</v>
      </c>
      <c r="B17" s="182" t="s">
        <v>69</v>
      </c>
      <c r="C17" s="263"/>
      <c r="D17" s="263">
        <v>300</v>
      </c>
      <c r="E17" s="272">
        <f t="shared" si="2"/>
        <v>1063886</v>
      </c>
      <c r="F17" s="272"/>
      <c r="G17" s="272">
        <f t="shared" si="3"/>
        <v>0.19772340868820951</v>
      </c>
      <c r="H17" s="272"/>
      <c r="I17" s="272">
        <f t="shared" si="4"/>
        <v>59.317022606462849</v>
      </c>
      <c r="J17" s="273">
        <f t="shared" si="5"/>
        <v>210355.16637566444</v>
      </c>
      <c r="K17" s="180"/>
      <c r="L17" s="180"/>
      <c r="M17" s="180"/>
    </row>
    <row r="18" spans="1:13" s="225" customFormat="1" x14ac:dyDescent="0.35">
      <c r="A18" s="228">
        <v>43159</v>
      </c>
      <c r="B18" s="231" t="s">
        <v>70</v>
      </c>
      <c r="C18" s="268"/>
      <c r="D18" s="268">
        <v>350</v>
      </c>
      <c r="E18" s="269">
        <f t="shared" si="2"/>
        <v>1063536</v>
      </c>
      <c r="F18" s="269"/>
      <c r="G18" s="269">
        <f t="shared" si="3"/>
        <v>0.19772340868820948</v>
      </c>
      <c r="H18" s="269"/>
      <c r="I18" s="269">
        <f t="shared" si="4"/>
        <v>69.203193040873316</v>
      </c>
      <c r="J18" s="270">
        <f t="shared" si="5"/>
        <v>210285.96318262356</v>
      </c>
      <c r="K18" s="237">
        <f>SUM(I16:I18)</f>
        <v>207.60957912261995</v>
      </c>
      <c r="L18" s="237">
        <f>SUM(K15:K18)</f>
        <v>316.35745390113516</v>
      </c>
      <c r="M18" s="27">
        <v>43159</v>
      </c>
    </row>
    <row r="19" spans="1:13" s="167" customFormat="1" x14ac:dyDescent="0.35">
      <c r="A19" s="142">
        <v>43160</v>
      </c>
      <c r="B19" s="182" t="s">
        <v>72</v>
      </c>
      <c r="C19" s="263"/>
      <c r="D19" s="263">
        <v>550</v>
      </c>
      <c r="E19" s="272">
        <f t="shared" si="2"/>
        <v>1062986</v>
      </c>
      <c r="F19" s="272"/>
      <c r="G19" s="272">
        <f t="shared" si="3"/>
        <v>0.19772340868820948</v>
      </c>
      <c r="H19" s="272"/>
      <c r="I19" s="272">
        <f t="shared" si="4"/>
        <v>108.74787477851521</v>
      </c>
      <c r="J19" s="273">
        <f t="shared" si="5"/>
        <v>210177.21530784504</v>
      </c>
      <c r="K19" s="180"/>
      <c r="L19" s="180"/>
      <c r="M19" s="180"/>
    </row>
    <row r="20" spans="1:13" s="167" customFormat="1" x14ac:dyDescent="0.35">
      <c r="A20" s="142">
        <v>43165</v>
      </c>
      <c r="B20" s="182" t="s">
        <v>74</v>
      </c>
      <c r="C20" s="263"/>
      <c r="D20" s="263">
        <v>350</v>
      </c>
      <c r="E20" s="272">
        <f t="shared" si="2"/>
        <v>1062636</v>
      </c>
      <c r="F20" s="272"/>
      <c r="G20" s="272">
        <f t="shared" si="3"/>
        <v>0.19772340868820948</v>
      </c>
      <c r="H20" s="272"/>
      <c r="I20" s="272">
        <f t="shared" si="4"/>
        <v>69.203193040873316</v>
      </c>
      <c r="J20" s="273">
        <f t="shared" si="5"/>
        <v>210108.01211480415</v>
      </c>
      <c r="K20" s="180"/>
      <c r="L20" s="180"/>
      <c r="M20" s="180"/>
    </row>
    <row r="21" spans="1:13" s="167" customFormat="1" x14ac:dyDescent="0.35">
      <c r="A21" s="142">
        <v>43165</v>
      </c>
      <c r="B21" s="182" t="s">
        <v>75</v>
      </c>
      <c r="C21" s="263"/>
      <c r="D21" s="263">
        <v>350</v>
      </c>
      <c r="E21" s="272">
        <f t="shared" si="2"/>
        <v>1062286</v>
      </c>
      <c r="F21" s="272"/>
      <c r="G21" s="272">
        <f t="shared" si="3"/>
        <v>0.19772340868820945</v>
      </c>
      <c r="H21" s="272"/>
      <c r="I21" s="272">
        <f t="shared" si="4"/>
        <v>69.203193040873302</v>
      </c>
      <c r="J21" s="273">
        <f t="shared" si="5"/>
        <v>210038.80892176327</v>
      </c>
      <c r="K21" s="180"/>
      <c r="L21" s="180"/>
      <c r="M21" s="180"/>
    </row>
    <row r="22" spans="1:13" s="167" customFormat="1" x14ac:dyDescent="0.35">
      <c r="A22" s="142">
        <v>43165</v>
      </c>
      <c r="B22" s="182" t="s">
        <v>76</v>
      </c>
      <c r="C22" s="263"/>
      <c r="D22" s="263">
        <v>150</v>
      </c>
      <c r="E22" s="272">
        <f t="shared" si="2"/>
        <v>1062136</v>
      </c>
      <c r="F22" s="272"/>
      <c r="G22" s="272">
        <f t="shared" si="3"/>
        <v>0.19772340868820945</v>
      </c>
      <c r="H22" s="272"/>
      <c r="I22" s="272">
        <f t="shared" si="4"/>
        <v>29.658511303231418</v>
      </c>
      <c r="J22" s="273">
        <f t="shared" si="5"/>
        <v>210009.15041046005</v>
      </c>
      <c r="K22" s="180"/>
      <c r="L22" s="180"/>
      <c r="M22" s="180"/>
    </row>
    <row r="23" spans="1:13" s="167" customFormat="1" x14ac:dyDescent="0.35">
      <c r="A23" s="142">
        <v>43167</v>
      </c>
      <c r="B23" s="182" t="s">
        <v>77</v>
      </c>
      <c r="C23" s="263"/>
      <c r="D23" s="263">
        <v>100</v>
      </c>
      <c r="E23" s="272">
        <f t="shared" si="2"/>
        <v>1062036</v>
      </c>
      <c r="F23" s="272"/>
      <c r="G23" s="272">
        <f t="shared" si="3"/>
        <v>0.19772340868820945</v>
      </c>
      <c r="H23" s="272"/>
      <c r="I23" s="272">
        <f t="shared" si="4"/>
        <v>19.772340868820944</v>
      </c>
      <c r="J23" s="273">
        <f t="shared" si="5"/>
        <v>209989.37806959121</v>
      </c>
      <c r="K23" s="180"/>
      <c r="L23" s="180"/>
      <c r="M23" s="180"/>
    </row>
    <row r="24" spans="1:13" s="167" customFormat="1" x14ac:dyDescent="0.35">
      <c r="A24" s="142">
        <v>43169</v>
      </c>
      <c r="B24" s="182" t="s">
        <v>79</v>
      </c>
      <c r="C24" s="263"/>
      <c r="D24" s="263">
        <v>350</v>
      </c>
      <c r="E24" s="272">
        <f t="shared" si="2"/>
        <v>1061686</v>
      </c>
      <c r="F24" s="272"/>
      <c r="G24" s="272">
        <f t="shared" si="3"/>
        <v>0.19772340868820945</v>
      </c>
      <c r="H24" s="272"/>
      <c r="I24" s="272">
        <f t="shared" si="4"/>
        <v>69.203193040873302</v>
      </c>
      <c r="J24" s="273">
        <f t="shared" si="5"/>
        <v>209920.17487655033</v>
      </c>
      <c r="K24" s="180"/>
      <c r="L24" s="180"/>
      <c r="M24" s="180"/>
    </row>
    <row r="25" spans="1:13" s="225" customFormat="1" x14ac:dyDescent="0.35">
      <c r="A25" s="228">
        <v>43173</v>
      </c>
      <c r="B25" s="231" t="s">
        <v>81</v>
      </c>
      <c r="C25" s="268"/>
      <c r="D25" s="268">
        <v>300</v>
      </c>
      <c r="E25" s="269">
        <f t="shared" si="2"/>
        <v>1061386</v>
      </c>
      <c r="F25" s="269"/>
      <c r="G25" s="269">
        <f t="shared" si="3"/>
        <v>0.19772340868820945</v>
      </c>
      <c r="H25" s="269"/>
      <c r="I25" s="269">
        <f t="shared" si="4"/>
        <v>59.317022606462835</v>
      </c>
      <c r="J25" s="270">
        <f t="shared" si="5"/>
        <v>209860.85785394386</v>
      </c>
      <c r="K25" s="237">
        <f>SUM(I19:I25)</f>
        <v>425.10532867965037</v>
      </c>
      <c r="L25" s="227"/>
      <c r="M25" s="27">
        <v>43174</v>
      </c>
    </row>
    <row r="26" spans="1:13" s="167" customFormat="1" x14ac:dyDescent="0.35">
      <c r="A26" s="142">
        <v>43175</v>
      </c>
      <c r="B26" s="182" t="s">
        <v>82</v>
      </c>
      <c r="C26" s="263"/>
      <c r="D26" s="263">
        <v>600</v>
      </c>
      <c r="E26" s="272">
        <f t="shared" si="2"/>
        <v>1060786</v>
      </c>
      <c r="F26" s="272"/>
      <c r="G26" s="272">
        <f t="shared" si="3"/>
        <v>0.19772340868820942</v>
      </c>
      <c r="H26" s="272"/>
      <c r="I26" s="272">
        <f t="shared" si="4"/>
        <v>118.63404521292566</v>
      </c>
      <c r="J26" s="273">
        <f t="shared" si="5"/>
        <v>209742.22380873092</v>
      </c>
      <c r="K26" s="180"/>
      <c r="L26" s="180"/>
      <c r="M26" s="180"/>
    </row>
    <row r="27" spans="1:13" s="167" customFormat="1" x14ac:dyDescent="0.35">
      <c r="A27" s="142">
        <v>43176</v>
      </c>
      <c r="B27" s="182" t="s">
        <v>83</v>
      </c>
      <c r="C27" s="263"/>
      <c r="D27" s="263">
        <v>50</v>
      </c>
      <c r="E27" s="272">
        <f t="shared" si="2"/>
        <v>1060736</v>
      </c>
      <c r="F27" s="272"/>
      <c r="G27" s="272">
        <f t="shared" si="3"/>
        <v>0.19772340868820942</v>
      </c>
      <c r="H27" s="272"/>
      <c r="I27" s="272">
        <f t="shared" si="4"/>
        <v>9.8861704344104719</v>
      </c>
      <c r="J27" s="273">
        <f t="shared" si="5"/>
        <v>209732.33763829651</v>
      </c>
      <c r="K27" s="180"/>
      <c r="L27" s="180"/>
      <c r="M27" s="180"/>
    </row>
    <row r="28" spans="1:13" s="225" customFormat="1" x14ac:dyDescent="0.35">
      <c r="A28" s="228">
        <v>43188</v>
      </c>
      <c r="B28" s="231" t="s">
        <v>87</v>
      </c>
      <c r="C28" s="268"/>
      <c r="D28" s="268">
        <v>100</v>
      </c>
      <c r="E28" s="269">
        <f t="shared" si="2"/>
        <v>1060636</v>
      </c>
      <c r="F28" s="269"/>
      <c r="G28" s="269">
        <f t="shared" si="3"/>
        <v>0.19772340868820942</v>
      </c>
      <c r="H28" s="269"/>
      <c r="I28" s="269">
        <f t="shared" si="4"/>
        <v>19.772340868820944</v>
      </c>
      <c r="J28" s="270">
        <f t="shared" si="5"/>
        <v>209712.56529742767</v>
      </c>
      <c r="K28" s="237">
        <f>SUM(I26:I28)</f>
        <v>148.29255651615708</v>
      </c>
      <c r="L28" s="237">
        <f>SUM(K25:K28)</f>
        <v>573.39788519580748</v>
      </c>
      <c r="M28" s="27">
        <v>43190</v>
      </c>
    </row>
    <row r="29" spans="1:13" s="167" customFormat="1" x14ac:dyDescent="0.35">
      <c r="A29" s="142">
        <v>43192</v>
      </c>
      <c r="B29" s="182" t="s">
        <v>90</v>
      </c>
      <c r="C29" s="263"/>
      <c r="D29" s="263">
        <v>1000</v>
      </c>
      <c r="E29" s="272">
        <f t="shared" si="2"/>
        <v>1059636</v>
      </c>
      <c r="F29" s="272"/>
      <c r="G29" s="272">
        <f t="shared" si="3"/>
        <v>0.1977234086882094</v>
      </c>
      <c r="H29" s="272"/>
      <c r="I29" s="272">
        <f t="shared" si="4"/>
        <v>197.72340868820939</v>
      </c>
      <c r="J29" s="273">
        <f t="shared" si="5"/>
        <v>209514.84188873947</v>
      </c>
      <c r="K29" s="180"/>
      <c r="L29" s="180"/>
      <c r="M29" s="180"/>
    </row>
    <row r="30" spans="1:13" s="167" customFormat="1" x14ac:dyDescent="0.35">
      <c r="A30" s="142">
        <v>43192</v>
      </c>
      <c r="B30" s="182" t="s">
        <v>91</v>
      </c>
      <c r="C30" s="263"/>
      <c r="D30" s="263">
        <v>50</v>
      </c>
      <c r="E30" s="272">
        <f t="shared" si="2"/>
        <v>1059586</v>
      </c>
      <c r="F30" s="272"/>
      <c r="G30" s="272">
        <f t="shared" si="3"/>
        <v>0.1977234086882094</v>
      </c>
      <c r="H30" s="272"/>
      <c r="I30" s="272">
        <f t="shared" si="4"/>
        <v>9.8861704344104702</v>
      </c>
      <c r="J30" s="273">
        <f t="shared" si="5"/>
        <v>209504.95571830505</v>
      </c>
      <c r="K30" s="180"/>
      <c r="L30" s="180"/>
      <c r="M30" s="180"/>
    </row>
    <row r="31" spans="1:13" s="167" customFormat="1" x14ac:dyDescent="0.35">
      <c r="A31" s="142">
        <v>43193</v>
      </c>
      <c r="B31" s="182" t="s">
        <v>92</v>
      </c>
      <c r="C31" s="263"/>
      <c r="D31" s="263">
        <v>350</v>
      </c>
      <c r="E31" s="272">
        <f t="shared" si="2"/>
        <v>1059236</v>
      </c>
      <c r="F31" s="272"/>
      <c r="G31" s="272">
        <f t="shared" si="3"/>
        <v>0.1977234086882094</v>
      </c>
      <c r="H31" s="272"/>
      <c r="I31" s="272">
        <f t="shared" si="4"/>
        <v>69.203193040873288</v>
      </c>
      <c r="J31" s="273">
        <f t="shared" si="5"/>
        <v>209435.75252526416</v>
      </c>
      <c r="K31" s="180"/>
      <c r="L31" s="180"/>
      <c r="M31" s="180"/>
    </row>
    <row r="32" spans="1:13" s="167" customFormat="1" x14ac:dyDescent="0.35">
      <c r="A32" s="142">
        <v>43196</v>
      </c>
      <c r="B32" s="182" t="s">
        <v>94</v>
      </c>
      <c r="C32" s="263"/>
      <c r="D32" s="263">
        <v>1250</v>
      </c>
      <c r="E32" s="272">
        <f t="shared" si="2"/>
        <v>1057986</v>
      </c>
      <c r="F32" s="272"/>
      <c r="G32" s="272">
        <f t="shared" si="3"/>
        <v>0.1977234086882094</v>
      </c>
      <c r="H32" s="272"/>
      <c r="I32" s="272">
        <f t="shared" si="4"/>
        <v>247.15426086026176</v>
      </c>
      <c r="J32" s="273">
        <f t="shared" si="5"/>
        <v>209188.5982644039</v>
      </c>
      <c r="K32" s="180"/>
      <c r="L32" s="180"/>
      <c r="M32" s="180"/>
    </row>
    <row r="33" spans="1:13" s="167" customFormat="1" x14ac:dyDescent="0.35">
      <c r="A33" s="142">
        <v>43197</v>
      </c>
      <c r="B33" s="182" t="s">
        <v>95</v>
      </c>
      <c r="C33" s="263"/>
      <c r="D33" s="263">
        <v>150</v>
      </c>
      <c r="E33" s="272">
        <f t="shared" si="2"/>
        <v>1057836</v>
      </c>
      <c r="F33" s="272"/>
      <c r="G33" s="272">
        <f t="shared" si="3"/>
        <v>0.1977234086882094</v>
      </c>
      <c r="H33" s="272"/>
      <c r="I33" s="272">
        <f t="shared" si="4"/>
        <v>29.65851130323141</v>
      </c>
      <c r="J33" s="273">
        <f t="shared" si="5"/>
        <v>209158.93975310068</v>
      </c>
      <c r="K33" s="180"/>
      <c r="L33" s="180"/>
      <c r="M33" s="180"/>
    </row>
    <row r="34" spans="1:13" s="167" customFormat="1" x14ac:dyDescent="0.35">
      <c r="A34" s="142">
        <v>43199</v>
      </c>
      <c r="B34" s="182" t="s">
        <v>96</v>
      </c>
      <c r="C34" s="263"/>
      <c r="D34" s="263">
        <v>50</v>
      </c>
      <c r="E34" s="272">
        <f t="shared" si="2"/>
        <v>1057786</v>
      </c>
      <c r="F34" s="272"/>
      <c r="G34" s="272">
        <f t="shared" si="3"/>
        <v>0.1977234086882094</v>
      </c>
      <c r="H34" s="272"/>
      <c r="I34" s="272">
        <f t="shared" si="4"/>
        <v>9.8861704344104702</v>
      </c>
      <c r="J34" s="273">
        <f t="shared" si="5"/>
        <v>209149.05358266627</v>
      </c>
      <c r="K34" s="180"/>
      <c r="L34" s="180"/>
      <c r="M34" s="180"/>
    </row>
    <row r="35" spans="1:13" s="167" customFormat="1" x14ac:dyDescent="0.35">
      <c r="A35" s="142">
        <v>43201</v>
      </c>
      <c r="B35" s="182" t="s">
        <v>97</v>
      </c>
      <c r="C35" s="263"/>
      <c r="D35" s="263">
        <v>400</v>
      </c>
      <c r="E35" s="272">
        <f t="shared" si="2"/>
        <v>1057386</v>
      </c>
      <c r="F35" s="272"/>
      <c r="G35" s="272">
        <f t="shared" si="3"/>
        <v>0.1977234086882094</v>
      </c>
      <c r="H35" s="272"/>
      <c r="I35" s="272">
        <f t="shared" si="4"/>
        <v>79.089363475283761</v>
      </c>
      <c r="J35" s="273">
        <f t="shared" si="5"/>
        <v>209069.964219191</v>
      </c>
      <c r="K35" s="180"/>
      <c r="L35" s="180"/>
      <c r="M35" s="180"/>
    </row>
    <row r="36" spans="1:13" s="190" customFormat="1" x14ac:dyDescent="0.35">
      <c r="A36" s="142">
        <v>43203</v>
      </c>
      <c r="B36" s="206" t="s">
        <v>130</v>
      </c>
      <c r="C36" s="263"/>
      <c r="D36" s="263">
        <v>100</v>
      </c>
      <c r="E36" s="272">
        <f t="shared" si="2"/>
        <v>1057286</v>
      </c>
      <c r="F36" s="272"/>
      <c r="G36" s="272">
        <f t="shared" si="3"/>
        <v>0.19772340868820942</v>
      </c>
      <c r="H36" s="272"/>
      <c r="I36" s="272">
        <f t="shared" si="4"/>
        <v>19.772340868820944</v>
      </c>
      <c r="J36" s="273">
        <f t="shared" si="5"/>
        <v>209050.19187832216</v>
      </c>
      <c r="K36" s="204"/>
      <c r="L36" s="204"/>
      <c r="M36" s="204"/>
    </row>
    <row r="37" spans="1:13" s="167" customFormat="1" x14ac:dyDescent="0.35">
      <c r="A37" s="142">
        <v>43203</v>
      </c>
      <c r="B37" s="182" t="s">
        <v>99</v>
      </c>
      <c r="C37" s="263"/>
      <c r="D37" s="263">
        <v>150</v>
      </c>
      <c r="E37" s="272">
        <f t="shared" si="2"/>
        <v>1057136</v>
      </c>
      <c r="F37" s="272"/>
      <c r="G37" s="272">
        <f t="shared" si="3"/>
        <v>0.1977234086882094</v>
      </c>
      <c r="H37" s="272"/>
      <c r="I37" s="272">
        <f t="shared" si="4"/>
        <v>29.65851130323141</v>
      </c>
      <c r="J37" s="273">
        <f t="shared" si="5"/>
        <v>209020.53336701894</v>
      </c>
      <c r="K37" s="180"/>
      <c r="L37" s="180"/>
      <c r="M37" s="180"/>
    </row>
    <row r="38" spans="1:13" s="225" customFormat="1" x14ac:dyDescent="0.35">
      <c r="A38" s="228">
        <v>43203</v>
      </c>
      <c r="B38" s="231" t="s">
        <v>100</v>
      </c>
      <c r="C38" s="268"/>
      <c r="D38" s="268">
        <v>500</v>
      </c>
      <c r="E38" s="269">
        <f t="shared" si="2"/>
        <v>1056636</v>
      </c>
      <c r="F38" s="269"/>
      <c r="G38" s="269">
        <f t="shared" si="3"/>
        <v>0.19772340868820942</v>
      </c>
      <c r="H38" s="269"/>
      <c r="I38" s="269">
        <f t="shared" si="4"/>
        <v>98.861704344104709</v>
      </c>
      <c r="J38" s="270">
        <f t="shared" si="5"/>
        <v>208921.67166267484</v>
      </c>
      <c r="K38" s="237">
        <f>SUM(I29:I38)</f>
        <v>790.89363475283767</v>
      </c>
      <c r="L38" s="237"/>
      <c r="M38" s="27">
        <v>43205</v>
      </c>
    </row>
    <row r="39" spans="1:13" s="167" customFormat="1" x14ac:dyDescent="0.35">
      <c r="A39" s="142">
        <v>43206</v>
      </c>
      <c r="B39" s="182" t="s">
        <v>102</v>
      </c>
      <c r="C39" s="263"/>
      <c r="D39" s="263">
        <v>300</v>
      </c>
      <c r="E39" s="272">
        <f t="shared" si="2"/>
        <v>1056336</v>
      </c>
      <c r="F39" s="272"/>
      <c r="G39" s="272">
        <f t="shared" si="3"/>
        <v>0.19772340868820942</v>
      </c>
      <c r="H39" s="272"/>
      <c r="I39" s="272">
        <f t="shared" si="4"/>
        <v>59.317022606462828</v>
      </c>
      <c r="J39" s="273">
        <f t="shared" si="5"/>
        <v>208862.35464006837</v>
      </c>
      <c r="K39" s="180"/>
      <c r="L39" s="180"/>
      <c r="M39" s="180"/>
    </row>
    <row r="40" spans="1:13" s="167" customFormat="1" x14ac:dyDescent="0.35">
      <c r="A40" s="142">
        <v>43206</v>
      </c>
      <c r="B40" s="182" t="s">
        <v>103</v>
      </c>
      <c r="C40" s="263"/>
      <c r="D40" s="263">
        <v>100</v>
      </c>
      <c r="E40" s="272">
        <f t="shared" si="2"/>
        <v>1056236</v>
      </c>
      <c r="F40" s="272"/>
      <c r="G40" s="272">
        <f t="shared" si="3"/>
        <v>0.1977234086882094</v>
      </c>
      <c r="H40" s="272"/>
      <c r="I40" s="272">
        <f t="shared" si="4"/>
        <v>19.77234086882094</v>
      </c>
      <c r="J40" s="273">
        <f t="shared" si="5"/>
        <v>208842.58229919954</v>
      </c>
      <c r="K40" s="180"/>
      <c r="L40" s="180"/>
      <c r="M40" s="180"/>
    </row>
    <row r="41" spans="1:13" s="167" customFormat="1" x14ac:dyDescent="0.35">
      <c r="A41" s="142">
        <v>43207</v>
      </c>
      <c r="B41" s="182" t="s">
        <v>104</v>
      </c>
      <c r="C41" s="263"/>
      <c r="D41" s="263">
        <v>1500</v>
      </c>
      <c r="E41" s="272">
        <f t="shared" si="2"/>
        <v>1054736</v>
      </c>
      <c r="F41" s="272"/>
      <c r="G41" s="272">
        <f t="shared" si="3"/>
        <v>0.1977234086882094</v>
      </c>
      <c r="H41" s="272"/>
      <c r="I41" s="272">
        <f t="shared" si="4"/>
        <v>296.5851130323141</v>
      </c>
      <c r="J41" s="273">
        <f t="shared" si="5"/>
        <v>208545.99718616722</v>
      </c>
      <c r="K41" s="180"/>
      <c r="L41" s="180"/>
      <c r="M41" s="180"/>
    </row>
    <row r="42" spans="1:13" s="190" customFormat="1" x14ac:dyDescent="0.35">
      <c r="A42" s="142">
        <v>43209</v>
      </c>
      <c r="B42" s="206" t="s">
        <v>133</v>
      </c>
      <c r="C42" s="263"/>
      <c r="D42" s="263">
        <v>450</v>
      </c>
      <c r="E42" s="272">
        <f t="shared" si="2"/>
        <v>1054286</v>
      </c>
      <c r="F42" s="272"/>
      <c r="G42" s="272">
        <f t="shared" si="3"/>
        <v>0.1977234086882094</v>
      </c>
      <c r="H42" s="272"/>
      <c r="I42" s="272">
        <f t="shared" si="4"/>
        <v>88.975533909694235</v>
      </c>
      <c r="J42" s="273">
        <f t="shared" si="5"/>
        <v>208457.02165225754</v>
      </c>
      <c r="K42" s="204"/>
      <c r="L42" s="204"/>
      <c r="M42" s="204"/>
    </row>
    <row r="43" spans="1:13" s="167" customFormat="1" x14ac:dyDescent="0.35">
      <c r="A43" s="142">
        <v>43211</v>
      </c>
      <c r="B43" s="182" t="s">
        <v>108</v>
      </c>
      <c r="C43" s="263"/>
      <c r="D43" s="263">
        <v>400</v>
      </c>
      <c r="E43" s="272">
        <f t="shared" si="2"/>
        <v>1053886</v>
      </c>
      <c r="F43" s="272"/>
      <c r="G43" s="272">
        <f t="shared" si="3"/>
        <v>0.1977234086882094</v>
      </c>
      <c r="H43" s="272"/>
      <c r="I43" s="272">
        <f t="shared" si="4"/>
        <v>79.089363475283761</v>
      </c>
      <c r="J43" s="273">
        <f t="shared" si="5"/>
        <v>208377.93228878226</v>
      </c>
      <c r="K43" s="180"/>
      <c r="L43" s="180"/>
      <c r="M43" s="180"/>
    </row>
    <row r="44" spans="1:13" s="225" customFormat="1" x14ac:dyDescent="0.35">
      <c r="A44" s="228">
        <v>43217</v>
      </c>
      <c r="B44" s="231" t="s">
        <v>112</v>
      </c>
      <c r="C44" s="268"/>
      <c r="D44" s="268">
        <v>100</v>
      </c>
      <c r="E44" s="269">
        <f t="shared" si="2"/>
        <v>1053786</v>
      </c>
      <c r="F44" s="269"/>
      <c r="G44" s="269">
        <f t="shared" si="3"/>
        <v>0.19772340868820942</v>
      </c>
      <c r="H44" s="269"/>
      <c r="I44" s="269">
        <f t="shared" si="4"/>
        <v>19.772340868820944</v>
      </c>
      <c r="J44" s="270">
        <f t="shared" si="5"/>
        <v>208358.15994791343</v>
      </c>
      <c r="K44" s="237">
        <f>SUM(I39:I44)</f>
        <v>563.51171476139689</v>
      </c>
      <c r="L44" s="237">
        <f>SUM(K38:K44)</f>
        <v>1354.4053495142346</v>
      </c>
      <c r="M44" s="27">
        <v>43220</v>
      </c>
    </row>
    <row r="45" spans="1:13" s="225" customFormat="1" x14ac:dyDescent="0.35">
      <c r="A45" s="228">
        <v>43223</v>
      </c>
      <c r="B45" s="231" t="s">
        <v>114</v>
      </c>
      <c r="C45" s="268"/>
      <c r="D45" s="268">
        <v>150</v>
      </c>
      <c r="E45" s="269">
        <f t="shared" si="2"/>
        <v>1053636</v>
      </c>
      <c r="F45" s="269"/>
      <c r="G45" s="269">
        <f t="shared" si="3"/>
        <v>0.1977234086882094</v>
      </c>
      <c r="H45" s="269"/>
      <c r="I45" s="269">
        <f t="shared" si="4"/>
        <v>29.65851130323141</v>
      </c>
      <c r="J45" s="270">
        <f t="shared" si="5"/>
        <v>208328.50143661021</v>
      </c>
      <c r="K45" s="237">
        <f>SUM(I45)</f>
        <v>29.65851130323141</v>
      </c>
      <c r="L45" s="227"/>
      <c r="M45" s="27">
        <v>43235</v>
      </c>
    </row>
    <row r="46" spans="1:13" s="225" customFormat="1" x14ac:dyDescent="0.35">
      <c r="A46" s="228">
        <v>43241</v>
      </c>
      <c r="B46" s="231" t="s">
        <v>116</v>
      </c>
      <c r="C46" s="268"/>
      <c r="D46" s="268">
        <v>300</v>
      </c>
      <c r="E46" s="269">
        <f t="shared" si="2"/>
        <v>1053336</v>
      </c>
      <c r="F46" s="269"/>
      <c r="G46" s="269">
        <f t="shared" si="3"/>
        <v>0.19772340868820942</v>
      </c>
      <c r="H46" s="269"/>
      <c r="I46" s="269">
        <f t="shared" si="4"/>
        <v>59.317022606462828</v>
      </c>
      <c r="J46" s="270">
        <f t="shared" si="5"/>
        <v>208269.18441400374</v>
      </c>
      <c r="K46" s="237">
        <f>SUM(I46)</f>
        <v>59.317022606462828</v>
      </c>
      <c r="L46" s="237">
        <f>SUM(K45:K46)</f>
        <v>88.975533909694235</v>
      </c>
      <c r="M46" s="27">
        <v>43251</v>
      </c>
    </row>
    <row r="47" spans="1:13" x14ac:dyDescent="0.35">
      <c r="A47" s="142">
        <v>43252</v>
      </c>
      <c r="B47" s="206" t="s">
        <v>119</v>
      </c>
      <c r="C47" s="263"/>
      <c r="D47" s="263">
        <v>500</v>
      </c>
      <c r="E47" s="272">
        <f t="shared" si="2"/>
        <v>1052836</v>
      </c>
      <c r="F47" s="272"/>
      <c r="G47" s="272">
        <f t="shared" si="3"/>
        <v>0.1977234086882094</v>
      </c>
      <c r="H47" s="272"/>
      <c r="I47" s="272">
        <f t="shared" si="4"/>
        <v>98.861704344104695</v>
      </c>
      <c r="J47" s="273">
        <f t="shared" si="5"/>
        <v>208170.32270965964</v>
      </c>
      <c r="K47" s="204"/>
      <c r="L47" s="204"/>
      <c r="M47" s="204"/>
    </row>
    <row r="48" spans="1:13" x14ac:dyDescent="0.35">
      <c r="A48" s="142">
        <v>43255</v>
      </c>
      <c r="B48" s="206" t="s">
        <v>120</v>
      </c>
      <c r="C48" s="263"/>
      <c r="D48" s="263">
        <v>400</v>
      </c>
      <c r="E48" s="272">
        <f t="shared" si="2"/>
        <v>1052436</v>
      </c>
      <c r="F48" s="272"/>
      <c r="G48" s="272">
        <f t="shared" si="3"/>
        <v>0.1977234086882094</v>
      </c>
      <c r="H48" s="272"/>
      <c r="I48" s="272">
        <f t="shared" si="4"/>
        <v>79.089363475283761</v>
      </c>
      <c r="J48" s="273">
        <f t="shared" si="5"/>
        <v>208091.23334618437</v>
      </c>
      <c r="K48" s="204"/>
      <c r="L48" s="204"/>
      <c r="M48" s="204"/>
    </row>
    <row r="49" spans="1:13" s="243" customFormat="1" x14ac:dyDescent="0.35">
      <c r="A49" s="259">
        <v>43256</v>
      </c>
      <c r="B49" s="260" t="s">
        <v>121</v>
      </c>
      <c r="C49" s="271"/>
      <c r="D49" s="271">
        <v>150</v>
      </c>
      <c r="E49" s="272">
        <f t="shared" si="2"/>
        <v>1052286</v>
      </c>
      <c r="F49" s="272"/>
      <c r="G49" s="272">
        <f t="shared" si="3"/>
        <v>0.19772340868820942</v>
      </c>
      <c r="H49" s="272"/>
      <c r="I49" s="272">
        <f t="shared" si="4"/>
        <v>29.658511303231414</v>
      </c>
      <c r="J49" s="273">
        <f t="shared" si="5"/>
        <v>208061.57483488115</v>
      </c>
      <c r="K49" s="274"/>
      <c r="L49" s="244"/>
      <c r="M49" s="244"/>
    </row>
    <row r="50" spans="1:13" s="225" customFormat="1" x14ac:dyDescent="0.35">
      <c r="A50" s="228">
        <v>43263</v>
      </c>
      <c r="B50" s="231" t="s">
        <v>126</v>
      </c>
      <c r="C50" s="268"/>
      <c r="D50" s="268">
        <v>50</v>
      </c>
      <c r="E50" s="269">
        <f t="shared" si="2"/>
        <v>1052236</v>
      </c>
      <c r="F50" s="269"/>
      <c r="G50" s="269">
        <f t="shared" si="3"/>
        <v>0.19772340868820942</v>
      </c>
      <c r="H50" s="269"/>
      <c r="I50" s="269">
        <f t="shared" si="4"/>
        <v>9.8861704344104719</v>
      </c>
      <c r="J50" s="270">
        <f t="shared" si="5"/>
        <v>208051.68866444673</v>
      </c>
      <c r="K50" s="237">
        <f>SUM(I47:I50)</f>
        <v>217.49574955703036</v>
      </c>
      <c r="L50" s="227"/>
      <c r="M50" s="27">
        <v>43266</v>
      </c>
    </row>
    <row r="51" spans="1:13" x14ac:dyDescent="0.35">
      <c r="A51" s="142">
        <v>43267</v>
      </c>
      <c r="B51" s="206" t="s">
        <v>127</v>
      </c>
      <c r="C51" s="263"/>
      <c r="D51" s="263">
        <v>100</v>
      </c>
      <c r="E51" s="272">
        <f t="shared" si="2"/>
        <v>1052136</v>
      </c>
      <c r="F51" s="272"/>
      <c r="G51" s="272">
        <f t="shared" si="3"/>
        <v>0.19772340868820942</v>
      </c>
      <c r="H51" s="272"/>
      <c r="I51" s="272">
        <f t="shared" si="4"/>
        <v>19.772340868820944</v>
      </c>
      <c r="J51" s="273">
        <f t="shared" si="5"/>
        <v>208031.9163235779</v>
      </c>
      <c r="K51" s="204"/>
      <c r="L51" s="204"/>
      <c r="M51" s="204"/>
    </row>
    <row r="52" spans="1:13" x14ac:dyDescent="0.35">
      <c r="A52" s="142">
        <v>43273</v>
      </c>
      <c r="B52" s="206" t="s">
        <v>223</v>
      </c>
      <c r="C52" s="263"/>
      <c r="D52" s="263">
        <v>200</v>
      </c>
      <c r="E52" s="272">
        <f t="shared" si="2"/>
        <v>1051936</v>
      </c>
      <c r="F52" s="272"/>
      <c r="G52" s="272">
        <f t="shared" si="3"/>
        <v>0.19772340868820942</v>
      </c>
      <c r="H52" s="272"/>
      <c r="I52" s="272">
        <f t="shared" si="4"/>
        <v>39.544681737641888</v>
      </c>
      <c r="J52" s="273">
        <f t="shared" si="5"/>
        <v>207992.37164184026</v>
      </c>
      <c r="K52" s="204"/>
      <c r="L52" s="204"/>
      <c r="M52" s="204"/>
    </row>
    <row r="53" spans="1:13" s="225" customFormat="1" x14ac:dyDescent="0.35">
      <c r="A53" s="228">
        <v>43279</v>
      </c>
      <c r="B53" s="231" t="s">
        <v>398</v>
      </c>
      <c r="C53" s="268"/>
      <c r="D53" s="268">
        <v>100</v>
      </c>
      <c r="E53" s="269">
        <f t="shared" si="2"/>
        <v>1051836</v>
      </c>
      <c r="F53" s="269"/>
      <c r="G53" s="269">
        <f t="shared" si="3"/>
        <v>0.19772340868820942</v>
      </c>
      <c r="H53" s="269"/>
      <c r="I53" s="269">
        <f t="shared" si="4"/>
        <v>19.772340868820944</v>
      </c>
      <c r="J53" s="270">
        <f t="shared" si="5"/>
        <v>207972.59930097143</v>
      </c>
      <c r="K53" s="237">
        <f>SUM(I51:I53)</f>
        <v>79.089363475283776</v>
      </c>
      <c r="L53" s="237">
        <f>SUM(K50:K53)</f>
        <v>296.58511303231415</v>
      </c>
      <c r="M53" s="27">
        <v>43281</v>
      </c>
    </row>
    <row r="54" spans="1:13" x14ac:dyDescent="0.35">
      <c r="A54" s="142">
        <v>43285</v>
      </c>
      <c r="B54" s="206" t="s">
        <v>405</v>
      </c>
      <c r="C54" s="263"/>
      <c r="D54" s="263">
        <v>200</v>
      </c>
      <c r="E54" s="272">
        <f t="shared" si="2"/>
        <v>1051636</v>
      </c>
      <c r="F54" s="272"/>
      <c r="G54" s="272">
        <f t="shared" si="3"/>
        <v>0.1977234086882094</v>
      </c>
      <c r="H54" s="272"/>
      <c r="I54" s="272">
        <f t="shared" si="4"/>
        <v>39.544681737641881</v>
      </c>
      <c r="J54" s="273">
        <f t="shared" si="5"/>
        <v>207933.05461923379</v>
      </c>
      <c r="K54" s="204"/>
      <c r="L54" s="204"/>
      <c r="M54" s="236"/>
    </row>
    <row r="55" spans="1:13" x14ac:dyDescent="0.35">
      <c r="A55" s="142">
        <v>43286</v>
      </c>
      <c r="B55" s="206" t="s">
        <v>406</v>
      </c>
      <c r="C55" s="263"/>
      <c r="D55" s="263">
        <v>100</v>
      </c>
      <c r="E55" s="272">
        <f t="shared" si="2"/>
        <v>1051536</v>
      </c>
      <c r="F55" s="272"/>
      <c r="G55" s="272">
        <f t="shared" si="3"/>
        <v>0.19772340868820942</v>
      </c>
      <c r="H55" s="272"/>
      <c r="I55" s="272">
        <f t="shared" si="4"/>
        <v>19.772340868820944</v>
      </c>
      <c r="J55" s="273">
        <f t="shared" si="5"/>
        <v>207913.28227836496</v>
      </c>
      <c r="K55" s="204"/>
      <c r="L55" s="204"/>
      <c r="M55" s="204"/>
    </row>
    <row r="56" spans="1:13" x14ac:dyDescent="0.35">
      <c r="A56" s="142">
        <v>43286</v>
      </c>
      <c r="B56" s="206" t="s">
        <v>409</v>
      </c>
      <c r="C56" s="263"/>
      <c r="D56" s="263">
        <v>150</v>
      </c>
      <c r="E56" s="272">
        <f t="shared" si="2"/>
        <v>1051386</v>
      </c>
      <c r="F56" s="272"/>
      <c r="G56" s="272">
        <f t="shared" si="3"/>
        <v>0.1977234086882094</v>
      </c>
      <c r="H56" s="272"/>
      <c r="I56" s="272">
        <f t="shared" si="4"/>
        <v>29.65851130323141</v>
      </c>
      <c r="J56" s="273">
        <f t="shared" si="5"/>
        <v>207883.62376706174</v>
      </c>
      <c r="K56" s="204"/>
      <c r="L56" s="204"/>
      <c r="M56" s="204"/>
    </row>
    <row r="57" spans="1:13" x14ac:dyDescent="0.35">
      <c r="A57" s="142">
        <v>43290</v>
      </c>
      <c r="B57" s="206" t="s">
        <v>414</v>
      </c>
      <c r="C57" s="263"/>
      <c r="D57" s="263">
        <v>350</v>
      </c>
      <c r="E57" s="272">
        <f t="shared" si="2"/>
        <v>1051036</v>
      </c>
      <c r="F57" s="272"/>
      <c r="G57" s="272">
        <f t="shared" si="3"/>
        <v>0.19772340868820942</v>
      </c>
      <c r="H57" s="272"/>
      <c r="I57" s="272">
        <f t="shared" si="4"/>
        <v>69.203193040873302</v>
      </c>
      <c r="J57" s="273">
        <f t="shared" si="5"/>
        <v>207814.42057402086</v>
      </c>
      <c r="K57" s="204"/>
      <c r="L57" s="204"/>
      <c r="M57" s="204"/>
    </row>
    <row r="58" spans="1:13" x14ac:dyDescent="0.35">
      <c r="A58" s="142">
        <v>43292</v>
      </c>
      <c r="B58" s="206" t="s">
        <v>419</v>
      </c>
      <c r="C58" s="263"/>
      <c r="D58" s="263">
        <v>350</v>
      </c>
      <c r="E58" s="272">
        <f t="shared" si="2"/>
        <v>1050686</v>
      </c>
      <c r="F58" s="272"/>
      <c r="G58" s="272">
        <f t="shared" si="3"/>
        <v>0.1977234086882094</v>
      </c>
      <c r="H58" s="272"/>
      <c r="I58" s="272">
        <f t="shared" si="4"/>
        <v>69.203193040873288</v>
      </c>
      <c r="J58" s="273">
        <f t="shared" si="5"/>
        <v>207745.21738097997</v>
      </c>
      <c r="K58" s="204"/>
      <c r="L58" s="204"/>
      <c r="M58" s="204"/>
    </row>
    <row r="59" spans="1:13" s="225" customFormat="1" x14ac:dyDescent="0.35">
      <c r="A59" s="228">
        <v>43294</v>
      </c>
      <c r="B59" s="231" t="s">
        <v>424</v>
      </c>
      <c r="C59" s="268"/>
      <c r="D59" s="268">
        <v>600</v>
      </c>
      <c r="E59" s="269">
        <f t="shared" si="2"/>
        <v>1050086</v>
      </c>
      <c r="F59" s="269"/>
      <c r="G59" s="269">
        <f t="shared" si="3"/>
        <v>0.1977234086882094</v>
      </c>
      <c r="H59" s="269"/>
      <c r="I59" s="269">
        <f t="shared" si="4"/>
        <v>118.63404521292564</v>
      </c>
      <c r="J59" s="270">
        <f t="shared" si="5"/>
        <v>207626.58333576703</v>
      </c>
      <c r="K59" s="237">
        <f>SUM(I54:I59)</f>
        <v>346.01596520436647</v>
      </c>
      <c r="L59" s="227"/>
      <c r="M59" s="27">
        <v>43296</v>
      </c>
    </row>
    <row r="60" spans="1:13" x14ac:dyDescent="0.35">
      <c r="A60" s="142">
        <v>43300</v>
      </c>
      <c r="B60" s="206" t="s">
        <v>433</v>
      </c>
      <c r="C60" s="263"/>
      <c r="D60" s="263">
        <v>250</v>
      </c>
      <c r="E60" s="272">
        <f t="shared" si="2"/>
        <v>1049836</v>
      </c>
      <c r="F60" s="272"/>
      <c r="G60" s="272">
        <f t="shared" si="3"/>
        <v>0.19772340868820937</v>
      </c>
      <c r="H60" s="272"/>
      <c r="I60" s="272">
        <f t="shared" si="4"/>
        <v>49.43085217205234</v>
      </c>
      <c r="J60" s="273">
        <f t="shared" si="5"/>
        <v>207577.15248359498</v>
      </c>
      <c r="K60" s="204"/>
      <c r="L60" s="204"/>
      <c r="M60" s="204"/>
    </row>
    <row r="61" spans="1:13" x14ac:dyDescent="0.35">
      <c r="A61" s="142">
        <v>43307</v>
      </c>
      <c r="B61" s="206" t="s">
        <v>448</v>
      </c>
      <c r="C61" s="263"/>
      <c r="D61" s="263">
        <v>200</v>
      </c>
      <c r="E61" s="272">
        <f t="shared" si="2"/>
        <v>1049636</v>
      </c>
      <c r="F61" s="272"/>
      <c r="G61" s="272">
        <f t="shared" si="3"/>
        <v>0.19772340868820937</v>
      </c>
      <c r="H61" s="272"/>
      <c r="I61" s="272">
        <f t="shared" si="4"/>
        <v>39.544681737641874</v>
      </c>
      <c r="J61" s="273">
        <f t="shared" si="5"/>
        <v>207537.60780185735</v>
      </c>
      <c r="K61" s="204"/>
      <c r="L61" s="204"/>
      <c r="M61" s="204"/>
    </row>
    <row r="62" spans="1:13" s="225" customFormat="1" x14ac:dyDescent="0.35">
      <c r="A62" s="228">
        <v>43312</v>
      </c>
      <c r="B62" s="231" t="s">
        <v>451</v>
      </c>
      <c r="C62" s="268"/>
      <c r="D62" s="268">
        <v>50</v>
      </c>
      <c r="E62" s="269">
        <f t="shared" si="2"/>
        <v>1049586</v>
      </c>
      <c r="F62" s="269"/>
      <c r="G62" s="269">
        <f t="shared" si="3"/>
        <v>0.1977234086882094</v>
      </c>
      <c r="H62" s="269"/>
      <c r="I62" s="269">
        <f t="shared" si="4"/>
        <v>9.8861704344104702</v>
      </c>
      <c r="J62" s="270">
        <f t="shared" si="5"/>
        <v>207527.72163142293</v>
      </c>
      <c r="K62" s="237">
        <f>SUM(I60:I62)</f>
        <v>98.86170434410468</v>
      </c>
      <c r="L62" s="237">
        <f>SUM(K59:K62)</f>
        <v>444.87766954847115</v>
      </c>
      <c r="M62" s="27">
        <v>43312</v>
      </c>
    </row>
    <row r="63" spans="1:13" x14ac:dyDescent="0.35">
      <c r="A63" s="142">
        <v>43320</v>
      </c>
      <c r="B63" s="206" t="s">
        <v>460</v>
      </c>
      <c r="C63" s="263"/>
      <c r="D63" s="263">
        <v>250</v>
      </c>
      <c r="E63" s="272">
        <f t="shared" si="2"/>
        <v>1049336</v>
      </c>
      <c r="F63" s="272"/>
      <c r="G63" s="272">
        <f t="shared" si="3"/>
        <v>0.19772340868820937</v>
      </c>
      <c r="H63" s="272"/>
      <c r="I63" s="272">
        <f t="shared" si="4"/>
        <v>49.43085217205234</v>
      </c>
      <c r="J63" s="273">
        <f t="shared" si="5"/>
        <v>207478.29077925088</v>
      </c>
      <c r="K63" s="204"/>
      <c r="L63" s="204"/>
      <c r="M63" s="204"/>
    </row>
    <row r="64" spans="1:13" s="225" customFormat="1" x14ac:dyDescent="0.35">
      <c r="A64" s="228">
        <v>43327</v>
      </c>
      <c r="B64" s="231" t="s">
        <v>470</v>
      </c>
      <c r="C64" s="268"/>
      <c r="D64" s="268">
        <v>800</v>
      </c>
      <c r="E64" s="269">
        <f t="shared" si="2"/>
        <v>1048536</v>
      </c>
      <c r="F64" s="269"/>
      <c r="G64" s="269">
        <f t="shared" si="3"/>
        <v>0.19772340868820937</v>
      </c>
      <c r="H64" s="269"/>
      <c r="I64" s="269">
        <f t="shared" si="4"/>
        <v>158.17872695056749</v>
      </c>
      <c r="J64" s="270">
        <f t="shared" si="5"/>
        <v>207320.1120523003</v>
      </c>
      <c r="K64" s="237">
        <f>SUM(I63:I64)</f>
        <v>207.60957912261983</v>
      </c>
      <c r="L64" s="227"/>
      <c r="M64" s="27">
        <v>43327</v>
      </c>
    </row>
    <row r="65" spans="1:13" x14ac:dyDescent="0.35">
      <c r="A65" s="142">
        <v>43336</v>
      </c>
      <c r="B65" s="206" t="s">
        <v>490</v>
      </c>
      <c r="C65" s="263"/>
      <c r="D65" s="263">
        <v>200</v>
      </c>
      <c r="E65" s="272">
        <f t="shared" si="2"/>
        <v>1048336</v>
      </c>
      <c r="F65" s="272"/>
      <c r="G65" s="272">
        <f t="shared" si="3"/>
        <v>0.19772340868820937</v>
      </c>
      <c r="H65" s="272"/>
      <c r="I65" s="272">
        <f t="shared" si="4"/>
        <v>39.544681737641874</v>
      </c>
      <c r="J65" s="273">
        <f t="shared" si="5"/>
        <v>207280.56737056267</v>
      </c>
      <c r="K65" s="204"/>
      <c r="L65" s="204"/>
      <c r="M65" s="204"/>
    </row>
    <row r="66" spans="1:13" x14ac:dyDescent="0.35">
      <c r="A66" s="142">
        <v>43337</v>
      </c>
      <c r="B66" s="206" t="s">
        <v>491</v>
      </c>
      <c r="C66" s="263"/>
      <c r="D66" s="263">
        <v>550</v>
      </c>
      <c r="E66" s="272">
        <f t="shared" si="2"/>
        <v>1047786</v>
      </c>
      <c r="F66" s="272"/>
      <c r="G66" s="272">
        <f t="shared" si="3"/>
        <v>0.19772340868820937</v>
      </c>
      <c r="H66" s="272"/>
      <c r="I66" s="272">
        <f t="shared" si="4"/>
        <v>108.74787477851515</v>
      </c>
      <c r="J66" s="273">
        <f t="shared" si="5"/>
        <v>207171.81949578415</v>
      </c>
      <c r="K66" s="204"/>
      <c r="L66" s="204"/>
      <c r="M66" s="204"/>
    </row>
    <row r="67" spans="1:13" s="225" customFormat="1" x14ac:dyDescent="0.35">
      <c r="A67" s="228">
        <v>43339</v>
      </c>
      <c r="B67" s="231" t="s">
        <v>493</v>
      </c>
      <c r="C67" s="268"/>
      <c r="D67" s="268">
        <v>250</v>
      </c>
      <c r="E67" s="269">
        <f t="shared" si="2"/>
        <v>1047536</v>
      </c>
      <c r="F67" s="269"/>
      <c r="G67" s="269">
        <f t="shared" si="3"/>
        <v>0.19772340868820937</v>
      </c>
      <c r="H67" s="269"/>
      <c r="I67" s="269">
        <f t="shared" si="4"/>
        <v>49.43085217205234</v>
      </c>
      <c r="J67" s="270">
        <f t="shared" si="5"/>
        <v>207122.3886436121</v>
      </c>
      <c r="K67" s="237">
        <f>SUM(I65:I67)</f>
        <v>197.72340868820936</v>
      </c>
      <c r="L67" s="237">
        <f>SUM(K64:K67)</f>
        <v>405.3329878108292</v>
      </c>
      <c r="M67" s="27">
        <v>43343</v>
      </c>
    </row>
    <row r="68" spans="1:13" x14ac:dyDescent="0.35">
      <c r="A68" s="142">
        <v>43344</v>
      </c>
      <c r="B68" s="206" t="s">
        <v>505</v>
      </c>
      <c r="C68" s="263"/>
      <c r="D68" s="263">
        <v>250</v>
      </c>
      <c r="E68" s="272">
        <f t="shared" si="2"/>
        <v>1047286</v>
      </c>
      <c r="F68" s="272"/>
      <c r="G68" s="272">
        <f t="shared" si="3"/>
        <v>0.19772340868820937</v>
      </c>
      <c r="H68" s="272"/>
      <c r="I68" s="272">
        <f t="shared" si="4"/>
        <v>49.43085217205234</v>
      </c>
      <c r="J68" s="273">
        <f t="shared" si="5"/>
        <v>207072.95779144004</v>
      </c>
      <c r="K68" s="204"/>
      <c r="L68" s="204"/>
      <c r="M68" s="204"/>
    </row>
    <row r="69" spans="1:13" x14ac:dyDescent="0.35">
      <c r="A69" s="142">
        <v>43344</v>
      </c>
      <c r="B69" s="206" t="s">
        <v>509</v>
      </c>
      <c r="C69" s="263"/>
      <c r="D69" s="263">
        <v>150</v>
      </c>
      <c r="E69" s="272">
        <f t="shared" si="2"/>
        <v>1047136</v>
      </c>
      <c r="F69" s="272"/>
      <c r="G69" s="272">
        <f t="shared" si="3"/>
        <v>0.19772340868820937</v>
      </c>
      <c r="H69" s="272"/>
      <c r="I69" s="272">
        <f t="shared" si="4"/>
        <v>29.658511303231407</v>
      </c>
      <c r="J69" s="273">
        <f t="shared" si="5"/>
        <v>207043.29928013682</v>
      </c>
      <c r="K69" s="204"/>
      <c r="L69" s="204"/>
      <c r="M69" s="204"/>
    </row>
    <row r="70" spans="1:13" x14ac:dyDescent="0.35">
      <c r="A70" s="142">
        <v>43348</v>
      </c>
      <c r="B70" s="206" t="s">
        <v>517</v>
      </c>
      <c r="C70" s="263"/>
      <c r="D70" s="263">
        <v>400</v>
      </c>
      <c r="E70" s="272">
        <f t="shared" si="2"/>
        <v>1046736</v>
      </c>
      <c r="F70" s="272"/>
      <c r="G70" s="272">
        <f t="shared" si="3"/>
        <v>0.1977234086882094</v>
      </c>
      <c r="H70" s="272"/>
      <c r="I70" s="272">
        <f t="shared" si="4"/>
        <v>79.089363475283761</v>
      </c>
      <c r="J70" s="273">
        <f t="shared" si="5"/>
        <v>206964.20991666155</v>
      </c>
      <c r="K70" s="204"/>
      <c r="L70" s="204"/>
      <c r="M70" s="204"/>
    </row>
    <row r="71" spans="1:13" s="225" customFormat="1" x14ac:dyDescent="0.35">
      <c r="A71" s="228">
        <v>43349</v>
      </c>
      <c r="B71" s="231" t="s">
        <v>519</v>
      </c>
      <c r="C71" s="268"/>
      <c r="D71" s="268">
        <v>200</v>
      </c>
      <c r="E71" s="269">
        <f t="shared" si="2"/>
        <v>1046536</v>
      </c>
      <c r="F71" s="269"/>
      <c r="G71" s="269">
        <f t="shared" si="3"/>
        <v>0.1977234086882094</v>
      </c>
      <c r="H71" s="269"/>
      <c r="I71" s="269">
        <f t="shared" si="4"/>
        <v>39.544681737641881</v>
      </c>
      <c r="J71" s="270">
        <f t="shared" si="5"/>
        <v>206924.66523492392</v>
      </c>
      <c r="K71" s="237">
        <f>SUM(I68:I71)</f>
        <v>197.72340868820942</v>
      </c>
      <c r="L71" s="227"/>
      <c r="M71" s="27">
        <v>43358</v>
      </c>
    </row>
    <row r="72" spans="1:13" x14ac:dyDescent="0.35">
      <c r="A72" s="142">
        <v>43363</v>
      </c>
      <c r="B72" s="206" t="s">
        <v>536</v>
      </c>
      <c r="C72" s="263"/>
      <c r="D72" s="263">
        <v>100</v>
      </c>
      <c r="E72" s="272">
        <f t="shared" si="2"/>
        <v>1046436</v>
      </c>
      <c r="F72" s="272"/>
      <c r="G72" s="272">
        <f t="shared" si="3"/>
        <v>0.1977234086882094</v>
      </c>
      <c r="H72" s="272"/>
      <c r="I72" s="272">
        <f t="shared" si="4"/>
        <v>19.77234086882094</v>
      </c>
      <c r="J72" s="273">
        <f t="shared" si="5"/>
        <v>206904.89289405508</v>
      </c>
      <c r="K72" s="204"/>
      <c r="L72" s="204"/>
      <c r="M72" s="204"/>
    </row>
    <row r="73" spans="1:13" x14ac:dyDescent="0.35">
      <c r="A73" s="142">
        <v>43370</v>
      </c>
      <c r="B73" s="206" t="s">
        <v>549</v>
      </c>
      <c r="C73" s="263"/>
      <c r="D73" s="263">
        <v>50</v>
      </c>
      <c r="E73" s="272">
        <f t="shared" si="2"/>
        <v>1046386</v>
      </c>
      <c r="F73" s="272"/>
      <c r="G73" s="272">
        <f t="shared" si="3"/>
        <v>0.1977234086882094</v>
      </c>
      <c r="H73" s="272"/>
      <c r="I73" s="272">
        <f t="shared" si="4"/>
        <v>9.8861704344104702</v>
      </c>
      <c r="J73" s="273">
        <f t="shared" si="5"/>
        <v>206895.00672362067</v>
      </c>
      <c r="K73" s="204"/>
      <c r="L73" s="204"/>
      <c r="M73" s="204"/>
    </row>
    <row r="74" spans="1:13" s="225" customFormat="1" x14ac:dyDescent="0.35">
      <c r="A74" s="228">
        <v>43372</v>
      </c>
      <c r="B74" s="231" t="s">
        <v>551</v>
      </c>
      <c r="C74" s="268"/>
      <c r="D74" s="268">
        <v>100</v>
      </c>
      <c r="E74" s="269">
        <f t="shared" si="2"/>
        <v>1046286</v>
      </c>
      <c r="F74" s="269"/>
      <c r="G74" s="269">
        <f t="shared" si="3"/>
        <v>0.1977234086882094</v>
      </c>
      <c r="H74" s="269"/>
      <c r="I74" s="269">
        <f t="shared" si="4"/>
        <v>19.77234086882094</v>
      </c>
      <c r="J74" s="270">
        <f t="shared" si="5"/>
        <v>206875.23438275183</v>
      </c>
      <c r="K74" s="237">
        <f>SUM(I72:I74)</f>
        <v>49.430852172052354</v>
      </c>
      <c r="L74" s="237">
        <f>SUM(K71:K74)</f>
        <v>247.15426086026179</v>
      </c>
      <c r="M74" s="27">
        <v>43373</v>
      </c>
    </row>
    <row r="75" spans="1:13" x14ac:dyDescent="0.35">
      <c r="A75" s="142">
        <v>43377</v>
      </c>
      <c r="B75" s="206" t="s">
        <v>561</v>
      </c>
      <c r="C75" s="263"/>
      <c r="D75" s="263">
        <v>50</v>
      </c>
      <c r="E75" s="272">
        <f t="shared" ref="E75:E90" si="6">+E74-D75</f>
        <v>1046236</v>
      </c>
      <c r="F75" s="272"/>
      <c r="G75" s="272">
        <f t="shared" ref="G75:G90" si="7">+J74/E74</f>
        <v>0.19772340868820937</v>
      </c>
      <c r="H75" s="272"/>
      <c r="I75" s="272">
        <f t="shared" ref="I75:I90" si="8">+D75*G75</f>
        <v>9.8861704344104684</v>
      </c>
      <c r="J75" s="273">
        <f t="shared" ref="J75:J90" si="9">+J74-I75</f>
        <v>206865.34821231742</v>
      </c>
      <c r="K75" s="204"/>
      <c r="L75" s="204"/>
      <c r="M75" s="204"/>
    </row>
    <row r="76" spans="1:13" x14ac:dyDescent="0.35">
      <c r="A76" s="142">
        <v>43382</v>
      </c>
      <c r="B76" s="206" t="s">
        <v>573</v>
      </c>
      <c r="C76" s="263"/>
      <c r="D76" s="263">
        <v>50</v>
      </c>
      <c r="E76" s="272">
        <f t="shared" si="6"/>
        <v>1046186</v>
      </c>
      <c r="F76" s="272"/>
      <c r="G76" s="272">
        <f t="shared" si="7"/>
        <v>0.19772340868820937</v>
      </c>
      <c r="H76" s="272"/>
      <c r="I76" s="272">
        <f t="shared" si="8"/>
        <v>9.8861704344104684</v>
      </c>
      <c r="J76" s="273">
        <f t="shared" si="9"/>
        <v>206855.462041883</v>
      </c>
      <c r="K76" s="204"/>
      <c r="L76" s="204"/>
      <c r="M76" s="204"/>
    </row>
    <row r="77" spans="1:13" x14ac:dyDescent="0.35">
      <c r="A77" s="142">
        <v>43384</v>
      </c>
      <c r="B77" s="206" t="s">
        <v>579</v>
      </c>
      <c r="C77" s="263"/>
      <c r="D77" s="263">
        <v>300</v>
      </c>
      <c r="E77" s="272">
        <f t="shared" si="6"/>
        <v>1045886</v>
      </c>
      <c r="F77" s="272"/>
      <c r="G77" s="272">
        <f t="shared" si="7"/>
        <v>0.19772340868820937</v>
      </c>
      <c r="H77" s="272"/>
      <c r="I77" s="272">
        <f t="shared" si="8"/>
        <v>59.317022606462814</v>
      </c>
      <c r="J77" s="273">
        <f t="shared" si="9"/>
        <v>206796.14501927653</v>
      </c>
      <c r="K77" s="204"/>
      <c r="L77" s="204"/>
      <c r="M77" s="204"/>
    </row>
    <row r="78" spans="1:13" s="225" customFormat="1" x14ac:dyDescent="0.35">
      <c r="A78" s="228">
        <v>43384</v>
      </c>
      <c r="B78" s="231" t="s">
        <v>580</v>
      </c>
      <c r="C78" s="268"/>
      <c r="D78" s="268">
        <v>50</v>
      </c>
      <c r="E78" s="269">
        <f t="shared" si="6"/>
        <v>1045836</v>
      </c>
      <c r="F78" s="269"/>
      <c r="G78" s="269">
        <f t="shared" si="7"/>
        <v>0.19772340868820937</v>
      </c>
      <c r="H78" s="269"/>
      <c r="I78" s="269">
        <f t="shared" si="8"/>
        <v>9.8861704344104684</v>
      </c>
      <c r="J78" s="270">
        <f t="shared" si="9"/>
        <v>206786.25884884212</v>
      </c>
      <c r="K78" s="237">
        <f>SUM(I75:I78)</f>
        <v>88.975533909694221</v>
      </c>
      <c r="L78" s="227"/>
      <c r="M78" s="27">
        <v>43388</v>
      </c>
    </row>
    <row r="79" spans="1:13" s="225" customFormat="1" x14ac:dyDescent="0.35">
      <c r="A79" s="228">
        <v>43400</v>
      </c>
      <c r="B79" s="231" t="s">
        <v>617</v>
      </c>
      <c r="C79" s="268"/>
      <c r="D79" s="268">
        <v>150</v>
      </c>
      <c r="E79" s="269">
        <f t="shared" si="6"/>
        <v>1045686</v>
      </c>
      <c r="F79" s="269"/>
      <c r="G79" s="269">
        <f t="shared" si="7"/>
        <v>0.19772340868820934</v>
      </c>
      <c r="H79" s="269"/>
      <c r="I79" s="269">
        <f t="shared" si="8"/>
        <v>29.6585113032314</v>
      </c>
      <c r="J79" s="270">
        <f t="shared" si="9"/>
        <v>206756.6003375389</v>
      </c>
      <c r="K79" s="237">
        <f>SUM(I79)</f>
        <v>29.6585113032314</v>
      </c>
      <c r="L79" s="237">
        <f>SUM(K78:K79)</f>
        <v>118.63404521292563</v>
      </c>
      <c r="M79" s="27">
        <v>43404</v>
      </c>
    </row>
    <row r="80" spans="1:13" x14ac:dyDescent="0.35">
      <c r="A80" s="142">
        <v>43407</v>
      </c>
      <c r="B80" s="206" t="s">
        <v>636</v>
      </c>
      <c r="C80" s="263"/>
      <c r="D80" s="263">
        <v>520</v>
      </c>
      <c r="E80" s="272">
        <f t="shared" si="6"/>
        <v>1045166</v>
      </c>
      <c r="F80" s="272"/>
      <c r="G80" s="272">
        <f t="shared" si="7"/>
        <v>0.19772340868820937</v>
      </c>
      <c r="H80" s="272"/>
      <c r="I80" s="272">
        <f t="shared" si="8"/>
        <v>102.81617251786886</v>
      </c>
      <c r="J80" s="273">
        <f t="shared" si="9"/>
        <v>206653.78416502103</v>
      </c>
      <c r="K80" s="204"/>
      <c r="L80" s="204"/>
      <c r="M80" s="204"/>
    </row>
    <row r="81" spans="1:13" s="225" customFormat="1" x14ac:dyDescent="0.35">
      <c r="A81" s="228">
        <v>43411</v>
      </c>
      <c r="B81" s="231" t="s">
        <v>648</v>
      </c>
      <c r="C81" s="268"/>
      <c r="D81" s="268">
        <v>150</v>
      </c>
      <c r="E81" s="269">
        <f t="shared" si="6"/>
        <v>1045016</v>
      </c>
      <c r="F81" s="269"/>
      <c r="G81" s="269">
        <f t="shared" si="7"/>
        <v>0.19772340868820937</v>
      </c>
      <c r="H81" s="269"/>
      <c r="I81" s="269">
        <f t="shared" si="8"/>
        <v>29.658511303231407</v>
      </c>
      <c r="J81" s="270">
        <f t="shared" si="9"/>
        <v>206624.12565371781</v>
      </c>
      <c r="K81" s="237">
        <f>SUM(I80:I81)</f>
        <v>132.47468382110026</v>
      </c>
      <c r="L81" s="227"/>
      <c r="M81" s="27">
        <v>43419</v>
      </c>
    </row>
    <row r="82" spans="1:13" x14ac:dyDescent="0.35">
      <c r="A82" s="142">
        <v>43421</v>
      </c>
      <c r="B82" s="206" t="s">
        <v>671</v>
      </c>
      <c r="C82" s="263"/>
      <c r="D82" s="263">
        <v>100</v>
      </c>
      <c r="E82" s="272">
        <f t="shared" si="6"/>
        <v>1044916</v>
      </c>
      <c r="F82" s="272"/>
      <c r="G82" s="272">
        <f t="shared" si="7"/>
        <v>0.19772340868820937</v>
      </c>
      <c r="H82" s="272"/>
      <c r="I82" s="272">
        <f t="shared" si="8"/>
        <v>19.772340868820937</v>
      </c>
      <c r="J82" s="273">
        <f t="shared" si="9"/>
        <v>206604.35331284898</v>
      </c>
      <c r="K82" s="204"/>
      <c r="L82" s="204"/>
      <c r="M82" s="204"/>
    </row>
    <row r="83" spans="1:13" s="225" customFormat="1" x14ac:dyDescent="0.35">
      <c r="A83" s="228">
        <v>43431</v>
      </c>
      <c r="B83" s="231" t="s">
        <v>703</v>
      </c>
      <c r="C83" s="268"/>
      <c r="D83" s="268">
        <v>150</v>
      </c>
      <c r="E83" s="269">
        <f t="shared" si="6"/>
        <v>1044766</v>
      </c>
      <c r="F83" s="269"/>
      <c r="G83" s="269">
        <f t="shared" si="7"/>
        <v>0.19772340868820937</v>
      </c>
      <c r="H83" s="269"/>
      <c r="I83" s="269">
        <f t="shared" si="8"/>
        <v>29.658511303231407</v>
      </c>
      <c r="J83" s="270">
        <f t="shared" si="9"/>
        <v>206574.69480154576</v>
      </c>
      <c r="K83" s="237">
        <f>SUM(I82:I83)</f>
        <v>49.43085217205234</v>
      </c>
      <c r="L83" s="237">
        <f>SUM(K81:K83)</f>
        <v>181.9055359931526</v>
      </c>
      <c r="M83" s="27">
        <v>43434</v>
      </c>
    </row>
    <row r="84" spans="1:13" x14ac:dyDescent="0.35">
      <c r="A84" s="142">
        <v>43441</v>
      </c>
      <c r="B84" s="206" t="s">
        <v>718</v>
      </c>
      <c r="C84" s="263"/>
      <c r="D84" s="263">
        <v>50</v>
      </c>
      <c r="E84" s="272">
        <f t="shared" si="6"/>
        <v>1044716</v>
      </c>
      <c r="F84" s="272"/>
      <c r="G84" s="272">
        <f t="shared" si="7"/>
        <v>0.19772340868820937</v>
      </c>
      <c r="H84" s="272"/>
      <c r="I84" s="272">
        <f t="shared" si="8"/>
        <v>9.8861704344104684</v>
      </c>
      <c r="J84" s="273">
        <f t="shared" si="9"/>
        <v>206564.80863111134</v>
      </c>
      <c r="K84" s="204"/>
      <c r="L84" s="204"/>
      <c r="M84" s="204"/>
    </row>
    <row r="85" spans="1:13" x14ac:dyDescent="0.35">
      <c r="A85" s="142">
        <v>43444</v>
      </c>
      <c r="B85" s="206" t="s">
        <v>719</v>
      </c>
      <c r="C85" s="263"/>
      <c r="D85" s="263">
        <v>100</v>
      </c>
      <c r="E85" s="272">
        <f t="shared" si="6"/>
        <v>1044616</v>
      </c>
      <c r="F85" s="272"/>
      <c r="G85" s="272">
        <f t="shared" si="7"/>
        <v>0.19772340868820937</v>
      </c>
      <c r="H85" s="272"/>
      <c r="I85" s="272">
        <f t="shared" si="8"/>
        <v>19.772340868820937</v>
      </c>
      <c r="J85" s="273">
        <f t="shared" si="9"/>
        <v>206545.03629024251</v>
      </c>
      <c r="K85" s="204"/>
      <c r="L85" s="204"/>
      <c r="M85" s="204"/>
    </row>
    <row r="86" spans="1:13" x14ac:dyDescent="0.35">
      <c r="A86" s="142">
        <v>43447</v>
      </c>
      <c r="B86" s="206" t="s">
        <v>740</v>
      </c>
      <c r="C86" s="263"/>
      <c r="D86" s="263">
        <v>100</v>
      </c>
      <c r="E86" s="272">
        <f t="shared" si="6"/>
        <v>1044516</v>
      </c>
      <c r="F86" s="272"/>
      <c r="G86" s="272">
        <f t="shared" si="7"/>
        <v>0.19772340868820937</v>
      </c>
      <c r="H86" s="272"/>
      <c r="I86" s="272">
        <f t="shared" si="8"/>
        <v>19.772340868820937</v>
      </c>
      <c r="J86" s="273">
        <f t="shared" si="9"/>
        <v>206525.26394937368</v>
      </c>
      <c r="K86" s="204"/>
      <c r="L86" s="204"/>
      <c r="M86" s="204"/>
    </row>
    <row r="87" spans="1:13" s="225" customFormat="1" x14ac:dyDescent="0.35">
      <c r="A87" s="228">
        <v>43448</v>
      </c>
      <c r="B87" s="231" t="s">
        <v>743</v>
      </c>
      <c r="C87" s="268"/>
      <c r="D87" s="268">
        <v>50</v>
      </c>
      <c r="E87" s="269">
        <f t="shared" si="6"/>
        <v>1044466</v>
      </c>
      <c r="F87" s="269"/>
      <c r="G87" s="269">
        <f t="shared" si="7"/>
        <v>0.19772340868820934</v>
      </c>
      <c r="H87" s="269"/>
      <c r="I87" s="269">
        <f t="shared" si="8"/>
        <v>9.8861704344104666</v>
      </c>
      <c r="J87" s="270">
        <f t="shared" si="9"/>
        <v>206515.37777893926</v>
      </c>
      <c r="K87" s="237">
        <f>SUM(I84:I87)</f>
        <v>59.317022606462807</v>
      </c>
      <c r="L87" s="227"/>
      <c r="M87" s="27">
        <v>43449</v>
      </c>
    </row>
    <row r="88" spans="1:13" x14ac:dyDescent="0.35">
      <c r="A88" s="142">
        <v>43452</v>
      </c>
      <c r="B88" s="206" t="s">
        <v>753</v>
      </c>
      <c r="C88" s="263"/>
      <c r="D88" s="263">
        <v>50</v>
      </c>
      <c r="E88" s="272">
        <f t="shared" si="6"/>
        <v>1044416</v>
      </c>
      <c r="F88" s="272"/>
      <c r="G88" s="272">
        <f t="shared" si="7"/>
        <v>0.19772340868820934</v>
      </c>
      <c r="H88" s="272"/>
      <c r="I88" s="272">
        <f t="shared" si="8"/>
        <v>9.8861704344104666</v>
      </c>
      <c r="J88" s="273">
        <f t="shared" si="9"/>
        <v>206505.49160850485</v>
      </c>
      <c r="K88" s="204"/>
      <c r="L88" s="204"/>
      <c r="M88" s="204"/>
    </row>
    <row r="89" spans="1:13" x14ac:dyDescent="0.35">
      <c r="A89" s="142">
        <v>43453</v>
      </c>
      <c r="B89" s="206" t="s">
        <v>763</v>
      </c>
      <c r="C89" s="263"/>
      <c r="D89" s="263">
        <v>200</v>
      </c>
      <c r="E89" s="272">
        <f t="shared" si="6"/>
        <v>1044216</v>
      </c>
      <c r="F89" s="272"/>
      <c r="G89" s="272">
        <f t="shared" si="7"/>
        <v>0.19772340868820934</v>
      </c>
      <c r="H89" s="272"/>
      <c r="I89" s="272">
        <f t="shared" si="8"/>
        <v>39.544681737641866</v>
      </c>
      <c r="J89" s="273">
        <f t="shared" si="9"/>
        <v>206465.94692676721</v>
      </c>
      <c r="K89" s="204"/>
      <c r="L89" s="204"/>
      <c r="M89" s="204"/>
    </row>
    <row r="90" spans="1:13" s="225" customFormat="1" x14ac:dyDescent="0.35">
      <c r="A90" s="228">
        <v>43456</v>
      </c>
      <c r="B90" s="231" t="s">
        <v>773</v>
      </c>
      <c r="C90" s="268"/>
      <c r="D90" s="268">
        <v>300</v>
      </c>
      <c r="E90" s="269">
        <f t="shared" si="6"/>
        <v>1043916</v>
      </c>
      <c r="F90" s="269"/>
      <c r="G90" s="269">
        <f t="shared" si="7"/>
        <v>0.19772340868820934</v>
      </c>
      <c r="H90" s="269"/>
      <c r="I90" s="269">
        <f t="shared" si="8"/>
        <v>59.3170226064628</v>
      </c>
      <c r="J90" s="270">
        <f t="shared" si="9"/>
        <v>206406.62990416074</v>
      </c>
      <c r="K90" s="237">
        <f>SUM(I88:I90)</f>
        <v>108.74787477851513</v>
      </c>
      <c r="L90" s="326">
        <f>SUM(K87:K90)</f>
        <v>168.06489738497794</v>
      </c>
      <c r="M90" s="27">
        <v>43465</v>
      </c>
    </row>
    <row r="91" spans="1:13" ht="15" thickBot="1" x14ac:dyDescent="0.4">
      <c r="A91" s="189"/>
      <c r="B91" s="262" t="s">
        <v>135</v>
      </c>
      <c r="C91" s="263">
        <f>SUM(C9:C90)</f>
        <v>1065536</v>
      </c>
      <c r="D91" s="263">
        <f>SUM(D9:D90)</f>
        <v>21620</v>
      </c>
      <c r="E91" s="263"/>
      <c r="F91" s="263"/>
      <c r="G91" s="263"/>
      <c r="H91" s="263">
        <f>SUM(H9:H90)</f>
        <v>210681.41</v>
      </c>
      <c r="I91" s="263">
        <f>SUM(I9:I90)</f>
        <v>4274.7800958390853</v>
      </c>
      <c r="J91" s="263"/>
      <c r="K91" s="204"/>
      <c r="L91" s="325">
        <f>SUM(L10:L90)</f>
        <v>4274.7800958390872</v>
      </c>
      <c r="M91" s="204"/>
    </row>
    <row r="92" spans="1:13" ht="15" thickTop="1" x14ac:dyDescent="0.35">
      <c r="K92" s="204"/>
      <c r="L92" s="236"/>
      <c r="M92" s="204"/>
    </row>
    <row r="93" spans="1:13" x14ac:dyDescent="0.35">
      <c r="K93" s="204"/>
      <c r="L93" s="204"/>
      <c r="M93" s="204"/>
    </row>
    <row r="94" spans="1:13" x14ac:dyDescent="0.35">
      <c r="A94" s="309" t="s">
        <v>230</v>
      </c>
      <c r="B94" s="201"/>
      <c r="C94" s="200"/>
      <c r="D94" s="200"/>
      <c r="E94" s="200"/>
      <c r="F94" s="200"/>
      <c r="G94" s="204"/>
      <c r="H94" s="204"/>
      <c r="I94" s="204"/>
      <c r="J94" s="204"/>
      <c r="K94" s="204"/>
      <c r="L94" s="204"/>
      <c r="M94" s="204"/>
    </row>
    <row r="95" spans="1:13" x14ac:dyDescent="0.35">
      <c r="A95" s="309" t="s">
        <v>233</v>
      </c>
      <c r="B95" s="201"/>
      <c r="C95" s="200"/>
      <c r="D95" s="200"/>
      <c r="E95" s="200"/>
      <c r="F95" s="200"/>
      <c r="G95" s="204"/>
      <c r="H95" s="204"/>
      <c r="I95" s="204"/>
      <c r="J95" s="245">
        <f>+E90*F9</f>
        <v>206406.62990416092</v>
      </c>
      <c r="K95" s="204"/>
      <c r="L95" s="204"/>
      <c r="M95" s="204"/>
    </row>
    <row r="96" spans="1:13" x14ac:dyDescent="0.35">
      <c r="A96" s="309" t="s">
        <v>231</v>
      </c>
      <c r="B96" s="201"/>
      <c r="C96" s="200"/>
      <c r="D96" s="200"/>
      <c r="E96" s="200"/>
      <c r="F96" s="200"/>
      <c r="G96" s="204"/>
      <c r="H96" s="204"/>
      <c r="I96" s="204"/>
      <c r="J96" s="310">
        <f>+J90</f>
        <v>206406.62990416074</v>
      </c>
      <c r="K96" s="204"/>
      <c r="L96" s="204"/>
      <c r="M96" s="204"/>
    </row>
    <row r="97" spans="1:13" ht="15" thickBot="1" x14ac:dyDescent="0.4">
      <c r="A97" s="309"/>
      <c r="B97" s="201" t="s">
        <v>232</v>
      </c>
      <c r="C97" s="200"/>
      <c r="D97" s="200"/>
      <c r="E97" s="200"/>
      <c r="F97" s="200"/>
      <c r="G97" s="204"/>
      <c r="H97" s="204"/>
      <c r="I97" s="204"/>
      <c r="J97" s="311">
        <f>+J95-J96</f>
        <v>0</v>
      </c>
      <c r="K97" s="204"/>
      <c r="L97" s="204"/>
      <c r="M97" s="204"/>
    </row>
    <row r="98" spans="1:13" ht="15" thickTop="1" x14ac:dyDescent="0.35">
      <c r="K98" s="204"/>
      <c r="L98" s="204"/>
      <c r="M98" s="204"/>
    </row>
    <row r="99" spans="1:13" x14ac:dyDescent="0.35">
      <c r="K99" s="204"/>
      <c r="L99" s="204"/>
      <c r="M99" s="204"/>
    </row>
    <row r="100" spans="1:13" x14ac:dyDescent="0.35">
      <c r="K100" s="204"/>
      <c r="L100" s="204"/>
      <c r="M100" s="204"/>
    </row>
    <row r="101" spans="1:13" x14ac:dyDescent="0.35">
      <c r="K101" s="204"/>
      <c r="L101" s="204"/>
      <c r="M101" s="204"/>
    </row>
    <row r="102" spans="1:13" x14ac:dyDescent="0.35">
      <c r="K102" s="204"/>
      <c r="L102" s="204"/>
      <c r="M102" s="204"/>
    </row>
    <row r="103" spans="1:13" x14ac:dyDescent="0.35">
      <c r="K103" s="204"/>
      <c r="L103" s="204"/>
      <c r="M103" s="204"/>
    </row>
    <row r="104" spans="1:13" x14ac:dyDescent="0.35">
      <c r="K104" s="204"/>
      <c r="L104" s="204"/>
      <c r="M104" s="204"/>
    </row>
    <row r="105" spans="1:13" x14ac:dyDescent="0.35">
      <c r="K105" s="204"/>
      <c r="L105" s="204"/>
      <c r="M105" s="204"/>
    </row>
  </sheetData>
  <mergeCells count="5">
    <mergeCell ref="D4:H4"/>
    <mergeCell ref="C7:E7"/>
    <mergeCell ref="F7:G7"/>
    <mergeCell ref="H7:J7"/>
    <mergeCell ref="D5:G5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"/>
  <sheetViews>
    <sheetView topLeftCell="A28" workbookViewId="0">
      <selection sqref="A1:M59"/>
    </sheetView>
  </sheetViews>
  <sheetFormatPr baseColWidth="10" defaultRowHeight="14.5" x14ac:dyDescent="0.35"/>
  <cols>
    <col min="2" max="2" width="30.54296875" customWidth="1"/>
  </cols>
  <sheetData>
    <row r="1" spans="1:13" x14ac:dyDescent="0.35">
      <c r="A1" s="191" t="s">
        <v>0</v>
      </c>
      <c r="B1" s="192"/>
      <c r="C1" s="198"/>
      <c r="D1" s="198"/>
      <c r="E1" s="198"/>
      <c r="F1" s="198"/>
      <c r="G1" s="198"/>
      <c r="H1" s="199" t="s">
        <v>1</v>
      </c>
      <c r="I1" s="198"/>
      <c r="J1" s="208"/>
      <c r="K1" s="204"/>
      <c r="L1" s="204"/>
      <c r="M1" s="204"/>
    </row>
    <row r="2" spans="1:13" x14ac:dyDescent="0.35">
      <c r="A2" s="193" t="s">
        <v>2</v>
      </c>
      <c r="B2" s="194"/>
      <c r="C2" s="200"/>
      <c r="D2" s="200"/>
      <c r="E2" s="200"/>
      <c r="F2" s="200"/>
      <c r="G2" s="200"/>
      <c r="H2" s="201" t="s">
        <v>31</v>
      </c>
      <c r="I2" s="200"/>
      <c r="J2" s="209"/>
      <c r="K2" s="204"/>
      <c r="L2" s="204"/>
      <c r="M2" s="204"/>
    </row>
    <row r="3" spans="1:13" x14ac:dyDescent="0.35">
      <c r="A3" s="195" t="s">
        <v>3</v>
      </c>
      <c r="B3" s="196"/>
      <c r="C3" s="200"/>
      <c r="D3" s="200"/>
      <c r="E3" s="200"/>
      <c r="F3" s="200"/>
      <c r="G3" s="200"/>
      <c r="H3" s="201" t="s">
        <v>27</v>
      </c>
      <c r="I3" s="200"/>
      <c r="J3" s="209"/>
      <c r="K3" s="204"/>
      <c r="L3" s="204"/>
      <c r="M3" s="204"/>
    </row>
    <row r="4" spans="1:13" x14ac:dyDescent="0.35">
      <c r="A4" s="197"/>
      <c r="B4" s="200"/>
      <c r="C4" s="200"/>
      <c r="D4" s="327" t="s">
        <v>5</v>
      </c>
      <c r="E4" s="327"/>
      <c r="F4" s="327"/>
      <c r="G4" s="327"/>
      <c r="H4" s="327"/>
      <c r="I4" s="200"/>
      <c r="J4" s="209"/>
      <c r="K4" s="204"/>
      <c r="L4" s="204"/>
      <c r="M4" s="204"/>
    </row>
    <row r="5" spans="1:13" x14ac:dyDescent="0.35">
      <c r="A5" s="197"/>
      <c r="B5" s="202"/>
      <c r="C5" s="200"/>
      <c r="D5" s="333" t="s">
        <v>30</v>
      </c>
      <c r="E5" s="333"/>
      <c r="F5" s="333"/>
      <c r="G5" s="333"/>
      <c r="H5" s="200"/>
      <c r="I5" s="200"/>
      <c r="J5" s="209"/>
      <c r="K5" s="204"/>
      <c r="L5" s="204"/>
      <c r="M5" s="204"/>
    </row>
    <row r="6" spans="1:13" x14ac:dyDescent="0.35">
      <c r="A6" s="197"/>
      <c r="B6" s="202"/>
      <c r="C6" s="200"/>
      <c r="D6" s="347" t="s">
        <v>6</v>
      </c>
      <c r="E6" s="347"/>
      <c r="F6" s="347"/>
      <c r="G6" s="347"/>
      <c r="H6" s="200"/>
      <c r="I6" s="200"/>
      <c r="J6" s="209"/>
      <c r="K6" s="204"/>
      <c r="L6" s="204"/>
      <c r="M6" s="204"/>
    </row>
    <row r="7" spans="1:13" x14ac:dyDescent="0.35">
      <c r="A7" s="212" t="s">
        <v>7</v>
      </c>
      <c r="B7" s="213" t="s">
        <v>8</v>
      </c>
      <c r="C7" s="350" t="s">
        <v>9</v>
      </c>
      <c r="D7" s="351"/>
      <c r="E7" s="352"/>
      <c r="F7" s="353" t="s">
        <v>10</v>
      </c>
      <c r="G7" s="354"/>
      <c r="H7" s="350" t="s">
        <v>11</v>
      </c>
      <c r="I7" s="351"/>
      <c r="J7" s="355"/>
      <c r="K7" s="204"/>
      <c r="L7" s="204"/>
      <c r="M7" s="204"/>
    </row>
    <row r="8" spans="1:13" x14ac:dyDescent="0.35">
      <c r="A8" s="210"/>
      <c r="B8" s="211"/>
      <c r="C8" s="214" t="s">
        <v>28</v>
      </c>
      <c r="D8" s="214" t="s">
        <v>14</v>
      </c>
      <c r="E8" s="214" t="s">
        <v>20</v>
      </c>
      <c r="F8" s="214" t="s">
        <v>16</v>
      </c>
      <c r="G8" s="214" t="s">
        <v>17</v>
      </c>
      <c r="H8" s="214" t="s">
        <v>18</v>
      </c>
      <c r="I8" s="214" t="s">
        <v>19</v>
      </c>
      <c r="J8" s="214" t="s">
        <v>20</v>
      </c>
      <c r="K8" s="204"/>
      <c r="L8" s="204"/>
      <c r="M8" s="204"/>
    </row>
    <row r="9" spans="1:13" x14ac:dyDescent="0.35">
      <c r="A9" s="205">
        <v>42737</v>
      </c>
      <c r="B9" s="206" t="s">
        <v>32</v>
      </c>
      <c r="C9" s="203">
        <v>275780</v>
      </c>
      <c r="D9" s="203"/>
      <c r="E9" s="203">
        <f>+C9</f>
        <v>275780</v>
      </c>
      <c r="F9" s="203">
        <f>+H9/C9</f>
        <v>0.17457335557328305</v>
      </c>
      <c r="G9" s="215"/>
      <c r="H9" s="216">
        <v>48143.839999999997</v>
      </c>
      <c r="I9" s="203"/>
      <c r="J9" s="207">
        <f>+H9</f>
        <v>48143.839999999997</v>
      </c>
      <c r="K9" s="204"/>
      <c r="L9" s="204"/>
      <c r="M9" s="204"/>
    </row>
    <row r="10" spans="1:13" x14ac:dyDescent="0.35">
      <c r="A10" s="205">
        <v>43109</v>
      </c>
      <c r="B10" s="206" t="s">
        <v>33</v>
      </c>
      <c r="C10" s="203"/>
      <c r="D10" s="203">
        <v>50</v>
      </c>
      <c r="E10" s="217">
        <f>+E9-D10</f>
        <v>275730</v>
      </c>
      <c r="F10" s="217"/>
      <c r="G10" s="217">
        <f>+J9/E9</f>
        <v>0.17457335557328305</v>
      </c>
      <c r="H10" s="217"/>
      <c r="I10" s="217">
        <f>+D10*G10</f>
        <v>8.7286677786641516</v>
      </c>
      <c r="J10" s="218">
        <f>+J9-I10</f>
        <v>48135.111332221335</v>
      </c>
      <c r="K10" s="204"/>
      <c r="L10" s="204"/>
      <c r="M10" s="204"/>
    </row>
    <row r="11" spans="1:13" s="225" customFormat="1" x14ac:dyDescent="0.35">
      <c r="A11" s="238">
        <v>43110</v>
      </c>
      <c r="B11" s="231" t="s">
        <v>34</v>
      </c>
      <c r="C11" s="239"/>
      <c r="D11" s="239">
        <v>350</v>
      </c>
      <c r="E11" s="239">
        <f t="shared" ref="E11:E44" si="0">+E10-D11</f>
        <v>275380</v>
      </c>
      <c r="F11" s="239"/>
      <c r="G11" s="239">
        <f t="shared" ref="G11:G44" si="1">+J10/E10</f>
        <v>0.17457335557328305</v>
      </c>
      <c r="H11" s="239"/>
      <c r="I11" s="239">
        <f t="shared" ref="I11:I44" si="2">+D11*G11</f>
        <v>61.100674450649066</v>
      </c>
      <c r="J11" s="240">
        <f t="shared" ref="J11:J44" si="3">+J10-I11</f>
        <v>48074.010657770683</v>
      </c>
      <c r="K11" s="235">
        <f>SUM(I10:I11)</f>
        <v>69.829342229313212</v>
      </c>
      <c r="L11" s="227"/>
      <c r="M11" s="27">
        <v>43115</v>
      </c>
    </row>
    <row r="12" spans="1:13" s="190" customFormat="1" x14ac:dyDescent="0.35">
      <c r="A12" s="205">
        <v>43120</v>
      </c>
      <c r="B12" s="206" t="s">
        <v>38</v>
      </c>
      <c r="C12" s="203"/>
      <c r="D12" s="203">
        <v>50</v>
      </c>
      <c r="E12" s="217">
        <f t="shared" si="0"/>
        <v>275330</v>
      </c>
      <c r="F12" s="217"/>
      <c r="G12" s="217">
        <f t="shared" si="1"/>
        <v>0.17457335557328305</v>
      </c>
      <c r="H12" s="217"/>
      <c r="I12" s="217">
        <f t="shared" si="2"/>
        <v>8.7286677786641516</v>
      </c>
      <c r="J12" s="218">
        <f t="shared" si="3"/>
        <v>48065.281989992021</v>
      </c>
      <c r="K12" s="204"/>
      <c r="L12" s="204"/>
      <c r="M12" s="204"/>
    </row>
    <row r="13" spans="1:13" s="190" customFormat="1" x14ac:dyDescent="0.35">
      <c r="A13" s="205">
        <v>43120</v>
      </c>
      <c r="B13" s="206" t="s">
        <v>39</v>
      </c>
      <c r="C13" s="203"/>
      <c r="D13" s="203">
        <v>900</v>
      </c>
      <c r="E13" s="217">
        <f t="shared" si="0"/>
        <v>274430</v>
      </c>
      <c r="F13" s="217"/>
      <c r="G13" s="217">
        <f t="shared" si="1"/>
        <v>0.17457335557328305</v>
      </c>
      <c r="H13" s="217"/>
      <c r="I13" s="217">
        <f t="shared" si="2"/>
        <v>157.11602001595475</v>
      </c>
      <c r="J13" s="218">
        <f t="shared" si="3"/>
        <v>47908.165969976064</v>
      </c>
      <c r="K13" s="204"/>
      <c r="L13" s="204"/>
      <c r="M13" s="204"/>
    </row>
    <row r="14" spans="1:13" s="225" customFormat="1" x14ac:dyDescent="0.35">
      <c r="A14" s="238">
        <v>42765</v>
      </c>
      <c r="B14" s="231" t="s">
        <v>45</v>
      </c>
      <c r="C14" s="239"/>
      <c r="D14" s="239">
        <v>150</v>
      </c>
      <c r="E14" s="239">
        <f t="shared" si="0"/>
        <v>274280</v>
      </c>
      <c r="F14" s="239"/>
      <c r="G14" s="239">
        <f t="shared" si="1"/>
        <v>0.17457335557328305</v>
      </c>
      <c r="H14" s="239"/>
      <c r="I14" s="239">
        <f t="shared" si="2"/>
        <v>26.186003335992456</v>
      </c>
      <c r="J14" s="240">
        <f t="shared" si="3"/>
        <v>47881.979966640072</v>
      </c>
      <c r="K14" s="235">
        <f>SUM(I12:I14)</f>
        <v>192.03069113061136</v>
      </c>
      <c r="L14" s="235">
        <f>SUM(K11:K14)</f>
        <v>261.86003335992456</v>
      </c>
      <c r="M14" s="27">
        <v>43131</v>
      </c>
    </row>
    <row r="15" spans="1:13" s="190" customFormat="1" x14ac:dyDescent="0.35">
      <c r="A15" s="205">
        <v>43134</v>
      </c>
      <c r="B15" s="206" t="s">
        <v>50</v>
      </c>
      <c r="C15" s="203"/>
      <c r="D15" s="203">
        <v>100</v>
      </c>
      <c r="E15" s="217">
        <f t="shared" si="0"/>
        <v>274180</v>
      </c>
      <c r="F15" s="217"/>
      <c r="G15" s="217">
        <f t="shared" si="1"/>
        <v>0.17457335557328305</v>
      </c>
      <c r="H15" s="217"/>
      <c r="I15" s="217">
        <f t="shared" si="2"/>
        <v>17.457335557328303</v>
      </c>
      <c r="J15" s="218">
        <f t="shared" si="3"/>
        <v>47864.522631082742</v>
      </c>
      <c r="K15" s="204"/>
      <c r="L15" s="204"/>
      <c r="M15" s="204"/>
    </row>
    <row r="16" spans="1:13" s="190" customFormat="1" x14ac:dyDescent="0.35">
      <c r="A16" s="205">
        <v>43136</v>
      </c>
      <c r="B16" s="206" t="s">
        <v>55</v>
      </c>
      <c r="C16" s="203"/>
      <c r="D16" s="203">
        <v>550</v>
      </c>
      <c r="E16" s="217">
        <f t="shared" si="0"/>
        <v>273630</v>
      </c>
      <c r="F16" s="217"/>
      <c r="G16" s="217">
        <f t="shared" si="1"/>
        <v>0.17457335557328305</v>
      </c>
      <c r="H16" s="217"/>
      <c r="I16" s="217">
        <f t="shared" si="2"/>
        <v>96.01534556530568</v>
      </c>
      <c r="J16" s="218">
        <f t="shared" si="3"/>
        <v>47768.507285517437</v>
      </c>
      <c r="K16" s="204"/>
      <c r="L16" s="204"/>
      <c r="M16" s="204"/>
    </row>
    <row r="17" spans="1:13" s="190" customFormat="1" x14ac:dyDescent="0.35">
      <c r="A17" s="205">
        <v>43138</v>
      </c>
      <c r="B17" s="206" t="s">
        <v>58</v>
      </c>
      <c r="C17" s="203"/>
      <c r="D17" s="203">
        <v>100</v>
      </c>
      <c r="E17" s="217">
        <f t="shared" si="0"/>
        <v>273530</v>
      </c>
      <c r="F17" s="217"/>
      <c r="G17" s="217">
        <f t="shared" si="1"/>
        <v>0.17457335557328305</v>
      </c>
      <c r="H17" s="217"/>
      <c r="I17" s="217">
        <f t="shared" si="2"/>
        <v>17.457335557328303</v>
      </c>
      <c r="J17" s="218">
        <f t="shared" si="3"/>
        <v>47751.049949960106</v>
      </c>
      <c r="K17" s="204"/>
      <c r="L17" s="204"/>
      <c r="M17" s="204"/>
    </row>
    <row r="18" spans="1:13" s="225" customFormat="1" x14ac:dyDescent="0.35">
      <c r="A18" s="238">
        <v>43140</v>
      </c>
      <c r="B18" s="231" t="s">
        <v>60</v>
      </c>
      <c r="C18" s="239"/>
      <c r="D18" s="239">
        <v>250</v>
      </c>
      <c r="E18" s="239">
        <f t="shared" si="0"/>
        <v>273280</v>
      </c>
      <c r="F18" s="239"/>
      <c r="G18" s="239">
        <f t="shared" si="1"/>
        <v>0.17457335557328302</v>
      </c>
      <c r="H18" s="239"/>
      <c r="I18" s="239">
        <f t="shared" si="2"/>
        <v>43.643338893320752</v>
      </c>
      <c r="J18" s="240">
        <f t="shared" si="3"/>
        <v>47707.406611066785</v>
      </c>
      <c r="K18" s="235">
        <f>SUM(I15:I18)</f>
        <v>174.57335557328304</v>
      </c>
      <c r="L18" s="227"/>
      <c r="M18" s="27">
        <v>43146</v>
      </c>
    </row>
    <row r="19" spans="1:13" s="225" customFormat="1" x14ac:dyDescent="0.35">
      <c r="A19" s="238">
        <v>43148</v>
      </c>
      <c r="B19" s="231" t="s">
        <v>64</v>
      </c>
      <c r="C19" s="239"/>
      <c r="D19" s="239">
        <v>50</v>
      </c>
      <c r="E19" s="239">
        <f>+E18-D19</f>
        <v>273230</v>
      </c>
      <c r="F19" s="239"/>
      <c r="G19" s="239">
        <f t="shared" ref="G19" si="4">+J18/E18</f>
        <v>0.17457335557328302</v>
      </c>
      <c r="H19" s="239"/>
      <c r="I19" s="239">
        <f t="shared" ref="I19" si="5">+D19*G19</f>
        <v>8.7286677786641516</v>
      </c>
      <c r="J19" s="240">
        <f t="shared" ref="J19" si="6">+J18-I19</f>
        <v>47698.677943288123</v>
      </c>
      <c r="K19" s="235">
        <f>SUM(I19)</f>
        <v>8.7286677786641516</v>
      </c>
      <c r="L19" s="235">
        <f>SUM(K18:K19)</f>
        <v>183.30202335194718</v>
      </c>
      <c r="M19" s="27">
        <v>43159</v>
      </c>
    </row>
    <row r="20" spans="1:13" s="225" customFormat="1" x14ac:dyDescent="0.35">
      <c r="A20" s="238">
        <v>43171</v>
      </c>
      <c r="B20" s="231" t="s">
        <v>80</v>
      </c>
      <c r="C20" s="239"/>
      <c r="D20" s="239">
        <v>1050</v>
      </c>
      <c r="E20" s="239">
        <f t="shared" si="0"/>
        <v>272180</v>
      </c>
      <c r="F20" s="239"/>
      <c r="G20" s="239">
        <f t="shared" si="1"/>
        <v>0.17457335557328305</v>
      </c>
      <c r="H20" s="239"/>
      <c r="I20" s="239">
        <f t="shared" si="2"/>
        <v>183.30202335194718</v>
      </c>
      <c r="J20" s="240">
        <f t="shared" si="3"/>
        <v>47515.375919936174</v>
      </c>
      <c r="K20" s="235">
        <f>SUM(I20)</f>
        <v>183.30202335194718</v>
      </c>
      <c r="L20" s="227"/>
      <c r="M20" s="27">
        <v>43174</v>
      </c>
    </row>
    <row r="21" spans="1:13" s="190" customFormat="1" x14ac:dyDescent="0.35">
      <c r="A21" s="205">
        <v>43176</v>
      </c>
      <c r="B21" s="206" t="s">
        <v>84</v>
      </c>
      <c r="C21" s="203"/>
      <c r="D21" s="203">
        <v>150</v>
      </c>
      <c r="E21" s="217">
        <f t="shared" si="0"/>
        <v>272030</v>
      </c>
      <c r="F21" s="217"/>
      <c r="G21" s="217">
        <f t="shared" si="1"/>
        <v>0.17457335557328302</v>
      </c>
      <c r="H21" s="217"/>
      <c r="I21" s="217">
        <f t="shared" si="2"/>
        <v>26.186003335992453</v>
      </c>
      <c r="J21" s="218">
        <f t="shared" si="3"/>
        <v>47489.189916600182</v>
      </c>
      <c r="K21" s="204"/>
      <c r="L21" s="204"/>
      <c r="M21" s="204"/>
    </row>
    <row r="22" spans="1:13" s="190" customFormat="1" x14ac:dyDescent="0.35">
      <c r="A22" s="205">
        <v>43186</v>
      </c>
      <c r="B22" s="206" t="s">
        <v>86</v>
      </c>
      <c r="C22" s="203"/>
      <c r="D22" s="203">
        <v>150</v>
      </c>
      <c r="E22" s="217">
        <f t="shared" si="0"/>
        <v>271880</v>
      </c>
      <c r="F22" s="217"/>
      <c r="G22" s="217">
        <f t="shared" si="1"/>
        <v>0.17457335557328302</v>
      </c>
      <c r="H22" s="217"/>
      <c r="I22" s="217">
        <f t="shared" si="2"/>
        <v>26.186003335992453</v>
      </c>
      <c r="J22" s="218">
        <f t="shared" si="3"/>
        <v>47463.00391326419</v>
      </c>
      <c r="K22" s="204"/>
      <c r="L22" s="204"/>
      <c r="M22" s="204"/>
    </row>
    <row r="23" spans="1:13" s="225" customFormat="1" x14ac:dyDescent="0.35">
      <c r="A23" s="238">
        <v>43190</v>
      </c>
      <c r="B23" s="231" t="s">
        <v>89</v>
      </c>
      <c r="C23" s="239"/>
      <c r="D23" s="239">
        <v>50</v>
      </c>
      <c r="E23" s="239">
        <f t="shared" si="0"/>
        <v>271830</v>
      </c>
      <c r="F23" s="239"/>
      <c r="G23" s="239">
        <f t="shared" si="1"/>
        <v>0.17457335557328302</v>
      </c>
      <c r="H23" s="239"/>
      <c r="I23" s="239">
        <f t="shared" si="2"/>
        <v>8.7286677786641516</v>
      </c>
      <c r="J23" s="240">
        <f t="shared" si="3"/>
        <v>47454.275245485529</v>
      </c>
      <c r="K23" s="235">
        <f>SUM(I21:I23)</f>
        <v>61.100674450649059</v>
      </c>
      <c r="L23" s="235">
        <f>SUM(K20:K23)</f>
        <v>244.40269780259624</v>
      </c>
      <c r="M23" s="27">
        <v>43190</v>
      </c>
    </row>
    <row r="24" spans="1:13" s="225" customFormat="1" x14ac:dyDescent="0.35">
      <c r="A24" s="238">
        <v>43214</v>
      </c>
      <c r="B24" s="231" t="s">
        <v>109</v>
      </c>
      <c r="C24" s="239"/>
      <c r="D24" s="239">
        <v>100</v>
      </c>
      <c r="E24" s="239">
        <f t="shared" si="0"/>
        <v>271730</v>
      </c>
      <c r="F24" s="239"/>
      <c r="G24" s="239">
        <f t="shared" si="1"/>
        <v>0.17457335557328305</v>
      </c>
      <c r="H24" s="239"/>
      <c r="I24" s="239">
        <f t="shared" si="2"/>
        <v>17.457335557328303</v>
      </c>
      <c r="J24" s="240">
        <f t="shared" si="3"/>
        <v>47436.817909928199</v>
      </c>
      <c r="K24" s="235">
        <f t="shared" ref="K24:K29" si="7">SUM(I24)</f>
        <v>17.457335557328303</v>
      </c>
      <c r="L24" s="235">
        <f>SUM(K24)</f>
        <v>17.457335557328303</v>
      </c>
      <c r="M24" s="27">
        <v>43220</v>
      </c>
    </row>
    <row r="25" spans="1:13" s="225" customFormat="1" x14ac:dyDescent="0.35">
      <c r="A25" s="238">
        <v>43239</v>
      </c>
      <c r="B25" s="231" t="s">
        <v>115</v>
      </c>
      <c r="C25" s="239"/>
      <c r="D25" s="239">
        <v>12</v>
      </c>
      <c r="E25" s="239">
        <f t="shared" si="0"/>
        <v>271718</v>
      </c>
      <c r="F25" s="239"/>
      <c r="G25" s="239">
        <f t="shared" si="1"/>
        <v>0.17457335557328305</v>
      </c>
      <c r="H25" s="239"/>
      <c r="I25" s="239">
        <f t="shared" si="2"/>
        <v>2.0948802668793967</v>
      </c>
      <c r="J25" s="240">
        <f t="shared" si="3"/>
        <v>47434.72302966132</v>
      </c>
      <c r="K25" s="235">
        <f t="shared" si="7"/>
        <v>2.0948802668793967</v>
      </c>
      <c r="L25" s="235">
        <f>SUM(K25)</f>
        <v>2.0948802668793967</v>
      </c>
      <c r="M25" s="27">
        <v>43235</v>
      </c>
    </row>
    <row r="26" spans="1:13" s="225" customFormat="1" x14ac:dyDescent="0.35">
      <c r="A26" s="238">
        <v>43274</v>
      </c>
      <c r="B26" s="231" t="s">
        <v>402</v>
      </c>
      <c r="C26" s="239"/>
      <c r="D26" s="239">
        <v>50</v>
      </c>
      <c r="E26" s="239">
        <f t="shared" si="0"/>
        <v>271668</v>
      </c>
      <c r="F26" s="239"/>
      <c r="G26" s="239">
        <f t="shared" si="1"/>
        <v>0.17457335557328305</v>
      </c>
      <c r="H26" s="239"/>
      <c r="I26" s="239">
        <f t="shared" si="2"/>
        <v>8.7286677786641516</v>
      </c>
      <c r="J26" s="240">
        <f t="shared" si="3"/>
        <v>47425.994361882658</v>
      </c>
      <c r="K26" s="235">
        <f t="shared" si="7"/>
        <v>8.7286677786641516</v>
      </c>
      <c r="L26" s="235">
        <f>SUM(K26)</f>
        <v>8.7286677786641516</v>
      </c>
      <c r="M26" s="27">
        <v>43281</v>
      </c>
    </row>
    <row r="27" spans="1:13" s="225" customFormat="1" x14ac:dyDescent="0.35">
      <c r="A27" s="238">
        <v>43284</v>
      </c>
      <c r="B27" s="231" t="s">
        <v>403</v>
      </c>
      <c r="C27" s="239"/>
      <c r="D27" s="239">
        <v>50</v>
      </c>
      <c r="E27" s="239">
        <f t="shared" si="0"/>
        <v>271618</v>
      </c>
      <c r="F27" s="239"/>
      <c r="G27" s="239">
        <f t="shared" si="1"/>
        <v>0.17457335557328305</v>
      </c>
      <c r="H27" s="239"/>
      <c r="I27" s="239">
        <f t="shared" si="2"/>
        <v>8.7286677786641516</v>
      </c>
      <c r="J27" s="240">
        <f t="shared" si="3"/>
        <v>47417.265694103997</v>
      </c>
      <c r="K27" s="235">
        <f t="shared" si="7"/>
        <v>8.7286677786641516</v>
      </c>
      <c r="L27" s="227"/>
      <c r="M27" s="27">
        <v>43296</v>
      </c>
    </row>
    <row r="28" spans="1:13" s="225" customFormat="1" x14ac:dyDescent="0.35">
      <c r="A28" s="238">
        <v>43302</v>
      </c>
      <c r="B28" s="231" t="s">
        <v>439</v>
      </c>
      <c r="C28" s="239"/>
      <c r="D28" s="239">
        <v>25</v>
      </c>
      <c r="E28" s="239">
        <f t="shared" si="0"/>
        <v>271593</v>
      </c>
      <c r="F28" s="239"/>
      <c r="G28" s="239">
        <f t="shared" si="1"/>
        <v>0.17457335557328305</v>
      </c>
      <c r="H28" s="239"/>
      <c r="I28" s="239">
        <f t="shared" si="2"/>
        <v>4.3643338893320758</v>
      </c>
      <c r="J28" s="240">
        <f t="shared" si="3"/>
        <v>47412.901360214666</v>
      </c>
      <c r="K28" s="235">
        <f t="shared" si="7"/>
        <v>4.3643338893320758</v>
      </c>
      <c r="L28" s="235">
        <f>SUM(K27:K28)</f>
        <v>13.093001667996226</v>
      </c>
      <c r="M28" s="27">
        <v>43312</v>
      </c>
    </row>
    <row r="29" spans="1:13" s="225" customFormat="1" x14ac:dyDescent="0.35">
      <c r="A29" s="238">
        <v>43330</v>
      </c>
      <c r="B29" s="231" t="s">
        <v>476</v>
      </c>
      <c r="C29" s="239"/>
      <c r="D29" s="239">
        <v>10</v>
      </c>
      <c r="E29" s="239">
        <f t="shared" si="0"/>
        <v>271583</v>
      </c>
      <c r="F29" s="239"/>
      <c r="G29" s="239">
        <f t="shared" si="1"/>
        <v>0.17457335557328307</v>
      </c>
      <c r="H29" s="239"/>
      <c r="I29" s="239">
        <f t="shared" si="2"/>
        <v>1.7457335557328308</v>
      </c>
      <c r="J29" s="240">
        <f t="shared" si="3"/>
        <v>47411.155626658932</v>
      </c>
      <c r="K29" s="235">
        <f t="shared" si="7"/>
        <v>1.7457335557328308</v>
      </c>
      <c r="L29" s="235">
        <f>SUM(K29)</f>
        <v>1.7457335557328308</v>
      </c>
      <c r="M29" s="27">
        <v>43343</v>
      </c>
    </row>
    <row r="30" spans="1:13" s="190" customFormat="1" x14ac:dyDescent="0.35">
      <c r="A30" s="205">
        <v>43360</v>
      </c>
      <c r="B30" s="206" t="s">
        <v>532</v>
      </c>
      <c r="C30" s="203"/>
      <c r="D30" s="203">
        <v>100</v>
      </c>
      <c r="E30" s="217">
        <f t="shared" si="0"/>
        <v>271483</v>
      </c>
      <c r="F30" s="217"/>
      <c r="G30" s="217">
        <f t="shared" si="1"/>
        <v>0.17457335557328305</v>
      </c>
      <c r="H30" s="217"/>
      <c r="I30" s="217">
        <f t="shared" si="2"/>
        <v>17.457335557328303</v>
      </c>
      <c r="J30" s="218">
        <f t="shared" si="3"/>
        <v>47393.698291101602</v>
      </c>
      <c r="K30" s="204"/>
      <c r="L30" s="204"/>
      <c r="M30" s="204"/>
    </row>
    <row r="31" spans="1:13" s="190" customFormat="1" x14ac:dyDescent="0.35">
      <c r="A31" s="205">
        <v>43363</v>
      </c>
      <c r="B31" s="206" t="s">
        <v>539</v>
      </c>
      <c r="C31" s="203"/>
      <c r="D31" s="203">
        <v>50</v>
      </c>
      <c r="E31" s="217">
        <f t="shared" si="0"/>
        <v>271433</v>
      </c>
      <c r="F31" s="217"/>
      <c r="G31" s="217">
        <f t="shared" si="1"/>
        <v>0.17457335557328305</v>
      </c>
      <c r="H31" s="217"/>
      <c r="I31" s="217">
        <f t="shared" si="2"/>
        <v>8.7286677786641516</v>
      </c>
      <c r="J31" s="218">
        <f t="shared" si="3"/>
        <v>47384.969623322941</v>
      </c>
      <c r="K31" s="204"/>
      <c r="L31" s="204"/>
      <c r="M31" s="204"/>
    </row>
    <row r="32" spans="1:13" s="190" customFormat="1" x14ac:dyDescent="0.35">
      <c r="A32" s="205">
        <v>43364</v>
      </c>
      <c r="B32" s="206" t="s">
        <v>540</v>
      </c>
      <c r="C32" s="203"/>
      <c r="D32" s="203">
        <v>250</v>
      </c>
      <c r="E32" s="217">
        <f t="shared" si="0"/>
        <v>271183</v>
      </c>
      <c r="F32" s="217"/>
      <c r="G32" s="217">
        <f t="shared" si="1"/>
        <v>0.17457335557328305</v>
      </c>
      <c r="H32" s="217"/>
      <c r="I32" s="217">
        <f t="shared" si="2"/>
        <v>43.64333889332076</v>
      </c>
      <c r="J32" s="218">
        <f t="shared" si="3"/>
        <v>47341.326284429619</v>
      </c>
      <c r="K32" s="204"/>
      <c r="L32" s="204"/>
      <c r="M32" s="204"/>
    </row>
    <row r="33" spans="1:13" s="190" customFormat="1" x14ac:dyDescent="0.35">
      <c r="A33" s="205">
        <v>43370</v>
      </c>
      <c r="B33" s="206" t="s">
        <v>548</v>
      </c>
      <c r="C33" s="203"/>
      <c r="D33" s="203">
        <v>200</v>
      </c>
      <c r="E33" s="217">
        <f t="shared" si="0"/>
        <v>270983</v>
      </c>
      <c r="F33" s="217"/>
      <c r="G33" s="217">
        <f t="shared" si="1"/>
        <v>0.17457335557328305</v>
      </c>
      <c r="H33" s="217"/>
      <c r="I33" s="217">
        <f t="shared" si="2"/>
        <v>34.914671114656606</v>
      </c>
      <c r="J33" s="218">
        <f t="shared" si="3"/>
        <v>47306.411613314966</v>
      </c>
      <c r="K33" s="204"/>
      <c r="L33" s="204"/>
      <c r="M33" s="204"/>
    </row>
    <row r="34" spans="1:13" s="225" customFormat="1" x14ac:dyDescent="0.35">
      <c r="A34" s="238">
        <v>43370</v>
      </c>
      <c r="B34" s="231" t="s">
        <v>550</v>
      </c>
      <c r="C34" s="239"/>
      <c r="D34" s="239">
        <v>30</v>
      </c>
      <c r="E34" s="239">
        <f t="shared" si="0"/>
        <v>270953</v>
      </c>
      <c r="F34" s="239"/>
      <c r="G34" s="239">
        <f t="shared" si="1"/>
        <v>0.17457335557328307</v>
      </c>
      <c r="H34" s="239"/>
      <c r="I34" s="239">
        <f t="shared" si="2"/>
        <v>5.2372006671984925</v>
      </c>
      <c r="J34" s="240">
        <f t="shared" si="3"/>
        <v>47301.174412647764</v>
      </c>
      <c r="K34" s="235">
        <f>SUM(I30:I34)</f>
        <v>109.9812140111683</v>
      </c>
      <c r="L34" s="235">
        <f>SUM(K34)</f>
        <v>109.9812140111683</v>
      </c>
      <c r="M34" s="27">
        <v>43373</v>
      </c>
    </row>
    <row r="35" spans="1:13" s="190" customFormat="1" x14ac:dyDescent="0.35">
      <c r="A35" s="205">
        <v>43379</v>
      </c>
      <c r="B35" s="206" t="s">
        <v>566</v>
      </c>
      <c r="C35" s="203"/>
      <c r="D35" s="203">
        <v>100</v>
      </c>
      <c r="E35" s="217">
        <f t="shared" si="0"/>
        <v>270853</v>
      </c>
      <c r="F35" s="217"/>
      <c r="G35" s="217">
        <f t="shared" si="1"/>
        <v>0.17457335557328305</v>
      </c>
      <c r="H35" s="217"/>
      <c r="I35" s="217">
        <f t="shared" si="2"/>
        <v>17.457335557328303</v>
      </c>
      <c r="J35" s="218">
        <f t="shared" si="3"/>
        <v>47283.717077090434</v>
      </c>
      <c r="K35" s="204"/>
      <c r="L35" s="204"/>
      <c r="M35" s="204"/>
    </row>
    <row r="36" spans="1:13" s="190" customFormat="1" x14ac:dyDescent="0.35">
      <c r="A36" s="205">
        <v>43382</v>
      </c>
      <c r="B36" s="206" t="s">
        <v>567</v>
      </c>
      <c r="C36" s="203"/>
      <c r="D36" s="203">
        <v>50</v>
      </c>
      <c r="E36" s="217">
        <f t="shared" si="0"/>
        <v>270803</v>
      </c>
      <c r="F36" s="217"/>
      <c r="G36" s="217">
        <f t="shared" si="1"/>
        <v>0.17457335557328305</v>
      </c>
      <c r="H36" s="217"/>
      <c r="I36" s="217">
        <f t="shared" si="2"/>
        <v>8.7286677786641516</v>
      </c>
      <c r="J36" s="218">
        <f t="shared" si="3"/>
        <v>47274.988409311773</v>
      </c>
      <c r="K36" s="204"/>
      <c r="L36" s="204"/>
      <c r="M36" s="204"/>
    </row>
    <row r="37" spans="1:13" s="190" customFormat="1" x14ac:dyDescent="0.35">
      <c r="A37" s="205">
        <v>43382</v>
      </c>
      <c r="B37" s="206" t="s">
        <v>569</v>
      </c>
      <c r="C37" s="203"/>
      <c r="D37" s="203">
        <v>50</v>
      </c>
      <c r="E37" s="217">
        <f t="shared" si="0"/>
        <v>270753</v>
      </c>
      <c r="F37" s="217"/>
      <c r="G37" s="217">
        <f t="shared" si="1"/>
        <v>0.17457335557328307</v>
      </c>
      <c r="H37" s="217"/>
      <c r="I37" s="217">
        <f t="shared" si="2"/>
        <v>8.7286677786641533</v>
      </c>
      <c r="J37" s="218">
        <f t="shared" si="3"/>
        <v>47266.259741533111</v>
      </c>
      <c r="K37" s="204"/>
      <c r="L37" s="204"/>
      <c r="M37" s="204"/>
    </row>
    <row r="38" spans="1:13" s="225" customFormat="1" x14ac:dyDescent="0.35">
      <c r="A38" s="238">
        <v>43382</v>
      </c>
      <c r="B38" s="231" t="s">
        <v>572</v>
      </c>
      <c r="C38" s="239"/>
      <c r="D38" s="239">
        <v>150</v>
      </c>
      <c r="E38" s="239">
        <f t="shared" si="0"/>
        <v>270603</v>
      </c>
      <c r="F38" s="239"/>
      <c r="G38" s="239">
        <f t="shared" si="1"/>
        <v>0.17457335557328307</v>
      </c>
      <c r="H38" s="239"/>
      <c r="I38" s="239">
        <f t="shared" si="2"/>
        <v>26.18600333599246</v>
      </c>
      <c r="J38" s="240">
        <f t="shared" si="3"/>
        <v>47240.073738197119</v>
      </c>
      <c r="K38" s="235">
        <f>SUM(I35:I38)</f>
        <v>61.100674450649066</v>
      </c>
      <c r="L38" s="227"/>
      <c r="M38" s="27">
        <v>43388</v>
      </c>
    </row>
    <row r="39" spans="1:13" s="190" customFormat="1" x14ac:dyDescent="0.35">
      <c r="A39" s="205">
        <v>43390</v>
      </c>
      <c r="B39" s="206" t="s">
        <v>596</v>
      </c>
      <c r="C39" s="203"/>
      <c r="D39" s="203">
        <v>200</v>
      </c>
      <c r="E39" s="217">
        <f t="shared" si="0"/>
        <v>270403</v>
      </c>
      <c r="F39" s="217"/>
      <c r="G39" s="217">
        <f t="shared" si="1"/>
        <v>0.17457335557328307</v>
      </c>
      <c r="H39" s="217"/>
      <c r="I39" s="217">
        <f t="shared" si="2"/>
        <v>34.914671114656613</v>
      </c>
      <c r="J39" s="218">
        <f t="shared" si="3"/>
        <v>47205.159067082466</v>
      </c>
      <c r="K39" s="204"/>
      <c r="L39" s="204"/>
      <c r="M39" s="204"/>
    </row>
    <row r="40" spans="1:13" s="190" customFormat="1" x14ac:dyDescent="0.35">
      <c r="A40" s="205">
        <v>43399</v>
      </c>
      <c r="B40" s="206" t="s">
        <v>612</v>
      </c>
      <c r="C40" s="203"/>
      <c r="D40" s="203">
        <v>10</v>
      </c>
      <c r="E40" s="217">
        <f t="shared" si="0"/>
        <v>270393</v>
      </c>
      <c r="F40" s="217"/>
      <c r="G40" s="217">
        <f t="shared" si="1"/>
        <v>0.17457335557328307</v>
      </c>
      <c r="H40" s="217"/>
      <c r="I40" s="217">
        <f t="shared" si="2"/>
        <v>1.7457335557328308</v>
      </c>
      <c r="J40" s="218">
        <f t="shared" si="3"/>
        <v>47203.413333526732</v>
      </c>
      <c r="K40" s="204"/>
      <c r="L40" s="204"/>
      <c r="M40" s="204"/>
    </row>
    <row r="41" spans="1:13" s="190" customFormat="1" x14ac:dyDescent="0.35">
      <c r="A41" s="205">
        <v>43400</v>
      </c>
      <c r="B41" s="206" t="s">
        <v>621</v>
      </c>
      <c r="C41" s="203"/>
      <c r="D41" s="203">
        <v>6</v>
      </c>
      <c r="E41" s="217">
        <f t="shared" si="0"/>
        <v>270387</v>
      </c>
      <c r="F41" s="217"/>
      <c r="G41" s="217">
        <f t="shared" si="1"/>
        <v>0.17457335557328307</v>
      </c>
      <c r="H41" s="217"/>
      <c r="I41" s="217">
        <f t="shared" si="2"/>
        <v>1.0474401334396983</v>
      </c>
      <c r="J41" s="218">
        <f t="shared" si="3"/>
        <v>47202.365893393289</v>
      </c>
      <c r="K41" s="204"/>
      <c r="L41" s="204"/>
      <c r="M41" s="204"/>
    </row>
    <row r="42" spans="1:13" s="225" customFormat="1" x14ac:dyDescent="0.35">
      <c r="A42" s="238">
        <v>43400</v>
      </c>
      <c r="B42" s="231" t="s">
        <v>627</v>
      </c>
      <c r="C42" s="239"/>
      <c r="D42" s="239">
        <v>200</v>
      </c>
      <c r="E42" s="239">
        <f t="shared" si="0"/>
        <v>270187</v>
      </c>
      <c r="F42" s="239"/>
      <c r="G42" s="239">
        <f t="shared" si="1"/>
        <v>0.17457335557328307</v>
      </c>
      <c r="H42" s="239"/>
      <c r="I42" s="239">
        <f t="shared" si="2"/>
        <v>34.914671114656613</v>
      </c>
      <c r="J42" s="240">
        <f t="shared" si="3"/>
        <v>47167.451222278636</v>
      </c>
      <c r="K42" s="235">
        <f>SUM(I39:I42)</f>
        <v>72.62251591848576</v>
      </c>
      <c r="L42" s="235">
        <f>SUM(K38:K42)</f>
        <v>133.72319036913484</v>
      </c>
      <c r="M42" s="27">
        <v>43404</v>
      </c>
    </row>
    <row r="43" spans="1:13" s="225" customFormat="1" x14ac:dyDescent="0.35">
      <c r="A43" s="238">
        <v>43414</v>
      </c>
      <c r="B43" s="231" t="s">
        <v>664</v>
      </c>
      <c r="C43" s="239"/>
      <c r="D43" s="239">
        <v>50</v>
      </c>
      <c r="E43" s="239">
        <f t="shared" si="0"/>
        <v>270137</v>
      </c>
      <c r="F43" s="239"/>
      <c r="G43" s="239">
        <f t="shared" si="1"/>
        <v>0.17457335557328307</v>
      </c>
      <c r="H43" s="239"/>
      <c r="I43" s="239">
        <f t="shared" si="2"/>
        <v>8.7286677786641533</v>
      </c>
      <c r="J43" s="240">
        <f t="shared" si="3"/>
        <v>47158.722554499975</v>
      </c>
      <c r="K43" s="235">
        <f>SUM(I43)</f>
        <v>8.7286677786641533</v>
      </c>
      <c r="L43" s="227"/>
      <c r="M43" s="27">
        <v>43419</v>
      </c>
    </row>
    <row r="44" spans="1:13" s="190" customFormat="1" x14ac:dyDescent="0.35">
      <c r="A44" s="205">
        <v>43427</v>
      </c>
      <c r="B44" s="206" t="s">
        <v>693</v>
      </c>
      <c r="C44" s="203"/>
      <c r="D44" s="203">
        <v>200</v>
      </c>
      <c r="E44" s="217">
        <f t="shared" si="0"/>
        <v>269937</v>
      </c>
      <c r="F44" s="217"/>
      <c r="G44" s="217">
        <f t="shared" si="1"/>
        <v>0.1745733555732831</v>
      </c>
      <c r="H44" s="217"/>
      <c r="I44" s="217">
        <f t="shared" si="2"/>
        <v>34.91467111465662</v>
      </c>
      <c r="J44" s="218">
        <f t="shared" si="3"/>
        <v>47123.807883385321</v>
      </c>
      <c r="K44" s="204"/>
      <c r="L44" s="204"/>
      <c r="M44" s="204"/>
    </row>
    <row r="45" spans="1:13" s="225" customFormat="1" x14ac:dyDescent="0.35">
      <c r="A45" s="238">
        <v>43428</v>
      </c>
      <c r="B45" s="231" t="s">
        <v>696</v>
      </c>
      <c r="C45" s="239"/>
      <c r="D45" s="239">
        <v>100</v>
      </c>
      <c r="E45" s="239">
        <f t="shared" ref="E45:E52" si="8">+E44-D45</f>
        <v>269837</v>
      </c>
      <c r="F45" s="239"/>
      <c r="G45" s="239">
        <f t="shared" ref="G45:G52" si="9">+J44/E44</f>
        <v>0.1745733555732831</v>
      </c>
      <c r="H45" s="239"/>
      <c r="I45" s="239">
        <f t="shared" ref="I45:I52" si="10">+D45*G45</f>
        <v>17.45733555732831</v>
      </c>
      <c r="J45" s="240">
        <f t="shared" ref="J45:J52" si="11">+J44-I45</f>
        <v>47106.350547827991</v>
      </c>
      <c r="K45" s="235">
        <f>SUM(I44:I45)</f>
        <v>52.372006671984934</v>
      </c>
      <c r="L45" s="235">
        <f>SUM(K43:K45)</f>
        <v>61.100674450649088</v>
      </c>
      <c r="M45" s="27">
        <v>43434</v>
      </c>
    </row>
    <row r="46" spans="1:13" s="190" customFormat="1" x14ac:dyDescent="0.35">
      <c r="A46" s="205">
        <v>43439</v>
      </c>
      <c r="B46" s="206" t="s">
        <v>717</v>
      </c>
      <c r="C46" s="203"/>
      <c r="D46" s="203">
        <v>100</v>
      </c>
      <c r="E46" s="217">
        <f t="shared" si="8"/>
        <v>269737</v>
      </c>
      <c r="F46" s="217"/>
      <c r="G46" s="217">
        <f t="shared" si="9"/>
        <v>0.1745733555732831</v>
      </c>
      <c r="H46" s="217"/>
      <c r="I46" s="217">
        <f t="shared" si="10"/>
        <v>17.45733555732831</v>
      </c>
      <c r="J46" s="218">
        <f t="shared" si="11"/>
        <v>47088.893212270661</v>
      </c>
      <c r="K46" s="204"/>
      <c r="L46" s="204"/>
      <c r="M46" s="204"/>
    </row>
    <row r="47" spans="1:13" s="190" customFormat="1" x14ac:dyDescent="0.35">
      <c r="A47" s="205">
        <v>43445</v>
      </c>
      <c r="B47" s="206" t="s">
        <v>730</v>
      </c>
      <c r="C47" s="203"/>
      <c r="D47" s="203">
        <v>50</v>
      </c>
      <c r="E47" s="217">
        <f t="shared" si="8"/>
        <v>269687</v>
      </c>
      <c r="F47" s="217"/>
      <c r="G47" s="217">
        <f t="shared" si="9"/>
        <v>0.1745733555732831</v>
      </c>
      <c r="H47" s="217"/>
      <c r="I47" s="217">
        <f t="shared" si="10"/>
        <v>8.7286677786641551</v>
      </c>
      <c r="J47" s="218">
        <f t="shared" si="11"/>
        <v>47080.164544492</v>
      </c>
      <c r="K47" s="204"/>
      <c r="L47" s="204"/>
      <c r="M47" s="204"/>
    </row>
    <row r="48" spans="1:13" s="225" customFormat="1" x14ac:dyDescent="0.35">
      <c r="A48" s="238">
        <v>43446</v>
      </c>
      <c r="B48" s="231" t="s">
        <v>733</v>
      </c>
      <c r="C48" s="239"/>
      <c r="D48" s="239">
        <v>70</v>
      </c>
      <c r="E48" s="239">
        <f t="shared" si="8"/>
        <v>269617</v>
      </c>
      <c r="F48" s="239"/>
      <c r="G48" s="239">
        <f t="shared" si="9"/>
        <v>0.1745733555732831</v>
      </c>
      <c r="H48" s="239"/>
      <c r="I48" s="239">
        <f t="shared" si="10"/>
        <v>12.220134890129817</v>
      </c>
      <c r="J48" s="240">
        <f t="shared" si="11"/>
        <v>47067.944409601871</v>
      </c>
      <c r="K48" s="235">
        <f>SUM(I46:I48)</f>
        <v>38.40613822612228</v>
      </c>
      <c r="L48" s="227"/>
      <c r="M48" s="27">
        <v>43449</v>
      </c>
    </row>
    <row r="49" spans="1:13" s="190" customFormat="1" x14ac:dyDescent="0.35">
      <c r="A49" s="205">
        <v>43452</v>
      </c>
      <c r="B49" s="206" t="s">
        <v>750</v>
      </c>
      <c r="C49" s="203"/>
      <c r="D49" s="203">
        <v>250</v>
      </c>
      <c r="E49" s="217">
        <f t="shared" si="8"/>
        <v>269367</v>
      </c>
      <c r="F49" s="217"/>
      <c r="G49" s="217">
        <f t="shared" si="9"/>
        <v>0.1745733555732831</v>
      </c>
      <c r="H49" s="217"/>
      <c r="I49" s="217">
        <f t="shared" si="10"/>
        <v>43.643338893320774</v>
      </c>
      <c r="J49" s="218">
        <f t="shared" si="11"/>
        <v>47024.301070708549</v>
      </c>
      <c r="K49" s="204"/>
      <c r="L49" s="204"/>
      <c r="M49" s="204"/>
    </row>
    <row r="50" spans="1:13" s="190" customFormat="1" x14ac:dyDescent="0.35">
      <c r="A50" s="205">
        <v>43452</v>
      </c>
      <c r="B50" s="206" t="s">
        <v>752</v>
      </c>
      <c r="C50" s="203"/>
      <c r="D50" s="203">
        <v>550</v>
      </c>
      <c r="E50" s="217">
        <f t="shared" si="8"/>
        <v>268817</v>
      </c>
      <c r="F50" s="217"/>
      <c r="G50" s="217">
        <f t="shared" si="9"/>
        <v>0.1745733555732831</v>
      </c>
      <c r="H50" s="217"/>
      <c r="I50" s="217">
        <f t="shared" si="10"/>
        <v>96.015345565305708</v>
      </c>
      <c r="J50" s="218">
        <f t="shared" si="11"/>
        <v>46928.285725143243</v>
      </c>
      <c r="K50" s="204"/>
      <c r="L50" s="204"/>
      <c r="M50" s="204"/>
    </row>
    <row r="51" spans="1:13" s="190" customFormat="1" x14ac:dyDescent="0.35">
      <c r="A51" s="205">
        <v>43453</v>
      </c>
      <c r="B51" s="206" t="s">
        <v>759</v>
      </c>
      <c r="C51" s="203"/>
      <c r="D51" s="203">
        <v>200</v>
      </c>
      <c r="E51" s="217">
        <f t="shared" si="8"/>
        <v>268617</v>
      </c>
      <c r="F51" s="217"/>
      <c r="G51" s="217">
        <f t="shared" si="9"/>
        <v>0.1745733555732831</v>
      </c>
      <c r="H51" s="217"/>
      <c r="I51" s="217">
        <f t="shared" si="10"/>
        <v>34.91467111465662</v>
      </c>
      <c r="J51" s="218">
        <f t="shared" si="11"/>
        <v>46893.37105402859</v>
      </c>
      <c r="K51" s="204"/>
      <c r="L51" s="204"/>
      <c r="M51" s="204"/>
    </row>
    <row r="52" spans="1:13" s="225" customFormat="1" x14ac:dyDescent="0.35">
      <c r="A52" s="238">
        <v>43456</v>
      </c>
      <c r="B52" s="231" t="s">
        <v>775</v>
      </c>
      <c r="C52" s="239"/>
      <c r="D52" s="239">
        <v>150</v>
      </c>
      <c r="E52" s="239">
        <f t="shared" si="8"/>
        <v>268467</v>
      </c>
      <c r="F52" s="239"/>
      <c r="G52" s="239">
        <f t="shared" si="9"/>
        <v>0.1745733555732831</v>
      </c>
      <c r="H52" s="239"/>
      <c r="I52" s="239">
        <f t="shared" si="10"/>
        <v>26.186003335992464</v>
      </c>
      <c r="J52" s="240">
        <f t="shared" si="11"/>
        <v>46867.185050692598</v>
      </c>
      <c r="K52" s="235">
        <f>SUM(I49:I52)</f>
        <v>200.75935890927556</v>
      </c>
      <c r="L52" s="323">
        <f>SUM(K48:K52)</f>
        <v>239.16549713539786</v>
      </c>
      <c r="M52" s="27">
        <v>43465</v>
      </c>
    </row>
    <row r="53" spans="1:13" ht="15" thickBot="1" x14ac:dyDescent="0.4">
      <c r="A53" s="206"/>
      <c r="B53" s="206" t="s">
        <v>135</v>
      </c>
      <c r="C53" s="203">
        <f>SUM(C9:C52)</f>
        <v>275780</v>
      </c>
      <c r="D53" s="203">
        <f>SUM(D9:D52)</f>
        <v>7313</v>
      </c>
      <c r="E53" s="206"/>
      <c r="F53" s="206"/>
      <c r="G53" s="206"/>
      <c r="H53" s="203">
        <f>SUM(H9:H52)</f>
        <v>48143.839999999997</v>
      </c>
      <c r="I53" s="203">
        <f>SUM(I9:I52)</f>
        <v>1276.6549493074197</v>
      </c>
      <c r="J53" s="206"/>
      <c r="K53" s="204"/>
      <c r="L53" s="324">
        <f>SUM(L11:L52)</f>
        <v>1276.654949307419</v>
      </c>
      <c r="M53" s="275"/>
    </row>
    <row r="54" spans="1:13" ht="15" thickTop="1" x14ac:dyDescent="0.35">
      <c r="M54" s="251"/>
    </row>
    <row r="56" spans="1:13" x14ac:dyDescent="0.35">
      <c r="A56" s="309" t="s">
        <v>230</v>
      </c>
      <c r="B56" s="201"/>
      <c r="C56" s="200"/>
      <c r="D56" s="200"/>
      <c r="E56" s="200"/>
      <c r="F56" s="200"/>
      <c r="G56" s="204"/>
      <c r="H56" s="204"/>
      <c r="I56" s="204"/>
      <c r="J56" s="204"/>
    </row>
    <row r="57" spans="1:13" x14ac:dyDescent="0.35">
      <c r="A57" s="309" t="s">
        <v>233</v>
      </c>
      <c r="B57" s="201"/>
      <c r="C57" s="200"/>
      <c r="D57" s="200"/>
      <c r="E57" s="200"/>
      <c r="F57" s="200"/>
      <c r="G57" s="204"/>
      <c r="H57" s="204"/>
      <c r="I57" s="204"/>
      <c r="J57" s="245">
        <f>+E52*F9</f>
        <v>46867.185050692577</v>
      </c>
    </row>
    <row r="58" spans="1:13" x14ac:dyDescent="0.35">
      <c r="A58" s="309" t="s">
        <v>231</v>
      </c>
      <c r="B58" s="201"/>
      <c r="C58" s="200"/>
      <c r="D58" s="200"/>
      <c r="E58" s="200"/>
      <c r="F58" s="200"/>
      <c r="G58" s="204"/>
      <c r="H58" s="204"/>
      <c r="I58" s="204"/>
      <c r="J58" s="310">
        <f>+J52</f>
        <v>46867.185050692598</v>
      </c>
    </row>
    <row r="59" spans="1:13" ht="15" thickBot="1" x14ac:dyDescent="0.4">
      <c r="A59" s="309"/>
      <c r="B59" s="201" t="s">
        <v>232</v>
      </c>
      <c r="C59" s="200"/>
      <c r="D59" s="200"/>
      <c r="E59" s="200"/>
      <c r="F59" s="200"/>
      <c r="G59" s="204"/>
      <c r="H59" s="204"/>
      <c r="I59" s="204"/>
      <c r="J59" s="311">
        <f>+J57-J58</f>
        <v>0</v>
      </c>
    </row>
    <row r="60" spans="1:13" ht="15" thickTop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9"/>
  <sheetViews>
    <sheetView workbookViewId="0">
      <selection activeCell="A2" sqref="A2"/>
    </sheetView>
  </sheetViews>
  <sheetFormatPr baseColWidth="10" defaultColWidth="11.453125" defaultRowHeight="14.5" x14ac:dyDescent="0.35"/>
  <cols>
    <col min="1" max="1" width="11.453125" style="190"/>
    <col min="2" max="2" width="49.453125" style="190" customWidth="1"/>
    <col min="3" max="16384" width="11.453125" style="190"/>
  </cols>
  <sheetData>
    <row r="1" spans="1:10" x14ac:dyDescent="0.35">
      <c r="A1" s="191" t="s">
        <v>0</v>
      </c>
      <c r="B1" s="192"/>
      <c r="C1" s="117"/>
      <c r="D1" s="117"/>
      <c r="E1" s="117"/>
      <c r="F1" s="117"/>
      <c r="G1" s="117"/>
      <c r="H1" s="118" t="s">
        <v>1</v>
      </c>
      <c r="I1" s="117"/>
      <c r="J1" s="284"/>
    </row>
    <row r="2" spans="1:10" x14ac:dyDescent="0.35">
      <c r="A2" s="193" t="s">
        <v>2</v>
      </c>
      <c r="B2" s="194"/>
      <c r="C2" s="120"/>
      <c r="D2" s="120"/>
      <c r="E2" s="120"/>
      <c r="F2" s="120"/>
      <c r="G2" s="120"/>
      <c r="H2" s="121" t="s">
        <v>229</v>
      </c>
      <c r="I2" s="120"/>
      <c r="J2" s="278"/>
    </row>
    <row r="3" spans="1:10" x14ac:dyDescent="0.35">
      <c r="A3" s="195" t="s">
        <v>3</v>
      </c>
      <c r="B3" s="196"/>
      <c r="C3" s="120"/>
      <c r="D3" s="120"/>
      <c r="E3" s="120"/>
      <c r="F3" s="120"/>
      <c r="G3" s="120"/>
      <c r="H3" s="121" t="s">
        <v>27</v>
      </c>
      <c r="I3" s="120"/>
      <c r="J3" s="278"/>
    </row>
    <row r="4" spans="1:10" ht="18" x14ac:dyDescent="0.4">
      <c r="A4" s="123"/>
      <c r="B4" s="120"/>
      <c r="C4" s="120"/>
      <c r="D4" s="356" t="s">
        <v>5</v>
      </c>
      <c r="E4" s="356"/>
      <c r="F4" s="356"/>
      <c r="G4" s="356"/>
      <c r="H4" s="356"/>
      <c r="I4" s="120"/>
      <c r="J4" s="278"/>
    </row>
    <row r="5" spans="1:10" x14ac:dyDescent="0.35">
      <c r="A5" s="123"/>
      <c r="B5" s="285"/>
      <c r="C5" s="120"/>
      <c r="D5" s="121" t="s">
        <v>30</v>
      </c>
      <c r="E5" s="285"/>
      <c r="F5" s="285"/>
      <c r="G5" s="120"/>
      <c r="H5" s="120"/>
      <c r="I5" s="120"/>
      <c r="J5" s="278"/>
    </row>
    <row r="6" spans="1:10" x14ac:dyDescent="0.35">
      <c r="A6" s="123"/>
      <c r="B6" s="285"/>
      <c r="C6" s="120"/>
      <c r="D6" s="120" t="s">
        <v>6</v>
      </c>
      <c r="E6" s="285"/>
      <c r="F6" s="285"/>
      <c r="G6" s="120"/>
      <c r="H6" s="120"/>
      <c r="I6" s="120"/>
      <c r="J6" s="278"/>
    </row>
    <row r="7" spans="1:10" x14ac:dyDescent="0.35">
      <c r="A7" s="123"/>
      <c r="B7" s="120"/>
      <c r="C7" s="120"/>
      <c r="D7" s="120"/>
      <c r="E7" s="120"/>
      <c r="F7" s="120"/>
      <c r="G7" s="120"/>
      <c r="H7" s="120"/>
      <c r="I7" s="120"/>
      <c r="J7" s="278"/>
    </row>
    <row r="8" spans="1:10" x14ac:dyDescent="0.35">
      <c r="A8" s="123"/>
      <c r="B8" s="120"/>
      <c r="C8" s="120"/>
      <c r="D8" s="120"/>
      <c r="E8" s="120"/>
      <c r="F8" s="120"/>
      <c r="G8" s="120"/>
      <c r="H8" s="120"/>
      <c r="I8" s="120"/>
      <c r="J8" s="278"/>
    </row>
    <row r="9" spans="1:10" x14ac:dyDescent="0.35">
      <c r="A9" s="286" t="s">
        <v>7</v>
      </c>
      <c r="B9" s="287" t="s">
        <v>8</v>
      </c>
      <c r="C9" s="357" t="s">
        <v>9</v>
      </c>
      <c r="D9" s="358"/>
      <c r="E9" s="359"/>
      <c r="F9" s="360" t="s">
        <v>10</v>
      </c>
      <c r="G9" s="361"/>
      <c r="H9" s="357" t="s">
        <v>11</v>
      </c>
      <c r="I9" s="358"/>
      <c r="J9" s="362"/>
    </row>
    <row r="10" spans="1:10" x14ac:dyDescent="0.35">
      <c r="A10" s="288"/>
      <c r="B10" s="289"/>
      <c r="C10" s="290" t="s">
        <v>28</v>
      </c>
      <c r="D10" s="291" t="s">
        <v>14</v>
      </c>
      <c r="E10" s="292" t="s">
        <v>20</v>
      </c>
      <c r="F10" s="291" t="s">
        <v>16</v>
      </c>
      <c r="G10" s="291" t="s">
        <v>17</v>
      </c>
      <c r="H10" s="290" t="s">
        <v>18</v>
      </c>
      <c r="I10" s="291" t="s">
        <v>19</v>
      </c>
      <c r="J10" s="293" t="s">
        <v>20</v>
      </c>
    </row>
    <row r="11" spans="1:10" x14ac:dyDescent="0.35">
      <c r="A11" s="294">
        <v>43102</v>
      </c>
      <c r="B11" s="189" t="s">
        <v>32</v>
      </c>
      <c r="C11" s="261">
        <v>416528</v>
      </c>
      <c r="D11" s="261"/>
      <c r="E11" s="261">
        <f>+C11</f>
        <v>416528</v>
      </c>
      <c r="F11" s="261">
        <f>+H11/C11</f>
        <v>5.0348235892905158E-2</v>
      </c>
      <c r="G11" s="295"/>
      <c r="H11" s="296">
        <v>20971.45</v>
      </c>
      <c r="I11" s="261"/>
      <c r="J11" s="297">
        <f>+H11</f>
        <v>20971.45</v>
      </c>
    </row>
    <row r="12" spans="1:10" x14ac:dyDescent="0.35">
      <c r="A12" s="298"/>
      <c r="B12" s="299"/>
      <c r="C12" s="300"/>
      <c r="D12" s="300"/>
      <c r="E12" s="300"/>
      <c r="F12" s="300"/>
      <c r="G12" s="300"/>
      <c r="H12" s="300"/>
      <c r="I12" s="300"/>
      <c r="J12" s="301"/>
    </row>
    <row r="13" spans="1:10" ht="15" thickBot="1" x14ac:dyDescent="0.4">
      <c r="A13" s="302"/>
      <c r="B13" s="303"/>
      <c r="C13" s="304"/>
      <c r="D13" s="304"/>
      <c r="E13" s="304"/>
      <c r="F13" s="304"/>
      <c r="G13" s="304"/>
      <c r="H13" s="304"/>
      <c r="I13" s="304"/>
      <c r="J13" s="305"/>
    </row>
    <row r="14" spans="1:10" s="120" customFormat="1" x14ac:dyDescent="0.35">
      <c r="A14" s="306"/>
      <c r="B14" s="307"/>
      <c r="C14" s="308"/>
      <c r="D14" s="308"/>
      <c r="E14" s="308"/>
      <c r="F14" s="308"/>
      <c r="G14" s="308"/>
      <c r="H14" s="308"/>
      <c r="I14" s="308"/>
      <c r="J14" s="308"/>
    </row>
    <row r="15" spans="1:10" s="120" customFormat="1" x14ac:dyDescent="0.35">
      <c r="A15" s="306"/>
      <c r="B15" s="307"/>
      <c r="C15" s="308"/>
      <c r="D15" s="308"/>
      <c r="E15" s="308"/>
      <c r="F15" s="308"/>
      <c r="G15" s="308"/>
      <c r="H15" s="308"/>
      <c r="I15" s="308"/>
      <c r="J15" s="308"/>
    </row>
    <row r="16" spans="1:10" s="120" customFormat="1" x14ac:dyDescent="0.35">
      <c r="A16" s="309" t="s">
        <v>230</v>
      </c>
      <c r="B16" s="201"/>
      <c r="C16" s="200"/>
      <c r="D16" s="200"/>
      <c r="E16" s="200"/>
      <c r="F16" s="200"/>
      <c r="G16" s="204"/>
      <c r="H16" s="204"/>
      <c r="I16" s="204"/>
      <c r="J16" s="204"/>
    </row>
    <row r="17" spans="1:10" s="120" customFormat="1" x14ac:dyDescent="0.35">
      <c r="A17" s="309" t="s">
        <v>233</v>
      </c>
      <c r="B17" s="201"/>
      <c r="C17" s="200"/>
      <c r="D17" s="200"/>
      <c r="E17" s="200"/>
      <c r="F17" s="200"/>
      <c r="G17" s="204"/>
      <c r="H17" s="204"/>
      <c r="I17" s="204"/>
      <c r="J17" s="245">
        <f>+J11</f>
        <v>20971.45</v>
      </c>
    </row>
    <row r="18" spans="1:10" s="120" customFormat="1" x14ac:dyDescent="0.35">
      <c r="A18" s="309" t="s">
        <v>231</v>
      </c>
      <c r="B18" s="201"/>
      <c r="C18" s="200"/>
      <c r="D18" s="200"/>
      <c r="E18" s="200"/>
      <c r="F18" s="200"/>
      <c r="G18" s="204"/>
      <c r="H18" s="204"/>
      <c r="I18" s="204"/>
      <c r="J18" s="310">
        <f>+J11</f>
        <v>20971.45</v>
      </c>
    </row>
    <row r="19" spans="1:10" s="120" customFormat="1" ht="15" thickBot="1" x14ac:dyDescent="0.4">
      <c r="A19" s="309"/>
      <c r="B19" s="201" t="s">
        <v>232</v>
      </c>
      <c r="C19" s="200"/>
      <c r="D19" s="200"/>
      <c r="E19" s="200"/>
      <c r="F19" s="200"/>
      <c r="G19" s="204"/>
      <c r="H19" s="204"/>
      <c r="I19" s="204"/>
      <c r="J19" s="311">
        <f>+J17-J18</f>
        <v>0</v>
      </c>
    </row>
    <row r="20" spans="1:10" s="120" customFormat="1" ht="15" thickTop="1" x14ac:dyDescent="0.35">
      <c r="A20" s="204"/>
      <c r="B20" s="204"/>
      <c r="C20" s="204"/>
      <c r="D20" s="204"/>
      <c r="E20" s="204"/>
      <c r="F20" s="204"/>
      <c r="G20" s="204"/>
      <c r="H20" s="204"/>
      <c r="I20" s="204"/>
      <c r="J20" s="204"/>
    </row>
    <row r="21" spans="1:10" s="120" customFormat="1" x14ac:dyDescent="0.35">
      <c r="A21" s="306"/>
      <c r="B21" s="307"/>
      <c r="C21" s="308"/>
      <c r="D21" s="308"/>
      <c r="E21" s="308"/>
      <c r="F21" s="308"/>
      <c r="G21" s="308"/>
      <c r="H21" s="308"/>
      <c r="I21" s="308"/>
      <c r="J21" s="308"/>
    </row>
    <row r="22" spans="1:10" s="120" customFormat="1" x14ac:dyDescent="0.35">
      <c r="A22" s="306"/>
      <c r="B22" s="307"/>
      <c r="C22" s="308"/>
      <c r="D22" s="308"/>
      <c r="E22" s="308"/>
      <c r="F22" s="308"/>
      <c r="G22" s="308"/>
      <c r="H22" s="308"/>
      <c r="I22" s="308"/>
      <c r="J22" s="308"/>
    </row>
    <row r="23" spans="1:10" s="120" customFormat="1" x14ac:dyDescent="0.35">
      <c r="A23" s="306"/>
      <c r="C23" s="308"/>
      <c r="D23" s="308"/>
      <c r="E23" s="308"/>
      <c r="F23" s="308"/>
      <c r="G23" s="308"/>
      <c r="H23" s="308"/>
      <c r="I23" s="308"/>
      <c r="J23" s="308"/>
    </row>
    <row r="24" spans="1:10" s="120" customFormat="1" x14ac:dyDescent="0.35">
      <c r="A24" s="306"/>
      <c r="C24" s="308"/>
      <c r="D24" s="308"/>
      <c r="E24" s="308"/>
      <c r="F24" s="308"/>
      <c r="G24" s="308"/>
      <c r="H24" s="308"/>
      <c r="I24" s="308"/>
      <c r="J24" s="308"/>
    </row>
    <row r="25" spans="1:10" s="120" customFormat="1" x14ac:dyDescent="0.35">
      <c r="A25" s="306"/>
      <c r="B25" s="307"/>
      <c r="C25" s="308"/>
      <c r="D25" s="308"/>
      <c r="E25" s="308"/>
      <c r="F25" s="308"/>
      <c r="G25" s="308"/>
      <c r="H25" s="308"/>
      <c r="I25" s="308"/>
      <c r="J25" s="308"/>
    </row>
    <row r="26" spans="1:10" s="120" customFormat="1" x14ac:dyDescent="0.35">
      <c r="A26" s="306"/>
      <c r="B26" s="307"/>
      <c r="C26" s="308"/>
      <c r="D26" s="308"/>
      <c r="E26" s="308"/>
      <c r="F26" s="308"/>
      <c r="G26" s="308"/>
      <c r="H26" s="308"/>
      <c r="I26" s="308"/>
      <c r="J26" s="308"/>
    </row>
    <row r="27" spans="1:10" s="120" customFormat="1" x14ac:dyDescent="0.35">
      <c r="A27" s="306"/>
      <c r="B27" s="307"/>
      <c r="C27" s="308"/>
      <c r="D27" s="308"/>
      <c r="E27" s="308"/>
      <c r="F27" s="308"/>
      <c r="G27" s="308"/>
      <c r="H27" s="308"/>
      <c r="I27" s="308"/>
      <c r="J27" s="308"/>
    </row>
    <row r="28" spans="1:10" s="120" customFormat="1" x14ac:dyDescent="0.35">
      <c r="A28" s="306"/>
      <c r="B28" s="307"/>
      <c r="C28" s="308"/>
      <c r="D28" s="308"/>
      <c r="E28" s="308"/>
      <c r="F28" s="308"/>
      <c r="G28" s="308"/>
      <c r="H28" s="308"/>
      <c r="I28" s="308"/>
      <c r="J28" s="308"/>
    </row>
    <row r="29" spans="1:10" s="120" customFormat="1" x14ac:dyDescent="0.35">
      <c r="A29" s="306"/>
      <c r="B29" s="307"/>
      <c r="C29" s="308"/>
      <c r="D29" s="308"/>
      <c r="E29" s="308"/>
      <c r="F29" s="308"/>
      <c r="G29" s="308"/>
      <c r="H29" s="308"/>
      <c r="I29" s="308"/>
      <c r="J29" s="308"/>
    </row>
    <row r="30" spans="1:10" s="120" customFormat="1" x14ac:dyDescent="0.35">
      <c r="A30" s="306"/>
      <c r="B30" s="307"/>
      <c r="C30" s="308"/>
      <c r="D30" s="308"/>
      <c r="E30" s="308"/>
      <c r="F30" s="308"/>
      <c r="G30" s="308"/>
      <c r="H30" s="308"/>
      <c r="I30" s="308"/>
      <c r="J30" s="308"/>
    </row>
    <row r="31" spans="1:10" s="120" customFormat="1" x14ac:dyDescent="0.35">
      <c r="A31" s="306"/>
      <c r="B31" s="307"/>
      <c r="C31" s="308"/>
      <c r="D31" s="308"/>
      <c r="E31" s="308"/>
      <c r="F31" s="308"/>
      <c r="G31" s="308"/>
      <c r="H31" s="308"/>
      <c r="I31" s="308"/>
      <c r="J31" s="308"/>
    </row>
    <row r="32" spans="1:10" s="120" customFormat="1" x14ac:dyDescent="0.35">
      <c r="A32" s="306"/>
      <c r="B32" s="307"/>
      <c r="C32" s="308"/>
      <c r="D32" s="308"/>
      <c r="E32" s="308"/>
      <c r="F32" s="308"/>
      <c r="G32" s="308"/>
      <c r="H32" s="308"/>
      <c r="I32" s="308"/>
      <c r="J32" s="308"/>
    </row>
    <row r="33" spans="1:10" s="120" customFormat="1" x14ac:dyDescent="0.35">
      <c r="A33" s="306"/>
      <c r="B33" s="307"/>
      <c r="C33" s="308"/>
      <c r="D33" s="308"/>
      <c r="E33" s="308"/>
      <c r="F33" s="308"/>
      <c r="G33" s="308"/>
      <c r="H33" s="308"/>
      <c r="I33" s="308"/>
      <c r="J33" s="308"/>
    </row>
    <row r="34" spans="1:10" s="120" customFormat="1" x14ac:dyDescent="0.35">
      <c r="A34" s="306"/>
      <c r="B34" s="307"/>
      <c r="C34" s="308"/>
      <c r="D34" s="308"/>
      <c r="E34" s="308"/>
      <c r="F34" s="308"/>
      <c r="G34" s="308"/>
      <c r="H34" s="308"/>
      <c r="I34" s="308"/>
      <c r="J34" s="308"/>
    </row>
    <row r="35" spans="1:10" s="120" customFormat="1" x14ac:dyDescent="0.35">
      <c r="A35" s="306"/>
      <c r="B35" s="307"/>
      <c r="C35" s="308"/>
      <c r="D35" s="308"/>
      <c r="E35" s="308"/>
      <c r="F35" s="308"/>
      <c r="G35" s="308"/>
      <c r="H35" s="308"/>
      <c r="I35" s="308"/>
      <c r="J35" s="308"/>
    </row>
    <row r="36" spans="1:10" s="120" customFormat="1" x14ac:dyDescent="0.35">
      <c r="A36" s="306"/>
      <c r="B36" s="307"/>
      <c r="C36" s="308"/>
      <c r="D36" s="308"/>
      <c r="E36" s="308"/>
      <c r="F36" s="308"/>
      <c r="G36" s="308"/>
      <c r="H36" s="308"/>
      <c r="I36" s="308"/>
      <c r="J36" s="308"/>
    </row>
    <row r="37" spans="1:10" s="120" customFormat="1" x14ac:dyDescent="0.35">
      <c r="A37" s="306"/>
      <c r="B37" s="307"/>
      <c r="C37" s="308"/>
      <c r="D37" s="308"/>
      <c r="E37" s="308"/>
      <c r="F37" s="308"/>
      <c r="G37" s="308"/>
      <c r="H37" s="308"/>
      <c r="I37" s="308"/>
      <c r="J37" s="308"/>
    </row>
    <row r="38" spans="1:10" s="120" customFormat="1" x14ac:dyDescent="0.35">
      <c r="A38" s="306"/>
      <c r="B38" s="307"/>
      <c r="C38" s="308"/>
      <c r="D38" s="308"/>
      <c r="E38" s="308"/>
      <c r="F38" s="308"/>
      <c r="G38" s="308"/>
      <c r="H38" s="308"/>
      <c r="I38" s="308"/>
      <c r="J38" s="308"/>
    </row>
    <row r="39" spans="1:10" s="120" customFormat="1" x14ac:dyDescent="0.35">
      <c r="A39" s="306"/>
      <c r="B39" s="307"/>
      <c r="C39" s="308"/>
      <c r="D39" s="308"/>
      <c r="E39" s="308"/>
      <c r="F39" s="308"/>
      <c r="G39" s="308"/>
      <c r="H39" s="308"/>
      <c r="I39" s="308"/>
      <c r="J39" s="308"/>
    </row>
    <row r="40" spans="1:10" s="120" customFormat="1" x14ac:dyDescent="0.35">
      <c r="A40" s="306"/>
      <c r="B40" s="307"/>
      <c r="C40" s="308"/>
      <c r="D40" s="308"/>
      <c r="E40" s="308"/>
      <c r="F40" s="308"/>
      <c r="G40" s="308"/>
      <c r="H40" s="308"/>
      <c r="I40" s="308"/>
      <c r="J40" s="308"/>
    </row>
    <row r="41" spans="1:10" s="120" customFormat="1" x14ac:dyDescent="0.35">
      <c r="A41" s="306"/>
      <c r="B41" s="307"/>
      <c r="C41" s="308"/>
      <c r="D41" s="308"/>
      <c r="E41" s="308"/>
      <c r="F41" s="308"/>
      <c r="G41" s="308"/>
      <c r="H41" s="308"/>
      <c r="I41" s="308"/>
      <c r="J41" s="308"/>
    </row>
    <row r="42" spans="1:10" s="120" customFormat="1" x14ac:dyDescent="0.35">
      <c r="A42" s="306"/>
      <c r="B42" s="307"/>
      <c r="C42" s="308"/>
      <c r="D42" s="308"/>
      <c r="E42" s="308"/>
      <c r="F42" s="308"/>
      <c r="G42" s="308"/>
      <c r="H42" s="308"/>
      <c r="I42" s="308"/>
      <c r="J42" s="308"/>
    </row>
    <row r="43" spans="1:10" s="120" customFormat="1" x14ac:dyDescent="0.35">
      <c r="A43" s="306"/>
      <c r="B43" s="307"/>
      <c r="C43" s="308"/>
      <c r="D43" s="308"/>
      <c r="E43" s="308"/>
      <c r="F43" s="308"/>
      <c r="G43" s="308"/>
      <c r="H43" s="308"/>
      <c r="I43" s="308"/>
      <c r="J43" s="308"/>
    </row>
    <row r="44" spans="1:10" s="120" customFormat="1" x14ac:dyDescent="0.35">
      <c r="A44" s="306"/>
      <c r="B44" s="307"/>
      <c r="C44" s="308"/>
      <c r="D44" s="308"/>
      <c r="E44" s="308"/>
      <c r="F44" s="308"/>
      <c r="G44" s="308"/>
      <c r="H44" s="308"/>
      <c r="I44" s="308"/>
      <c r="J44" s="308"/>
    </row>
    <row r="45" spans="1:10" s="120" customFormat="1" x14ac:dyDescent="0.35"/>
    <row r="46" spans="1:10" s="120" customFormat="1" x14ac:dyDescent="0.35"/>
    <row r="47" spans="1:10" s="120" customFormat="1" x14ac:dyDescent="0.35"/>
    <row r="48" spans="1:10" s="120" customFormat="1" x14ac:dyDescent="0.35"/>
    <row r="49" s="120" customFormat="1" x14ac:dyDescent="0.35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BLUE </vt:lpstr>
      <vt:lpstr>RAL#28</vt:lpstr>
      <vt:lpstr>Clavos</vt:lpstr>
      <vt:lpstr>RAL#26</vt:lpstr>
      <vt:lpstr>ZINC#28</vt:lpstr>
      <vt:lpstr>GALV.</vt:lpstr>
      <vt:lpstr>TIRAF. 6,3X76,2</vt:lpstr>
      <vt:lpstr>TIRAF. 6,3X63,5</vt:lpstr>
      <vt:lpstr>Hoja2</vt:lpstr>
      <vt:lpstr>'BLUE '!Área_de_impresión</vt:lpstr>
      <vt:lpstr>GALV.!Área_de_impresión</vt:lpstr>
      <vt:lpstr>'RAL#26'!Área_de_impresión</vt:lpstr>
      <vt:lpstr>'RAL#28'!Área_de_impresión</vt:lpstr>
      <vt:lpstr>'TIRAF. 6,3X63,5'!Área_de_impresión</vt:lpstr>
      <vt:lpstr>'TIRAF. 6,3X76,2'!Área_de_impresión</vt:lpstr>
      <vt:lpstr>'ZINC#28'!Área_de_impresión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</cp:lastModifiedBy>
  <cp:lastPrinted>2019-02-20T00:39:52Z</cp:lastPrinted>
  <dcterms:created xsi:type="dcterms:W3CDTF">2018-01-19T19:19:44Z</dcterms:created>
  <dcterms:modified xsi:type="dcterms:W3CDTF">2023-12-06T20:14:18Z</dcterms:modified>
</cp:coreProperties>
</file>