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45" windowWidth="24675" windowHeight="11280" activeTab="2"/>
  </bookViews>
  <sheets>
    <sheet name="CAL.OND2012" sheetId="4" r:id="rId1"/>
    <sheet name="BLUE2012" sheetId="5" r:id="rId2"/>
    <sheet name="RAL2012" sheetId="6" r:id="rId3"/>
    <sheet name="Hoja3" sheetId="3" r:id="rId4"/>
  </sheets>
  <externalReferences>
    <externalReference r:id="rId5"/>
    <externalReference r:id="rId6"/>
  </externalReferences>
  <definedNames>
    <definedName name="_xlnm.Print_Area" localSheetId="0">CAL.OND2012!$A$1:$K$550</definedName>
  </definedNames>
  <calcPr calcId="144525"/>
</workbook>
</file>

<file path=xl/calcChain.xml><?xml version="1.0" encoding="utf-8"?>
<calcChain xmlns="http://schemas.openxmlformats.org/spreadsheetml/2006/main">
  <c r="E9" i="6" l="1"/>
  <c r="H9" i="6"/>
  <c r="J9" i="6" s="1"/>
  <c r="E10" i="6"/>
  <c r="E11" i="6" s="1"/>
  <c r="E12" i="6" s="1"/>
  <c r="E13" i="6" s="1"/>
  <c r="E14" i="6" s="1"/>
  <c r="E15" i="6" s="1"/>
  <c r="E16" i="6" s="1"/>
  <c r="E17" i="6" s="1"/>
  <c r="E18" i="6" s="1"/>
  <c r="H10" i="6"/>
  <c r="H11" i="6"/>
  <c r="H12" i="6"/>
  <c r="H13" i="6"/>
  <c r="H14" i="6"/>
  <c r="D15" i="6"/>
  <c r="D16" i="6"/>
  <c r="D17" i="6"/>
  <c r="D18" i="6"/>
  <c r="C42" i="6"/>
  <c r="E9" i="5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H9" i="5"/>
  <c r="J9" i="5" s="1"/>
  <c r="H10" i="5"/>
  <c r="H11" i="5"/>
  <c r="H12" i="5"/>
  <c r="H13" i="5"/>
  <c r="H14" i="5"/>
  <c r="D15" i="5"/>
  <c r="D16" i="5"/>
  <c r="D17" i="5"/>
  <c r="D18" i="5"/>
  <c r="D42" i="5" s="1"/>
  <c r="E42" i="5" s="1"/>
  <c r="D19" i="5"/>
  <c r="C42" i="5"/>
  <c r="H42" i="5"/>
  <c r="E9" i="4"/>
  <c r="H9" i="4"/>
  <c r="J9" i="4" s="1"/>
  <c r="G10" i="4" s="1"/>
  <c r="I10" i="4" s="1"/>
  <c r="D10" i="4"/>
  <c r="E10" i="4" s="1"/>
  <c r="E11" i="4" s="1"/>
  <c r="E12" i="4" s="1"/>
  <c r="E13" i="4" s="1"/>
  <c r="E14" i="4" s="1"/>
  <c r="E15" i="4" s="1"/>
  <c r="D11" i="4"/>
  <c r="D14" i="4"/>
  <c r="D15" i="4"/>
  <c r="D16" i="4"/>
  <c r="D17" i="4"/>
  <c r="D18" i="4"/>
  <c r="D19" i="4"/>
  <c r="D20" i="4"/>
  <c r="D21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3" i="4"/>
  <c r="D144" i="4"/>
  <c r="D145" i="4"/>
  <c r="D146" i="4"/>
  <c r="D147" i="4"/>
  <c r="D148" i="4"/>
  <c r="D149" i="4"/>
  <c r="D150" i="4"/>
  <c r="D151" i="4"/>
  <c r="D152" i="4"/>
  <c r="D153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2" i="4"/>
  <c r="D183" i="4"/>
  <c r="D184" i="4"/>
  <c r="D186" i="4"/>
  <c r="D187" i="4"/>
  <c r="D189" i="4"/>
  <c r="D190" i="4"/>
  <c r="D191" i="4"/>
  <c r="D192" i="4"/>
  <c r="D193" i="4"/>
  <c r="D194" i="4"/>
  <c r="D195" i="4"/>
  <c r="D196" i="4"/>
  <c r="D197" i="4"/>
  <c r="H198" i="4"/>
  <c r="F198" i="4" s="1"/>
  <c r="H199" i="4"/>
  <c r="F199" i="4" s="1"/>
  <c r="H200" i="4"/>
  <c r="F200" i="4" s="1"/>
  <c r="H201" i="4"/>
  <c r="F201" i="4" s="1"/>
  <c r="H202" i="4"/>
  <c r="F202" i="4" s="1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4" i="4"/>
  <c r="D225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C250" i="4"/>
  <c r="H25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8" i="4"/>
  <c r="D330" i="4"/>
  <c r="D331" i="4"/>
  <c r="D332" i="4"/>
  <c r="D333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5" i="4"/>
  <c r="D376" i="4"/>
  <c r="D377" i="4"/>
  <c r="D378" i="4"/>
  <c r="D379" i="4"/>
  <c r="D380" i="4"/>
  <c r="D381" i="4"/>
  <c r="D383" i="4"/>
  <c r="D384" i="4"/>
  <c r="D385" i="4"/>
  <c r="D386" i="4"/>
  <c r="D387" i="4"/>
  <c r="D388" i="4"/>
  <c r="D389" i="4"/>
  <c r="D390" i="4"/>
  <c r="F9" i="5" l="1"/>
  <c r="J10" i="5"/>
  <c r="F9" i="4"/>
  <c r="J10" i="6"/>
  <c r="F9" i="6"/>
  <c r="D42" i="6"/>
  <c r="E42" i="6" s="1"/>
  <c r="H42" i="6"/>
  <c r="D250" i="4"/>
  <c r="E250" i="4" s="1"/>
  <c r="E16" i="4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J10" i="4"/>
  <c r="F10" i="5" l="1"/>
  <c r="J11" i="5"/>
  <c r="J11" i="6"/>
  <c r="F10" i="6"/>
  <c r="G11" i="4"/>
  <c r="I11" i="4" s="1"/>
  <c r="F11" i="5" l="1"/>
  <c r="J12" i="5"/>
  <c r="J12" i="6"/>
  <c r="F11" i="6"/>
  <c r="L11" i="4"/>
  <c r="J11" i="4"/>
  <c r="F12" i="5" l="1"/>
  <c r="J13" i="5"/>
  <c r="J13" i="6"/>
  <c r="F12" i="6"/>
  <c r="G12" i="4"/>
  <c r="I12" i="4" s="1"/>
  <c r="J12" i="4" s="1"/>
  <c r="F13" i="5" l="1"/>
  <c r="J14" i="5"/>
  <c r="J14" i="6"/>
  <c r="F13" i="6"/>
  <c r="G13" i="4"/>
  <c r="I13" i="4" s="1"/>
  <c r="J13" i="4" s="1"/>
  <c r="G15" i="5" l="1"/>
  <c r="I15" i="5" s="1"/>
  <c r="J15" i="5" s="1"/>
  <c r="F14" i="5"/>
  <c r="G15" i="6"/>
  <c r="I15" i="6" s="1"/>
  <c r="J15" i="6" s="1"/>
  <c r="F14" i="6"/>
  <c r="G14" i="4"/>
  <c r="I14" i="4" s="1"/>
  <c r="J14" i="4" s="1"/>
  <c r="G16" i="5" l="1"/>
  <c r="I16" i="5" s="1"/>
  <c r="G16" i="6"/>
  <c r="I16" i="6" s="1"/>
  <c r="G15" i="4"/>
  <c r="I15" i="4" s="1"/>
  <c r="J16" i="5" l="1"/>
  <c r="J16" i="6"/>
  <c r="J15" i="4"/>
  <c r="G17" i="5" l="1"/>
  <c r="I17" i="5" s="1"/>
  <c r="G17" i="6"/>
  <c r="I17" i="6" s="1"/>
  <c r="G16" i="4"/>
  <c r="I16" i="4" s="1"/>
  <c r="J16" i="4" s="1"/>
  <c r="J17" i="5" l="1"/>
  <c r="J17" i="6"/>
  <c r="G17" i="4"/>
  <c r="I17" i="4" s="1"/>
  <c r="J17" i="4" s="1"/>
  <c r="G18" i="5" l="1"/>
  <c r="I18" i="5" s="1"/>
  <c r="J18" i="5" s="1"/>
  <c r="G18" i="6"/>
  <c r="I18" i="6" s="1"/>
  <c r="J18" i="6" s="1"/>
  <c r="G18" i="4"/>
  <c r="I18" i="4" s="1"/>
  <c r="J18" i="4" s="1"/>
  <c r="G19" i="5" l="1"/>
  <c r="I19" i="5" s="1"/>
  <c r="J19" i="5"/>
  <c r="L19" i="5"/>
  <c r="I42" i="5"/>
  <c r="J42" i="5" s="1"/>
  <c r="E43" i="5" s="1"/>
  <c r="E44" i="5" s="1"/>
  <c r="I42" i="6"/>
  <c r="J42" i="6" s="1"/>
  <c r="E43" i="6" s="1"/>
  <c r="E44" i="6" s="1"/>
  <c r="L18" i="6"/>
  <c r="G19" i="4"/>
  <c r="I19" i="4" s="1"/>
  <c r="J19" i="4" s="1"/>
  <c r="E48" i="5" l="1"/>
  <c r="E47" i="5"/>
  <c r="E48" i="6"/>
  <c r="E47" i="6"/>
  <c r="E49" i="6" s="1"/>
  <c r="G20" i="4"/>
  <c r="I20" i="4" s="1"/>
  <c r="J20" i="4" s="1"/>
  <c r="E49" i="5" l="1"/>
  <c r="G21" i="4"/>
  <c r="I21" i="4" s="1"/>
  <c r="J21" i="4" s="1"/>
  <c r="G22" i="4" l="1"/>
  <c r="I22" i="4" s="1"/>
  <c r="J22" i="4" s="1"/>
  <c r="G23" i="4" l="1"/>
  <c r="I23" i="4" s="1"/>
  <c r="L23" i="4" s="1"/>
  <c r="J23" i="4" l="1"/>
  <c r="G24" i="4" s="1"/>
  <c r="I24" i="4" s="1"/>
  <c r="J24" i="4" l="1"/>
  <c r="G25" i="4" l="1"/>
  <c r="I25" i="4" s="1"/>
  <c r="J25" i="4" l="1"/>
  <c r="G26" i="4" l="1"/>
  <c r="I26" i="4" s="1"/>
  <c r="J26" i="4" s="1"/>
  <c r="G27" i="4" l="1"/>
  <c r="I27" i="4" s="1"/>
  <c r="J27" i="4" s="1"/>
  <c r="G28" i="4" l="1"/>
  <c r="I28" i="4" s="1"/>
  <c r="J28" i="4" s="1"/>
  <c r="G29" i="4" l="1"/>
  <c r="I29" i="4" s="1"/>
  <c r="J29" i="4" s="1"/>
  <c r="G30" i="4" l="1"/>
  <c r="I30" i="4" s="1"/>
  <c r="J30" i="4" s="1"/>
  <c r="G31" i="4" l="1"/>
  <c r="I31" i="4" s="1"/>
  <c r="L31" i="4" s="1"/>
  <c r="J31" i="4" l="1"/>
  <c r="G32" i="4"/>
  <c r="I32" i="4" s="1"/>
  <c r="J32" i="4" l="1"/>
  <c r="G33" i="4" l="1"/>
  <c r="I33" i="4" s="1"/>
  <c r="J33" i="4" s="1"/>
  <c r="G34" i="4" l="1"/>
  <c r="I34" i="4" s="1"/>
  <c r="J34" i="4" l="1"/>
  <c r="G35" i="4" l="1"/>
  <c r="I35" i="4" s="1"/>
  <c r="J35" i="4" s="1"/>
  <c r="G36" i="4" l="1"/>
  <c r="I36" i="4" s="1"/>
  <c r="J36" i="4" s="1"/>
  <c r="G37" i="4" l="1"/>
  <c r="I37" i="4" s="1"/>
  <c r="L37" i="4" s="1"/>
  <c r="J37" i="4" l="1"/>
  <c r="G38" i="4" s="1"/>
  <c r="I38" i="4" s="1"/>
  <c r="J38" i="4" l="1"/>
  <c r="G39" i="4" l="1"/>
  <c r="I39" i="4" s="1"/>
  <c r="J39" i="4" l="1"/>
  <c r="G40" i="4" l="1"/>
  <c r="I40" i="4" s="1"/>
  <c r="J40" i="4" s="1"/>
  <c r="G41" i="4" l="1"/>
  <c r="I41" i="4" s="1"/>
  <c r="J41" i="4" s="1"/>
  <c r="G42" i="4" l="1"/>
  <c r="I42" i="4" s="1"/>
  <c r="J42" i="4" s="1"/>
  <c r="G43" i="4" l="1"/>
  <c r="I43" i="4" s="1"/>
  <c r="J43" i="4" s="1"/>
  <c r="G44" i="4" l="1"/>
  <c r="I44" i="4" s="1"/>
  <c r="J44" i="4" s="1"/>
  <c r="G45" i="4" l="1"/>
  <c r="I45" i="4" s="1"/>
  <c r="J45" i="4" s="1"/>
  <c r="G46" i="4" l="1"/>
  <c r="I46" i="4" s="1"/>
  <c r="J46" i="4" s="1"/>
  <c r="G47" i="4" l="1"/>
  <c r="I47" i="4" s="1"/>
  <c r="J47" i="4" s="1"/>
  <c r="G48" i="4" l="1"/>
  <c r="I48" i="4" s="1"/>
  <c r="L48" i="4" s="1"/>
  <c r="J48" i="4" l="1"/>
  <c r="G49" i="4" l="1"/>
  <c r="I49" i="4" s="1"/>
  <c r="J49" i="4" s="1"/>
  <c r="G50" i="4" l="1"/>
  <c r="I50" i="4" s="1"/>
  <c r="J50" i="4" l="1"/>
  <c r="G51" i="4" l="1"/>
  <c r="I51" i="4" s="1"/>
  <c r="J51" i="4" l="1"/>
  <c r="G52" i="4" l="1"/>
  <c r="I52" i="4" s="1"/>
  <c r="J52" i="4" s="1"/>
  <c r="G53" i="4" l="1"/>
  <c r="I53" i="4" s="1"/>
  <c r="J53" i="4" s="1"/>
  <c r="G54" i="4" l="1"/>
  <c r="I54" i="4" s="1"/>
  <c r="J54" i="4" s="1"/>
  <c r="G55" i="4" l="1"/>
  <c r="I55" i="4" s="1"/>
  <c r="J55" i="4" s="1"/>
  <c r="G56" i="4" l="1"/>
  <c r="I56" i="4" s="1"/>
  <c r="J56" i="4" s="1"/>
  <c r="G57" i="4" l="1"/>
  <c r="I57" i="4" s="1"/>
  <c r="L57" i="4" s="1"/>
  <c r="J57" i="4" l="1"/>
  <c r="G58" i="4" s="1"/>
  <c r="I58" i="4" s="1"/>
  <c r="J58" i="4" l="1"/>
  <c r="G59" i="4" l="1"/>
  <c r="I59" i="4" s="1"/>
  <c r="J59" i="4" s="1"/>
  <c r="G60" i="4" l="1"/>
  <c r="I60" i="4" s="1"/>
  <c r="J60" i="4" s="1"/>
  <c r="G61" i="4" l="1"/>
  <c r="I61" i="4" s="1"/>
  <c r="J61" i="4" s="1"/>
  <c r="G62" i="4" l="1"/>
  <c r="I62" i="4" s="1"/>
  <c r="J62" i="4" s="1"/>
  <c r="G63" i="4" l="1"/>
  <c r="I63" i="4" s="1"/>
  <c r="J63" i="4" s="1"/>
  <c r="G64" i="4" l="1"/>
  <c r="I64" i="4" s="1"/>
  <c r="J64" i="4" s="1"/>
  <c r="G65" i="4" l="1"/>
  <c r="I65" i="4" s="1"/>
  <c r="J65" i="4" s="1"/>
  <c r="G66" i="4" l="1"/>
  <c r="I66" i="4" s="1"/>
  <c r="J66" i="4" s="1"/>
  <c r="G67" i="4" l="1"/>
  <c r="I67" i="4" s="1"/>
  <c r="J67" i="4" s="1"/>
  <c r="G68" i="4" l="1"/>
  <c r="I68" i="4" s="1"/>
  <c r="J68" i="4" s="1"/>
  <c r="G69" i="4" l="1"/>
  <c r="I69" i="4" s="1"/>
  <c r="J69" i="4" s="1"/>
  <c r="G70" i="4" l="1"/>
  <c r="I70" i="4" s="1"/>
  <c r="J70" i="4" s="1"/>
  <c r="G71" i="4" l="1"/>
  <c r="I71" i="4" s="1"/>
  <c r="J71" i="4" s="1"/>
  <c r="G72" i="4" l="1"/>
  <c r="I72" i="4" s="1"/>
  <c r="J72" i="4" s="1"/>
  <c r="G73" i="4" l="1"/>
  <c r="I73" i="4" s="1"/>
  <c r="J73" i="4" s="1"/>
  <c r="G74" i="4" l="1"/>
  <c r="I74" i="4" s="1"/>
  <c r="L74" i="4" s="1"/>
  <c r="J74" i="4" l="1"/>
  <c r="G75" i="4" l="1"/>
  <c r="I75" i="4" s="1"/>
  <c r="J75" i="4" s="1"/>
  <c r="G76" i="4" l="1"/>
  <c r="I76" i="4" s="1"/>
  <c r="J76" i="4" l="1"/>
  <c r="G77" i="4" l="1"/>
  <c r="I77" i="4" s="1"/>
  <c r="J77" i="4" l="1"/>
  <c r="G78" i="4" l="1"/>
  <c r="I78" i="4" s="1"/>
  <c r="J78" i="4" s="1"/>
  <c r="G79" i="4" l="1"/>
  <c r="I79" i="4" s="1"/>
  <c r="J79" i="4" s="1"/>
  <c r="G80" i="4" l="1"/>
  <c r="I80" i="4" s="1"/>
  <c r="J80" i="4" s="1"/>
  <c r="G81" i="4" l="1"/>
  <c r="I81" i="4" s="1"/>
  <c r="J81" i="4" s="1"/>
  <c r="G82" i="4" l="1"/>
  <c r="I82" i="4" s="1"/>
  <c r="J82" i="4" s="1"/>
  <c r="G83" i="4" l="1"/>
  <c r="I83" i="4" s="1"/>
  <c r="J83" i="4" s="1"/>
  <c r="G84" i="4" l="1"/>
  <c r="I84" i="4" s="1"/>
  <c r="J84" i="4" s="1"/>
  <c r="G85" i="4" l="1"/>
  <c r="I85" i="4" s="1"/>
  <c r="J85" i="4" s="1"/>
  <c r="G86" i="4" l="1"/>
  <c r="I86" i="4" s="1"/>
  <c r="J86" i="4" s="1"/>
  <c r="G87" i="4" l="1"/>
  <c r="I87" i="4" s="1"/>
  <c r="J87" i="4" s="1"/>
  <c r="G88" i="4" l="1"/>
  <c r="I88" i="4" s="1"/>
  <c r="J88" i="4" s="1"/>
  <c r="G89" i="4" l="1"/>
  <c r="I89" i="4" s="1"/>
  <c r="J89" i="4" s="1"/>
  <c r="G90" i="4" l="1"/>
  <c r="I90" i="4" s="1"/>
  <c r="J90" i="4" s="1"/>
  <c r="G91" i="4" l="1"/>
  <c r="I91" i="4" s="1"/>
  <c r="J91" i="4" s="1"/>
  <c r="G92" i="4" l="1"/>
  <c r="I92" i="4" s="1"/>
  <c r="J92" i="4" s="1"/>
  <c r="G93" i="4" l="1"/>
  <c r="I93" i="4" s="1"/>
  <c r="J93" i="4" s="1"/>
  <c r="G94" i="4" l="1"/>
  <c r="I94" i="4" s="1"/>
  <c r="J94" i="4" s="1"/>
  <c r="G95" i="4" l="1"/>
  <c r="I95" i="4" s="1"/>
  <c r="J95" i="4" s="1"/>
  <c r="G96" i="4" l="1"/>
  <c r="I96" i="4" s="1"/>
  <c r="L96" i="4" s="1"/>
  <c r="J96" i="4" l="1"/>
  <c r="G97" i="4" l="1"/>
  <c r="I97" i="4" s="1"/>
  <c r="J97" i="4" s="1"/>
  <c r="G98" i="4" l="1"/>
  <c r="I98" i="4" s="1"/>
  <c r="J98" i="4" l="1"/>
  <c r="G99" i="4" l="1"/>
  <c r="I99" i="4" s="1"/>
  <c r="J99" i="4" l="1"/>
  <c r="G100" i="4" l="1"/>
  <c r="I100" i="4" s="1"/>
  <c r="J100" i="4" s="1"/>
  <c r="G101" i="4" l="1"/>
  <c r="I101" i="4" s="1"/>
  <c r="J101" i="4" s="1"/>
  <c r="G102" i="4" l="1"/>
  <c r="I102" i="4" s="1"/>
  <c r="J102" i="4" s="1"/>
  <c r="G103" i="4" l="1"/>
  <c r="I103" i="4" s="1"/>
  <c r="J103" i="4" s="1"/>
  <c r="G104" i="4" l="1"/>
  <c r="I104" i="4" s="1"/>
  <c r="J104" i="4" s="1"/>
  <c r="G105" i="4" l="1"/>
  <c r="I105" i="4" s="1"/>
  <c r="J105" i="4" s="1"/>
  <c r="G106" i="4" l="1"/>
  <c r="I106" i="4" s="1"/>
  <c r="J106" i="4" s="1"/>
  <c r="G107" i="4" l="1"/>
  <c r="I107" i="4" s="1"/>
  <c r="J107" i="4" s="1"/>
  <c r="G108" i="4" l="1"/>
  <c r="I108" i="4" s="1"/>
  <c r="J108" i="4" s="1"/>
  <c r="G109" i="4" l="1"/>
  <c r="I109" i="4" s="1"/>
  <c r="J109" i="4" s="1"/>
  <c r="G110" i="4" l="1"/>
  <c r="I110" i="4" s="1"/>
  <c r="J110" i="4" s="1"/>
  <c r="G111" i="4" l="1"/>
  <c r="I111" i="4" s="1"/>
  <c r="J111" i="4" s="1"/>
  <c r="G112" i="4" l="1"/>
  <c r="I112" i="4" s="1"/>
  <c r="J112" i="4" s="1"/>
  <c r="G113" i="4" l="1"/>
  <c r="I113" i="4" s="1"/>
  <c r="J113" i="4" s="1"/>
  <c r="G114" i="4" l="1"/>
  <c r="I114" i="4" s="1"/>
  <c r="J114" i="4" s="1"/>
  <c r="G115" i="4" l="1"/>
  <c r="I115" i="4" s="1"/>
  <c r="J115" i="4" s="1"/>
  <c r="G116" i="4" l="1"/>
  <c r="I116" i="4" s="1"/>
  <c r="J116" i="4" s="1"/>
  <c r="G117" i="4" l="1"/>
  <c r="I117" i="4" s="1"/>
  <c r="J117" i="4" s="1"/>
  <c r="G118" i="4" l="1"/>
  <c r="I118" i="4" s="1"/>
  <c r="J118" i="4" s="1"/>
  <c r="G119" i="4" l="1"/>
  <c r="I119" i="4" s="1"/>
  <c r="J119" i="4" s="1"/>
  <c r="G120" i="4" l="1"/>
  <c r="I120" i="4" s="1"/>
  <c r="J120" i="4" s="1"/>
  <c r="G121" i="4" l="1"/>
  <c r="I121" i="4" s="1"/>
  <c r="J121" i="4" s="1"/>
  <c r="G122" i="4" l="1"/>
  <c r="I122" i="4" s="1"/>
  <c r="J122" i="4" s="1"/>
  <c r="G123" i="4" l="1"/>
  <c r="I123" i="4" s="1"/>
  <c r="J123" i="4" s="1"/>
  <c r="G124" i="4" l="1"/>
  <c r="I124" i="4" s="1"/>
  <c r="J124" i="4" s="1"/>
  <c r="G125" i="4" l="1"/>
  <c r="I125" i="4" s="1"/>
  <c r="J125" i="4" s="1"/>
  <c r="G126" i="4" l="1"/>
  <c r="I126" i="4" s="1"/>
  <c r="L126" i="4" s="1"/>
  <c r="J126" i="4" l="1"/>
  <c r="G127" i="4"/>
  <c r="I127" i="4" s="1"/>
  <c r="J127" i="4" l="1"/>
  <c r="G128" i="4" l="1"/>
  <c r="I128" i="4" s="1"/>
  <c r="J128" i="4" l="1"/>
  <c r="G129" i="4" l="1"/>
  <c r="I129" i="4" s="1"/>
  <c r="J129" i="4" s="1"/>
  <c r="G130" i="4" l="1"/>
  <c r="I130" i="4" s="1"/>
  <c r="J130" i="4" s="1"/>
  <c r="G131" i="4" l="1"/>
  <c r="I131" i="4" s="1"/>
  <c r="J131" i="4" s="1"/>
  <c r="G132" i="4" l="1"/>
  <c r="I132" i="4" s="1"/>
  <c r="J132" i="4" s="1"/>
  <c r="G133" i="4" l="1"/>
  <c r="I133" i="4" s="1"/>
  <c r="J133" i="4" s="1"/>
  <c r="G134" i="4" l="1"/>
  <c r="I134" i="4" s="1"/>
  <c r="J134" i="4" s="1"/>
  <c r="G135" i="4" l="1"/>
  <c r="I135" i="4" s="1"/>
  <c r="J135" i="4" s="1"/>
  <c r="G136" i="4" l="1"/>
  <c r="I136" i="4" s="1"/>
  <c r="J136" i="4" s="1"/>
  <c r="G137" i="4" l="1"/>
  <c r="I137" i="4" s="1"/>
  <c r="J137" i="4" s="1"/>
  <c r="G138" i="4" l="1"/>
  <c r="I138" i="4" s="1"/>
  <c r="J138" i="4" s="1"/>
  <c r="G139" i="4" l="1"/>
  <c r="I139" i="4" s="1"/>
  <c r="J139" i="4" s="1"/>
  <c r="G140" i="4" l="1"/>
  <c r="I140" i="4" s="1"/>
  <c r="J140" i="4" s="1"/>
  <c r="G141" i="4" l="1"/>
  <c r="I141" i="4" s="1"/>
  <c r="J141" i="4" s="1"/>
  <c r="G142" i="4" l="1"/>
  <c r="I142" i="4" s="1"/>
  <c r="J142" i="4" s="1"/>
  <c r="G143" i="4" l="1"/>
  <c r="I143" i="4" s="1"/>
  <c r="J143" i="4" s="1"/>
  <c r="G144" i="4" l="1"/>
  <c r="I144" i="4" s="1"/>
  <c r="J144" i="4" s="1"/>
  <c r="G145" i="4" l="1"/>
  <c r="I145" i="4" s="1"/>
  <c r="J145" i="4" s="1"/>
  <c r="G146" i="4" l="1"/>
  <c r="I146" i="4" s="1"/>
  <c r="J146" i="4" s="1"/>
  <c r="G147" i="4" l="1"/>
  <c r="I147" i="4" s="1"/>
  <c r="J147" i="4" s="1"/>
  <c r="G148" i="4" l="1"/>
  <c r="I148" i="4" s="1"/>
  <c r="J148" i="4" s="1"/>
  <c r="G149" i="4" l="1"/>
  <c r="I149" i="4" s="1"/>
  <c r="J149" i="4" s="1"/>
  <c r="G150" i="4" l="1"/>
  <c r="I150" i="4" s="1"/>
  <c r="J150" i="4" s="1"/>
  <c r="G151" i="4" l="1"/>
  <c r="I151" i="4" s="1"/>
  <c r="J151" i="4" s="1"/>
  <c r="G152" i="4" l="1"/>
  <c r="I152" i="4" s="1"/>
  <c r="J152" i="4" s="1"/>
  <c r="G153" i="4" l="1"/>
  <c r="I153" i="4" s="1"/>
  <c r="J153" i="4" s="1"/>
  <c r="G154" i="4" l="1"/>
  <c r="I154" i="4" s="1"/>
  <c r="J154" i="4" s="1"/>
  <c r="G155" i="4" l="1"/>
  <c r="I155" i="4" s="1"/>
  <c r="L155" i="4" s="1"/>
  <c r="J155" i="4" l="1"/>
  <c r="G156" i="4" l="1"/>
  <c r="I156" i="4" s="1"/>
  <c r="J156" i="4" s="1"/>
  <c r="G157" i="4" l="1"/>
  <c r="I157" i="4" s="1"/>
  <c r="J157" i="4" l="1"/>
  <c r="G158" i="4" l="1"/>
  <c r="I158" i="4" s="1"/>
  <c r="J158" i="4" l="1"/>
  <c r="G159" i="4" l="1"/>
  <c r="I159" i="4" s="1"/>
  <c r="J159" i="4" s="1"/>
  <c r="G160" i="4" l="1"/>
  <c r="I160" i="4" s="1"/>
  <c r="J160" i="4" s="1"/>
  <c r="G161" i="4" l="1"/>
  <c r="I161" i="4" s="1"/>
  <c r="J161" i="4" s="1"/>
  <c r="G162" i="4" l="1"/>
  <c r="I162" i="4" s="1"/>
  <c r="J162" i="4" s="1"/>
  <c r="G163" i="4" l="1"/>
  <c r="I163" i="4" s="1"/>
  <c r="J163" i="4" s="1"/>
  <c r="G164" i="4" l="1"/>
  <c r="I164" i="4" s="1"/>
  <c r="J164" i="4" s="1"/>
  <c r="G165" i="4" l="1"/>
  <c r="I165" i="4" s="1"/>
  <c r="J165" i="4" s="1"/>
  <c r="G166" i="4" l="1"/>
  <c r="I166" i="4" s="1"/>
  <c r="J166" i="4" s="1"/>
  <c r="G167" i="4" l="1"/>
  <c r="I167" i="4" s="1"/>
  <c r="J167" i="4" s="1"/>
  <c r="G168" i="4" l="1"/>
  <c r="I168" i="4" s="1"/>
  <c r="J168" i="4" s="1"/>
  <c r="G169" i="4" l="1"/>
  <c r="I169" i="4" s="1"/>
  <c r="J169" i="4" s="1"/>
  <c r="G170" i="4" l="1"/>
  <c r="I170" i="4" s="1"/>
  <c r="J170" i="4" s="1"/>
  <c r="G171" i="4" l="1"/>
  <c r="I171" i="4" s="1"/>
  <c r="J171" i="4" s="1"/>
  <c r="G172" i="4" l="1"/>
  <c r="I172" i="4" s="1"/>
  <c r="J172" i="4" s="1"/>
  <c r="G173" i="4" l="1"/>
  <c r="I173" i="4" s="1"/>
  <c r="J173" i="4" s="1"/>
  <c r="G174" i="4" l="1"/>
  <c r="I174" i="4" s="1"/>
  <c r="J174" i="4" s="1"/>
  <c r="G175" i="4" l="1"/>
  <c r="I175" i="4" s="1"/>
  <c r="J175" i="4" s="1"/>
  <c r="G176" i="4" l="1"/>
  <c r="I176" i="4" s="1"/>
  <c r="J176" i="4" s="1"/>
  <c r="G177" i="4" l="1"/>
  <c r="I177" i="4" s="1"/>
  <c r="J177" i="4" s="1"/>
  <c r="G178" i="4" l="1"/>
  <c r="I178" i="4" s="1"/>
  <c r="J178" i="4" s="1"/>
  <c r="G179" i="4" l="1"/>
  <c r="I179" i="4" s="1"/>
  <c r="J179" i="4" s="1"/>
  <c r="G180" i="4" l="1"/>
  <c r="I180" i="4" s="1"/>
  <c r="J180" i="4" s="1"/>
  <c r="G181" i="4" l="1"/>
  <c r="I181" i="4" s="1"/>
  <c r="J181" i="4" s="1"/>
  <c r="G182" i="4" l="1"/>
  <c r="I182" i="4" s="1"/>
  <c r="J182" i="4" s="1"/>
  <c r="G183" i="4" l="1"/>
  <c r="I183" i="4" s="1"/>
  <c r="J183" i="4" s="1"/>
  <c r="G184" i="4" l="1"/>
  <c r="I184" i="4" s="1"/>
  <c r="J184" i="4" s="1"/>
  <c r="G185" i="4" l="1"/>
  <c r="I185" i="4" s="1"/>
  <c r="J185" i="4" s="1"/>
  <c r="G186" i="4" l="1"/>
  <c r="I186" i="4" s="1"/>
  <c r="J186" i="4" s="1"/>
  <c r="G187" i="4" l="1"/>
  <c r="I187" i="4" s="1"/>
  <c r="J187" i="4" s="1"/>
  <c r="G188" i="4" l="1"/>
  <c r="I188" i="4" s="1"/>
  <c r="J188" i="4" s="1"/>
  <c r="G189" i="4" l="1"/>
  <c r="I189" i="4" s="1"/>
  <c r="J189" i="4" s="1"/>
  <c r="G190" i="4" l="1"/>
  <c r="I190" i="4" s="1"/>
  <c r="J190" i="4" s="1"/>
  <c r="G191" i="4" l="1"/>
  <c r="I191" i="4" s="1"/>
  <c r="J191" i="4" s="1"/>
  <c r="G192" i="4" l="1"/>
  <c r="I192" i="4" s="1"/>
  <c r="J192" i="4" s="1"/>
  <c r="G193" i="4" l="1"/>
  <c r="I193" i="4" s="1"/>
  <c r="J193" i="4" s="1"/>
  <c r="G194" i="4" l="1"/>
  <c r="I194" i="4" s="1"/>
  <c r="J194" i="4" s="1"/>
  <c r="G195" i="4" l="1"/>
  <c r="I195" i="4" s="1"/>
  <c r="J195" i="4" s="1"/>
  <c r="G196" i="4" l="1"/>
  <c r="I196" i="4" s="1"/>
  <c r="J196" i="4" s="1"/>
  <c r="G197" i="4" l="1"/>
  <c r="I197" i="4" s="1"/>
  <c r="L202" i="4" s="1"/>
  <c r="J197" i="4" l="1"/>
  <c r="J198" i="4" s="1"/>
  <c r="J199" i="4" s="1"/>
  <c r="J200" i="4" s="1"/>
  <c r="J201" i="4" s="1"/>
  <c r="J202" i="4" s="1"/>
  <c r="G203" i="4" l="1"/>
  <c r="I203" i="4" s="1"/>
  <c r="J203" i="4" s="1"/>
  <c r="G204" i="4" l="1"/>
  <c r="I204" i="4" s="1"/>
  <c r="J204" i="4" l="1"/>
  <c r="G205" i="4" l="1"/>
  <c r="I205" i="4" s="1"/>
  <c r="J205" i="4" l="1"/>
  <c r="G206" i="4" l="1"/>
  <c r="I206" i="4" s="1"/>
  <c r="J206" i="4" s="1"/>
  <c r="G207" i="4" l="1"/>
  <c r="I207" i="4" s="1"/>
  <c r="J207" i="4" s="1"/>
  <c r="G208" i="4" l="1"/>
  <c r="I208" i="4" s="1"/>
  <c r="J208" i="4" s="1"/>
  <c r="G209" i="4" l="1"/>
  <c r="I209" i="4" s="1"/>
  <c r="J209" i="4" s="1"/>
  <c r="G210" i="4" l="1"/>
  <c r="I210" i="4" s="1"/>
  <c r="J210" i="4" s="1"/>
  <c r="G211" i="4" l="1"/>
  <c r="I211" i="4" s="1"/>
  <c r="J211" i="4" s="1"/>
  <c r="G212" i="4" l="1"/>
  <c r="I212" i="4" s="1"/>
  <c r="J212" i="4" s="1"/>
  <c r="G213" i="4" l="1"/>
  <c r="I213" i="4" s="1"/>
  <c r="J213" i="4" s="1"/>
  <c r="G214" i="4" l="1"/>
  <c r="I214" i="4" s="1"/>
  <c r="J214" i="4" s="1"/>
  <c r="G215" i="4" l="1"/>
  <c r="I215" i="4" s="1"/>
  <c r="J215" i="4" s="1"/>
  <c r="G216" i="4" l="1"/>
  <c r="I216" i="4" s="1"/>
  <c r="J216" i="4" s="1"/>
  <c r="G217" i="4" l="1"/>
  <c r="I217" i="4" s="1"/>
  <c r="J217" i="4"/>
  <c r="G218" i="4" l="1"/>
  <c r="I218" i="4" s="1"/>
  <c r="J218" i="4" s="1"/>
  <c r="G219" i="4" l="1"/>
  <c r="I219" i="4" s="1"/>
  <c r="J219" i="4" s="1"/>
  <c r="G220" i="4" l="1"/>
  <c r="I220" i="4" s="1"/>
  <c r="J220" i="4" s="1"/>
  <c r="G221" i="4" l="1"/>
  <c r="I221" i="4" s="1"/>
  <c r="J221" i="4" s="1"/>
  <c r="G222" i="4" l="1"/>
  <c r="I222" i="4" s="1"/>
  <c r="J222" i="4" s="1"/>
  <c r="G223" i="4" l="1"/>
  <c r="I223" i="4" s="1"/>
  <c r="J223" i="4" s="1"/>
  <c r="G224" i="4" l="1"/>
  <c r="I224" i="4" s="1"/>
  <c r="J224" i="4" s="1"/>
  <c r="G225" i="4" l="1"/>
  <c r="I225" i="4" s="1"/>
  <c r="J225" i="4" s="1"/>
  <c r="G226" i="4" l="1"/>
  <c r="I226" i="4" s="1"/>
  <c r="J226" i="4" s="1"/>
  <c r="G227" i="4" l="1"/>
  <c r="I227" i="4" s="1"/>
  <c r="J227" i="4" s="1"/>
  <c r="G228" i="4" l="1"/>
  <c r="I228" i="4" s="1"/>
  <c r="J228" i="4" s="1"/>
  <c r="G229" i="4" l="1"/>
  <c r="I229" i="4" s="1"/>
  <c r="J229" i="4" s="1"/>
  <c r="G230" i="4" l="1"/>
  <c r="I230" i="4" s="1"/>
  <c r="J230" i="4" s="1"/>
  <c r="G231" i="4" l="1"/>
  <c r="I231" i="4" s="1"/>
  <c r="J231" i="4" s="1"/>
  <c r="G232" i="4" l="1"/>
  <c r="I232" i="4" s="1"/>
  <c r="J232" i="4" s="1"/>
  <c r="G233" i="4" l="1"/>
  <c r="I233" i="4" s="1"/>
  <c r="J233" i="4" s="1"/>
  <c r="G234" i="4" l="1"/>
  <c r="I234" i="4" s="1"/>
  <c r="J234" i="4" s="1"/>
  <c r="G235" i="4" l="1"/>
  <c r="I235" i="4" s="1"/>
  <c r="J235" i="4" s="1"/>
  <c r="G236" i="4" l="1"/>
  <c r="I236" i="4" s="1"/>
  <c r="J236" i="4" s="1"/>
  <c r="G237" i="4" l="1"/>
  <c r="I237" i="4" s="1"/>
  <c r="J237" i="4" s="1"/>
  <c r="G238" i="4" l="1"/>
  <c r="I238" i="4" s="1"/>
  <c r="J238" i="4" s="1"/>
  <c r="G239" i="4" l="1"/>
  <c r="I239" i="4" s="1"/>
  <c r="J239" i="4" s="1"/>
  <c r="G240" i="4" l="1"/>
  <c r="I240" i="4" s="1"/>
  <c r="J240" i="4" s="1"/>
  <c r="G241" i="4" l="1"/>
  <c r="I241" i="4" s="1"/>
  <c r="J241" i="4" s="1"/>
  <c r="G242" i="4" l="1"/>
  <c r="I242" i="4" s="1"/>
  <c r="J242" i="4" s="1"/>
  <c r="G243" i="4" l="1"/>
  <c r="I243" i="4" s="1"/>
  <c r="J243" i="4" s="1"/>
  <c r="G244" i="4" l="1"/>
  <c r="I244" i="4" s="1"/>
  <c r="J244" i="4" s="1"/>
  <c r="G245" i="4" l="1"/>
  <c r="I245" i="4" s="1"/>
  <c r="J245" i="4" s="1"/>
  <c r="G246" i="4" l="1"/>
  <c r="I246" i="4" s="1"/>
  <c r="J246" i="4" s="1"/>
  <c r="G247" i="4" l="1"/>
  <c r="I247" i="4" l="1"/>
  <c r="I250" i="4" l="1"/>
  <c r="J250" i="4" s="1"/>
  <c r="L247" i="4"/>
  <c r="L250" i="4" s="1"/>
  <c r="J247" i="4"/>
  <c r="F253" i="4" l="1"/>
  <c r="F254" i="4" s="1"/>
  <c r="G301" i="4"/>
  <c r="I301" i="4" s="1"/>
  <c r="J301" i="4" s="1"/>
  <c r="F258" i="4" l="1"/>
  <c r="F257" i="4"/>
  <c r="G302" i="4"/>
  <c r="I302" i="4" s="1"/>
  <c r="J302" i="4" s="1"/>
  <c r="F259" i="4" l="1"/>
  <c r="G303" i="4"/>
  <c r="I303" i="4" s="1"/>
  <c r="J303" i="4" s="1"/>
  <c r="G304" i="4" l="1"/>
  <c r="I304" i="4" s="1"/>
  <c r="J304" i="4" s="1"/>
  <c r="G305" i="4" l="1"/>
  <c r="I305" i="4" s="1"/>
  <c r="J305" i="4" s="1"/>
  <c r="G306" i="4" l="1"/>
  <c r="I306" i="4" s="1"/>
  <c r="J306" i="4" s="1"/>
  <c r="G307" i="4" l="1"/>
  <c r="I307" i="4" s="1"/>
  <c r="J307" i="4" s="1"/>
  <c r="G308" i="4" l="1"/>
  <c r="I308" i="4" s="1"/>
  <c r="J308" i="4" s="1"/>
  <c r="G309" i="4" l="1"/>
  <c r="I309" i="4" s="1"/>
  <c r="J309" i="4" s="1"/>
  <c r="G310" i="4" l="1"/>
  <c r="I310" i="4" s="1"/>
  <c r="J310" i="4" s="1"/>
  <c r="G311" i="4" l="1"/>
  <c r="I311" i="4" s="1"/>
  <c r="J311" i="4" s="1"/>
  <c r="G312" i="4" l="1"/>
  <c r="I312" i="4" s="1"/>
  <c r="J312" i="4" s="1"/>
  <c r="G313" i="4" l="1"/>
  <c r="I313" i="4" s="1"/>
  <c r="J313" i="4" s="1"/>
  <c r="G314" i="4" l="1"/>
  <c r="I314" i="4" s="1"/>
  <c r="J314" i="4" s="1"/>
  <c r="G315" i="4" l="1"/>
  <c r="I315" i="4" s="1"/>
  <c r="J315" i="4" s="1"/>
  <c r="G316" i="4" l="1"/>
  <c r="I316" i="4" s="1"/>
  <c r="J316" i="4" s="1"/>
  <c r="G317" i="4" l="1"/>
  <c r="I317" i="4" s="1"/>
  <c r="J317" i="4" s="1"/>
  <c r="G318" i="4" l="1"/>
  <c r="I318" i="4" s="1"/>
  <c r="J318" i="4" s="1"/>
  <c r="G319" i="4" l="1"/>
  <c r="I319" i="4" s="1"/>
  <c r="J319" i="4" s="1"/>
  <c r="G320" i="4" l="1"/>
  <c r="I320" i="4" s="1"/>
  <c r="J320" i="4" s="1"/>
  <c r="G321" i="4" l="1"/>
  <c r="I321" i="4" s="1"/>
  <c r="J321" i="4" s="1"/>
  <c r="G322" i="4" l="1"/>
  <c r="I322" i="4" s="1"/>
  <c r="J322" i="4" s="1"/>
  <c r="G323" i="4" l="1"/>
  <c r="I323" i="4" s="1"/>
  <c r="J323" i="4" s="1"/>
  <c r="G324" i="4" l="1"/>
  <c r="I324" i="4" s="1"/>
  <c r="J324" i="4" s="1"/>
  <c r="G325" i="4" l="1"/>
  <c r="I325" i="4" s="1"/>
  <c r="J325" i="4" s="1"/>
  <c r="G326" i="4" l="1"/>
  <c r="I326" i="4" s="1"/>
  <c r="J326" i="4" s="1"/>
  <c r="G327" i="4" l="1"/>
  <c r="I327" i="4" s="1"/>
  <c r="J327" i="4" s="1"/>
  <c r="G328" i="4" l="1"/>
  <c r="I328" i="4" s="1"/>
  <c r="J328" i="4" s="1"/>
  <c r="G329" i="4" l="1"/>
  <c r="I329" i="4" s="1"/>
  <c r="J329" i="4" s="1"/>
  <c r="G330" i="4" l="1"/>
  <c r="I330" i="4" s="1"/>
  <c r="J330" i="4" s="1"/>
  <c r="G331" i="4" l="1"/>
  <c r="I331" i="4" s="1"/>
  <c r="J331" i="4" s="1"/>
  <c r="G332" i="4" l="1"/>
  <c r="I332" i="4" s="1"/>
  <c r="J332" i="4" s="1"/>
  <c r="G333" i="4" l="1"/>
  <c r="I333" i="4" s="1"/>
  <c r="J333" i="4" s="1"/>
  <c r="G334" i="4" l="1"/>
  <c r="I334" i="4" s="1"/>
  <c r="J334" i="4" s="1"/>
  <c r="G335" i="4" l="1"/>
  <c r="I335" i="4" s="1"/>
  <c r="J335" i="4" s="1"/>
  <c r="G336" i="4" l="1"/>
  <c r="I336" i="4" s="1"/>
  <c r="J336" i="4" s="1"/>
  <c r="G337" i="4" l="1"/>
  <c r="I337" i="4" s="1"/>
  <c r="J337" i="4" s="1"/>
  <c r="G338" i="4" l="1"/>
  <c r="I338" i="4" s="1"/>
  <c r="J338" i="4" s="1"/>
  <c r="G339" i="4" l="1"/>
  <c r="I339" i="4" s="1"/>
  <c r="J339" i="4" s="1"/>
  <c r="G340" i="4" l="1"/>
  <c r="I340" i="4" s="1"/>
  <c r="J340" i="4" s="1"/>
  <c r="G341" i="4" l="1"/>
  <c r="I341" i="4" s="1"/>
  <c r="J341" i="4"/>
  <c r="G342" i="4" l="1"/>
  <c r="I342" i="4" s="1"/>
  <c r="J342" i="4"/>
  <c r="G343" i="4" l="1"/>
  <c r="I343" i="4" s="1"/>
  <c r="J343" i="4" s="1"/>
  <c r="G344" i="4" l="1"/>
  <c r="I344" i="4" s="1"/>
  <c r="J344" i="4" s="1"/>
  <c r="G345" i="4" l="1"/>
  <c r="I345" i="4" s="1"/>
  <c r="J345" i="4" s="1"/>
  <c r="G346" i="4" l="1"/>
  <c r="I346" i="4" s="1"/>
  <c r="J346" i="4" s="1"/>
  <c r="G347" i="4" l="1"/>
  <c r="I347" i="4" s="1"/>
  <c r="J347" i="4"/>
  <c r="G348" i="4" l="1"/>
  <c r="I348" i="4" s="1"/>
  <c r="J348" i="4" s="1"/>
  <c r="G349" i="4" l="1"/>
  <c r="I349" i="4" s="1"/>
  <c r="J349" i="4" s="1"/>
  <c r="G350" i="4" l="1"/>
  <c r="I350" i="4" s="1"/>
  <c r="J350" i="4"/>
  <c r="G351" i="4" l="1"/>
  <c r="I351" i="4" s="1"/>
  <c r="J351" i="4" s="1"/>
  <c r="G352" i="4" l="1"/>
  <c r="I352" i="4" s="1"/>
  <c r="J352" i="4" s="1"/>
  <c r="G353" i="4" l="1"/>
  <c r="I353" i="4" s="1"/>
  <c r="J353" i="4" s="1"/>
  <c r="G354" i="4" l="1"/>
  <c r="I354" i="4" s="1"/>
  <c r="J354" i="4" s="1"/>
  <c r="G355" i="4" l="1"/>
  <c r="I355" i="4" s="1"/>
  <c r="J355" i="4"/>
  <c r="G356" i="4" l="1"/>
  <c r="I356" i="4" s="1"/>
  <c r="J356" i="4" s="1"/>
  <c r="G357" i="4" l="1"/>
  <c r="I357" i="4" s="1"/>
  <c r="J357" i="4" s="1"/>
  <c r="G358" i="4" l="1"/>
  <c r="I358" i="4" s="1"/>
  <c r="J358" i="4" s="1"/>
  <c r="G359" i="4" l="1"/>
  <c r="I359" i="4" s="1"/>
  <c r="J359" i="4" s="1"/>
  <c r="G360" i="4" l="1"/>
  <c r="I360" i="4" s="1"/>
  <c r="J360" i="4" s="1"/>
  <c r="G361" i="4" l="1"/>
  <c r="I361" i="4" s="1"/>
  <c r="J361" i="4" s="1"/>
  <c r="G362" i="4" l="1"/>
  <c r="I362" i="4" s="1"/>
  <c r="J362" i="4" s="1"/>
  <c r="G363" i="4" l="1"/>
  <c r="I363" i="4" s="1"/>
  <c r="J363" i="4" s="1"/>
  <c r="G364" i="4" l="1"/>
  <c r="I364" i="4" s="1"/>
  <c r="J364" i="4" s="1"/>
  <c r="G365" i="4" l="1"/>
  <c r="I365" i="4" s="1"/>
  <c r="J365" i="4" s="1"/>
  <c r="G366" i="4" l="1"/>
  <c r="I366" i="4" s="1"/>
  <c r="J366" i="4" s="1"/>
  <c r="G367" i="4" l="1"/>
  <c r="I367" i="4" s="1"/>
  <c r="J367" i="4" s="1"/>
  <c r="G368" i="4" l="1"/>
  <c r="I368" i="4" s="1"/>
  <c r="J368" i="4" s="1"/>
  <c r="G369" i="4" l="1"/>
  <c r="I369" i="4" s="1"/>
  <c r="J369" i="4" s="1"/>
  <c r="G370" i="4" l="1"/>
  <c r="I370" i="4" s="1"/>
  <c r="J370" i="4" s="1"/>
  <c r="G371" i="4" l="1"/>
  <c r="I371" i="4" s="1"/>
  <c r="J371" i="4" s="1"/>
  <c r="G372" i="4" l="1"/>
  <c r="I372" i="4" s="1"/>
  <c r="J372" i="4" s="1"/>
  <c r="G373" i="4" l="1"/>
  <c r="I373" i="4" s="1"/>
  <c r="J373" i="4" s="1"/>
  <c r="G374" i="4" l="1"/>
  <c r="I374" i="4" s="1"/>
  <c r="J374" i="4" s="1"/>
  <c r="G375" i="4" l="1"/>
  <c r="I375" i="4" s="1"/>
  <c r="J375" i="4" s="1"/>
  <c r="G376" i="4" l="1"/>
  <c r="I376" i="4" s="1"/>
  <c r="J376" i="4"/>
  <c r="G377" i="4" l="1"/>
  <c r="I377" i="4" s="1"/>
  <c r="J377" i="4"/>
  <c r="G378" i="4" l="1"/>
  <c r="I378" i="4" s="1"/>
  <c r="J378" i="4" s="1"/>
  <c r="G379" i="4" l="1"/>
  <c r="I379" i="4" s="1"/>
  <c r="J379" i="4" s="1"/>
  <c r="G380" i="4" l="1"/>
  <c r="I380" i="4" s="1"/>
  <c r="J380" i="4" s="1"/>
  <c r="G381" i="4" l="1"/>
  <c r="I381" i="4" s="1"/>
  <c r="J381" i="4" s="1"/>
  <c r="G382" i="4" l="1"/>
  <c r="I382" i="4" s="1"/>
  <c r="J382" i="4" s="1"/>
  <c r="G383" i="4" l="1"/>
  <c r="I383" i="4" s="1"/>
  <c r="J383" i="4" s="1"/>
  <c r="G384" i="4" l="1"/>
  <c r="I384" i="4" s="1"/>
  <c r="J384" i="4" s="1"/>
  <c r="G385" i="4" l="1"/>
  <c r="I385" i="4" s="1"/>
  <c r="J385" i="4" s="1"/>
  <c r="G386" i="4" l="1"/>
  <c r="I386" i="4" s="1"/>
  <c r="J386" i="4" s="1"/>
  <c r="G387" i="4" l="1"/>
  <c r="I387" i="4" s="1"/>
  <c r="J387" i="4" s="1"/>
  <c r="G388" i="4" l="1"/>
  <c r="I388" i="4" s="1"/>
  <c r="J388" i="4" s="1"/>
  <c r="G389" i="4" l="1"/>
  <c r="I389" i="4" s="1"/>
  <c r="J389" i="4" s="1"/>
  <c r="G390" i="4" l="1"/>
  <c r="I390" i="4" s="1"/>
  <c r="J390" i="4" s="1"/>
  <c r="J391" i="4" s="1"/>
  <c r="J392" i="4" s="1"/>
  <c r="J393" i="4" s="1"/>
  <c r="J394" i="4" s="1"/>
  <c r="J395" i="4" s="1"/>
  <c r="J396" i="4" s="1"/>
  <c r="J397" i="4" s="1"/>
  <c r="J398" i="4" s="1"/>
  <c r="J399" i="4" s="1"/>
  <c r="J400" i="4" s="1"/>
  <c r="J401" i="4" s="1"/>
  <c r="J402" i="4" s="1"/>
  <c r="J403" i="4" s="1"/>
  <c r="J404" i="4" s="1"/>
  <c r="J405" i="4" s="1"/>
  <c r="J406" i="4" s="1"/>
  <c r="J407" i="4" s="1"/>
  <c r="J408" i="4" s="1"/>
  <c r="J409" i="4" s="1"/>
  <c r="J410" i="4" s="1"/>
  <c r="J411" i="4" s="1"/>
  <c r="J412" i="4" s="1"/>
  <c r="J413" i="4" s="1"/>
  <c r="J414" i="4" s="1"/>
  <c r="J415" i="4" s="1"/>
  <c r="J416" i="4" s="1"/>
  <c r="J417" i="4" s="1"/>
  <c r="J418" i="4" s="1"/>
  <c r="J419" i="4" s="1"/>
  <c r="J420" i="4" s="1"/>
  <c r="J421" i="4" s="1"/>
  <c r="J422" i="4" s="1"/>
  <c r="J423" i="4" s="1"/>
  <c r="J424" i="4" s="1"/>
  <c r="J425" i="4" s="1"/>
  <c r="J426" i="4" s="1"/>
  <c r="J427" i="4" s="1"/>
  <c r="J428" i="4" s="1"/>
  <c r="J429" i="4" s="1"/>
  <c r="J430" i="4" s="1"/>
  <c r="J431" i="4" s="1"/>
  <c r="J432" i="4" s="1"/>
  <c r="J433" i="4" s="1"/>
  <c r="J434" i="4" s="1"/>
  <c r="J435" i="4" s="1"/>
  <c r="J436" i="4" s="1"/>
  <c r="J437" i="4" s="1"/>
  <c r="J438" i="4" s="1"/>
  <c r="J439" i="4" s="1"/>
  <c r="J440" i="4" s="1"/>
  <c r="J441" i="4" s="1"/>
  <c r="J442" i="4" s="1"/>
  <c r="J443" i="4" s="1"/>
  <c r="J444" i="4" s="1"/>
  <c r="J445" i="4" s="1"/>
  <c r="J446" i="4" s="1"/>
  <c r="J447" i="4" s="1"/>
  <c r="J448" i="4" s="1"/>
  <c r="J449" i="4" s="1"/>
  <c r="J450" i="4" s="1"/>
  <c r="J451" i="4" s="1"/>
  <c r="J452" i="4" s="1"/>
  <c r="J453" i="4" s="1"/>
  <c r="J454" i="4" s="1"/>
  <c r="J455" i="4" s="1"/>
  <c r="J456" i="4" s="1"/>
  <c r="J457" i="4" s="1"/>
  <c r="J458" i="4" s="1"/>
  <c r="J459" i="4" s="1"/>
  <c r="J460" i="4" s="1"/>
  <c r="J461" i="4" s="1"/>
  <c r="J462" i="4" s="1"/>
  <c r="J463" i="4" s="1"/>
  <c r="J464" i="4" s="1"/>
  <c r="J465" i="4" s="1"/>
  <c r="J466" i="4" s="1"/>
  <c r="J467" i="4" s="1"/>
  <c r="J468" i="4" s="1"/>
  <c r="J469" i="4" s="1"/>
  <c r="J470" i="4" s="1"/>
  <c r="J471" i="4" s="1"/>
  <c r="J472" i="4" s="1"/>
  <c r="J473" i="4" s="1"/>
  <c r="J474" i="4" s="1"/>
  <c r="J475" i="4" s="1"/>
  <c r="J476" i="4" s="1"/>
  <c r="J477" i="4" s="1"/>
  <c r="J478" i="4" s="1"/>
  <c r="J479" i="4" s="1"/>
  <c r="J480" i="4" s="1"/>
  <c r="J481" i="4" s="1"/>
  <c r="J482" i="4" s="1"/>
  <c r="J483" i="4" s="1"/>
  <c r="J484" i="4" s="1"/>
  <c r="J485" i="4" s="1"/>
  <c r="J486" i="4" s="1"/>
  <c r="J487" i="4" s="1"/>
  <c r="J488" i="4" s="1"/>
  <c r="J489" i="4" s="1"/>
  <c r="J490" i="4" s="1"/>
  <c r="J491" i="4" s="1"/>
  <c r="J492" i="4" s="1"/>
  <c r="J493" i="4" s="1"/>
  <c r="J494" i="4" s="1"/>
  <c r="J495" i="4" s="1"/>
  <c r="J496" i="4" s="1"/>
  <c r="J497" i="4" s="1"/>
  <c r="J498" i="4" s="1"/>
  <c r="J499" i="4" s="1"/>
  <c r="J500" i="4" s="1"/>
  <c r="J501" i="4" s="1"/>
  <c r="J502" i="4" s="1"/>
  <c r="J503" i="4" s="1"/>
  <c r="J504" i="4" s="1"/>
  <c r="J505" i="4" s="1"/>
  <c r="J506" i="4" s="1"/>
  <c r="J507" i="4" s="1"/>
  <c r="J508" i="4" s="1"/>
  <c r="J509" i="4" s="1"/>
  <c r="J510" i="4" s="1"/>
  <c r="J511" i="4" s="1"/>
  <c r="J512" i="4" s="1"/>
  <c r="J513" i="4" s="1"/>
  <c r="J514" i="4" s="1"/>
  <c r="J515" i="4" s="1"/>
  <c r="J516" i="4" s="1"/>
  <c r="J517" i="4" s="1"/>
  <c r="J518" i="4" s="1"/>
  <c r="J519" i="4" s="1"/>
  <c r="J520" i="4" s="1"/>
  <c r="J521" i="4" s="1"/>
  <c r="J522" i="4" s="1"/>
  <c r="J523" i="4" s="1"/>
  <c r="J524" i="4" s="1"/>
  <c r="J525" i="4" s="1"/>
  <c r="J526" i="4" s="1"/>
  <c r="J527" i="4" s="1"/>
  <c r="J528" i="4" s="1"/>
  <c r="J529" i="4" s="1"/>
  <c r="J530" i="4" s="1"/>
  <c r="J531" i="4" s="1"/>
  <c r="J532" i="4" s="1"/>
  <c r="J533" i="4" s="1"/>
  <c r="J534" i="4" s="1"/>
  <c r="J535" i="4" s="1"/>
  <c r="J536" i="4" s="1"/>
  <c r="J537" i="4" s="1"/>
  <c r="J538" i="4" s="1"/>
  <c r="J539" i="4" s="1"/>
  <c r="J540" i="4" s="1"/>
  <c r="J541" i="4" s="1"/>
  <c r="J542" i="4" s="1"/>
  <c r="J543" i="4" s="1"/>
  <c r="J544" i="4" s="1"/>
  <c r="J545" i="4" s="1"/>
  <c r="J546" i="4" s="1"/>
  <c r="J547" i="4" s="1"/>
  <c r="J548" i="4" s="1"/>
  <c r="J549" i="4" s="1"/>
  <c r="J550" i="4" s="1"/>
</calcChain>
</file>

<file path=xl/sharedStrings.xml><?xml version="1.0" encoding="utf-8"?>
<sst xmlns="http://schemas.openxmlformats.org/spreadsheetml/2006/main" count="786" uniqueCount="533">
  <si>
    <t>VENTA CAL. F-546</t>
  </si>
  <si>
    <t>/01/2013</t>
  </si>
  <si>
    <t>VENTA CAL. F-545</t>
  </si>
  <si>
    <t>VENTA CAL. F-544</t>
  </si>
  <si>
    <t>VENTA CAL. F-543</t>
  </si>
  <si>
    <t>VENTA CAL. F-542</t>
  </si>
  <si>
    <t>VENTA CAL. F-541</t>
  </si>
  <si>
    <t>VENTA CAL. F-540</t>
  </si>
  <si>
    <t>VENTA CAL. F-539</t>
  </si>
  <si>
    <t>VENTA CAL. F-538</t>
  </si>
  <si>
    <t>VENTA CAL. F-537</t>
  </si>
  <si>
    <t>VENTA CAL. F-536</t>
  </si>
  <si>
    <t>VENTA CAL. F-535</t>
  </si>
  <si>
    <t>VENTA CAL. F-534</t>
  </si>
  <si>
    <t>VENTA CAL. F-533</t>
  </si>
  <si>
    <t>VENTA CAL. F-532</t>
  </si>
  <si>
    <t>VENTA CAL. F-531</t>
  </si>
  <si>
    <t>VENTA CAL. F-530</t>
  </si>
  <si>
    <t>VENTA CAL. F-529</t>
  </si>
  <si>
    <t>VENTA CAL. F-528</t>
  </si>
  <si>
    <t>VENTA CAL. F-527</t>
  </si>
  <si>
    <t>VENTA CAL. F-526</t>
  </si>
  <si>
    <t>VENTA CAL. F-525</t>
  </si>
  <si>
    <t>VENTA CAL. F-524</t>
  </si>
  <si>
    <t>VENTA CAL. F-523</t>
  </si>
  <si>
    <t>VENTA CAL. F-522</t>
  </si>
  <si>
    <t>VENTA CAL. F-521</t>
  </si>
  <si>
    <t>VENTA CAL. F-520</t>
  </si>
  <si>
    <t>VENTA CAL. F-519</t>
  </si>
  <si>
    <t>VENTA CAL. F-518</t>
  </si>
  <si>
    <t>VENTA CAL. F-517</t>
  </si>
  <si>
    <t>VENTA CAL. F-516</t>
  </si>
  <si>
    <t>VENTA CAL. F-515</t>
  </si>
  <si>
    <t>VENTA CAL. F-514</t>
  </si>
  <si>
    <t>VENTA CAL. F-513</t>
  </si>
  <si>
    <t>VENTA CAL. F-512</t>
  </si>
  <si>
    <t>VENTA CAL. F-511</t>
  </si>
  <si>
    <t>VENTA CAL. F-510</t>
  </si>
  <si>
    <t>VENTA CAL. F-509</t>
  </si>
  <si>
    <t>VENTA CAL. F-508</t>
  </si>
  <si>
    <t>VENTA CAL. F-507</t>
  </si>
  <si>
    <t>VENTA CAL. F-506</t>
  </si>
  <si>
    <t>VENTA CAL. F-505</t>
  </si>
  <si>
    <t>VENTA CAL. F-504</t>
  </si>
  <si>
    <t>VENTA CAL. F-503</t>
  </si>
  <si>
    <t>VENTA CAL. F-502</t>
  </si>
  <si>
    <t>VENTA CAL. F-501</t>
  </si>
  <si>
    <t>VENTA CAL. F-500</t>
  </si>
  <si>
    <t>VENTA CAL. F-499</t>
  </si>
  <si>
    <t>VENTA CAL. F-498</t>
  </si>
  <si>
    <t>VENTA CAL. F-497</t>
  </si>
  <si>
    <t>VENTA CAL. F-496</t>
  </si>
  <si>
    <t>VENTA CAL. F-495</t>
  </si>
  <si>
    <t>VENTA CAL. F-494</t>
  </si>
  <si>
    <t>VENTA CAL. F-493</t>
  </si>
  <si>
    <t>VENTA CAL. F-492</t>
  </si>
  <si>
    <t>VENTA CAL. F-491</t>
  </si>
  <si>
    <t>VENTA CAL. F-490</t>
  </si>
  <si>
    <t>VENTA CAL. F-489</t>
  </si>
  <si>
    <t>VENTA CAL. F-488</t>
  </si>
  <si>
    <t>VENTA CAL. F-487</t>
  </si>
  <si>
    <t>VENTA CAL. F-486</t>
  </si>
  <si>
    <t>VENTA CAL. F-485</t>
  </si>
  <si>
    <t>VENTA CAL. F-484</t>
  </si>
  <si>
    <t>VENTA CAL. F-483</t>
  </si>
  <si>
    <t>VENTA CAL. F-482</t>
  </si>
  <si>
    <t>VENTA CAL. F-481</t>
  </si>
  <si>
    <t>VENTA CAL. F-480</t>
  </si>
  <si>
    <t>VENTA CAL. F-479</t>
  </si>
  <si>
    <t>VENTA CAL. F-478</t>
  </si>
  <si>
    <t>VENTA CAL. F-477</t>
  </si>
  <si>
    <t>VENTA CAL. F-476</t>
  </si>
  <si>
    <t>VENTA CAL. F-475</t>
  </si>
  <si>
    <t>VENTA CAL. F-474</t>
  </si>
  <si>
    <t>VENTA CAL. F-473</t>
  </si>
  <si>
    <t>VENTA CAL. F-472</t>
  </si>
  <si>
    <t>VENTA CAL. F-471</t>
  </si>
  <si>
    <t>VENTA CAL. F-470</t>
  </si>
  <si>
    <t>VENTA CAL. F-469</t>
  </si>
  <si>
    <t>VENTA CAL. F-468</t>
  </si>
  <si>
    <t>VENTA CAL. F-467</t>
  </si>
  <si>
    <t>VENTA CAL. F-466</t>
  </si>
  <si>
    <t>VENTA CAL. F-465</t>
  </si>
  <si>
    <t>VENTA CAL. F-464</t>
  </si>
  <si>
    <t>VENTA CAL. F-463</t>
  </si>
  <si>
    <t>VENTA CAL. F-462</t>
  </si>
  <si>
    <t>VENTA CAL. F-461</t>
  </si>
  <si>
    <t>VENTA CAL. F-460</t>
  </si>
  <si>
    <t>VENTA CAL. F-459</t>
  </si>
  <si>
    <t>VENTA CAL. F-458</t>
  </si>
  <si>
    <t>VENTA CAL. F-457</t>
  </si>
  <si>
    <t>VENTA CAL. F-456</t>
  </si>
  <si>
    <t>VENTA CAL. F-455</t>
  </si>
  <si>
    <t>VENTA CAL. F-454</t>
  </si>
  <si>
    <t>VENTA CAL. F-453</t>
  </si>
  <si>
    <t>VENTA CAL. F-452</t>
  </si>
  <si>
    <t>VENTA CAL. F-451</t>
  </si>
  <si>
    <t>VENTA CAL. F-450</t>
  </si>
  <si>
    <t>VENTA CAL. F-449</t>
  </si>
  <si>
    <t>VENTA CAL. F-448</t>
  </si>
  <si>
    <t>VENTA CAL. F-447</t>
  </si>
  <si>
    <t>VENTA CAL. F-446</t>
  </si>
  <si>
    <t>VENTA CAL. F-445</t>
  </si>
  <si>
    <t>VENTA CAL. F-444</t>
  </si>
  <si>
    <t>VENTA CAL. F-443</t>
  </si>
  <si>
    <t>VENTA CAL. F-442</t>
  </si>
  <si>
    <t>VENTA CAL. F-441</t>
  </si>
  <si>
    <t>VENTA CAL. F-440</t>
  </si>
  <si>
    <t>VENTA CAL. F-439</t>
  </si>
  <si>
    <t>VENTA CAL. F-438</t>
  </si>
  <si>
    <t>VENTA CAL. F-437</t>
  </si>
  <si>
    <t>VENTA CAL. F-436</t>
  </si>
  <si>
    <t>VENTA CAL. F-435</t>
  </si>
  <si>
    <t>VENTA CAL. F-434</t>
  </si>
  <si>
    <t>VENTA CAL. F-433</t>
  </si>
  <si>
    <t>VENTA CAL. F-432</t>
  </si>
  <si>
    <t>VENTA CAL. F-431</t>
  </si>
  <si>
    <t>VENTA CAL. F-430</t>
  </si>
  <si>
    <t>VENTA CAL. F-429</t>
  </si>
  <si>
    <t>VENTA CAL. F-428</t>
  </si>
  <si>
    <t>VENTA CAL. F-427</t>
  </si>
  <si>
    <t>VENTA CAL. F-426</t>
  </si>
  <si>
    <t>VENTA CAL. F-425</t>
  </si>
  <si>
    <t>VENTA CAL. F-424</t>
  </si>
  <si>
    <t>VENTA CAL. F-423</t>
  </si>
  <si>
    <t>VENTA CAL. F-422</t>
  </si>
  <si>
    <t>VENTA CAL. F-421</t>
  </si>
  <si>
    <t>VENTA CAL. F-420</t>
  </si>
  <si>
    <t>VENTA CAL. F-419</t>
  </si>
  <si>
    <t>VENTA CAL. F-418</t>
  </si>
  <si>
    <t>VENTA CAL. F-417</t>
  </si>
  <si>
    <t>VENTA CAL. F-416</t>
  </si>
  <si>
    <t>VENTA CAL. F-415</t>
  </si>
  <si>
    <t>VENTA CAL. F-414</t>
  </si>
  <si>
    <t>VENTA CAL. F-413</t>
  </si>
  <si>
    <t>VENTA CAL. F-412</t>
  </si>
  <si>
    <t>/03/2013</t>
  </si>
  <si>
    <t>VENTA CAL. F-411</t>
  </si>
  <si>
    <t>VENTA CAL. F-410</t>
  </si>
  <si>
    <t>VENTA CAL. F-409</t>
  </si>
  <si>
    <t>VENTA CAL. F-408</t>
  </si>
  <si>
    <t>VENTA CAL. F-407</t>
  </si>
  <si>
    <t>VENTA CAL. F-406</t>
  </si>
  <si>
    <t>VENTA CAL. F-405</t>
  </si>
  <si>
    <t>VENTA CAL. F-404</t>
  </si>
  <si>
    <t>VENTA CAL. F-403</t>
  </si>
  <si>
    <t>VENTA CAL. F-402</t>
  </si>
  <si>
    <t>VENTA CAL. F-401</t>
  </si>
  <si>
    <t>VENTA CAL. F-400</t>
  </si>
  <si>
    <t>VENTA CAL. F-399</t>
  </si>
  <si>
    <t>VENTA CAL. F-398</t>
  </si>
  <si>
    <t>VENTA CAL. F-397</t>
  </si>
  <si>
    <t>VENTA CAL. F-396</t>
  </si>
  <si>
    <t>VENTA CAL. F-395</t>
  </si>
  <si>
    <t>VENTA CAL. F-394</t>
  </si>
  <si>
    <t>VENTA CAL. F-393</t>
  </si>
  <si>
    <t>VENTA CAL. F-392</t>
  </si>
  <si>
    <t>VENTA CAL. F-391</t>
  </si>
  <si>
    <t>VENTA CAL. F-390</t>
  </si>
  <si>
    <t>VENTA CAL. F-389</t>
  </si>
  <si>
    <t>VENTA CAL. F-388</t>
  </si>
  <si>
    <t>VENTA CAL. F-387</t>
  </si>
  <si>
    <t>VENTA CAL. F-386</t>
  </si>
  <si>
    <t>VENTA CAL. F-385</t>
  </si>
  <si>
    <t>VENTA CAL. F-384</t>
  </si>
  <si>
    <t>VENTA CAL. F-383</t>
  </si>
  <si>
    <t>VENTA CAL. F-382</t>
  </si>
  <si>
    <t>VENTA CAL. F-381</t>
  </si>
  <si>
    <t>VENTA CAL. F-380</t>
  </si>
  <si>
    <t>VENTA CAL. F-379</t>
  </si>
  <si>
    <t>ganchos</t>
  </si>
  <si>
    <t>VENTA CAL. F-378</t>
  </si>
  <si>
    <t>VENTA CAL. F-377</t>
  </si>
  <si>
    <t>VENTA CAL. F-376</t>
  </si>
  <si>
    <t>VENTA CAL. F-375</t>
  </si>
  <si>
    <t>VENTA CAL. F-374</t>
  </si>
  <si>
    <t>VENTA CAL. F-373</t>
  </si>
  <si>
    <t>VENTA CAL. F-372</t>
  </si>
  <si>
    <t>VENTA CAL. F-371</t>
  </si>
  <si>
    <t>VENTA CAL. F-370</t>
  </si>
  <si>
    <t>VENTA CAL. F-369</t>
  </si>
  <si>
    <t>VENTA CAL. F-368</t>
  </si>
  <si>
    <t>VENTA CAL. F-367</t>
  </si>
  <si>
    <t>VENTA CAL. F-366</t>
  </si>
  <si>
    <t>VENTA CAL. F-365</t>
  </si>
  <si>
    <t>VENTA CAL. F-364</t>
  </si>
  <si>
    <t>VENTA CAL. F-363</t>
  </si>
  <si>
    <t>VENTA CAL. F-362</t>
  </si>
  <si>
    <t>VENTA CAL. F-361</t>
  </si>
  <si>
    <t>VENTA CAL. F-360</t>
  </si>
  <si>
    <t>VENTA CAL. F-359</t>
  </si>
  <si>
    <t>VENTA CAL. F-358</t>
  </si>
  <si>
    <t>VENTA CAL. F-357</t>
  </si>
  <si>
    <t>VENTA CAL. F-356</t>
  </si>
  <si>
    <t>VENTA CAL. F-355</t>
  </si>
  <si>
    <t>VENTA CAL. F-354</t>
  </si>
  <si>
    <t>VENTA CAL. F-353</t>
  </si>
  <si>
    <t>VENTA CAL. F-352</t>
  </si>
  <si>
    <t>VENTA CAL. F-351</t>
  </si>
  <si>
    <t>VENTA CAL. F-350</t>
  </si>
  <si>
    <t>VENTA CAL. F-349</t>
  </si>
  <si>
    <t>VENTA CAL. F-348</t>
  </si>
  <si>
    <t>VENTA CAL. F-347</t>
  </si>
  <si>
    <t>VENTA CAL. F-346</t>
  </si>
  <si>
    <t>VENTA CAL. F-345</t>
  </si>
  <si>
    <t>VENTA CAL. F-344</t>
  </si>
  <si>
    <t>VENTA CAL. F-343</t>
  </si>
  <si>
    <t>VENTA CAL. F-342</t>
  </si>
  <si>
    <t>VENTA CAL. F-341</t>
  </si>
  <si>
    <t>VENTA CAL. F-340</t>
  </si>
  <si>
    <t>VENTA CAL. F-339</t>
  </si>
  <si>
    <t>VENTA CAL. F-338</t>
  </si>
  <si>
    <t>VENTA CAL. F-337</t>
  </si>
  <si>
    <t>VENTA CAL. F-336</t>
  </si>
  <si>
    <t>VENTA CAL. F-335</t>
  </si>
  <si>
    <t>VENTA CAL. F-334</t>
  </si>
  <si>
    <t>VENTA CAL. F-333</t>
  </si>
  <si>
    <t>VENTA CAL. F-332</t>
  </si>
  <si>
    <t>VENTA CAL. F-331</t>
  </si>
  <si>
    <t>VENTA CAL. F-330</t>
  </si>
  <si>
    <t>VENTA CAL. F-329</t>
  </si>
  <si>
    <t>VENTA CAL. F-328</t>
  </si>
  <si>
    <t>VENTA CAL. F-327</t>
  </si>
  <si>
    <t>VENTA CAL. F-326</t>
  </si>
  <si>
    <t>VENTA CAL. F-325</t>
  </si>
  <si>
    <t>VENTA CAL. F-324</t>
  </si>
  <si>
    <t>VENTA CAL. F-323</t>
  </si>
  <si>
    <t>VENTA CAL. F-322</t>
  </si>
  <si>
    <t>VENTA CAL. F-321</t>
  </si>
  <si>
    <t>VENTA CAL. F-320</t>
  </si>
  <si>
    <t>VENTA CAL. F-319</t>
  </si>
  <si>
    <t>VENTA CAL. F-318</t>
  </si>
  <si>
    <t>VENTA CAL. F-317</t>
  </si>
  <si>
    <t>VENTA CAL. F-316</t>
  </si>
  <si>
    <t>VENTA CAL. F-315</t>
  </si>
  <si>
    <t>VENTA CAL. F-314</t>
  </si>
  <si>
    <t>VENTA CAL. F-313</t>
  </si>
  <si>
    <t>VENTA CAL. F-312</t>
  </si>
  <si>
    <t>VENTA CAL. F-311</t>
  </si>
  <si>
    <t>VENTA CAL. F-310</t>
  </si>
  <si>
    <t>VENTA CAL. F-309</t>
  </si>
  <si>
    <t>VENTA CAL. F-308</t>
  </si>
  <si>
    <t>VENTA CAL. F-307</t>
  </si>
  <si>
    <t>VENTA CAL. F-306</t>
  </si>
  <si>
    <t>VENTA CAL. F-305</t>
  </si>
  <si>
    <t>VENTA CAL. F-304</t>
  </si>
  <si>
    <t>VENTA CAL. F-303</t>
  </si>
  <si>
    <t>VENTA CAL. F-302</t>
  </si>
  <si>
    <t>VENTA CAL. F-301</t>
  </si>
  <si>
    <t>VENTA CAL. F-300</t>
  </si>
  <si>
    <t>VENTA CAL. F-299</t>
  </si>
  <si>
    <t>VENTA CAL. F-298</t>
  </si>
  <si>
    <t>VENTA CAL. F-297</t>
  </si>
  <si>
    <t>SALDO</t>
  </si>
  <si>
    <t>HABER</t>
  </si>
  <si>
    <t>DEBE</t>
  </si>
  <si>
    <t>PROM.</t>
  </si>
  <si>
    <t>ADQ.</t>
  </si>
  <si>
    <t xml:space="preserve">SALDO </t>
  </si>
  <si>
    <t>SALIDA</t>
  </si>
  <si>
    <t>ENTRADA</t>
  </si>
  <si>
    <t>OBSERVACIONES</t>
  </si>
  <si>
    <t>KARDEX VALORADO</t>
  </si>
  <si>
    <t>COSTO UNITARIO</t>
  </si>
  <si>
    <t>KARDEX FISICO</t>
  </si>
  <si>
    <t>DETALLE</t>
  </si>
  <si>
    <t>FECHA</t>
  </si>
  <si>
    <t xml:space="preserve">               (Expresado en bolivianos)</t>
  </si>
  <si>
    <t xml:space="preserve">                Practicado al 31 de diciembre DE 2013</t>
  </si>
  <si>
    <t>KARDEX  FISICO VALORADO</t>
  </si>
  <si>
    <t>Unidad de Medida:Metros lineales</t>
  </si>
  <si>
    <t>Cochabamba - Bolivia</t>
  </si>
  <si>
    <t>Mercaderia:Planchas para calaminas</t>
  </si>
  <si>
    <t>NIT  358900018</t>
  </si>
  <si>
    <t>Metodo:Promedio Ponderado</t>
  </si>
  <si>
    <t>FELIX DELGADILLO MEJIA</t>
  </si>
  <si>
    <t>Ajuste po Inflación y Tenencia de Bienes</t>
  </si>
  <si>
    <t>Menos Costo Historico</t>
  </si>
  <si>
    <t>Inventario Actualizado será:</t>
  </si>
  <si>
    <t xml:space="preserve">El factor sería: </t>
  </si>
  <si>
    <t>Actualización aplicada una medida aritmética de las medidas de variacionones en la cotización del periodo.</t>
  </si>
  <si>
    <t>El inventario final al costo historico será</t>
  </si>
  <si>
    <t>Costo promedio ponderado</t>
  </si>
  <si>
    <t>SUMAS TOTALES Y SALDOS</t>
  </si>
  <si>
    <t>VENTA CAL. F-296</t>
  </si>
  <si>
    <t>VENTA CAL. F-295</t>
  </si>
  <si>
    <t>VENTA CAL. F-294</t>
  </si>
  <si>
    <t>VENTA CAL. F-293</t>
  </si>
  <si>
    <t>VENTA CAL. F-291</t>
  </si>
  <si>
    <t>VENTA CAL. F-290</t>
  </si>
  <si>
    <t>VENTA CAL. F-289</t>
  </si>
  <si>
    <t>VENTA CAL. F-288</t>
  </si>
  <si>
    <t>VENTA CAL. F-287</t>
  </si>
  <si>
    <t>VENTA CAL. F-286</t>
  </si>
  <si>
    <t>VENTA CAL. F-285</t>
  </si>
  <si>
    <t>VENTA CAL. F-284</t>
  </si>
  <si>
    <t>VENTA CAL. F-283</t>
  </si>
  <si>
    <t>VENTA CAL. F-282</t>
  </si>
  <si>
    <t>VENTA CAL. F-281</t>
  </si>
  <si>
    <t>VENTA CAL. F-280</t>
  </si>
  <si>
    <t>VENTA CAL. F-279</t>
  </si>
  <si>
    <t>VENTA CAL. F-277</t>
  </si>
  <si>
    <t>VENTA CAL. F-274</t>
  </si>
  <si>
    <t>VENTA CAL. F-272</t>
  </si>
  <si>
    <t>VENTA CAL. F-270</t>
  </si>
  <si>
    <t>ANULADO F-269</t>
  </si>
  <si>
    <t>VENTA CAL. F-268</t>
  </si>
  <si>
    <t>VENTA CAL. F-264</t>
  </si>
  <si>
    <t>ANULADO F-263</t>
  </si>
  <si>
    <t>VENTA CAL. F-262</t>
  </si>
  <si>
    <t>VENTA CAL. F-261</t>
  </si>
  <si>
    <t>VENTA CAL. F-260</t>
  </si>
  <si>
    <t>VENTA CAL. F-259</t>
  </si>
  <si>
    <t>VENTA CAL. F-258</t>
  </si>
  <si>
    <t>VENTA CAL. F-257</t>
  </si>
  <si>
    <t>VENTA CAL. F-256</t>
  </si>
  <si>
    <t>VENTA CAL. F-255</t>
  </si>
  <si>
    <t>VENTA CAL. F-254</t>
  </si>
  <si>
    <t>VENTA CAL. F-253</t>
  </si>
  <si>
    <t>VENTA CAL. F-252</t>
  </si>
  <si>
    <t>VENTA CAL. F-251</t>
  </si>
  <si>
    <t>VENTA CAL. F-250</t>
  </si>
  <si>
    <t>VENTA CAL. F-249</t>
  </si>
  <si>
    <t>VENTA CAL. F-248</t>
  </si>
  <si>
    <t>VENTA CAL. F-247</t>
  </si>
  <si>
    <t>VENTA CAL. F-246</t>
  </si>
  <si>
    <t>VENTA CAL. F-245</t>
  </si>
  <si>
    <t>VENTA CAL. F-244</t>
  </si>
  <si>
    <t>VENTA CAL. F-243</t>
  </si>
  <si>
    <t>COMPRA PLANCHA</t>
  </si>
  <si>
    <t>VENTA CAL. F-242</t>
  </si>
  <si>
    <t>VENTA CAL. F-241</t>
  </si>
  <si>
    <t>VENTA CAL. F-240</t>
  </si>
  <si>
    <t>VENTA CAL. F-239</t>
  </si>
  <si>
    <t>VENTA CAL. F-238</t>
  </si>
  <si>
    <t>VENTA CAL. F-237</t>
  </si>
  <si>
    <t>VENTA CAL. F-236</t>
  </si>
  <si>
    <t>VENTA CAL. F-235</t>
  </si>
  <si>
    <t>VENTA CAL. F-234</t>
  </si>
  <si>
    <t>ANULADO F-233</t>
  </si>
  <si>
    <t>VENTA CAL. F-232</t>
  </si>
  <si>
    <t>VENTA CAL. F-231</t>
  </si>
  <si>
    <t>ANULADO F-230</t>
  </si>
  <si>
    <t>VENTA CAL. F-229</t>
  </si>
  <si>
    <t>VENTA CAL. F-228</t>
  </si>
  <si>
    <t>VENTA CAL. F-227</t>
  </si>
  <si>
    <t>ANULADO F-226</t>
  </si>
  <si>
    <t>VENTA CAL. F-225</t>
  </si>
  <si>
    <t>VENTA CAL. F-224</t>
  </si>
  <si>
    <t>VENTA CAL. F-223</t>
  </si>
  <si>
    <t>VENTA CAL. F-222</t>
  </si>
  <si>
    <t>VENTA CAL. F-221</t>
  </si>
  <si>
    <t>VENTA CAL. F-220</t>
  </si>
  <si>
    <t>VENTA CAL. F-219</t>
  </si>
  <si>
    <t>VENTA CAL. F-218</t>
  </si>
  <si>
    <t>VENTA CAL. F-217</t>
  </si>
  <si>
    <t>VENTA CAL. F-216</t>
  </si>
  <si>
    <t>VENTA CAL. F-215</t>
  </si>
  <si>
    <t>VENTA CAL. F-214</t>
  </si>
  <si>
    <t>VENTA CAL. F-213</t>
  </si>
  <si>
    <t>VENTA CAL. F-212</t>
  </si>
  <si>
    <t>VENTA CAL. F-211</t>
  </si>
  <si>
    <t>VENTA CAL. F-210</t>
  </si>
  <si>
    <t>VENTA CAL. F-209</t>
  </si>
  <si>
    <t>VENTA CAL. F-208</t>
  </si>
  <si>
    <t>VENTA CAL. F-207</t>
  </si>
  <si>
    <t>VENTA CAL. F-206</t>
  </si>
  <si>
    <t>VENTA CAL. F-205</t>
  </si>
  <si>
    <t>VENTA CAL. F-204</t>
  </si>
  <si>
    <t>VENTA CAL. F-203</t>
  </si>
  <si>
    <t>VENTA CAL. F-202</t>
  </si>
  <si>
    <t>VENTA CAL. F-201</t>
  </si>
  <si>
    <t>ANULADOS F-151-200</t>
  </si>
  <si>
    <t>ANULADOS F-145-150</t>
  </si>
  <si>
    <t>VENTA CAL. F-144</t>
  </si>
  <si>
    <t>VENTA CAL. F-143</t>
  </si>
  <si>
    <t>VENTA CAL. F-142</t>
  </si>
  <si>
    <t>VENTA CAL. F-141</t>
  </si>
  <si>
    <t>VENTA CAL. F-140</t>
  </si>
  <si>
    <t>VENTA CAL. F-139</t>
  </si>
  <si>
    <t>VENTA CAL. F-138</t>
  </si>
  <si>
    <t>VENTA CAL. F-137</t>
  </si>
  <si>
    <t>VENTA CAL. F-136</t>
  </si>
  <si>
    <t>VENTA CAL. F-135</t>
  </si>
  <si>
    <t>VENTA CAL. F-134</t>
  </si>
  <si>
    <t>VENTA CAL. F-133</t>
  </si>
  <si>
    <t>VENTA CAL. F-132</t>
  </si>
  <si>
    <t>VENTA CAL. F-131</t>
  </si>
  <si>
    <t>VENTA CAL. F-130</t>
  </si>
  <si>
    <t>VENTA CAL. F-129</t>
  </si>
  <si>
    <t>VENTA CAL. F-128</t>
  </si>
  <si>
    <t>VENTA CAL. F-127</t>
  </si>
  <si>
    <t>VENTA CAL. F-126</t>
  </si>
  <si>
    <t>VENTA CAL. F-125</t>
  </si>
  <si>
    <t>VENTA CAL. F-124</t>
  </si>
  <si>
    <t>VENTA CAL. F-123</t>
  </si>
  <si>
    <t>VENTA CAL. F-122</t>
  </si>
  <si>
    <t>VENTA CAL. F-121</t>
  </si>
  <si>
    <t>VENTA CAL. F-120</t>
  </si>
  <si>
    <t>VENTA CAL. F-119</t>
  </si>
  <si>
    <t>VENTA CAL. F-118</t>
  </si>
  <si>
    <t>VENTA CAL. F-117</t>
  </si>
  <si>
    <t>VENTA CAL. F-116</t>
  </si>
  <si>
    <t>VENTA CAL. F-115</t>
  </si>
  <si>
    <t>VENTA CAL. F-114</t>
  </si>
  <si>
    <t>VENTA CAL. F-113</t>
  </si>
  <si>
    <t>VENTA CAL. F-112</t>
  </si>
  <si>
    <t>VENTA CAL. F-111</t>
  </si>
  <si>
    <t>VENTA CAL. F-110</t>
  </si>
  <si>
    <t>VENTA CAL. F-109</t>
  </si>
  <si>
    <t>VENTA CAL. F-108</t>
  </si>
  <si>
    <t>VENTA CAL. F-107</t>
  </si>
  <si>
    <t>VENTA CAL. F-106</t>
  </si>
  <si>
    <t>VENTA CAL. F-105</t>
  </si>
  <si>
    <t>VENTA CAL. F-104</t>
  </si>
  <si>
    <t>VENTA CAL. F-103</t>
  </si>
  <si>
    <t>VENTA CAL. F-102</t>
  </si>
  <si>
    <t>VENTA CAL. F-101</t>
  </si>
  <si>
    <t>VENTA CAL. F-100</t>
  </si>
  <si>
    <t>VENTA CAL. F-99</t>
  </si>
  <si>
    <t>VENTA CAL. F-98</t>
  </si>
  <si>
    <t>VENTA CAL. F-97</t>
  </si>
  <si>
    <t>VENTA CAL. F-96</t>
  </si>
  <si>
    <t>VENTA CAL. F-95</t>
  </si>
  <si>
    <t>VENTA CAL. F-94</t>
  </si>
  <si>
    <t>VENTA CAL. F-93</t>
  </si>
  <si>
    <t>VENTA CAL. F-92</t>
  </si>
  <si>
    <t>VENTA CAL. F-91</t>
  </si>
  <si>
    <t>VENTA CAL. F-90</t>
  </si>
  <si>
    <t>VENTA CAL. F-89</t>
  </si>
  <si>
    <t>VENTA CAL. F-88</t>
  </si>
  <si>
    <t>VENTA CAL. F-87</t>
  </si>
  <si>
    <t>VENTA CAL. F-86</t>
  </si>
  <si>
    <t>VENTA CAL. F-85</t>
  </si>
  <si>
    <t>VENTA CAL. F-84</t>
  </si>
  <si>
    <t>VENTA CAL. F-83</t>
  </si>
  <si>
    <t>VENTA CAL. F-82</t>
  </si>
  <si>
    <t>VENTA CAL. F-81</t>
  </si>
  <si>
    <t>VENTA CAL. F-80</t>
  </si>
  <si>
    <t>VENTA CAL. F-79</t>
  </si>
  <si>
    <t>VENTA CAL. F-78</t>
  </si>
  <si>
    <t>VENTA CAL.F=77</t>
  </si>
  <si>
    <t>VENTA CAL. F-76</t>
  </si>
  <si>
    <t>VENTA CAL. F-75</t>
  </si>
  <si>
    <t>VENTA CAL. F-74</t>
  </si>
  <si>
    <t>VENTA CAL. F-73</t>
  </si>
  <si>
    <t>VENTA CAL. F-72</t>
  </si>
  <si>
    <t>VENTA CAL. F-71</t>
  </si>
  <si>
    <t>VENTA CAL. F-70</t>
  </si>
  <si>
    <t>VENTA CAL. F-69</t>
  </si>
  <si>
    <t>VENTA CAL. F-68</t>
  </si>
  <si>
    <t>VENTA CAL. F-67</t>
  </si>
  <si>
    <t>VENTA CAL. F-66</t>
  </si>
  <si>
    <t>VENTA CAL. F-65</t>
  </si>
  <si>
    <t>VENTA CAL. F-64</t>
  </si>
  <si>
    <t>VENTA CAL. F-63</t>
  </si>
  <si>
    <t>VENTA CAL. F-62</t>
  </si>
  <si>
    <t>VENTA CAL. F-61</t>
  </si>
  <si>
    <t>VENTA CAL. F-60</t>
  </si>
  <si>
    <t>VENTA CAL. F-59</t>
  </si>
  <si>
    <t>VENTA CAL. F-58</t>
  </si>
  <si>
    <t>VENTA CAL. F-57</t>
  </si>
  <si>
    <t>VENTA CAL. F-56</t>
  </si>
  <si>
    <t>VENTA CAL. F-55</t>
  </si>
  <si>
    <t>VENTA CAL. F-54</t>
  </si>
  <si>
    <t>VENTA CAL. F-53</t>
  </si>
  <si>
    <t>VENTA CAL. F-52</t>
  </si>
  <si>
    <t>VENTA CAL. F-51</t>
  </si>
  <si>
    <t>VENTA CAL. F-50</t>
  </si>
  <si>
    <t>VENTA CAL. F-49</t>
  </si>
  <si>
    <t>VENTA CAL. F-48</t>
  </si>
  <si>
    <t>VENTA CAL. F-47</t>
  </si>
  <si>
    <t>VENTA CAL. F-46</t>
  </si>
  <si>
    <t>VENTA CAL. F-45</t>
  </si>
  <si>
    <t>VENTA CAL. F-44</t>
  </si>
  <si>
    <t>VENTA CAL. F-43</t>
  </si>
  <si>
    <t>VENTA CAL. F-42</t>
  </si>
  <si>
    <t>VENTA CAL. F-41</t>
  </si>
  <si>
    <t>VENTA CAL. F-40</t>
  </si>
  <si>
    <t>VENTA CAL. F-39</t>
  </si>
  <si>
    <t>VENTA CAL. F-38</t>
  </si>
  <si>
    <t>VENTA CAL. F-37</t>
  </si>
  <si>
    <t>VENTA CAL. F-36</t>
  </si>
  <si>
    <t>VENTA CAL. F-35</t>
  </si>
  <si>
    <t>VENTA CAL. F-34</t>
  </si>
  <si>
    <t>VENTA CAL. F-33</t>
  </si>
  <si>
    <t>VENTA CAL. F-32</t>
  </si>
  <si>
    <t>VENTA CAL. F-31</t>
  </si>
  <si>
    <t>VENTA CAL. F-30</t>
  </si>
  <si>
    <t>VENTA CAL. F-29</t>
  </si>
  <si>
    <t>VENTA CAL. F-28</t>
  </si>
  <si>
    <t>VENTA CAL. F-27</t>
  </si>
  <si>
    <t>VENTA CAL. F-26</t>
  </si>
  <si>
    <t>VENTA CAL. F-25</t>
  </si>
  <si>
    <t>VENTA CAL. F-24</t>
  </si>
  <si>
    <t>VENTA CAL. F-23</t>
  </si>
  <si>
    <t>VENTA CAL. F-22</t>
  </si>
  <si>
    <t>VENTA CAL. F-21</t>
  </si>
  <si>
    <t>VENTA CAL. F-20</t>
  </si>
  <si>
    <t>VENTA CAL. F-19</t>
  </si>
  <si>
    <t>VENTA CAL. F-18</t>
  </si>
  <si>
    <t>VENTA CAL. F-17</t>
  </si>
  <si>
    <t>VENTA CAL. F-16</t>
  </si>
  <si>
    <t>VENTA CAL. F-15</t>
  </si>
  <si>
    <t>VENTA CAL. F-14</t>
  </si>
  <si>
    <t>VENTA CAL. F-13</t>
  </si>
  <si>
    <t>VENTA CAL. F-12</t>
  </si>
  <si>
    <t>VENTA CAL. F-11</t>
  </si>
  <si>
    <t>VENTA CAL. F-10</t>
  </si>
  <si>
    <t>VENTA CAL. F-9</t>
  </si>
  <si>
    <t>VENTA CAL. F-8</t>
  </si>
  <si>
    <t>VENTA CAL. F-7</t>
  </si>
  <si>
    <t>VENTA CAL. F-6</t>
  </si>
  <si>
    <t>VENTA CAL. F-5</t>
  </si>
  <si>
    <t>VENTA CAL. F-4</t>
  </si>
  <si>
    <t>VENTA CAL. F-3</t>
  </si>
  <si>
    <t>VENTA CAL. F-2</t>
  </si>
  <si>
    <t>VENTA CAL. F-1</t>
  </si>
  <si>
    <t>INVENTARIO INICIAL</t>
  </si>
  <si>
    <t xml:space="preserve">                Practicado al 31 de diciembre DE 2012</t>
  </si>
  <si>
    <t>VENTA CALAMINAS BLUE F-292</t>
  </si>
  <si>
    <t>VENTA CALAMINAS BLUE F-278</t>
  </si>
  <si>
    <t>VENTA CALAMINAS BLUE F-276</t>
  </si>
  <si>
    <t>VENTA CALAMINAS BLUE F-275</t>
  </si>
  <si>
    <t>VENTA CALAMINAS BLUE F-266</t>
  </si>
  <si>
    <t>COMPRA PLAMCHA BLUE</t>
  </si>
  <si>
    <t>Mercaderia:Plancha BLUE para calaminas</t>
  </si>
  <si>
    <t>VENTA CALAMINAS RAL F-273</t>
  </si>
  <si>
    <t>VENTA CALAMINAS RAL F-271</t>
  </si>
  <si>
    <t>VENTA CALAMINAS RAL F-267</t>
  </si>
  <si>
    <t>VENTA CALAMINAS RAL  F-265</t>
  </si>
  <si>
    <t>COMPRA PLAMCHA RAL</t>
  </si>
  <si>
    <t>Mercaderia:Planchas RAL para calaminas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</si>
</sst>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sz val="8"/>
      <color theme="1"/>
      <name val="Calibri"/>
      <family val="2"/>
      <scheme val="minor"/>
    </font>
    <font>
      <b/>
      <u/>
      <sz val="8"/>
      <name val="Arial"/>
      <family val="2"/>
    </font>
    <font>
      <u/>
      <sz val="8"/>
      <name val="Arial"/>
      <family val="2"/>
    </font>
    <font>
      <sz val="8"/>
      <color rgb="FFFF0000"/>
      <name val="Arial"/>
      <family val="2"/>
    </font>
    <font>
      <sz val="6"/>
      <name val="Arial"/>
      <family val="2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4" fontId="3" fillId="0" borderId="1" xfId="0" applyNumberFormat="1" applyFont="1" applyBorder="1"/>
    <xf numFmtId="2" fontId="3" fillId="0" borderId="1" xfId="0" applyNumberFormat="1" applyFont="1" applyBorder="1"/>
    <xf numFmtId="4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14" fontId="5" fillId="0" borderId="1" xfId="0" applyNumberFormat="1" applyFont="1" applyBorder="1"/>
    <xf numFmtId="4" fontId="4" fillId="0" borderId="1" xfId="0" applyNumberFormat="1" applyFont="1" applyBorder="1"/>
    <xf numFmtId="2" fontId="4" fillId="0" borderId="1" xfId="0" applyNumberFormat="1" applyFont="1" applyBorder="1"/>
    <xf numFmtId="0" fontId="3" fillId="0" borderId="2" xfId="0" applyFont="1" applyBorder="1"/>
    <xf numFmtId="4" fontId="3" fillId="0" borderId="2" xfId="0" applyNumberFormat="1" applyFont="1" applyBorder="1"/>
    <xf numFmtId="4" fontId="4" fillId="0" borderId="2" xfId="0" applyNumberFormat="1" applyFont="1" applyBorder="1"/>
    <xf numFmtId="2" fontId="4" fillId="0" borderId="2" xfId="0" applyNumberFormat="1" applyFont="1" applyBorder="1"/>
    <xf numFmtId="2" fontId="3" fillId="0" borderId="2" xfId="0" applyNumberFormat="1" applyFont="1" applyBorder="1"/>
    <xf numFmtId="4" fontId="4" fillId="0" borderId="2" xfId="0" applyNumberFormat="1" applyFont="1" applyBorder="1" applyAlignment="1">
      <alignment horizontal="right"/>
    </xf>
    <xf numFmtId="0" fontId="4" fillId="0" borderId="2" xfId="0" applyFont="1" applyBorder="1"/>
    <xf numFmtId="14" fontId="5" fillId="0" borderId="2" xfId="0" applyNumberFormat="1" applyFont="1" applyBorder="1"/>
    <xf numFmtId="0" fontId="3" fillId="0" borderId="3" xfId="0" applyFont="1" applyBorder="1"/>
    <xf numFmtId="4" fontId="3" fillId="0" borderId="4" xfId="0" applyNumberFormat="1" applyFont="1" applyBorder="1"/>
    <xf numFmtId="4" fontId="4" fillId="0" borderId="4" xfId="0" applyNumberFormat="1" applyFont="1" applyBorder="1"/>
    <xf numFmtId="0" fontId="3" fillId="0" borderId="4" xfId="0" applyFont="1" applyBorder="1"/>
    <xf numFmtId="2" fontId="4" fillId="0" borderId="4" xfId="0" applyNumberFormat="1" applyFont="1" applyBorder="1"/>
    <xf numFmtId="2" fontId="3" fillId="0" borderId="4" xfId="0" applyNumberFormat="1" applyFont="1" applyBorder="1"/>
    <xf numFmtId="4" fontId="4" fillId="0" borderId="4" xfId="0" applyNumberFormat="1" applyFont="1" applyBorder="1" applyAlignment="1">
      <alignment horizontal="right"/>
    </xf>
    <xf numFmtId="0" fontId="4" fillId="0" borderId="4" xfId="0" applyFont="1" applyBorder="1"/>
    <xf numFmtId="14" fontId="5" fillId="0" borderId="5" xfId="0" applyNumberFormat="1" applyFont="1" applyBorder="1"/>
    <xf numFmtId="0" fontId="3" fillId="0" borderId="6" xfId="0" applyFont="1" applyBorder="1"/>
    <xf numFmtId="14" fontId="5" fillId="0" borderId="7" xfId="0" applyNumberFormat="1" applyFont="1" applyBorder="1"/>
    <xf numFmtId="0" fontId="3" fillId="0" borderId="8" xfId="0" applyFont="1" applyBorder="1"/>
    <xf numFmtId="4" fontId="3" fillId="0" borderId="9" xfId="0" applyNumberFormat="1" applyFont="1" applyBorder="1"/>
    <xf numFmtId="4" fontId="4" fillId="0" borderId="9" xfId="0" applyNumberFormat="1" applyFont="1" applyBorder="1"/>
    <xf numFmtId="0" fontId="3" fillId="0" borderId="9" xfId="0" applyFont="1" applyBorder="1"/>
    <xf numFmtId="2" fontId="4" fillId="0" borderId="9" xfId="0" applyNumberFormat="1" applyFont="1" applyBorder="1"/>
    <xf numFmtId="2" fontId="3" fillId="0" borderId="9" xfId="0" applyNumberFormat="1" applyFont="1" applyBorder="1"/>
    <xf numFmtId="4" fontId="4" fillId="0" borderId="9" xfId="0" applyNumberFormat="1" applyFont="1" applyBorder="1" applyAlignment="1">
      <alignment horizontal="right"/>
    </xf>
    <xf numFmtId="0" fontId="4" fillId="0" borderId="9" xfId="0" applyFont="1" applyBorder="1"/>
    <xf numFmtId="14" fontId="5" fillId="0" borderId="10" xfId="0" applyNumberFormat="1" applyFont="1" applyBorder="1"/>
    <xf numFmtId="2" fontId="4" fillId="2" borderId="1" xfId="0" applyNumberFormat="1" applyFont="1" applyFill="1" applyBorder="1"/>
    <xf numFmtId="0" fontId="4" fillId="2" borderId="1" xfId="0" applyFont="1" applyFill="1" applyBorder="1"/>
    <xf numFmtId="0" fontId="6" fillId="2" borderId="2" xfId="0" applyFont="1" applyFill="1" applyBorder="1"/>
    <xf numFmtId="0" fontId="6" fillId="2" borderId="11" xfId="0" applyFont="1" applyFill="1" applyBorder="1" applyAlignment="1">
      <alignment horizontal="center"/>
    </xf>
    <xf numFmtId="4" fontId="6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3" fillId="0" borderId="2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center"/>
    </xf>
    <xf numFmtId="0" fontId="0" fillId="0" borderId="21" xfId="0" applyBorder="1"/>
    <xf numFmtId="0" fontId="4" fillId="0" borderId="0" xfId="0" applyFont="1" applyBorder="1"/>
    <xf numFmtId="0" fontId="9" fillId="0" borderId="0" xfId="0" applyFont="1" applyBorder="1"/>
    <xf numFmtId="0" fontId="9" fillId="0" borderId="21" xfId="0" applyFont="1" applyBorder="1"/>
    <xf numFmtId="0" fontId="6" fillId="0" borderId="0" xfId="0" applyFont="1" applyBorder="1"/>
    <xf numFmtId="0" fontId="6" fillId="0" borderId="21" xfId="0" applyFont="1" applyBorder="1"/>
    <xf numFmtId="0" fontId="3" fillId="0" borderId="22" xfId="0" applyFont="1" applyBorder="1"/>
    <xf numFmtId="0" fontId="8" fillId="0" borderId="23" xfId="0" applyFont="1" applyBorder="1"/>
    <xf numFmtId="0" fontId="4" fillId="0" borderId="23" xfId="0" applyFont="1" applyBorder="1"/>
    <xf numFmtId="0" fontId="6" fillId="0" borderId="23" xfId="0" applyFont="1" applyBorder="1"/>
    <xf numFmtId="0" fontId="6" fillId="0" borderId="24" xfId="0" applyFont="1" applyBorder="1"/>
    <xf numFmtId="2" fontId="8" fillId="0" borderId="0" xfId="0" applyNumberFormat="1" applyFont="1" applyBorder="1"/>
    <xf numFmtId="14" fontId="5" fillId="0" borderId="21" xfId="0" applyNumberFormat="1" applyFont="1" applyBorder="1"/>
    <xf numFmtId="0" fontId="8" fillId="0" borderId="0" xfId="0" applyFont="1" applyFill="1" applyBorder="1"/>
    <xf numFmtId="2" fontId="10" fillId="0" borderId="0" xfId="0" applyNumberFormat="1" applyFont="1" applyBorder="1"/>
    <xf numFmtId="2" fontId="4" fillId="0" borderId="0" xfId="0" applyNumberFormat="1" applyFont="1" applyBorder="1"/>
    <xf numFmtId="4" fontId="8" fillId="0" borderId="0" xfId="0" applyNumberFormat="1" applyFont="1" applyBorder="1"/>
    <xf numFmtId="4" fontId="2" fillId="0" borderId="0" xfId="0" applyNumberFormat="1" applyFont="1"/>
    <xf numFmtId="2" fontId="8" fillId="0" borderId="4" xfId="0" applyNumberFormat="1" applyFont="1" applyBorder="1"/>
    <xf numFmtId="0" fontId="8" fillId="0" borderId="4" xfId="0" applyFont="1" applyBorder="1"/>
    <xf numFmtId="4" fontId="8" fillId="0" borderId="4" xfId="0" applyNumberFormat="1" applyFont="1" applyBorder="1"/>
    <xf numFmtId="4" fontId="2" fillId="3" borderId="0" xfId="0" applyNumberFormat="1" applyFont="1" applyFill="1"/>
    <xf numFmtId="0" fontId="3" fillId="3" borderId="6" xfId="0" applyFont="1" applyFill="1" applyBorder="1"/>
    <xf numFmtId="4" fontId="3" fillId="3" borderId="1" xfId="0" applyNumberFormat="1" applyFont="1" applyFill="1" applyBorder="1"/>
    <xf numFmtId="4" fontId="4" fillId="3" borderId="1" xfId="0" applyNumberFormat="1" applyFont="1" applyFill="1" applyBorder="1"/>
    <xf numFmtId="0" fontId="4" fillId="3" borderId="1" xfId="0" applyFont="1" applyFill="1" applyBorder="1"/>
    <xf numFmtId="2" fontId="4" fillId="3" borderId="1" xfId="0" applyNumberFormat="1" applyFont="1" applyFill="1" applyBorder="1"/>
    <xf numFmtId="4" fontId="4" fillId="3" borderId="1" xfId="0" applyNumberFormat="1" applyFont="1" applyFill="1" applyBorder="1" applyAlignment="1">
      <alignment horizontal="right"/>
    </xf>
    <xf numFmtId="0" fontId="3" fillId="3" borderId="1" xfId="0" applyFont="1" applyFill="1" applyBorder="1"/>
    <xf numFmtId="14" fontId="5" fillId="3" borderId="7" xfId="0" applyNumberFormat="1" applyFont="1" applyFill="1" applyBorder="1"/>
    <xf numFmtId="0" fontId="3" fillId="0" borderId="25" xfId="0" applyFont="1" applyBorder="1"/>
    <xf numFmtId="0" fontId="4" fillId="2" borderId="2" xfId="0" applyFont="1" applyFill="1" applyBorder="1"/>
    <xf numFmtId="14" fontId="5" fillId="0" borderId="13" xfId="0" applyNumberFormat="1" applyFont="1" applyBorder="1"/>
    <xf numFmtId="0" fontId="4" fillId="2" borderId="9" xfId="0" applyFont="1" applyFill="1" applyBorder="1"/>
    <xf numFmtId="2" fontId="4" fillId="2" borderId="9" xfId="0" applyNumberFormat="1" applyFont="1" applyFill="1" applyBorder="1"/>
    <xf numFmtId="0" fontId="3" fillId="0" borderId="26" xfId="0" applyFont="1" applyBorder="1"/>
    <xf numFmtId="4" fontId="3" fillId="0" borderId="14" xfId="0" applyNumberFormat="1" applyFont="1" applyBorder="1"/>
    <xf numFmtId="4" fontId="4" fillId="0" borderId="14" xfId="0" applyNumberFormat="1" applyFont="1" applyBorder="1"/>
    <xf numFmtId="0" fontId="4" fillId="2" borderId="14" xfId="0" applyFont="1" applyFill="1" applyBorder="1"/>
    <xf numFmtId="2" fontId="4" fillId="0" borderId="14" xfId="0" applyNumberFormat="1" applyFont="1" applyBorder="1"/>
    <xf numFmtId="2" fontId="4" fillId="2" borderId="14" xfId="0" applyNumberFormat="1" applyFont="1" applyFill="1" applyBorder="1"/>
    <xf numFmtId="4" fontId="4" fillId="0" borderId="14" xfId="0" applyNumberFormat="1" applyFont="1" applyBorder="1" applyAlignment="1">
      <alignment horizontal="right"/>
    </xf>
    <xf numFmtId="0" fontId="3" fillId="0" borderId="14" xfId="0" applyFont="1" applyBorder="1"/>
    <xf numFmtId="0" fontId="4" fillId="0" borderId="14" xfId="0" applyFont="1" applyBorder="1"/>
    <xf numFmtId="14" fontId="5" fillId="0" borderId="19" xfId="0" applyNumberFormat="1" applyFont="1" applyBorder="1"/>
    <xf numFmtId="0" fontId="2" fillId="3" borderId="0" xfId="0" applyFont="1" applyFill="1"/>
    <xf numFmtId="4" fontId="11" fillId="3" borderId="1" xfId="0" applyNumberFormat="1" applyFont="1" applyFill="1" applyBorder="1"/>
    <xf numFmtId="2" fontId="0" fillId="3" borderId="1" xfId="0" applyNumberFormat="1" applyFill="1" applyBorder="1"/>
    <xf numFmtId="4" fontId="11" fillId="2" borderId="1" xfId="0" applyNumberFormat="1" applyFont="1" applyFill="1" applyBorder="1"/>
    <xf numFmtId="2" fontId="0" fillId="0" borderId="1" xfId="0" applyNumberFormat="1" applyBorder="1"/>
    <xf numFmtId="0" fontId="4" fillId="2" borderId="6" xfId="0" applyFont="1" applyFill="1" applyBorder="1"/>
    <xf numFmtId="0" fontId="4" fillId="2" borderId="8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2" fontId="4" fillId="2" borderId="4" xfId="0" applyNumberFormat="1" applyFont="1" applyFill="1" applyBorder="1"/>
    <xf numFmtId="0" fontId="4" fillId="0" borderId="1" xfId="0" applyFont="1" applyFill="1" applyBorder="1"/>
    <xf numFmtId="0" fontId="4" fillId="0" borderId="6" xfId="0" applyFont="1" applyBorder="1"/>
    <xf numFmtId="0" fontId="4" fillId="3" borderId="6" xfId="0" applyFont="1" applyFill="1" applyBorder="1"/>
    <xf numFmtId="0" fontId="4" fillId="0" borderId="8" xfId="0" applyFont="1" applyBorder="1"/>
    <xf numFmtId="0" fontId="4" fillId="0" borderId="9" xfId="0" applyFont="1" applyFill="1" applyBorder="1"/>
    <xf numFmtId="0" fontId="4" fillId="3" borderId="3" xfId="0" applyFont="1" applyFill="1" applyBorder="1"/>
    <xf numFmtId="4" fontId="3" fillId="3" borderId="4" xfId="0" applyNumberFormat="1" applyFont="1" applyFill="1" applyBorder="1"/>
    <xf numFmtId="4" fontId="4" fillId="3" borderId="4" xfId="0" applyNumberFormat="1" applyFont="1" applyFill="1" applyBorder="1"/>
    <xf numFmtId="2" fontId="4" fillId="3" borderId="4" xfId="0" applyNumberFormat="1" applyFont="1" applyFill="1" applyBorder="1"/>
    <xf numFmtId="4" fontId="4" fillId="3" borderId="4" xfId="0" applyNumberFormat="1" applyFont="1" applyFill="1" applyBorder="1" applyAlignment="1">
      <alignment horizontal="right"/>
    </xf>
    <xf numFmtId="0" fontId="4" fillId="3" borderId="4" xfId="0" applyFont="1" applyFill="1" applyBorder="1"/>
    <xf numFmtId="14" fontId="5" fillId="3" borderId="5" xfId="0" applyNumberFormat="1" applyFont="1" applyFill="1" applyBorder="1"/>
    <xf numFmtId="0" fontId="4" fillId="0" borderId="3" xfId="0" applyFont="1" applyBorder="1"/>
    <xf numFmtId="0" fontId="4" fillId="0" borderId="4" xfId="0" applyFont="1" applyFill="1" applyBorder="1"/>
    <xf numFmtId="2" fontId="4" fillId="0" borderId="1" xfId="0" applyNumberFormat="1" applyFont="1" applyFill="1" applyBorder="1"/>
    <xf numFmtId="0" fontId="4" fillId="0" borderId="6" xfId="0" applyFont="1" applyFill="1" applyBorder="1"/>
    <xf numFmtId="2" fontId="4" fillId="0" borderId="9" xfId="0" applyNumberFormat="1" applyFont="1" applyFill="1" applyBorder="1"/>
    <xf numFmtId="2" fontId="4" fillId="0" borderId="4" xfId="0" applyNumberFormat="1" applyFont="1" applyFill="1" applyBorder="1"/>
    <xf numFmtId="0" fontId="12" fillId="0" borderId="0" xfId="0" applyFont="1" applyAlignment="1">
      <alignment horizontal="right" vertical="center"/>
    </xf>
    <xf numFmtId="0" fontId="12" fillId="0" borderId="0" xfId="0" applyFont="1" applyFill="1"/>
    <xf numFmtId="0" fontId="4" fillId="0" borderId="25" xfId="0" applyFont="1" applyBorder="1"/>
    <xf numFmtId="2" fontId="8" fillId="0" borderId="1" xfId="0" applyNumberFormat="1" applyFont="1" applyBorder="1"/>
    <xf numFmtId="0" fontId="6" fillId="2" borderId="25" xfId="0" applyFont="1" applyFill="1" applyBorder="1"/>
    <xf numFmtId="0" fontId="6" fillId="2" borderId="26" xfId="0" applyFont="1" applyFill="1" applyBorder="1" applyAlignment="1">
      <alignment horizontal="center"/>
    </xf>
    <xf numFmtId="0" fontId="8" fillId="0" borderId="0" xfId="0" applyFont="1"/>
    <xf numFmtId="2" fontId="8" fillId="3" borderId="0" xfId="0" applyNumberFormat="1" applyFont="1" applyFill="1" applyBorder="1"/>
    <xf numFmtId="0" fontId="8" fillId="3" borderId="0" xfId="0" applyFont="1" applyFill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4" fontId="0" fillId="3" borderId="0" xfId="0" applyNumberFormat="1" applyFill="1"/>
    <xf numFmtId="2" fontId="8" fillId="0" borderId="12" xfId="0" applyNumberFormat="1" applyFont="1" applyBorder="1"/>
    <xf numFmtId="2" fontId="8" fillId="0" borderId="27" xfId="0" applyNumberFormat="1" applyFont="1" applyBorder="1"/>
    <xf numFmtId="0" fontId="6" fillId="2" borderId="13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8" fillId="0" borderId="21" xfId="0" applyFont="1" applyBorder="1"/>
    <xf numFmtId="2" fontId="13" fillId="3" borderId="0" xfId="0" applyNumberFormat="1" applyFont="1" applyFill="1" applyBorder="1"/>
    <xf numFmtId="4" fontId="8" fillId="0" borderId="0" xfId="0" applyNumberFormat="1" applyFont="1"/>
    <xf numFmtId="0" fontId="9" fillId="0" borderId="0" xfId="0" applyFont="1" applyBorder="1" applyAlignment="1">
      <alignment horizontal="center"/>
    </xf>
    <xf numFmtId="0" fontId="6" fillId="2" borderId="15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</cellXfs>
  <cellStyles count="2">
    <cellStyle name="Millares 3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LANCE%20FELIX%20-%20%20FADELME-20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ARIO%20FADELME%20FACTURADO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 VENTAS"/>
      <sheetName val="Bal. Inicial"/>
      <sheetName val="CUA-RES."/>
      <sheetName val="lib.dia."/>
      <sheetName val="Act."/>
      <sheetName val="sumas"/>
      <sheetName val="depr."/>
      <sheetName val="Balan."/>
      <sheetName val="est resul"/>
      <sheetName val="Est.Res.Reexp"/>
      <sheetName val="balance comp."/>
      <sheetName val="flujoefe"/>
      <sheetName val="ori y apli"/>
      <sheetName val="EEPATR"/>
      <sheetName val="ECS FENANC."/>
      <sheetName val="inventari"/>
      <sheetName val="estres acu"/>
      <sheetName val="Hoja1"/>
      <sheetName val="Hoja2"/>
      <sheetName val="Hoja3"/>
      <sheetName val="Hoja4"/>
    </sheetNames>
    <sheetDataSet>
      <sheetData sheetId="0"/>
      <sheetData sheetId="1"/>
      <sheetData sheetId="2"/>
      <sheetData sheetId="3">
        <row r="6">
          <cell r="C6">
            <v>129974.19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d.2013"/>
      <sheetName val="BLUE2013"/>
      <sheetName val="RAL.2013"/>
      <sheetName val="prorrateo"/>
      <sheetName val="RAL # 28 SEP"/>
      <sheetName val="PRORRATEO2013"/>
      <sheetName val="GANCJ-502013"/>
      <sheetName val="GANC j 60 2013"/>
      <sheetName val="GANC J70 2013"/>
      <sheetName val="Cla Cal 2013"/>
    </sheetNames>
    <sheetDataSet>
      <sheetData sheetId="0"/>
      <sheetData sheetId="1"/>
      <sheetData sheetId="2"/>
      <sheetData sheetId="3">
        <row r="7">
          <cell r="D7">
            <v>27022.877531550803</v>
          </cell>
        </row>
        <row r="8">
          <cell r="D8">
            <v>26748.166631016044</v>
          </cell>
        </row>
        <row r="9">
          <cell r="D9">
            <v>27630.133206417107</v>
          </cell>
        </row>
        <row r="10">
          <cell r="D10">
            <v>26314.412577540104</v>
          </cell>
        </row>
        <row r="11">
          <cell r="D11">
            <v>27471.090053475931</v>
          </cell>
        </row>
        <row r="22">
          <cell r="D22">
            <v>34439.895839640005</v>
          </cell>
        </row>
        <row r="23">
          <cell r="D23">
            <v>36013.520323174467</v>
          </cell>
        </row>
        <row r="24">
          <cell r="D24">
            <v>39003.406841889955</v>
          </cell>
        </row>
        <row r="25">
          <cell r="D25">
            <v>39025.887191654736</v>
          </cell>
        </row>
        <row r="26">
          <cell r="D26">
            <v>36530.568367764368</v>
          </cell>
        </row>
        <row r="27">
          <cell r="D27">
            <v>34799.581435876455</v>
          </cell>
        </row>
        <row r="37">
          <cell r="D37">
            <v>29831.374882463566</v>
          </cell>
        </row>
        <row r="38">
          <cell r="D38">
            <v>32573.97302538787</v>
          </cell>
        </row>
        <row r="39">
          <cell r="D39">
            <v>27987.98924541608</v>
          </cell>
        </row>
        <row r="40">
          <cell r="D40">
            <v>36800.271803008931</v>
          </cell>
        </row>
        <row r="41">
          <cell r="D41">
            <v>31742.201457451811</v>
          </cell>
        </row>
        <row r="42">
          <cell r="D42">
            <v>32326.689586271747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M563"/>
  <sheetViews>
    <sheetView topLeftCell="A226" workbookViewId="0">
      <selection activeCell="F258" sqref="F258"/>
    </sheetView>
  </sheetViews>
  <sheetFormatPr baseColWidth="10" defaultRowHeight="14.25" x14ac:dyDescent="0.2"/>
  <cols>
    <col min="1" max="1" width="10.7109375" style="1" customWidth="1"/>
    <col min="2" max="2" width="20.85546875" style="1" customWidth="1"/>
    <col min="3" max="9" width="11.42578125" style="1"/>
    <col min="10" max="10" width="12.85546875" style="1" customWidth="1"/>
    <col min="11" max="16384" width="11.42578125" style="1"/>
  </cols>
  <sheetData>
    <row r="1" spans="1:13" x14ac:dyDescent="0.2">
      <c r="A1" s="65" t="s">
        <v>275</v>
      </c>
      <c r="B1" s="64"/>
      <c r="C1" s="62"/>
      <c r="D1" s="62"/>
      <c r="E1" s="62"/>
      <c r="F1" s="62"/>
      <c r="G1" s="62"/>
      <c r="H1" s="63" t="s">
        <v>274</v>
      </c>
      <c r="I1" s="62"/>
      <c r="J1" s="62"/>
      <c r="K1" s="61"/>
    </row>
    <row r="2" spans="1:13" x14ac:dyDescent="0.2">
      <c r="A2" s="60" t="s">
        <v>273</v>
      </c>
      <c r="B2" s="59"/>
      <c r="C2" s="53"/>
      <c r="D2" s="53"/>
      <c r="E2" s="53"/>
      <c r="F2" s="53"/>
      <c r="G2" s="53"/>
      <c r="H2" s="56" t="s">
        <v>272</v>
      </c>
      <c r="I2" s="53"/>
      <c r="J2" s="53"/>
      <c r="K2" s="52"/>
    </row>
    <row r="3" spans="1:13" x14ac:dyDescent="0.2">
      <c r="A3" s="58" t="s">
        <v>271</v>
      </c>
      <c r="B3" s="57"/>
      <c r="C3" s="53"/>
      <c r="D3" s="53"/>
      <c r="E3" s="53"/>
      <c r="F3" s="53"/>
      <c r="G3" s="53"/>
      <c r="H3" s="56" t="s">
        <v>270</v>
      </c>
      <c r="I3" s="53"/>
      <c r="J3" s="53"/>
      <c r="K3" s="52"/>
    </row>
    <row r="4" spans="1:13" ht="15" x14ac:dyDescent="0.25">
      <c r="A4" s="55"/>
      <c r="B4" s="53"/>
      <c r="C4" s="53"/>
      <c r="D4" s="147" t="s">
        <v>269</v>
      </c>
      <c r="E4" s="147"/>
      <c r="F4" s="147"/>
      <c r="G4" s="147"/>
      <c r="H4" s="147"/>
      <c r="I4" s="53"/>
      <c r="J4" s="53"/>
      <c r="K4" s="52"/>
    </row>
    <row r="5" spans="1:13" ht="15" x14ac:dyDescent="0.25">
      <c r="A5" s="55"/>
      <c r="B5" s="54"/>
      <c r="C5" s="53"/>
      <c r="D5" s="56" t="s">
        <v>519</v>
      </c>
      <c r="E5" s="54"/>
      <c r="F5" s="54"/>
      <c r="G5" s="53"/>
      <c r="H5" s="53"/>
      <c r="I5" s="53"/>
      <c r="J5" s="53"/>
      <c r="K5" s="52"/>
    </row>
    <row r="6" spans="1:13" ht="15" x14ac:dyDescent="0.25">
      <c r="A6" s="55"/>
      <c r="B6" s="54"/>
      <c r="C6" s="53"/>
      <c r="D6" s="53" t="s">
        <v>267</v>
      </c>
      <c r="E6" s="54"/>
      <c r="F6" s="54"/>
      <c r="G6" s="53"/>
      <c r="H6" s="53"/>
      <c r="I6" s="53"/>
      <c r="J6" s="53"/>
      <c r="K6" s="52"/>
    </row>
    <row r="7" spans="1:13" ht="14.25" customHeight="1" x14ac:dyDescent="0.2">
      <c r="A7" s="51" t="s">
        <v>266</v>
      </c>
      <c r="B7" s="50" t="s">
        <v>265</v>
      </c>
      <c r="C7" s="149" t="s">
        <v>264</v>
      </c>
      <c r="D7" s="149"/>
      <c r="E7" s="150"/>
      <c r="F7" s="148" t="s">
        <v>263</v>
      </c>
      <c r="G7" s="148"/>
      <c r="H7" s="151" t="s">
        <v>262</v>
      </c>
      <c r="I7" s="152"/>
      <c r="J7" s="152"/>
      <c r="K7" s="133" t="s">
        <v>261</v>
      </c>
    </row>
    <row r="8" spans="1:13" x14ac:dyDescent="0.2">
      <c r="A8" s="48"/>
      <c r="B8" s="47"/>
      <c r="C8" s="47" t="s">
        <v>260</v>
      </c>
      <c r="D8" s="44" t="s">
        <v>259</v>
      </c>
      <c r="E8" s="46" t="s">
        <v>258</v>
      </c>
      <c r="F8" s="45" t="s">
        <v>257</v>
      </c>
      <c r="G8" s="45" t="s">
        <v>256</v>
      </c>
      <c r="H8" s="44" t="s">
        <v>255</v>
      </c>
      <c r="I8" s="43" t="s">
        <v>254</v>
      </c>
      <c r="J8" s="42" t="s">
        <v>253</v>
      </c>
      <c r="K8" s="132"/>
    </row>
    <row r="9" spans="1:13" x14ac:dyDescent="0.2">
      <c r="A9" s="87">
        <v>40909</v>
      </c>
      <c r="B9" s="17" t="s">
        <v>518</v>
      </c>
      <c r="C9" s="110">
        <v>11375</v>
      </c>
      <c r="D9" s="7"/>
      <c r="E9" s="6">
        <f>+C9</f>
        <v>11375</v>
      </c>
      <c r="F9" s="10">
        <f>H9/C9</f>
        <v>11.426302417582418</v>
      </c>
      <c r="G9" s="10"/>
      <c r="H9" s="131">
        <f>+[1]lib.dia.!$C$6</f>
        <v>129974.19</v>
      </c>
      <c r="I9" s="3"/>
      <c r="J9" s="9">
        <f>+H9</f>
        <v>129974.19</v>
      </c>
      <c r="K9" s="130"/>
    </row>
    <row r="10" spans="1:13" x14ac:dyDescent="0.2">
      <c r="A10" s="29">
        <v>40933</v>
      </c>
      <c r="B10" s="7" t="s">
        <v>517</v>
      </c>
      <c r="C10" s="7"/>
      <c r="D10" s="110">
        <f>50*3.5+50*4+20*6</f>
        <v>495</v>
      </c>
      <c r="E10" s="6">
        <f t="shared" ref="E10:E41" si="0">E9-D10</f>
        <v>10880</v>
      </c>
      <c r="F10" s="10"/>
      <c r="G10" s="10">
        <f t="shared" ref="G10:G41" si="1">J9/E9</f>
        <v>11.426302417582418</v>
      </c>
      <c r="H10" s="3"/>
      <c r="I10" s="9">
        <f t="shared" ref="I10:I41" si="2">D10*G10</f>
        <v>5656.0196967032971</v>
      </c>
      <c r="J10" s="4">
        <f t="shared" ref="J10:J41" si="3">J9-I10</f>
        <v>124318.17030329671</v>
      </c>
      <c r="K10" s="111"/>
    </row>
    <row r="11" spans="1:13" x14ac:dyDescent="0.2">
      <c r="A11" s="84">
        <v>40938</v>
      </c>
      <c r="B11" s="80" t="s">
        <v>516</v>
      </c>
      <c r="C11" s="80"/>
      <c r="D11" s="80">
        <f>15*4.5+5*5.6+2*5.9+2*6.2</f>
        <v>119.7</v>
      </c>
      <c r="E11" s="82">
        <f t="shared" si="0"/>
        <v>10760.3</v>
      </c>
      <c r="F11" s="81"/>
      <c r="G11" s="81">
        <f t="shared" si="1"/>
        <v>11.426302417582418</v>
      </c>
      <c r="H11" s="83"/>
      <c r="I11" s="79">
        <f t="shared" si="2"/>
        <v>1367.7283993846154</v>
      </c>
      <c r="J11" s="78">
        <f t="shared" si="3"/>
        <v>122950.44190391208</v>
      </c>
      <c r="K11" s="112"/>
      <c r="L11" s="76">
        <f>SUM(I10:I11)</f>
        <v>7023.7480960879129</v>
      </c>
    </row>
    <row r="12" spans="1:13" x14ac:dyDescent="0.2">
      <c r="A12" s="29">
        <v>40943</v>
      </c>
      <c r="B12" s="7" t="s">
        <v>515</v>
      </c>
      <c r="C12" s="7"/>
      <c r="D12" s="110">
        <v>0</v>
      </c>
      <c r="E12" s="6">
        <f t="shared" si="0"/>
        <v>10760.3</v>
      </c>
      <c r="F12" s="10"/>
      <c r="G12" s="10">
        <f t="shared" si="1"/>
        <v>11.426302417582418</v>
      </c>
      <c r="H12" s="4"/>
      <c r="I12" s="9">
        <f t="shared" si="2"/>
        <v>0</v>
      </c>
      <c r="J12" s="4">
        <f t="shared" si="3"/>
        <v>122950.44190391208</v>
      </c>
      <c r="K12" s="111"/>
    </row>
    <row r="13" spans="1:13" x14ac:dyDescent="0.2">
      <c r="A13" s="29">
        <v>40943</v>
      </c>
      <c r="B13" s="7" t="s">
        <v>514</v>
      </c>
      <c r="C13" s="7"/>
      <c r="D13" s="110">
        <v>0</v>
      </c>
      <c r="E13" s="6">
        <f t="shared" si="0"/>
        <v>10760.3</v>
      </c>
      <c r="F13" s="10"/>
      <c r="G13" s="10">
        <f t="shared" si="1"/>
        <v>11.426302417582418</v>
      </c>
      <c r="H13" s="3"/>
      <c r="I13" s="9">
        <f t="shared" si="2"/>
        <v>0</v>
      </c>
      <c r="J13" s="4">
        <f t="shared" si="3"/>
        <v>122950.44190391208</v>
      </c>
      <c r="K13" s="111"/>
      <c r="L13" s="129"/>
      <c r="M13" s="129"/>
    </row>
    <row r="14" spans="1:13" x14ac:dyDescent="0.2">
      <c r="A14" s="29">
        <v>40943</v>
      </c>
      <c r="B14" s="7" t="s">
        <v>513</v>
      </c>
      <c r="C14" s="110"/>
      <c r="D14" s="110">
        <f>4*2.8+3*2.3+6*3.8+6*4</f>
        <v>64.899999999999991</v>
      </c>
      <c r="E14" s="6">
        <f t="shared" si="0"/>
        <v>10695.4</v>
      </c>
      <c r="F14" s="10"/>
      <c r="G14" s="10">
        <f t="shared" si="1"/>
        <v>11.426302417582418</v>
      </c>
      <c r="H14" s="3"/>
      <c r="I14" s="9">
        <f t="shared" si="2"/>
        <v>741.56702690109887</v>
      </c>
      <c r="J14" s="4">
        <f t="shared" si="3"/>
        <v>122208.87487701098</v>
      </c>
      <c r="K14" s="125"/>
    </row>
    <row r="15" spans="1:13" x14ac:dyDescent="0.2">
      <c r="A15" s="29">
        <v>40947</v>
      </c>
      <c r="B15" s="7" t="s">
        <v>512</v>
      </c>
      <c r="C15" s="7"/>
      <c r="D15" s="110">
        <f>5*1.8</f>
        <v>9</v>
      </c>
      <c r="E15" s="6">
        <f t="shared" si="0"/>
        <v>10686.4</v>
      </c>
      <c r="F15" s="10"/>
      <c r="G15" s="10">
        <f t="shared" si="1"/>
        <v>11.426302417582416</v>
      </c>
      <c r="H15" s="3"/>
      <c r="I15" s="9">
        <f t="shared" si="2"/>
        <v>102.83672175824175</v>
      </c>
      <c r="J15" s="4">
        <f t="shared" si="3"/>
        <v>122106.03815525274</v>
      </c>
      <c r="K15" s="111"/>
      <c r="M15" s="128"/>
    </row>
    <row r="16" spans="1:13" x14ac:dyDescent="0.2">
      <c r="A16" s="29">
        <v>40950</v>
      </c>
      <c r="B16" s="7" t="s">
        <v>511</v>
      </c>
      <c r="C16" s="7"/>
      <c r="D16" s="110">
        <f>15*5.7</f>
        <v>85.5</v>
      </c>
      <c r="E16" s="6">
        <f t="shared" si="0"/>
        <v>10600.9</v>
      </c>
      <c r="F16" s="10"/>
      <c r="G16" s="10">
        <f t="shared" si="1"/>
        <v>11.426302417582416</v>
      </c>
      <c r="H16" s="3"/>
      <c r="I16" s="9">
        <f t="shared" si="2"/>
        <v>976.94885670329666</v>
      </c>
      <c r="J16" s="4">
        <f t="shared" si="3"/>
        <v>121129.08929854944</v>
      </c>
      <c r="K16" s="111"/>
    </row>
    <row r="17" spans="1:12" x14ac:dyDescent="0.2">
      <c r="A17" s="29">
        <v>40953</v>
      </c>
      <c r="B17" s="7" t="s">
        <v>510</v>
      </c>
      <c r="C17" s="7"/>
      <c r="D17" s="110">
        <f>2*4.5</f>
        <v>9</v>
      </c>
      <c r="E17" s="6">
        <f t="shared" si="0"/>
        <v>10591.9</v>
      </c>
      <c r="F17" s="10"/>
      <c r="G17" s="10">
        <f t="shared" si="1"/>
        <v>11.426302417582416</v>
      </c>
      <c r="H17" s="3"/>
      <c r="I17" s="9">
        <f t="shared" si="2"/>
        <v>102.83672175824175</v>
      </c>
      <c r="J17" s="4">
        <f t="shared" si="3"/>
        <v>121026.2525767912</v>
      </c>
      <c r="K17" s="111"/>
    </row>
    <row r="18" spans="1:12" x14ac:dyDescent="0.2">
      <c r="A18" s="29">
        <v>40957</v>
      </c>
      <c r="B18" s="7" t="s">
        <v>509</v>
      </c>
      <c r="C18" s="7"/>
      <c r="D18" s="110">
        <f>16*7.5+16*8.5</f>
        <v>256</v>
      </c>
      <c r="E18" s="6">
        <f t="shared" si="0"/>
        <v>10335.9</v>
      </c>
      <c r="F18" s="10"/>
      <c r="G18" s="10">
        <f t="shared" si="1"/>
        <v>11.426302417582416</v>
      </c>
      <c r="H18" s="3"/>
      <c r="I18" s="9">
        <f t="shared" si="2"/>
        <v>2925.1334189010986</v>
      </c>
      <c r="J18" s="4">
        <f t="shared" si="3"/>
        <v>118101.11915789011</v>
      </c>
      <c r="K18" s="111"/>
    </row>
    <row r="19" spans="1:12" x14ac:dyDescent="0.2">
      <c r="A19" s="29">
        <v>40962</v>
      </c>
      <c r="B19" s="7" t="s">
        <v>508</v>
      </c>
      <c r="C19" s="7"/>
      <c r="D19" s="110">
        <f>5*2.5+4*3</f>
        <v>24.5</v>
      </c>
      <c r="E19" s="6">
        <f t="shared" si="0"/>
        <v>10311.4</v>
      </c>
      <c r="F19" s="10"/>
      <c r="G19" s="10">
        <f t="shared" si="1"/>
        <v>11.426302417582418</v>
      </c>
      <c r="H19" s="3"/>
      <c r="I19" s="9">
        <f t="shared" si="2"/>
        <v>279.94440923076922</v>
      </c>
      <c r="J19" s="4">
        <f t="shared" si="3"/>
        <v>117821.17474865934</v>
      </c>
      <c r="K19" s="111"/>
    </row>
    <row r="20" spans="1:12" x14ac:dyDescent="0.2">
      <c r="A20" s="29">
        <v>40964</v>
      </c>
      <c r="B20" s="7" t="s">
        <v>507</v>
      </c>
      <c r="C20" s="7"/>
      <c r="D20" s="110">
        <f>37*6</f>
        <v>222</v>
      </c>
      <c r="E20" s="6">
        <f t="shared" si="0"/>
        <v>10089.4</v>
      </c>
      <c r="F20" s="10"/>
      <c r="G20" s="10">
        <f t="shared" si="1"/>
        <v>11.426302417582418</v>
      </c>
      <c r="H20" s="3"/>
      <c r="I20" s="9">
        <f t="shared" si="2"/>
        <v>2536.639136703297</v>
      </c>
      <c r="J20" s="4">
        <f t="shared" si="3"/>
        <v>115284.53561195605</v>
      </c>
      <c r="K20" s="111"/>
    </row>
    <row r="21" spans="1:12" x14ac:dyDescent="0.2">
      <c r="A21" s="29">
        <v>40964</v>
      </c>
      <c r="B21" s="7" t="s">
        <v>506</v>
      </c>
      <c r="C21" s="7"/>
      <c r="D21" s="110">
        <f>25*6</f>
        <v>150</v>
      </c>
      <c r="E21" s="6">
        <f t="shared" si="0"/>
        <v>9939.4</v>
      </c>
      <c r="F21" s="10"/>
      <c r="G21" s="10">
        <f t="shared" si="1"/>
        <v>11.426302417582418</v>
      </c>
      <c r="H21" s="3"/>
      <c r="I21" s="9">
        <f t="shared" si="2"/>
        <v>1713.9453626373627</v>
      </c>
      <c r="J21" s="4">
        <f t="shared" si="3"/>
        <v>113570.59024931869</v>
      </c>
      <c r="K21" s="111"/>
    </row>
    <row r="22" spans="1:12" x14ac:dyDescent="0.2">
      <c r="A22" s="29">
        <v>40968</v>
      </c>
      <c r="B22" s="7" t="s">
        <v>505</v>
      </c>
      <c r="C22" s="7"/>
      <c r="D22" s="110">
        <v>0</v>
      </c>
      <c r="E22" s="6">
        <f t="shared" si="0"/>
        <v>9939.4</v>
      </c>
      <c r="F22" s="10"/>
      <c r="G22" s="10">
        <f t="shared" si="1"/>
        <v>11.426302417582418</v>
      </c>
      <c r="H22" s="3"/>
      <c r="I22" s="9">
        <f t="shared" si="2"/>
        <v>0</v>
      </c>
      <c r="J22" s="4">
        <f t="shared" si="3"/>
        <v>113570.59024931869</v>
      </c>
      <c r="K22" s="111"/>
    </row>
    <row r="23" spans="1:12" x14ac:dyDescent="0.2">
      <c r="A23" s="84">
        <v>40968</v>
      </c>
      <c r="B23" s="80" t="s">
        <v>504</v>
      </c>
      <c r="C23" s="80"/>
      <c r="D23" s="80">
        <f>3*2.45</f>
        <v>7.3500000000000005</v>
      </c>
      <c r="E23" s="82">
        <f t="shared" si="0"/>
        <v>9932.0499999999993</v>
      </c>
      <c r="F23" s="81"/>
      <c r="G23" s="81">
        <f t="shared" si="1"/>
        <v>11.426302417582418</v>
      </c>
      <c r="H23" s="83"/>
      <c r="I23" s="79">
        <f t="shared" si="2"/>
        <v>83.983322769230782</v>
      </c>
      <c r="J23" s="78">
        <f t="shared" si="3"/>
        <v>113486.60692654946</v>
      </c>
      <c r="K23" s="112"/>
      <c r="L23" s="76">
        <f>SUM(I12:I23)</f>
        <v>9463.8349773626378</v>
      </c>
    </row>
    <row r="24" spans="1:12" x14ac:dyDescent="0.2">
      <c r="A24" s="29">
        <v>40970</v>
      </c>
      <c r="B24" s="7" t="s">
        <v>503</v>
      </c>
      <c r="C24" s="7"/>
      <c r="D24" s="110">
        <f>4*3</f>
        <v>12</v>
      </c>
      <c r="E24" s="6">
        <f t="shared" si="0"/>
        <v>9920.0499999999993</v>
      </c>
      <c r="F24" s="10"/>
      <c r="G24" s="10">
        <f t="shared" si="1"/>
        <v>11.42630241758242</v>
      </c>
      <c r="H24" s="3"/>
      <c r="I24" s="9">
        <f t="shared" si="2"/>
        <v>137.11562901098904</v>
      </c>
      <c r="J24" s="4">
        <f t="shared" si="3"/>
        <v>113349.49129753847</v>
      </c>
      <c r="K24" s="111"/>
    </row>
    <row r="25" spans="1:12" x14ac:dyDescent="0.2">
      <c r="A25" s="29">
        <v>40970</v>
      </c>
      <c r="B25" s="7" t="s">
        <v>502</v>
      </c>
      <c r="C25" s="7"/>
      <c r="D25" s="110">
        <f>10*2.6+6*3.8+7*2.9</f>
        <v>69.099999999999994</v>
      </c>
      <c r="E25" s="6">
        <f t="shared" si="0"/>
        <v>9850.9499999999989</v>
      </c>
      <c r="F25" s="10"/>
      <c r="G25" s="10">
        <f t="shared" si="1"/>
        <v>11.426302417582418</v>
      </c>
      <c r="H25" s="3"/>
      <c r="I25" s="9">
        <f t="shared" si="2"/>
        <v>789.55749705494497</v>
      </c>
      <c r="J25" s="4">
        <f t="shared" si="3"/>
        <v>112559.93380048352</v>
      </c>
      <c r="K25" s="111"/>
    </row>
    <row r="26" spans="1:12" x14ac:dyDescent="0.2">
      <c r="A26" s="29">
        <v>40978</v>
      </c>
      <c r="B26" s="7" t="s">
        <v>501</v>
      </c>
      <c r="C26" s="7"/>
      <c r="D26" s="110">
        <f>3*0.5+4*0.4+17*0.4</f>
        <v>9.9</v>
      </c>
      <c r="E26" s="6">
        <f t="shared" si="0"/>
        <v>9841.0499999999993</v>
      </c>
      <c r="F26" s="10"/>
      <c r="G26" s="10">
        <f t="shared" si="1"/>
        <v>11.426302417582418</v>
      </c>
      <c r="H26" s="3"/>
      <c r="I26" s="9">
        <f t="shared" si="2"/>
        <v>113.12039393406594</v>
      </c>
      <c r="J26" s="4">
        <f t="shared" si="3"/>
        <v>112446.81340654945</v>
      </c>
      <c r="K26" s="111"/>
    </row>
    <row r="27" spans="1:12" x14ac:dyDescent="0.2">
      <c r="A27" s="29">
        <v>40978</v>
      </c>
      <c r="B27" s="7" t="s">
        <v>500</v>
      </c>
      <c r="C27" s="7"/>
      <c r="D27" s="110">
        <f>1*3.8+1*3+2*2.5</f>
        <v>11.8</v>
      </c>
      <c r="E27" s="6">
        <f t="shared" si="0"/>
        <v>9829.25</v>
      </c>
      <c r="F27" s="10"/>
      <c r="G27" s="10">
        <f t="shared" si="1"/>
        <v>11.426302417582418</v>
      </c>
      <c r="H27" s="3"/>
      <c r="I27" s="9">
        <f t="shared" si="2"/>
        <v>134.83036852747253</v>
      </c>
      <c r="J27" s="4">
        <f t="shared" si="3"/>
        <v>112311.98303802198</v>
      </c>
      <c r="K27" s="111"/>
    </row>
    <row r="28" spans="1:12" x14ac:dyDescent="0.2">
      <c r="A28" s="29">
        <v>40982</v>
      </c>
      <c r="B28" s="7" t="s">
        <v>499</v>
      </c>
      <c r="C28" s="7"/>
      <c r="D28" s="110">
        <f>13*4.75+14*4.9</f>
        <v>130.35000000000002</v>
      </c>
      <c r="E28" s="6">
        <f t="shared" si="0"/>
        <v>9698.9</v>
      </c>
      <c r="F28" s="10"/>
      <c r="G28" s="10">
        <f t="shared" si="1"/>
        <v>11.426302417582418</v>
      </c>
      <c r="H28" s="3"/>
      <c r="I28" s="9">
        <f t="shared" si="2"/>
        <v>1489.4185201318685</v>
      </c>
      <c r="J28" s="4">
        <f t="shared" si="3"/>
        <v>110822.56451789012</v>
      </c>
      <c r="K28" s="111"/>
    </row>
    <row r="29" spans="1:12" x14ac:dyDescent="0.2">
      <c r="A29" s="29">
        <v>40990</v>
      </c>
      <c r="B29" s="7" t="s">
        <v>498</v>
      </c>
      <c r="C29" s="7"/>
      <c r="D29" s="110">
        <f>3*3.1</f>
        <v>9.3000000000000007</v>
      </c>
      <c r="E29" s="6">
        <f t="shared" si="0"/>
        <v>9689.6</v>
      </c>
      <c r="F29" s="10"/>
      <c r="G29" s="10">
        <f t="shared" si="1"/>
        <v>11.426302417582418</v>
      </c>
      <c r="H29" s="3"/>
      <c r="I29" s="9">
        <f t="shared" si="2"/>
        <v>106.2646124835165</v>
      </c>
      <c r="J29" s="4">
        <f t="shared" si="3"/>
        <v>110716.2999054066</v>
      </c>
      <c r="K29" s="111"/>
    </row>
    <row r="30" spans="1:12" x14ac:dyDescent="0.2">
      <c r="A30" s="29">
        <v>40996</v>
      </c>
      <c r="B30" s="7" t="s">
        <v>497</v>
      </c>
      <c r="C30" s="7"/>
      <c r="D30" s="110">
        <f>6*5</f>
        <v>30</v>
      </c>
      <c r="E30" s="6">
        <f t="shared" si="0"/>
        <v>9659.6</v>
      </c>
      <c r="F30" s="10"/>
      <c r="G30" s="10">
        <f t="shared" si="1"/>
        <v>11.426302417582418</v>
      </c>
      <c r="H30" s="3"/>
      <c r="I30" s="9">
        <f t="shared" si="2"/>
        <v>342.78907252747257</v>
      </c>
      <c r="J30" s="4">
        <f t="shared" si="3"/>
        <v>110373.51083287912</v>
      </c>
      <c r="K30" s="111"/>
    </row>
    <row r="31" spans="1:12" s="100" customFormat="1" x14ac:dyDescent="0.2">
      <c r="A31" s="84">
        <v>40999</v>
      </c>
      <c r="B31" s="80" t="s">
        <v>496</v>
      </c>
      <c r="C31" s="80"/>
      <c r="D31" s="80">
        <f>8*3</f>
        <v>24</v>
      </c>
      <c r="E31" s="82">
        <f t="shared" si="0"/>
        <v>9635.6</v>
      </c>
      <c r="F31" s="81"/>
      <c r="G31" s="81">
        <f t="shared" si="1"/>
        <v>11.426302417582418</v>
      </c>
      <c r="H31" s="83"/>
      <c r="I31" s="79">
        <f t="shared" si="2"/>
        <v>274.23125802197802</v>
      </c>
      <c r="J31" s="78">
        <f t="shared" si="3"/>
        <v>110099.27957485715</v>
      </c>
      <c r="K31" s="112"/>
      <c r="L31" s="76">
        <f>SUM(I24:I31)</f>
        <v>3387.3273516923082</v>
      </c>
    </row>
    <row r="32" spans="1:12" x14ac:dyDescent="0.2">
      <c r="A32" s="29">
        <v>41011</v>
      </c>
      <c r="B32" s="7" t="s">
        <v>495</v>
      </c>
      <c r="C32" s="7"/>
      <c r="D32" s="110">
        <f>10*5</f>
        <v>50</v>
      </c>
      <c r="E32" s="6">
        <f t="shared" si="0"/>
        <v>9585.6</v>
      </c>
      <c r="F32" s="10"/>
      <c r="G32" s="10">
        <f t="shared" si="1"/>
        <v>11.426302417582418</v>
      </c>
      <c r="H32" s="3"/>
      <c r="I32" s="9">
        <f t="shared" si="2"/>
        <v>571.31512087912085</v>
      </c>
      <c r="J32" s="4">
        <f t="shared" si="3"/>
        <v>109527.96445397803</v>
      </c>
      <c r="K32" s="111"/>
    </row>
    <row r="33" spans="1:12" x14ac:dyDescent="0.2">
      <c r="A33" s="29">
        <v>41016</v>
      </c>
      <c r="B33" s="7" t="s">
        <v>494</v>
      </c>
      <c r="C33" s="7"/>
      <c r="D33" s="110">
        <f>1*2.4</f>
        <v>2.4</v>
      </c>
      <c r="E33" s="6">
        <f t="shared" si="0"/>
        <v>9583.2000000000007</v>
      </c>
      <c r="F33" s="124"/>
      <c r="G33" s="10">
        <f t="shared" si="1"/>
        <v>11.426302417582418</v>
      </c>
      <c r="H33" s="3"/>
      <c r="I33" s="9">
        <f t="shared" si="2"/>
        <v>27.423125802197802</v>
      </c>
      <c r="J33" s="4">
        <f t="shared" si="3"/>
        <v>109500.54132817582</v>
      </c>
      <c r="K33" s="111"/>
    </row>
    <row r="34" spans="1:12" x14ac:dyDescent="0.2">
      <c r="A34" s="29">
        <v>41018</v>
      </c>
      <c r="B34" s="7" t="s">
        <v>493</v>
      </c>
      <c r="C34" s="7"/>
      <c r="D34" s="110">
        <f>2*2.3</f>
        <v>4.5999999999999996</v>
      </c>
      <c r="E34" s="6">
        <f t="shared" si="0"/>
        <v>9578.6</v>
      </c>
      <c r="F34" s="124"/>
      <c r="G34" s="10">
        <f t="shared" si="1"/>
        <v>11.426302417582416</v>
      </c>
      <c r="H34" s="3"/>
      <c r="I34" s="9">
        <f t="shared" si="2"/>
        <v>52.560991120879109</v>
      </c>
      <c r="J34" s="4">
        <f t="shared" si="3"/>
        <v>109447.98033705495</v>
      </c>
      <c r="K34" s="111"/>
    </row>
    <row r="35" spans="1:12" x14ac:dyDescent="0.2">
      <c r="A35" s="29">
        <v>41023</v>
      </c>
      <c r="B35" s="7" t="s">
        <v>492</v>
      </c>
      <c r="C35" s="7"/>
      <c r="D35" s="110">
        <f>5*3.5</f>
        <v>17.5</v>
      </c>
      <c r="E35" s="6">
        <f t="shared" si="0"/>
        <v>9561.1</v>
      </c>
      <c r="F35" s="124"/>
      <c r="G35" s="10">
        <f t="shared" si="1"/>
        <v>11.426302417582418</v>
      </c>
      <c r="H35" s="3"/>
      <c r="I35" s="9">
        <f t="shared" si="2"/>
        <v>199.96029230769233</v>
      </c>
      <c r="J35" s="4">
        <f t="shared" si="3"/>
        <v>109248.02004474726</v>
      </c>
      <c r="K35" s="111"/>
    </row>
    <row r="36" spans="1:12" x14ac:dyDescent="0.2">
      <c r="A36" s="29">
        <v>41025</v>
      </c>
      <c r="B36" s="7" t="s">
        <v>491</v>
      </c>
      <c r="C36" s="7"/>
      <c r="D36" s="110">
        <f>5*4.5</f>
        <v>22.5</v>
      </c>
      <c r="E36" s="6">
        <f t="shared" si="0"/>
        <v>9538.6</v>
      </c>
      <c r="F36" s="124"/>
      <c r="G36" s="10">
        <f t="shared" si="1"/>
        <v>11.426302417582418</v>
      </c>
      <c r="H36" s="3"/>
      <c r="I36" s="9">
        <f t="shared" si="2"/>
        <v>257.09180439560441</v>
      </c>
      <c r="J36" s="4">
        <f t="shared" si="3"/>
        <v>108990.92824035166</v>
      </c>
      <c r="K36" s="111"/>
    </row>
    <row r="37" spans="1:12" x14ac:dyDescent="0.2">
      <c r="A37" s="84">
        <v>41025</v>
      </c>
      <c r="B37" s="80" t="s">
        <v>490</v>
      </c>
      <c r="C37" s="80"/>
      <c r="D37" s="80">
        <f>3*1.8</f>
        <v>5.4</v>
      </c>
      <c r="E37" s="82">
        <f t="shared" si="0"/>
        <v>9533.2000000000007</v>
      </c>
      <c r="F37" s="81"/>
      <c r="G37" s="81">
        <f t="shared" si="1"/>
        <v>11.426302417582418</v>
      </c>
      <c r="H37" s="83"/>
      <c r="I37" s="79">
        <f t="shared" si="2"/>
        <v>61.702033054945062</v>
      </c>
      <c r="J37" s="78">
        <f t="shared" si="3"/>
        <v>108929.22620729671</v>
      </c>
      <c r="K37" s="111"/>
      <c r="L37" s="72">
        <f>SUM(I32:I37)</f>
        <v>1170.0533675604395</v>
      </c>
    </row>
    <row r="38" spans="1:12" x14ac:dyDescent="0.2">
      <c r="A38" s="29">
        <v>41031</v>
      </c>
      <c r="B38" s="7" t="s">
        <v>489</v>
      </c>
      <c r="C38" s="7"/>
      <c r="D38" s="110">
        <f>12*5+1*5</f>
        <v>65</v>
      </c>
      <c r="E38" s="6">
        <f t="shared" si="0"/>
        <v>9468.2000000000007</v>
      </c>
      <c r="F38" s="124"/>
      <c r="G38" s="10">
        <f t="shared" si="1"/>
        <v>11.426302417582418</v>
      </c>
      <c r="H38" s="3"/>
      <c r="I38" s="9">
        <f t="shared" si="2"/>
        <v>742.70965714285717</v>
      </c>
      <c r="J38" s="4">
        <f t="shared" si="3"/>
        <v>108186.51655015386</v>
      </c>
      <c r="K38" s="111"/>
    </row>
    <row r="39" spans="1:12" x14ac:dyDescent="0.2">
      <c r="A39" s="29">
        <v>41037</v>
      </c>
      <c r="B39" s="7" t="s">
        <v>488</v>
      </c>
      <c r="C39" s="7"/>
      <c r="D39" s="110">
        <f>24*6.8+4*3.7</f>
        <v>178</v>
      </c>
      <c r="E39" s="6">
        <f t="shared" si="0"/>
        <v>9290.2000000000007</v>
      </c>
      <c r="F39" s="124"/>
      <c r="G39" s="10">
        <f t="shared" si="1"/>
        <v>11.426302417582418</v>
      </c>
      <c r="H39" s="3"/>
      <c r="I39" s="9">
        <f t="shared" si="2"/>
        <v>2033.8818303296705</v>
      </c>
      <c r="J39" s="4">
        <f t="shared" si="3"/>
        <v>106152.63471982419</v>
      </c>
      <c r="K39" s="111"/>
    </row>
    <row r="40" spans="1:12" x14ac:dyDescent="0.2">
      <c r="A40" s="29">
        <v>41041</v>
      </c>
      <c r="B40" s="7" t="s">
        <v>487</v>
      </c>
      <c r="C40" s="7"/>
      <c r="D40" s="110">
        <f>7*5</f>
        <v>35</v>
      </c>
      <c r="E40" s="6">
        <f t="shared" si="0"/>
        <v>9255.2000000000007</v>
      </c>
      <c r="F40" s="124"/>
      <c r="G40" s="10">
        <f t="shared" si="1"/>
        <v>11.426302417582418</v>
      </c>
      <c r="H40" s="3"/>
      <c r="I40" s="9">
        <f t="shared" si="2"/>
        <v>399.92058461538466</v>
      </c>
      <c r="J40" s="4">
        <f t="shared" si="3"/>
        <v>105752.71413520881</v>
      </c>
      <c r="K40" s="111"/>
    </row>
    <row r="41" spans="1:12" x14ac:dyDescent="0.2">
      <c r="A41" s="29">
        <v>41045</v>
      </c>
      <c r="B41" s="7" t="s">
        <v>486</v>
      </c>
      <c r="C41" s="7"/>
      <c r="D41" s="110">
        <f>1*5+1*4+1*3</f>
        <v>12</v>
      </c>
      <c r="E41" s="6">
        <f t="shared" si="0"/>
        <v>9243.2000000000007</v>
      </c>
      <c r="F41" s="124"/>
      <c r="G41" s="10">
        <f t="shared" si="1"/>
        <v>11.426302417582418</v>
      </c>
      <c r="H41" s="3"/>
      <c r="I41" s="9">
        <f t="shared" si="2"/>
        <v>137.11562901098901</v>
      </c>
      <c r="J41" s="4">
        <f t="shared" si="3"/>
        <v>105615.59850619781</v>
      </c>
      <c r="K41" s="111"/>
    </row>
    <row r="42" spans="1:12" ht="15" thickBot="1" x14ac:dyDescent="0.25">
      <c r="A42" s="27">
        <v>41046</v>
      </c>
      <c r="B42" s="26" t="s">
        <v>485</v>
      </c>
      <c r="C42" s="26"/>
      <c r="D42" s="123">
        <f>12*4.1</f>
        <v>49.199999999999996</v>
      </c>
      <c r="E42" s="25">
        <f t="shared" ref="E42:E73" si="4">E41-D42</f>
        <v>9194</v>
      </c>
      <c r="F42" s="127"/>
      <c r="G42" s="23">
        <f t="shared" ref="G42:G73" si="5">J41/E41</f>
        <v>11.426302417582418</v>
      </c>
      <c r="H42" s="22"/>
      <c r="I42" s="21">
        <f t="shared" ref="I42:I73" si="6">D42*G42</f>
        <v>562.17407894505493</v>
      </c>
      <c r="J42" s="20">
        <f t="shared" ref="J42:J73" si="7">J41-I42</f>
        <v>105053.42442725276</v>
      </c>
      <c r="K42" s="122"/>
    </row>
    <row r="43" spans="1:12" x14ac:dyDescent="0.2">
      <c r="A43" s="38">
        <v>41053</v>
      </c>
      <c r="B43" s="37" t="s">
        <v>484</v>
      </c>
      <c r="C43" s="37"/>
      <c r="D43" s="114">
        <f>9*5.23+11*5.28</f>
        <v>105.15</v>
      </c>
      <c r="E43" s="36">
        <f t="shared" si="4"/>
        <v>9088.85</v>
      </c>
      <c r="F43" s="126"/>
      <c r="G43" s="34">
        <f t="shared" si="5"/>
        <v>11.426302417582418</v>
      </c>
      <c r="H43" s="33"/>
      <c r="I43" s="32">
        <f t="shared" si="6"/>
        <v>1201.4756992087914</v>
      </c>
      <c r="J43" s="31">
        <f t="shared" si="7"/>
        <v>103851.94872804396</v>
      </c>
      <c r="K43" s="113"/>
    </row>
    <row r="44" spans="1:12" x14ac:dyDescent="0.2">
      <c r="A44" s="29">
        <v>41053</v>
      </c>
      <c r="B44" s="7" t="s">
        <v>483</v>
      </c>
      <c r="C44" s="7"/>
      <c r="D44" s="110">
        <f>4*2</f>
        <v>8</v>
      </c>
      <c r="E44" s="6">
        <f t="shared" si="4"/>
        <v>9080.85</v>
      </c>
      <c r="F44" s="124"/>
      <c r="G44" s="10">
        <f t="shared" si="5"/>
        <v>11.426302417582418</v>
      </c>
      <c r="H44" s="3"/>
      <c r="I44" s="9">
        <f t="shared" si="6"/>
        <v>91.410419340659345</v>
      </c>
      <c r="J44" s="4">
        <f t="shared" si="7"/>
        <v>103760.53830870331</v>
      </c>
      <c r="K44" s="111"/>
    </row>
    <row r="45" spans="1:12" x14ac:dyDescent="0.2">
      <c r="A45" s="29">
        <v>41057</v>
      </c>
      <c r="B45" s="7" t="s">
        <v>482</v>
      </c>
      <c r="C45" s="7"/>
      <c r="D45" s="110">
        <f>2*3.2+1*3.1+1*3.05+1*2.95+1*2.85+1*2.75+1*2.65+1*2.55+1*2.45+1*2.3+1*2.2+1*2.05+1*1.95+1*1.85+1*1.75+1*1.65+1*1.55+1*1.4+1*3.52</f>
        <v>48.97</v>
      </c>
      <c r="E45" s="6">
        <f t="shared" si="4"/>
        <v>9031.880000000001</v>
      </c>
      <c r="F45" s="124"/>
      <c r="G45" s="10">
        <f t="shared" si="5"/>
        <v>11.426302417582418</v>
      </c>
      <c r="H45" s="3"/>
      <c r="I45" s="9">
        <f t="shared" si="6"/>
        <v>559.54602938901098</v>
      </c>
      <c r="J45" s="4">
        <f t="shared" si="7"/>
        <v>103200.99227931431</v>
      </c>
      <c r="K45" s="111"/>
    </row>
    <row r="46" spans="1:12" x14ac:dyDescent="0.2">
      <c r="A46" s="29">
        <v>41060</v>
      </c>
      <c r="B46" s="7" t="s">
        <v>481</v>
      </c>
      <c r="C46" s="110"/>
      <c r="D46" s="110">
        <f>2*5.25</f>
        <v>10.5</v>
      </c>
      <c r="E46" s="6">
        <f t="shared" si="4"/>
        <v>9021.380000000001</v>
      </c>
      <c r="F46" s="124"/>
      <c r="G46" s="10">
        <f t="shared" si="5"/>
        <v>11.426302417582418</v>
      </c>
      <c r="H46" s="3"/>
      <c r="I46" s="9">
        <f t="shared" si="6"/>
        <v>119.97617538461539</v>
      </c>
      <c r="J46" s="4">
        <f t="shared" si="7"/>
        <v>103081.01610392969</v>
      </c>
      <c r="K46" s="125"/>
    </row>
    <row r="47" spans="1:12" x14ac:dyDescent="0.2">
      <c r="A47" s="29">
        <v>41060</v>
      </c>
      <c r="B47" s="7" t="s">
        <v>480</v>
      </c>
      <c r="C47" s="7"/>
      <c r="D47" s="110">
        <f>4*2.4</f>
        <v>9.6</v>
      </c>
      <c r="E47" s="6">
        <f t="shared" si="4"/>
        <v>9011.7800000000007</v>
      </c>
      <c r="F47" s="124"/>
      <c r="G47" s="10">
        <f t="shared" si="5"/>
        <v>11.426302417582418</v>
      </c>
      <c r="H47" s="3"/>
      <c r="I47" s="9">
        <f t="shared" si="6"/>
        <v>109.69250320879121</v>
      </c>
      <c r="J47" s="4">
        <f t="shared" si="7"/>
        <v>102971.32360072091</v>
      </c>
      <c r="K47" s="111"/>
    </row>
    <row r="48" spans="1:12" x14ac:dyDescent="0.2">
      <c r="A48" s="84">
        <v>41060</v>
      </c>
      <c r="B48" s="80" t="s">
        <v>479</v>
      </c>
      <c r="C48" s="80"/>
      <c r="D48" s="80">
        <f>7*3.1</f>
        <v>21.7</v>
      </c>
      <c r="E48" s="82">
        <f t="shared" si="4"/>
        <v>8990.08</v>
      </c>
      <c r="F48" s="81"/>
      <c r="G48" s="81">
        <f t="shared" si="5"/>
        <v>11.42630241758242</v>
      </c>
      <c r="H48" s="83"/>
      <c r="I48" s="79">
        <f t="shared" si="6"/>
        <v>247.95076246153852</v>
      </c>
      <c r="J48" s="78">
        <f t="shared" si="7"/>
        <v>102723.37283825937</v>
      </c>
      <c r="K48" s="112"/>
      <c r="L48" s="76">
        <f>SUM(I38:I48)</f>
        <v>6205.8533690373624</v>
      </c>
    </row>
    <row r="49" spans="1:12" x14ac:dyDescent="0.2">
      <c r="A49" s="29">
        <v>41062</v>
      </c>
      <c r="B49" s="7" t="s">
        <v>478</v>
      </c>
      <c r="C49" s="7"/>
      <c r="D49" s="110">
        <v>0</v>
      </c>
      <c r="E49" s="6">
        <f t="shared" si="4"/>
        <v>8990.08</v>
      </c>
      <c r="F49" s="124"/>
      <c r="G49" s="10">
        <f t="shared" si="5"/>
        <v>11.426302417582422</v>
      </c>
      <c r="H49" s="3"/>
      <c r="I49" s="9">
        <f t="shared" si="6"/>
        <v>0</v>
      </c>
      <c r="J49" s="4">
        <f t="shared" si="7"/>
        <v>102723.37283825937</v>
      </c>
      <c r="K49" s="111"/>
    </row>
    <row r="50" spans="1:12" x14ac:dyDescent="0.2">
      <c r="A50" s="29">
        <v>41062</v>
      </c>
      <c r="B50" s="7" t="s">
        <v>477</v>
      </c>
      <c r="C50" s="7"/>
      <c r="D50" s="110">
        <f>3*4</f>
        <v>12</v>
      </c>
      <c r="E50" s="6">
        <f t="shared" si="4"/>
        <v>8978.08</v>
      </c>
      <c r="F50" s="124"/>
      <c r="G50" s="10">
        <f t="shared" si="5"/>
        <v>11.426302417582422</v>
      </c>
      <c r="H50" s="3"/>
      <c r="I50" s="9">
        <f t="shared" si="6"/>
        <v>137.11562901098907</v>
      </c>
      <c r="J50" s="4">
        <f t="shared" si="7"/>
        <v>102586.25720924838</v>
      </c>
      <c r="K50" s="111"/>
    </row>
    <row r="51" spans="1:12" x14ac:dyDescent="0.2">
      <c r="A51" s="29">
        <v>41062</v>
      </c>
      <c r="B51" s="7" t="s">
        <v>476</v>
      </c>
      <c r="C51" s="7"/>
      <c r="D51" s="110">
        <f>20*0.5</f>
        <v>10</v>
      </c>
      <c r="E51" s="6">
        <f t="shared" si="4"/>
        <v>8968.08</v>
      </c>
      <c r="F51" s="10"/>
      <c r="G51" s="10">
        <f t="shared" si="5"/>
        <v>11.42630241758242</v>
      </c>
      <c r="H51" s="3"/>
      <c r="I51" s="9">
        <f t="shared" si="6"/>
        <v>114.2630241758242</v>
      </c>
      <c r="J51" s="4">
        <f t="shared" si="7"/>
        <v>102471.99418507254</v>
      </c>
      <c r="K51" s="111"/>
    </row>
    <row r="52" spans="1:12" x14ac:dyDescent="0.2">
      <c r="A52" s="29">
        <v>41075</v>
      </c>
      <c r="B52" s="7" t="s">
        <v>475</v>
      </c>
      <c r="C52" s="7"/>
      <c r="D52" s="110">
        <f>7*2</f>
        <v>14</v>
      </c>
      <c r="E52" s="6">
        <f t="shared" si="4"/>
        <v>8954.08</v>
      </c>
      <c r="F52" s="10"/>
      <c r="G52" s="10">
        <f t="shared" si="5"/>
        <v>11.42630241758242</v>
      </c>
      <c r="H52" s="3"/>
      <c r="I52" s="9">
        <f t="shared" si="6"/>
        <v>159.96823384615388</v>
      </c>
      <c r="J52" s="4">
        <f t="shared" si="7"/>
        <v>102312.02595122639</v>
      </c>
      <c r="K52" s="111"/>
    </row>
    <row r="53" spans="1:12" x14ac:dyDescent="0.2">
      <c r="A53" s="29">
        <v>41075</v>
      </c>
      <c r="B53" s="7" t="s">
        <v>474</v>
      </c>
      <c r="C53" s="7"/>
      <c r="D53" s="110">
        <f>9*3.82</f>
        <v>34.379999999999995</v>
      </c>
      <c r="E53" s="6">
        <f t="shared" si="4"/>
        <v>8919.7000000000007</v>
      </c>
      <c r="F53" s="10"/>
      <c r="G53" s="10">
        <f t="shared" si="5"/>
        <v>11.42630241758242</v>
      </c>
      <c r="H53" s="3"/>
      <c r="I53" s="9">
        <f t="shared" si="6"/>
        <v>392.83627711648353</v>
      </c>
      <c r="J53" s="4">
        <f t="shared" si="7"/>
        <v>101919.1896741099</v>
      </c>
      <c r="K53" s="111"/>
    </row>
    <row r="54" spans="1:12" x14ac:dyDescent="0.2">
      <c r="A54" s="29">
        <v>41076</v>
      </c>
      <c r="B54" s="7" t="s">
        <v>473</v>
      </c>
      <c r="C54" s="7"/>
      <c r="D54" s="110">
        <f>14*5.2</f>
        <v>72.8</v>
      </c>
      <c r="E54" s="6">
        <f t="shared" si="4"/>
        <v>8846.9000000000015</v>
      </c>
      <c r="F54" s="10"/>
      <c r="G54" s="10">
        <f t="shared" si="5"/>
        <v>11.426302417582418</v>
      </c>
      <c r="H54" s="3"/>
      <c r="I54" s="9">
        <f t="shared" si="6"/>
        <v>831.83481600000005</v>
      </c>
      <c r="J54" s="4">
        <f t="shared" si="7"/>
        <v>101087.3548581099</v>
      </c>
      <c r="K54" s="111"/>
    </row>
    <row r="55" spans="1:12" x14ac:dyDescent="0.2">
      <c r="A55" s="29">
        <v>41076</v>
      </c>
      <c r="B55" s="7" t="s">
        <v>472</v>
      </c>
      <c r="C55" s="7"/>
      <c r="D55" s="110">
        <f>7*2.5</f>
        <v>17.5</v>
      </c>
      <c r="E55" s="6">
        <f t="shared" si="4"/>
        <v>8829.4000000000015</v>
      </c>
      <c r="F55" s="10"/>
      <c r="G55" s="10">
        <f t="shared" si="5"/>
        <v>11.426302417582416</v>
      </c>
      <c r="H55" s="3"/>
      <c r="I55" s="9">
        <f t="shared" si="6"/>
        <v>199.9602923076923</v>
      </c>
      <c r="J55" s="4">
        <f t="shared" si="7"/>
        <v>100887.39456580221</v>
      </c>
      <c r="K55" s="111"/>
    </row>
    <row r="56" spans="1:12" x14ac:dyDescent="0.2">
      <c r="A56" s="29">
        <v>41079</v>
      </c>
      <c r="B56" s="7" t="s">
        <v>471</v>
      </c>
      <c r="C56" s="7"/>
      <c r="D56" s="110">
        <f>3*3</f>
        <v>9</v>
      </c>
      <c r="E56" s="6">
        <f t="shared" si="4"/>
        <v>8820.4000000000015</v>
      </c>
      <c r="F56" s="10"/>
      <c r="G56" s="10">
        <f t="shared" si="5"/>
        <v>11.426302417582418</v>
      </c>
      <c r="H56" s="3"/>
      <c r="I56" s="9">
        <f t="shared" si="6"/>
        <v>102.83672175824177</v>
      </c>
      <c r="J56" s="4">
        <f t="shared" si="7"/>
        <v>100784.55784404397</v>
      </c>
      <c r="K56" s="111"/>
    </row>
    <row r="57" spans="1:12" x14ac:dyDescent="0.2">
      <c r="A57" s="84">
        <v>41089</v>
      </c>
      <c r="B57" s="80" t="s">
        <v>470</v>
      </c>
      <c r="C57" s="80"/>
      <c r="D57" s="80">
        <f>17*6.5+17*1.1</f>
        <v>129.19999999999999</v>
      </c>
      <c r="E57" s="82">
        <f t="shared" si="4"/>
        <v>8691.2000000000007</v>
      </c>
      <c r="F57" s="81"/>
      <c r="G57" s="81">
        <f t="shared" si="5"/>
        <v>11.426302417582418</v>
      </c>
      <c r="H57" s="83"/>
      <c r="I57" s="79">
        <f t="shared" si="6"/>
        <v>1476.2782723516482</v>
      </c>
      <c r="J57" s="78">
        <f t="shared" si="7"/>
        <v>99308.279571692328</v>
      </c>
      <c r="K57" s="112"/>
      <c r="L57" s="76">
        <f>SUM(I49:I57)</f>
        <v>3415.093266567033</v>
      </c>
    </row>
    <row r="58" spans="1:12" x14ac:dyDescent="0.2">
      <c r="A58" s="29">
        <v>41094</v>
      </c>
      <c r="B58" s="7" t="s">
        <v>469</v>
      </c>
      <c r="C58" s="7"/>
      <c r="D58" s="110">
        <f>6*5</f>
        <v>30</v>
      </c>
      <c r="E58" s="6">
        <f t="shared" si="4"/>
        <v>8661.2000000000007</v>
      </c>
      <c r="F58" s="10"/>
      <c r="G58" s="10">
        <f t="shared" si="5"/>
        <v>11.426302417582418</v>
      </c>
      <c r="H58" s="3"/>
      <c r="I58" s="9">
        <f t="shared" si="6"/>
        <v>342.78907252747257</v>
      </c>
      <c r="J58" s="4">
        <f t="shared" si="7"/>
        <v>98965.490499164851</v>
      </c>
      <c r="K58" s="111"/>
    </row>
    <row r="59" spans="1:12" x14ac:dyDescent="0.2">
      <c r="A59" s="29">
        <v>41099</v>
      </c>
      <c r="B59" s="7" t="s">
        <v>468</v>
      </c>
      <c r="C59" s="7"/>
      <c r="D59" s="110">
        <f>1*11.28+1*10.86+1*10.73+1*10.44+1*10.31+1*10.02+1*9.89+1*9.6+1*9.47+1*9.05+1*8.69+5*3</f>
        <v>125.33999999999999</v>
      </c>
      <c r="E59" s="6">
        <f t="shared" si="4"/>
        <v>8535.86</v>
      </c>
      <c r="F59" s="10"/>
      <c r="G59" s="10">
        <f t="shared" si="5"/>
        <v>11.426302417582418</v>
      </c>
      <c r="H59" s="3"/>
      <c r="I59" s="9">
        <f t="shared" si="6"/>
        <v>1432.1727450197802</v>
      </c>
      <c r="J59" s="4">
        <f t="shared" si="7"/>
        <v>97533.317754145071</v>
      </c>
      <c r="K59" s="111"/>
    </row>
    <row r="60" spans="1:12" x14ac:dyDescent="0.2">
      <c r="A60" s="29">
        <v>41101</v>
      </c>
      <c r="B60" s="7" t="s">
        <v>467</v>
      </c>
      <c r="C60" s="7"/>
      <c r="D60" s="110">
        <f>7*5.2</f>
        <v>36.4</v>
      </c>
      <c r="E60" s="6">
        <f t="shared" si="4"/>
        <v>8499.4600000000009</v>
      </c>
      <c r="F60" s="10"/>
      <c r="G60" s="10">
        <f t="shared" si="5"/>
        <v>11.426302417582418</v>
      </c>
      <c r="H60" s="3"/>
      <c r="I60" s="9">
        <f t="shared" si="6"/>
        <v>415.91740800000002</v>
      </c>
      <c r="J60" s="4">
        <f t="shared" si="7"/>
        <v>97117.400346145077</v>
      </c>
      <c r="K60" s="111"/>
    </row>
    <row r="61" spans="1:12" x14ac:dyDescent="0.2">
      <c r="A61" s="29">
        <v>41102</v>
      </c>
      <c r="B61" s="7" t="s">
        <v>466</v>
      </c>
      <c r="C61" s="7"/>
      <c r="D61" s="110">
        <f>9*2.45+11*3</f>
        <v>55.05</v>
      </c>
      <c r="E61" s="6">
        <f t="shared" si="4"/>
        <v>8444.4100000000017</v>
      </c>
      <c r="F61" s="10"/>
      <c r="G61" s="10">
        <f t="shared" si="5"/>
        <v>11.426302417582418</v>
      </c>
      <c r="H61" s="3"/>
      <c r="I61" s="9">
        <f t="shared" si="6"/>
        <v>629.01794808791203</v>
      </c>
      <c r="J61" s="4">
        <f t="shared" si="7"/>
        <v>96488.382398057161</v>
      </c>
      <c r="K61" s="111"/>
    </row>
    <row r="62" spans="1:12" x14ac:dyDescent="0.2">
      <c r="A62" s="29">
        <v>41102</v>
      </c>
      <c r="B62" s="7" t="s">
        <v>465</v>
      </c>
      <c r="C62" s="7"/>
      <c r="D62" s="110">
        <f>7*3.5</f>
        <v>24.5</v>
      </c>
      <c r="E62" s="6">
        <f t="shared" si="4"/>
        <v>8419.9100000000017</v>
      </c>
      <c r="F62" s="10"/>
      <c r="G62" s="10">
        <f t="shared" si="5"/>
        <v>11.426302417582418</v>
      </c>
      <c r="H62" s="3"/>
      <c r="I62" s="9">
        <f t="shared" si="6"/>
        <v>279.94440923076922</v>
      </c>
      <c r="J62" s="4">
        <f t="shared" si="7"/>
        <v>96208.437988826394</v>
      </c>
      <c r="K62" s="111"/>
    </row>
    <row r="63" spans="1:12" x14ac:dyDescent="0.2">
      <c r="A63" s="29">
        <v>41104</v>
      </c>
      <c r="B63" s="7" t="s">
        <v>464</v>
      </c>
      <c r="C63" s="7"/>
      <c r="D63" s="110">
        <f>16*8.2</f>
        <v>131.19999999999999</v>
      </c>
      <c r="E63" s="6">
        <f t="shared" si="4"/>
        <v>8288.7100000000009</v>
      </c>
      <c r="F63" s="10"/>
      <c r="G63" s="10">
        <f t="shared" si="5"/>
        <v>11.426302417582418</v>
      </c>
      <c r="H63" s="3"/>
      <c r="I63" s="9">
        <f t="shared" si="6"/>
        <v>1499.1308771868132</v>
      </c>
      <c r="J63" s="4">
        <f t="shared" si="7"/>
        <v>94709.307111639588</v>
      </c>
      <c r="K63" s="111"/>
    </row>
    <row r="64" spans="1:12" x14ac:dyDescent="0.2">
      <c r="A64" s="29">
        <v>41106</v>
      </c>
      <c r="B64" s="7" t="s">
        <v>463</v>
      </c>
      <c r="C64" s="7"/>
      <c r="D64" s="110">
        <f>24*4</f>
        <v>96</v>
      </c>
      <c r="E64" s="6">
        <f t="shared" si="4"/>
        <v>8192.7100000000009</v>
      </c>
      <c r="F64" s="10"/>
      <c r="G64" s="10">
        <f t="shared" si="5"/>
        <v>11.42630241758242</v>
      </c>
      <c r="H64" s="3"/>
      <c r="I64" s="9">
        <f t="shared" si="6"/>
        <v>1096.9250320879123</v>
      </c>
      <c r="J64" s="4">
        <f t="shared" si="7"/>
        <v>93612.38207955168</v>
      </c>
      <c r="K64" s="111"/>
    </row>
    <row r="65" spans="1:12" x14ac:dyDescent="0.2">
      <c r="A65" s="29">
        <v>41106</v>
      </c>
      <c r="B65" s="7" t="s">
        <v>462</v>
      </c>
      <c r="C65" s="7"/>
      <c r="D65" s="110">
        <f>1*6.85+1*3</f>
        <v>9.85</v>
      </c>
      <c r="E65" s="6">
        <f t="shared" si="4"/>
        <v>8182.8600000000006</v>
      </c>
      <c r="F65" s="10"/>
      <c r="G65" s="10">
        <f t="shared" si="5"/>
        <v>11.42630241758242</v>
      </c>
      <c r="H65" s="3"/>
      <c r="I65" s="9">
        <f t="shared" si="6"/>
        <v>112.54907881318684</v>
      </c>
      <c r="J65" s="4">
        <f t="shared" si="7"/>
        <v>93499.833000738494</v>
      </c>
      <c r="K65" s="111"/>
    </row>
    <row r="66" spans="1:12" x14ac:dyDescent="0.2">
      <c r="A66" s="29">
        <v>41107</v>
      </c>
      <c r="B66" s="7" t="s">
        <v>461</v>
      </c>
      <c r="C66" s="7"/>
      <c r="D66" s="110">
        <f>1*4</f>
        <v>4</v>
      </c>
      <c r="E66" s="6">
        <f t="shared" si="4"/>
        <v>8178.8600000000006</v>
      </c>
      <c r="F66" s="10"/>
      <c r="G66" s="10">
        <f t="shared" si="5"/>
        <v>11.42630241758242</v>
      </c>
      <c r="H66" s="3"/>
      <c r="I66" s="9">
        <f t="shared" si="6"/>
        <v>45.70520967032968</v>
      </c>
      <c r="J66" s="4">
        <f t="shared" si="7"/>
        <v>93454.127791068167</v>
      </c>
      <c r="K66" s="111"/>
    </row>
    <row r="67" spans="1:12" x14ac:dyDescent="0.2">
      <c r="A67" s="29">
        <v>41110</v>
      </c>
      <c r="B67" s="7" t="s">
        <v>460</v>
      </c>
      <c r="C67" s="7"/>
      <c r="D67" s="110">
        <f>4*4.15+2*1.5</f>
        <v>19.600000000000001</v>
      </c>
      <c r="E67" s="6">
        <f t="shared" si="4"/>
        <v>8159.26</v>
      </c>
      <c r="F67" s="10"/>
      <c r="G67" s="10">
        <f t="shared" si="5"/>
        <v>11.426302417582422</v>
      </c>
      <c r="H67" s="3"/>
      <c r="I67" s="9">
        <f t="shared" si="6"/>
        <v>223.95552738461549</v>
      </c>
      <c r="J67" s="4">
        <f t="shared" si="7"/>
        <v>93230.172263683547</v>
      </c>
      <c r="K67" s="111"/>
    </row>
    <row r="68" spans="1:12" x14ac:dyDescent="0.2">
      <c r="A68" s="29">
        <v>41113</v>
      </c>
      <c r="B68" s="7" t="s">
        <v>459</v>
      </c>
      <c r="C68" s="7"/>
      <c r="D68" s="110">
        <f>1*2</f>
        <v>2</v>
      </c>
      <c r="E68" s="6">
        <f t="shared" si="4"/>
        <v>8157.26</v>
      </c>
      <c r="F68" s="10"/>
      <c r="G68" s="10">
        <f t="shared" si="5"/>
        <v>11.426302417582422</v>
      </c>
      <c r="H68" s="3"/>
      <c r="I68" s="9">
        <f t="shared" si="6"/>
        <v>22.852604835164843</v>
      </c>
      <c r="J68" s="4">
        <f t="shared" si="7"/>
        <v>93207.319658848384</v>
      </c>
      <c r="K68" s="111"/>
    </row>
    <row r="69" spans="1:12" x14ac:dyDescent="0.2">
      <c r="A69" s="29">
        <v>41114</v>
      </c>
      <c r="B69" s="7" t="s">
        <v>458</v>
      </c>
      <c r="C69" s="7"/>
      <c r="D69" s="110">
        <f>4*3.5</f>
        <v>14</v>
      </c>
      <c r="E69" s="6">
        <f t="shared" si="4"/>
        <v>8143.26</v>
      </c>
      <c r="F69" s="10"/>
      <c r="G69" s="10">
        <f t="shared" si="5"/>
        <v>11.426302417582422</v>
      </c>
      <c r="H69" s="3"/>
      <c r="I69" s="9">
        <f t="shared" si="6"/>
        <v>159.96823384615391</v>
      </c>
      <c r="J69" s="4">
        <f t="shared" si="7"/>
        <v>93047.351425002227</v>
      </c>
      <c r="K69" s="111"/>
    </row>
    <row r="70" spans="1:12" x14ac:dyDescent="0.2">
      <c r="A70" s="29">
        <v>41116</v>
      </c>
      <c r="B70" s="7" t="s">
        <v>457</v>
      </c>
      <c r="C70" s="7"/>
      <c r="D70" s="110">
        <f>4*3.5</f>
        <v>14</v>
      </c>
      <c r="E70" s="6">
        <f t="shared" si="4"/>
        <v>8129.26</v>
      </c>
      <c r="F70" s="10"/>
      <c r="G70" s="10">
        <f t="shared" si="5"/>
        <v>11.426302417582422</v>
      </c>
      <c r="H70" s="3"/>
      <c r="I70" s="9">
        <f t="shared" si="6"/>
        <v>159.96823384615391</v>
      </c>
      <c r="J70" s="4">
        <f t="shared" si="7"/>
        <v>92887.38319115607</v>
      </c>
      <c r="K70" s="111"/>
    </row>
    <row r="71" spans="1:12" x14ac:dyDescent="0.2">
      <c r="A71" s="29">
        <v>41116</v>
      </c>
      <c r="B71" s="7" t="s">
        <v>456</v>
      </c>
      <c r="C71" s="7"/>
      <c r="D71" s="110">
        <f>5*2.5</f>
        <v>12.5</v>
      </c>
      <c r="E71" s="6">
        <f t="shared" si="4"/>
        <v>8116.76</v>
      </c>
      <c r="F71" s="10"/>
      <c r="G71" s="10">
        <f t="shared" si="5"/>
        <v>11.42630241758242</v>
      </c>
      <c r="H71" s="3"/>
      <c r="I71" s="9">
        <f t="shared" si="6"/>
        <v>142.82878021978024</v>
      </c>
      <c r="J71" s="4">
        <f t="shared" si="7"/>
        <v>92744.554410936296</v>
      </c>
      <c r="K71" s="111"/>
    </row>
    <row r="72" spans="1:12" x14ac:dyDescent="0.2">
      <c r="A72" s="29">
        <v>41117</v>
      </c>
      <c r="B72" s="7" t="s">
        <v>455</v>
      </c>
      <c r="C72" s="110"/>
      <c r="D72" s="110">
        <f>7*5.3+1*3.7</f>
        <v>40.800000000000004</v>
      </c>
      <c r="E72" s="6">
        <f t="shared" si="4"/>
        <v>8075.96</v>
      </c>
      <c r="F72" s="10"/>
      <c r="G72" s="10">
        <f t="shared" si="5"/>
        <v>11.426302417582422</v>
      </c>
      <c r="H72" s="3"/>
      <c r="I72" s="9">
        <f t="shared" si="6"/>
        <v>466.19313863736284</v>
      </c>
      <c r="J72" s="4">
        <f t="shared" si="7"/>
        <v>92278.361272298935</v>
      </c>
      <c r="K72" s="111"/>
    </row>
    <row r="73" spans="1:12" x14ac:dyDescent="0.2">
      <c r="A73" s="29">
        <v>41120</v>
      </c>
      <c r="B73" s="7" t="s">
        <v>454</v>
      </c>
      <c r="C73" s="7"/>
      <c r="D73" s="110">
        <f>5*4.1+5*5.2</f>
        <v>46.5</v>
      </c>
      <c r="E73" s="6">
        <f t="shared" si="4"/>
        <v>8029.46</v>
      </c>
      <c r="F73" s="10"/>
      <c r="G73" s="10">
        <f t="shared" si="5"/>
        <v>11.426302417582422</v>
      </c>
      <c r="H73" s="3"/>
      <c r="I73" s="9">
        <f t="shared" si="6"/>
        <v>531.32306241758261</v>
      </c>
      <c r="J73" s="4">
        <f t="shared" si="7"/>
        <v>91747.038209881357</v>
      </c>
      <c r="K73" s="111"/>
    </row>
    <row r="74" spans="1:12" x14ac:dyDescent="0.2">
      <c r="A74" s="84">
        <v>41121</v>
      </c>
      <c r="B74" s="80" t="s">
        <v>453</v>
      </c>
      <c r="C74" s="80"/>
      <c r="D74" s="80">
        <f>1*40</f>
        <v>40</v>
      </c>
      <c r="E74" s="82">
        <f t="shared" ref="E74:E105" si="8">E73-D74</f>
        <v>7989.46</v>
      </c>
      <c r="F74" s="81"/>
      <c r="G74" s="81">
        <f t="shared" ref="G74:G105" si="9">J73/E73</f>
        <v>11.426302417582422</v>
      </c>
      <c r="H74" s="83"/>
      <c r="I74" s="79">
        <f t="shared" ref="I74:I105" si="10">D74*G74</f>
        <v>457.05209670329685</v>
      </c>
      <c r="J74" s="78">
        <f t="shared" ref="J74:J105" si="11">J73-I74</f>
        <v>91289.986113178064</v>
      </c>
      <c r="K74" s="112"/>
      <c r="L74" s="76">
        <f>SUM(I58:I74)</f>
        <v>8018.2934585142866</v>
      </c>
    </row>
    <row r="75" spans="1:12" x14ac:dyDescent="0.2">
      <c r="A75" s="29">
        <v>41122</v>
      </c>
      <c r="B75" s="7" t="s">
        <v>452</v>
      </c>
      <c r="C75" s="7"/>
      <c r="D75" s="110">
        <f>8*3.4</f>
        <v>27.2</v>
      </c>
      <c r="E75" s="6">
        <f t="shared" si="8"/>
        <v>7962.26</v>
      </c>
      <c r="F75" s="10"/>
      <c r="G75" s="10">
        <f t="shared" si="9"/>
        <v>11.426302417582423</v>
      </c>
      <c r="H75" s="3"/>
      <c r="I75" s="9">
        <f t="shared" si="10"/>
        <v>310.79542575824189</v>
      </c>
      <c r="J75" s="4">
        <f t="shared" si="11"/>
        <v>90979.190687419818</v>
      </c>
      <c r="K75" s="111"/>
    </row>
    <row r="76" spans="1:12" x14ac:dyDescent="0.2">
      <c r="A76" s="29">
        <v>41122</v>
      </c>
      <c r="B76" s="7" t="s">
        <v>451</v>
      </c>
      <c r="C76" s="7"/>
      <c r="D76" s="110">
        <f>1*1.49</f>
        <v>1.49</v>
      </c>
      <c r="E76" s="6">
        <f t="shared" si="8"/>
        <v>7960.77</v>
      </c>
      <c r="F76" s="10"/>
      <c r="G76" s="10">
        <f t="shared" si="9"/>
        <v>11.426302417582422</v>
      </c>
      <c r="H76" s="3"/>
      <c r="I76" s="9">
        <f t="shared" si="10"/>
        <v>17.025190602197807</v>
      </c>
      <c r="J76" s="4">
        <f t="shared" si="11"/>
        <v>90962.165496817615</v>
      </c>
      <c r="K76" s="111"/>
    </row>
    <row r="77" spans="1:12" x14ac:dyDescent="0.2">
      <c r="A77" s="29">
        <v>41122</v>
      </c>
      <c r="B77" s="7" t="s">
        <v>450</v>
      </c>
      <c r="C77" s="7"/>
      <c r="D77" s="110">
        <f>4*4</f>
        <v>16</v>
      </c>
      <c r="E77" s="6">
        <f t="shared" si="8"/>
        <v>7944.77</v>
      </c>
      <c r="F77" s="10"/>
      <c r="G77" s="10">
        <f t="shared" si="9"/>
        <v>11.426302417582422</v>
      </c>
      <c r="H77" s="3"/>
      <c r="I77" s="9">
        <f t="shared" si="10"/>
        <v>182.82083868131875</v>
      </c>
      <c r="J77" s="4">
        <f t="shared" si="11"/>
        <v>90779.344658136295</v>
      </c>
      <c r="K77" s="111"/>
    </row>
    <row r="78" spans="1:12" x14ac:dyDescent="0.2">
      <c r="A78" s="29">
        <v>41122</v>
      </c>
      <c r="B78" s="7" t="s">
        <v>449</v>
      </c>
      <c r="C78" s="7"/>
      <c r="D78" s="110">
        <f>20*5.45</f>
        <v>109</v>
      </c>
      <c r="E78" s="6">
        <f t="shared" si="8"/>
        <v>7835.77</v>
      </c>
      <c r="F78" s="10"/>
      <c r="G78" s="10">
        <f t="shared" si="9"/>
        <v>11.426302417582422</v>
      </c>
      <c r="H78" s="3"/>
      <c r="I78" s="9">
        <f t="shared" si="10"/>
        <v>1245.4669635164839</v>
      </c>
      <c r="J78" s="4">
        <f t="shared" si="11"/>
        <v>89533.877694619805</v>
      </c>
      <c r="K78" s="111"/>
    </row>
    <row r="79" spans="1:12" x14ac:dyDescent="0.2">
      <c r="A79" s="29">
        <v>41124</v>
      </c>
      <c r="B79" s="7" t="s">
        <v>448</v>
      </c>
      <c r="C79" s="7"/>
      <c r="D79" s="110">
        <f>4*4+1*3</f>
        <v>19</v>
      </c>
      <c r="E79" s="6">
        <f t="shared" si="8"/>
        <v>7816.77</v>
      </c>
      <c r="F79" s="10"/>
      <c r="G79" s="10">
        <f t="shared" si="9"/>
        <v>11.42630241758242</v>
      </c>
      <c r="H79" s="3"/>
      <c r="I79" s="9">
        <f t="shared" si="10"/>
        <v>217.09974593406599</v>
      </c>
      <c r="J79" s="4">
        <f t="shared" si="11"/>
        <v>89316.777948685733</v>
      </c>
      <c r="K79" s="111"/>
    </row>
    <row r="80" spans="1:12" x14ac:dyDescent="0.2">
      <c r="A80" s="29">
        <v>41128</v>
      </c>
      <c r="B80" s="7" t="s">
        <v>447</v>
      </c>
      <c r="C80" s="7"/>
      <c r="D80" s="110">
        <f>4*4.4</f>
        <v>17.600000000000001</v>
      </c>
      <c r="E80" s="6">
        <f t="shared" si="8"/>
        <v>7799.17</v>
      </c>
      <c r="F80" s="10"/>
      <c r="G80" s="10">
        <f t="shared" si="9"/>
        <v>11.42630241758242</v>
      </c>
      <c r="H80" s="3"/>
      <c r="I80" s="9">
        <f t="shared" si="10"/>
        <v>201.1029225494506</v>
      </c>
      <c r="J80" s="4">
        <f t="shared" si="11"/>
        <v>89115.675026136276</v>
      </c>
      <c r="K80" s="111"/>
    </row>
    <row r="81" spans="1:12" x14ac:dyDescent="0.2">
      <c r="A81" s="29">
        <v>41129</v>
      </c>
      <c r="B81" s="7" t="s">
        <v>446</v>
      </c>
      <c r="C81" s="7"/>
      <c r="D81" s="110">
        <f>4*3.65+1*2.45</f>
        <v>17.05</v>
      </c>
      <c r="E81" s="6">
        <f t="shared" si="8"/>
        <v>7782.12</v>
      </c>
      <c r="F81" s="10"/>
      <c r="G81" s="10">
        <f t="shared" si="9"/>
        <v>11.426302417582418</v>
      </c>
      <c r="H81" s="3"/>
      <c r="I81" s="9">
        <f t="shared" si="10"/>
        <v>194.81845621978024</v>
      </c>
      <c r="J81" s="4">
        <f t="shared" si="11"/>
        <v>88920.85656991649</v>
      </c>
      <c r="K81" s="111"/>
    </row>
    <row r="82" spans="1:12" x14ac:dyDescent="0.2">
      <c r="A82" s="29">
        <v>41130</v>
      </c>
      <c r="B82" s="7" t="s">
        <v>445</v>
      </c>
      <c r="C82" s="7"/>
      <c r="D82" s="110">
        <f>5*4.6</f>
        <v>23</v>
      </c>
      <c r="E82" s="6">
        <f t="shared" si="8"/>
        <v>7759.12</v>
      </c>
      <c r="F82" s="10"/>
      <c r="G82" s="10">
        <f t="shared" si="9"/>
        <v>11.426302417582418</v>
      </c>
      <c r="H82" s="3"/>
      <c r="I82" s="9">
        <f t="shared" si="10"/>
        <v>262.80495560439562</v>
      </c>
      <c r="J82" s="4">
        <f t="shared" si="11"/>
        <v>88658.051614312091</v>
      </c>
      <c r="K82" s="111"/>
    </row>
    <row r="83" spans="1:12" x14ac:dyDescent="0.2">
      <c r="A83" s="29">
        <v>41130</v>
      </c>
      <c r="B83" s="7" t="s">
        <v>444</v>
      </c>
      <c r="C83" s="7"/>
      <c r="D83" s="110">
        <f>17*5.3+17*4.8+1*6.5</f>
        <v>178.2</v>
      </c>
      <c r="E83" s="6">
        <f t="shared" si="8"/>
        <v>7580.92</v>
      </c>
      <c r="F83" s="10"/>
      <c r="G83" s="10">
        <f t="shared" si="9"/>
        <v>11.426302417582418</v>
      </c>
      <c r="H83" s="3"/>
      <c r="I83" s="9">
        <f t="shared" si="10"/>
        <v>2036.1670908131869</v>
      </c>
      <c r="J83" s="4">
        <f t="shared" si="11"/>
        <v>86621.884523498898</v>
      </c>
      <c r="K83" s="111"/>
    </row>
    <row r="84" spans="1:12" ht="15" thickBot="1" x14ac:dyDescent="0.25">
      <c r="A84" s="27">
        <v>41132</v>
      </c>
      <c r="B84" s="26" t="s">
        <v>443</v>
      </c>
      <c r="C84" s="26"/>
      <c r="D84" s="123">
        <f>5*2</f>
        <v>10</v>
      </c>
      <c r="E84" s="25">
        <f t="shared" si="8"/>
        <v>7570.92</v>
      </c>
      <c r="F84" s="23"/>
      <c r="G84" s="23">
        <f t="shared" si="9"/>
        <v>11.426302417582416</v>
      </c>
      <c r="H84" s="22"/>
      <c r="I84" s="21">
        <f t="shared" si="10"/>
        <v>114.26302417582417</v>
      </c>
      <c r="J84" s="20">
        <f t="shared" si="11"/>
        <v>86507.621499323068</v>
      </c>
      <c r="K84" s="122"/>
    </row>
    <row r="85" spans="1:12" x14ac:dyDescent="0.2">
      <c r="A85" s="38">
        <v>41132</v>
      </c>
      <c r="B85" s="37" t="s">
        <v>442</v>
      </c>
      <c r="C85" s="37"/>
      <c r="D85" s="114">
        <f>3*4.55+1*2.85</f>
        <v>16.5</v>
      </c>
      <c r="E85" s="36">
        <f t="shared" si="8"/>
        <v>7554.42</v>
      </c>
      <c r="F85" s="34"/>
      <c r="G85" s="34">
        <f t="shared" si="9"/>
        <v>11.426302417582416</v>
      </c>
      <c r="H85" s="33"/>
      <c r="I85" s="32">
        <f t="shared" si="10"/>
        <v>188.53398989010986</v>
      </c>
      <c r="J85" s="31">
        <f t="shared" si="11"/>
        <v>86319.087509432953</v>
      </c>
      <c r="K85" s="113"/>
    </row>
    <row r="86" spans="1:12" x14ac:dyDescent="0.2">
      <c r="A86" s="29">
        <v>41136</v>
      </c>
      <c r="B86" s="7" t="s">
        <v>441</v>
      </c>
      <c r="C86" s="7"/>
      <c r="D86" s="110">
        <f>6*4.3</f>
        <v>25.799999999999997</v>
      </c>
      <c r="E86" s="6">
        <f t="shared" si="8"/>
        <v>7528.62</v>
      </c>
      <c r="F86" s="10"/>
      <c r="G86" s="10">
        <f t="shared" si="9"/>
        <v>11.426302417582416</v>
      </c>
      <c r="H86" s="9"/>
      <c r="I86" s="9">
        <f t="shared" si="10"/>
        <v>294.7986023736263</v>
      </c>
      <c r="J86" s="4">
        <f t="shared" si="11"/>
        <v>86024.288907059323</v>
      </c>
      <c r="K86" s="111"/>
    </row>
    <row r="87" spans="1:12" x14ac:dyDescent="0.2">
      <c r="A87" s="29">
        <v>41138</v>
      </c>
      <c r="B87" s="7" t="s">
        <v>440</v>
      </c>
      <c r="C87" s="7"/>
      <c r="D87" s="110">
        <f>1*2+1*2.3</f>
        <v>4.3</v>
      </c>
      <c r="E87" s="6">
        <f t="shared" si="8"/>
        <v>7524.32</v>
      </c>
      <c r="F87" s="10"/>
      <c r="G87" s="10">
        <f t="shared" si="9"/>
        <v>11.426302417582415</v>
      </c>
      <c r="H87" s="3"/>
      <c r="I87" s="9">
        <f t="shared" si="10"/>
        <v>49.13310039560438</v>
      </c>
      <c r="J87" s="4">
        <f t="shared" si="11"/>
        <v>85975.155806663723</v>
      </c>
      <c r="K87" s="111"/>
    </row>
    <row r="88" spans="1:12" x14ac:dyDescent="0.2">
      <c r="A88" s="29">
        <v>41141</v>
      </c>
      <c r="B88" s="7" t="s">
        <v>439</v>
      </c>
      <c r="C88" s="7"/>
      <c r="D88" s="110">
        <f>1*1.16</f>
        <v>1.1599999999999999</v>
      </c>
      <c r="E88" s="6">
        <f t="shared" si="8"/>
        <v>7523.16</v>
      </c>
      <c r="F88" s="10"/>
      <c r="G88" s="10">
        <f t="shared" si="9"/>
        <v>11.426302417582416</v>
      </c>
      <c r="H88" s="3"/>
      <c r="I88" s="9">
        <f t="shared" si="10"/>
        <v>13.254510804395602</v>
      </c>
      <c r="J88" s="4">
        <f t="shared" si="11"/>
        <v>85961.901295859323</v>
      </c>
      <c r="K88" s="111"/>
    </row>
    <row r="89" spans="1:12" x14ac:dyDescent="0.2">
      <c r="A89" s="29">
        <v>41145</v>
      </c>
      <c r="B89" s="7" t="s">
        <v>438</v>
      </c>
      <c r="C89" s="7"/>
      <c r="D89" s="110">
        <f>1*7</f>
        <v>7</v>
      </c>
      <c r="E89" s="6">
        <f t="shared" si="8"/>
        <v>7516.16</v>
      </c>
      <c r="F89" s="10"/>
      <c r="G89" s="10">
        <f t="shared" si="9"/>
        <v>11.426302417582415</v>
      </c>
      <c r="H89" s="3"/>
      <c r="I89" s="9">
        <f t="shared" si="10"/>
        <v>79.984116923076897</v>
      </c>
      <c r="J89" s="4">
        <f t="shared" si="11"/>
        <v>85881.917178936244</v>
      </c>
      <c r="K89" s="111"/>
    </row>
    <row r="90" spans="1:12" x14ac:dyDescent="0.2">
      <c r="A90" s="29">
        <v>41145</v>
      </c>
      <c r="B90" s="7" t="s">
        <v>437</v>
      </c>
      <c r="C90" s="7"/>
      <c r="D90" s="110">
        <f>16*8.2</f>
        <v>131.19999999999999</v>
      </c>
      <c r="E90" s="6">
        <f t="shared" si="8"/>
        <v>7384.96</v>
      </c>
      <c r="F90" s="10"/>
      <c r="G90" s="10">
        <f t="shared" si="9"/>
        <v>11.426302417582415</v>
      </c>
      <c r="H90" s="3"/>
      <c r="I90" s="9">
        <f t="shared" si="10"/>
        <v>1499.1308771868128</v>
      </c>
      <c r="J90" s="4">
        <f t="shared" si="11"/>
        <v>84382.786301749438</v>
      </c>
      <c r="K90" s="111"/>
    </row>
    <row r="91" spans="1:12" x14ac:dyDescent="0.2">
      <c r="A91" s="29">
        <v>41148</v>
      </c>
      <c r="B91" s="7" t="s">
        <v>436</v>
      </c>
      <c r="C91" s="7"/>
      <c r="D91" s="110">
        <f>7*5</f>
        <v>35</v>
      </c>
      <c r="E91" s="6">
        <f t="shared" si="8"/>
        <v>7349.96</v>
      </c>
      <c r="F91" s="10"/>
      <c r="G91" s="10">
        <f t="shared" si="9"/>
        <v>11.426302417582416</v>
      </c>
      <c r="H91" s="3"/>
      <c r="I91" s="9">
        <f t="shared" si="10"/>
        <v>399.9205846153846</v>
      </c>
      <c r="J91" s="4">
        <f t="shared" si="11"/>
        <v>83982.86571713406</v>
      </c>
      <c r="K91" s="111"/>
    </row>
    <row r="92" spans="1:12" x14ac:dyDescent="0.2">
      <c r="A92" s="29">
        <v>41148</v>
      </c>
      <c r="B92" s="7" t="s">
        <v>435</v>
      </c>
      <c r="C92" s="7"/>
      <c r="D92" s="110">
        <f>2*2</f>
        <v>4</v>
      </c>
      <c r="E92" s="6">
        <f t="shared" si="8"/>
        <v>7345.96</v>
      </c>
      <c r="F92" s="10"/>
      <c r="G92" s="10">
        <f t="shared" si="9"/>
        <v>11.426302417582416</v>
      </c>
      <c r="H92" s="3"/>
      <c r="I92" s="9">
        <f t="shared" si="10"/>
        <v>45.705209670329666</v>
      </c>
      <c r="J92" s="4">
        <f t="shared" si="11"/>
        <v>83937.160507463734</v>
      </c>
      <c r="K92" s="111"/>
    </row>
    <row r="93" spans="1:12" x14ac:dyDescent="0.2">
      <c r="A93" s="29">
        <v>41149</v>
      </c>
      <c r="B93" s="7" t="s">
        <v>434</v>
      </c>
      <c r="C93" s="7"/>
      <c r="D93" s="110">
        <f>15*6+6*6.7+6*6.3</f>
        <v>168</v>
      </c>
      <c r="E93" s="6">
        <f t="shared" si="8"/>
        <v>7177.96</v>
      </c>
      <c r="F93" s="10"/>
      <c r="G93" s="10">
        <f t="shared" si="9"/>
        <v>11.426302417582416</v>
      </c>
      <c r="H93" s="9"/>
      <c r="I93" s="9">
        <f t="shared" si="10"/>
        <v>1919.618806153846</v>
      </c>
      <c r="J93" s="4">
        <f t="shared" si="11"/>
        <v>82017.541701309892</v>
      </c>
      <c r="K93" s="111"/>
    </row>
    <row r="94" spans="1:12" x14ac:dyDescent="0.2">
      <c r="A94" s="29">
        <v>41149</v>
      </c>
      <c r="B94" s="7" t="s">
        <v>433</v>
      </c>
      <c r="C94" s="7"/>
      <c r="D94" s="110">
        <f>4*2.8+1*2</f>
        <v>13.2</v>
      </c>
      <c r="E94" s="6">
        <f t="shared" si="8"/>
        <v>7164.76</v>
      </c>
      <c r="F94" s="10"/>
      <c r="G94" s="10">
        <f t="shared" si="9"/>
        <v>11.426302417582418</v>
      </c>
      <c r="H94" s="9"/>
      <c r="I94" s="9">
        <f t="shared" si="10"/>
        <v>150.8271919120879</v>
      </c>
      <c r="J94" s="4">
        <f t="shared" si="11"/>
        <v>81866.714509397803</v>
      </c>
      <c r="K94" s="111"/>
    </row>
    <row r="95" spans="1:12" x14ac:dyDescent="0.2">
      <c r="A95" s="29">
        <v>41151</v>
      </c>
      <c r="B95" s="7" t="s">
        <v>432</v>
      </c>
      <c r="C95" s="7"/>
      <c r="D95" s="110">
        <f>10*4.8</f>
        <v>48</v>
      </c>
      <c r="E95" s="6">
        <f t="shared" si="8"/>
        <v>7116.76</v>
      </c>
      <c r="F95" s="10"/>
      <c r="G95" s="10">
        <f t="shared" si="9"/>
        <v>11.426302417582418</v>
      </c>
      <c r="H95" s="9"/>
      <c r="I95" s="9">
        <f t="shared" si="10"/>
        <v>548.46251604395604</v>
      </c>
      <c r="J95" s="4">
        <f t="shared" si="11"/>
        <v>81318.251993353842</v>
      </c>
      <c r="K95" s="111"/>
    </row>
    <row r="96" spans="1:12" s="100" customFormat="1" x14ac:dyDescent="0.2">
      <c r="A96" s="84">
        <v>41152</v>
      </c>
      <c r="B96" s="80" t="s">
        <v>431</v>
      </c>
      <c r="C96" s="80"/>
      <c r="D96" s="80">
        <f>6*1.85+3*0.84+6*1.35+6*2.365</f>
        <v>35.910000000000004</v>
      </c>
      <c r="E96" s="82">
        <f t="shared" si="8"/>
        <v>7080.85</v>
      </c>
      <c r="F96" s="81"/>
      <c r="G96" s="81">
        <f t="shared" si="9"/>
        <v>11.426302417582416</v>
      </c>
      <c r="H96" s="79"/>
      <c r="I96" s="79">
        <f t="shared" si="10"/>
        <v>410.3185198153846</v>
      </c>
      <c r="J96" s="78">
        <f t="shared" si="11"/>
        <v>80907.933473538462</v>
      </c>
      <c r="K96" s="112"/>
      <c r="L96" s="76">
        <f>SUM(I75:I96)</f>
        <v>10382.05263963956</v>
      </c>
    </row>
    <row r="97" spans="1:11" x14ac:dyDescent="0.2">
      <c r="A97" s="29">
        <v>41155</v>
      </c>
      <c r="B97" s="7" t="s">
        <v>430</v>
      </c>
      <c r="C97" s="7"/>
      <c r="D97" s="110">
        <f>4*1.3</f>
        <v>5.2</v>
      </c>
      <c r="E97" s="6">
        <f t="shared" si="8"/>
        <v>7075.6500000000005</v>
      </c>
      <c r="F97" s="10"/>
      <c r="G97" s="10">
        <f t="shared" si="9"/>
        <v>11.426302417582416</v>
      </c>
      <c r="H97" s="9"/>
      <c r="I97" s="9">
        <f t="shared" si="10"/>
        <v>59.416772571428567</v>
      </c>
      <c r="J97" s="4">
        <f t="shared" si="11"/>
        <v>80848.51670096704</v>
      </c>
      <c r="K97" s="111"/>
    </row>
    <row r="98" spans="1:11" x14ac:dyDescent="0.2">
      <c r="A98" s="29">
        <v>41156</v>
      </c>
      <c r="B98" s="7" t="s">
        <v>429</v>
      </c>
      <c r="C98" s="7"/>
      <c r="D98" s="110">
        <f>1*5.2</f>
        <v>5.2</v>
      </c>
      <c r="E98" s="6">
        <f t="shared" si="8"/>
        <v>7070.4500000000007</v>
      </c>
      <c r="F98" s="10"/>
      <c r="G98" s="10">
        <f t="shared" si="9"/>
        <v>11.426302417582418</v>
      </c>
      <c r="H98" s="9"/>
      <c r="I98" s="9">
        <f t="shared" si="10"/>
        <v>59.416772571428574</v>
      </c>
      <c r="J98" s="4">
        <f t="shared" si="11"/>
        <v>80789.099928395619</v>
      </c>
      <c r="K98" s="111"/>
    </row>
    <row r="99" spans="1:11" x14ac:dyDescent="0.2">
      <c r="A99" s="29">
        <v>41157</v>
      </c>
      <c r="B99" s="7" t="s">
        <v>428</v>
      </c>
      <c r="C99" s="7"/>
      <c r="D99" s="110">
        <f>1*1.3</f>
        <v>1.3</v>
      </c>
      <c r="E99" s="6">
        <f t="shared" si="8"/>
        <v>7069.1500000000005</v>
      </c>
      <c r="F99" s="10"/>
      <c r="G99" s="10">
        <f t="shared" si="9"/>
        <v>11.426302417582418</v>
      </c>
      <c r="H99" s="9"/>
      <c r="I99" s="9">
        <f t="shared" si="10"/>
        <v>14.854193142857143</v>
      </c>
      <c r="J99" s="4">
        <f t="shared" si="11"/>
        <v>80774.245735252756</v>
      </c>
      <c r="K99" s="111"/>
    </row>
    <row r="100" spans="1:11" x14ac:dyDescent="0.2">
      <c r="A100" s="29">
        <v>41157</v>
      </c>
      <c r="B100" s="7" t="s">
        <v>427</v>
      </c>
      <c r="C100" s="7"/>
      <c r="D100" s="110">
        <f>10*4.5</f>
        <v>45</v>
      </c>
      <c r="E100" s="6">
        <f t="shared" si="8"/>
        <v>7024.1500000000005</v>
      </c>
      <c r="F100" s="10"/>
      <c r="G100" s="10">
        <f t="shared" si="9"/>
        <v>11.426302417582418</v>
      </c>
      <c r="H100" s="9"/>
      <c r="I100" s="9">
        <f t="shared" si="10"/>
        <v>514.18360879120883</v>
      </c>
      <c r="J100" s="4">
        <f t="shared" si="11"/>
        <v>80260.062126461547</v>
      </c>
      <c r="K100" s="111"/>
    </row>
    <row r="101" spans="1:11" x14ac:dyDescent="0.2">
      <c r="A101" s="29">
        <v>41157</v>
      </c>
      <c r="B101" s="7" t="s">
        <v>426</v>
      </c>
      <c r="C101" s="7"/>
      <c r="D101" s="110">
        <f>1*3.74+5*1.85</f>
        <v>12.99</v>
      </c>
      <c r="E101" s="6">
        <f t="shared" si="8"/>
        <v>7011.1600000000008</v>
      </c>
      <c r="F101" s="10"/>
      <c r="G101" s="10">
        <f t="shared" si="9"/>
        <v>11.426302417582418</v>
      </c>
      <c r="H101" s="9"/>
      <c r="I101" s="9">
        <f t="shared" si="10"/>
        <v>148.4276684043956</v>
      </c>
      <c r="J101" s="4">
        <f t="shared" si="11"/>
        <v>80111.634458057146</v>
      </c>
      <c r="K101" s="111"/>
    </row>
    <row r="102" spans="1:11" x14ac:dyDescent="0.2">
      <c r="A102" s="29">
        <v>41158</v>
      </c>
      <c r="B102" s="7" t="s">
        <v>425</v>
      </c>
      <c r="C102" s="7"/>
      <c r="D102" s="110">
        <f>1*1.95</f>
        <v>1.95</v>
      </c>
      <c r="E102" s="6">
        <f t="shared" si="8"/>
        <v>7009.2100000000009</v>
      </c>
      <c r="F102" s="10"/>
      <c r="G102" s="10">
        <f t="shared" si="9"/>
        <v>11.426302417582416</v>
      </c>
      <c r="H102" s="9"/>
      <c r="I102" s="9">
        <f t="shared" si="10"/>
        <v>22.281289714285712</v>
      </c>
      <c r="J102" s="4">
        <f t="shared" si="11"/>
        <v>80089.353168342859</v>
      </c>
      <c r="K102" s="111"/>
    </row>
    <row r="103" spans="1:11" x14ac:dyDescent="0.2">
      <c r="A103" s="29">
        <v>41158</v>
      </c>
      <c r="B103" s="7" t="s">
        <v>424</v>
      </c>
      <c r="C103" s="7"/>
      <c r="D103" s="110">
        <f>8*3</f>
        <v>24</v>
      </c>
      <c r="E103" s="6">
        <f t="shared" si="8"/>
        <v>6985.2100000000009</v>
      </c>
      <c r="F103" s="10"/>
      <c r="G103" s="10">
        <f t="shared" si="9"/>
        <v>11.426302417582416</v>
      </c>
      <c r="H103" s="9"/>
      <c r="I103" s="9">
        <f t="shared" si="10"/>
        <v>274.23125802197796</v>
      </c>
      <c r="J103" s="4">
        <f t="shared" si="11"/>
        <v>79815.121910320886</v>
      </c>
      <c r="K103" s="111"/>
    </row>
    <row r="104" spans="1:11" x14ac:dyDescent="0.2">
      <c r="A104" s="29">
        <v>41159</v>
      </c>
      <c r="B104" s="7" t="s">
        <v>423</v>
      </c>
      <c r="C104" s="7"/>
      <c r="D104" s="110">
        <f>11*2.5+11*3</f>
        <v>60.5</v>
      </c>
      <c r="E104" s="6">
        <f t="shared" si="8"/>
        <v>6924.7100000000009</v>
      </c>
      <c r="F104" s="10"/>
      <c r="G104" s="10">
        <f t="shared" si="9"/>
        <v>11.426302417582416</v>
      </c>
      <c r="H104" s="9"/>
      <c r="I104" s="9">
        <f t="shared" si="10"/>
        <v>691.29129626373617</v>
      </c>
      <c r="J104" s="4">
        <f t="shared" si="11"/>
        <v>79123.830614057151</v>
      </c>
      <c r="K104" s="111"/>
    </row>
    <row r="105" spans="1:11" x14ac:dyDescent="0.2">
      <c r="A105" s="29">
        <v>41159</v>
      </c>
      <c r="B105" s="7" t="s">
        <v>422</v>
      </c>
      <c r="C105" s="7"/>
      <c r="D105" s="110">
        <f>11*4.5</f>
        <v>49.5</v>
      </c>
      <c r="E105" s="6">
        <f t="shared" si="8"/>
        <v>6875.2100000000009</v>
      </c>
      <c r="F105" s="10"/>
      <c r="G105" s="10">
        <f t="shared" si="9"/>
        <v>11.426302417582416</v>
      </c>
      <c r="H105" s="9"/>
      <c r="I105" s="9">
        <f t="shared" si="10"/>
        <v>565.60196967032959</v>
      </c>
      <c r="J105" s="4">
        <f t="shared" si="11"/>
        <v>78558.228644386822</v>
      </c>
      <c r="K105" s="111"/>
    </row>
    <row r="106" spans="1:11" x14ac:dyDescent="0.2">
      <c r="A106" s="29">
        <v>41159</v>
      </c>
      <c r="B106" s="7" t="s">
        <v>421</v>
      </c>
      <c r="C106" s="7"/>
      <c r="D106" s="110">
        <f>3*2.45</f>
        <v>7.3500000000000005</v>
      </c>
      <c r="E106" s="6">
        <f t="shared" ref="E106:E137" si="12">E105-D106</f>
        <v>6867.8600000000006</v>
      </c>
      <c r="F106" s="10"/>
      <c r="G106" s="10">
        <f t="shared" ref="G106:G137" si="13">J105/E105</f>
        <v>11.426302417582416</v>
      </c>
      <c r="H106" s="9"/>
      <c r="I106" s="9">
        <f t="shared" ref="I106:I137" si="14">D106*G106</f>
        <v>83.983322769230767</v>
      </c>
      <c r="J106" s="4">
        <f t="shared" ref="J106:J137" si="15">J105-I106</f>
        <v>78474.245321617593</v>
      </c>
      <c r="K106" s="111"/>
    </row>
    <row r="107" spans="1:11" x14ac:dyDescent="0.2">
      <c r="A107" s="29">
        <v>41163</v>
      </c>
      <c r="B107" s="7" t="s">
        <v>420</v>
      </c>
      <c r="C107" s="7"/>
      <c r="D107" s="110">
        <f>23*1.6+4*4.6</f>
        <v>55.2</v>
      </c>
      <c r="E107" s="6">
        <f t="shared" si="12"/>
        <v>6812.6600000000008</v>
      </c>
      <c r="F107" s="10"/>
      <c r="G107" s="10">
        <f t="shared" si="13"/>
        <v>11.426302417582418</v>
      </c>
      <c r="H107" s="9"/>
      <c r="I107" s="9">
        <f t="shared" si="14"/>
        <v>630.73189345054948</v>
      </c>
      <c r="J107" s="4">
        <f t="shared" si="15"/>
        <v>77843.513428167047</v>
      </c>
      <c r="K107" s="111"/>
    </row>
    <row r="108" spans="1:11" x14ac:dyDescent="0.2">
      <c r="A108" s="29">
        <v>41163</v>
      </c>
      <c r="B108" s="7" t="s">
        <v>419</v>
      </c>
      <c r="C108" s="7"/>
      <c r="D108" s="110">
        <f>36*4.95</f>
        <v>178.20000000000002</v>
      </c>
      <c r="E108" s="6">
        <f t="shared" si="12"/>
        <v>6634.4600000000009</v>
      </c>
      <c r="F108" s="10"/>
      <c r="G108" s="10">
        <f t="shared" si="13"/>
        <v>11.426302417582418</v>
      </c>
      <c r="H108" s="9"/>
      <c r="I108" s="9">
        <f t="shared" si="14"/>
        <v>2036.1670908131871</v>
      </c>
      <c r="J108" s="4">
        <f t="shared" si="15"/>
        <v>75807.346337353854</v>
      </c>
      <c r="K108" s="111"/>
    </row>
    <row r="109" spans="1:11" x14ac:dyDescent="0.2">
      <c r="A109" s="29">
        <v>41163</v>
      </c>
      <c r="B109" s="7" t="s">
        <v>418</v>
      </c>
      <c r="C109" s="7"/>
      <c r="D109" s="110">
        <f>12*3.5</f>
        <v>42</v>
      </c>
      <c r="E109" s="6">
        <f t="shared" si="12"/>
        <v>6592.4600000000009</v>
      </c>
      <c r="F109" s="10"/>
      <c r="G109" s="10">
        <f t="shared" si="13"/>
        <v>11.426302417582416</v>
      </c>
      <c r="H109" s="9"/>
      <c r="I109" s="9">
        <f t="shared" si="14"/>
        <v>479.9047015384615</v>
      </c>
      <c r="J109" s="4">
        <f t="shared" si="15"/>
        <v>75327.441635815398</v>
      </c>
      <c r="K109" s="111"/>
    </row>
    <row r="110" spans="1:11" x14ac:dyDescent="0.2">
      <c r="A110" s="29">
        <v>41163</v>
      </c>
      <c r="B110" s="7" t="s">
        <v>417</v>
      </c>
      <c r="C110" s="7"/>
      <c r="D110" s="110">
        <f>1*6</f>
        <v>6</v>
      </c>
      <c r="E110" s="6">
        <f t="shared" si="12"/>
        <v>6586.4600000000009</v>
      </c>
      <c r="F110" s="10"/>
      <c r="G110" s="10">
        <f t="shared" si="13"/>
        <v>11.426302417582418</v>
      </c>
      <c r="H110" s="9"/>
      <c r="I110" s="9">
        <f t="shared" si="14"/>
        <v>68.557814505494505</v>
      </c>
      <c r="J110" s="4">
        <f t="shared" si="15"/>
        <v>75258.883821309908</v>
      </c>
      <c r="K110" s="111"/>
    </row>
    <row r="111" spans="1:11" x14ac:dyDescent="0.2">
      <c r="A111" s="29">
        <v>41164</v>
      </c>
      <c r="B111" s="7" t="s">
        <v>416</v>
      </c>
      <c r="C111" s="7"/>
      <c r="D111" s="110">
        <f>6*4.4</f>
        <v>26.400000000000002</v>
      </c>
      <c r="E111" s="6">
        <f t="shared" si="12"/>
        <v>6560.0600000000013</v>
      </c>
      <c r="F111" s="10"/>
      <c r="G111" s="10">
        <f t="shared" si="13"/>
        <v>11.426302417582418</v>
      </c>
      <c r="H111" s="9"/>
      <c r="I111" s="9">
        <f t="shared" si="14"/>
        <v>301.65438382417585</v>
      </c>
      <c r="J111" s="4">
        <f t="shared" si="15"/>
        <v>74957.22943748573</v>
      </c>
      <c r="K111" s="111"/>
    </row>
    <row r="112" spans="1:11" x14ac:dyDescent="0.2">
      <c r="A112" s="29">
        <v>41164</v>
      </c>
      <c r="B112" s="7" t="s">
        <v>415</v>
      </c>
      <c r="C112" s="7"/>
      <c r="D112" s="110">
        <f>6*4.5+4*4.3+3*3</f>
        <v>53.2</v>
      </c>
      <c r="E112" s="6">
        <f t="shared" si="12"/>
        <v>6506.8600000000015</v>
      </c>
      <c r="F112" s="10"/>
      <c r="G112" s="10">
        <f t="shared" si="13"/>
        <v>11.426302417582418</v>
      </c>
      <c r="H112" s="9"/>
      <c r="I112" s="9">
        <f t="shared" si="14"/>
        <v>607.87928861538467</v>
      </c>
      <c r="J112" s="4">
        <f t="shared" si="15"/>
        <v>74349.350148870348</v>
      </c>
      <c r="K112" s="111"/>
    </row>
    <row r="113" spans="1:12" x14ac:dyDescent="0.2">
      <c r="A113" s="29">
        <v>41164</v>
      </c>
      <c r="B113" s="7" t="s">
        <v>414</v>
      </c>
      <c r="C113" s="7"/>
      <c r="D113" s="110">
        <f>8*3</f>
        <v>24</v>
      </c>
      <c r="E113" s="6">
        <f t="shared" si="12"/>
        <v>6482.8600000000015</v>
      </c>
      <c r="F113" s="10"/>
      <c r="G113" s="10">
        <f t="shared" si="13"/>
        <v>11.426302417582418</v>
      </c>
      <c r="H113" s="9"/>
      <c r="I113" s="9">
        <f t="shared" si="14"/>
        <v>274.23125802197802</v>
      </c>
      <c r="J113" s="4">
        <f t="shared" si="15"/>
        <v>74075.118890848375</v>
      </c>
      <c r="K113" s="111"/>
    </row>
    <row r="114" spans="1:12" x14ac:dyDescent="0.2">
      <c r="A114" s="29">
        <v>41165</v>
      </c>
      <c r="B114" s="7" t="s">
        <v>413</v>
      </c>
      <c r="C114" s="7"/>
      <c r="D114" s="110">
        <f>1*1.8</f>
        <v>1.8</v>
      </c>
      <c r="E114" s="6">
        <f t="shared" si="12"/>
        <v>6481.0600000000013</v>
      </c>
      <c r="F114" s="10"/>
      <c r="G114" s="10">
        <f t="shared" si="13"/>
        <v>11.426302417582418</v>
      </c>
      <c r="H114" s="9"/>
      <c r="I114" s="9">
        <f t="shared" si="14"/>
        <v>20.567344351648352</v>
      </c>
      <c r="J114" s="4">
        <f t="shared" si="15"/>
        <v>74054.551546496732</v>
      </c>
      <c r="K114" s="111"/>
    </row>
    <row r="115" spans="1:12" x14ac:dyDescent="0.2">
      <c r="A115" s="29">
        <v>41165</v>
      </c>
      <c r="B115" s="7" t="s">
        <v>412</v>
      </c>
      <c r="C115" s="7"/>
      <c r="D115" s="110">
        <f>3*4.8</f>
        <v>14.399999999999999</v>
      </c>
      <c r="E115" s="6">
        <f t="shared" si="12"/>
        <v>6466.6600000000017</v>
      </c>
      <c r="F115" s="10"/>
      <c r="G115" s="10">
        <f t="shared" si="13"/>
        <v>11.42630241758242</v>
      </c>
      <c r="H115" s="9"/>
      <c r="I115" s="9">
        <f t="shared" si="14"/>
        <v>164.53875481318684</v>
      </c>
      <c r="J115" s="4">
        <f t="shared" si="15"/>
        <v>73890.012791683548</v>
      </c>
      <c r="K115" s="111"/>
    </row>
    <row r="116" spans="1:12" x14ac:dyDescent="0.2">
      <c r="A116" s="29">
        <v>41169</v>
      </c>
      <c r="B116" s="7" t="s">
        <v>411</v>
      </c>
      <c r="C116" s="7"/>
      <c r="D116" s="110">
        <v>0</v>
      </c>
      <c r="E116" s="6">
        <f t="shared" si="12"/>
        <v>6466.6600000000017</v>
      </c>
      <c r="F116" s="10"/>
      <c r="G116" s="10">
        <f t="shared" si="13"/>
        <v>11.42630241758242</v>
      </c>
      <c r="H116" s="9"/>
      <c r="I116" s="9">
        <f t="shared" si="14"/>
        <v>0</v>
      </c>
      <c r="J116" s="4">
        <f t="shared" si="15"/>
        <v>73890.012791683548</v>
      </c>
      <c r="K116" s="111"/>
    </row>
    <row r="117" spans="1:12" x14ac:dyDescent="0.2">
      <c r="A117" s="29">
        <v>41169</v>
      </c>
      <c r="B117" s="7" t="s">
        <v>410</v>
      </c>
      <c r="C117" s="7"/>
      <c r="D117" s="110">
        <f>6*2.2+6*1.9</f>
        <v>24.6</v>
      </c>
      <c r="E117" s="6">
        <f t="shared" si="12"/>
        <v>6442.0600000000013</v>
      </c>
      <c r="F117" s="10"/>
      <c r="G117" s="10">
        <f t="shared" si="13"/>
        <v>11.42630241758242</v>
      </c>
      <c r="H117" s="9"/>
      <c r="I117" s="9">
        <f t="shared" si="14"/>
        <v>281.08703947252752</v>
      </c>
      <c r="J117" s="4">
        <f t="shared" si="15"/>
        <v>73608.925752211027</v>
      </c>
      <c r="K117" s="111"/>
    </row>
    <row r="118" spans="1:12" x14ac:dyDescent="0.2">
      <c r="A118" s="29">
        <v>41171</v>
      </c>
      <c r="B118" s="7" t="s">
        <v>409</v>
      </c>
      <c r="C118" s="7"/>
      <c r="D118" s="110">
        <f>1*143.28</f>
        <v>143.28</v>
      </c>
      <c r="E118" s="6">
        <f t="shared" si="12"/>
        <v>6298.7800000000016</v>
      </c>
      <c r="F118" s="10"/>
      <c r="G118" s="10">
        <f t="shared" si="13"/>
        <v>11.426302417582422</v>
      </c>
      <c r="H118" s="9"/>
      <c r="I118" s="9">
        <f t="shared" si="14"/>
        <v>1637.1606103912095</v>
      </c>
      <c r="J118" s="4">
        <f t="shared" si="15"/>
        <v>71971.765141819822</v>
      </c>
      <c r="K118" s="111"/>
    </row>
    <row r="119" spans="1:12" x14ac:dyDescent="0.2">
      <c r="A119" s="29">
        <v>41172</v>
      </c>
      <c r="B119" s="7" t="s">
        <v>408</v>
      </c>
      <c r="C119" s="7"/>
      <c r="D119" s="110">
        <f>5*3.8+3*2.6</f>
        <v>26.8</v>
      </c>
      <c r="E119" s="6">
        <f t="shared" si="12"/>
        <v>6271.9800000000014</v>
      </c>
      <c r="F119" s="10"/>
      <c r="G119" s="10">
        <f t="shared" si="13"/>
        <v>11.426302417582422</v>
      </c>
      <c r="H119" s="9"/>
      <c r="I119" s="9">
        <f t="shared" si="14"/>
        <v>306.22490479120893</v>
      </c>
      <c r="J119" s="4">
        <f t="shared" si="15"/>
        <v>71665.540237028617</v>
      </c>
      <c r="K119" s="111"/>
    </row>
    <row r="120" spans="1:12" x14ac:dyDescent="0.2">
      <c r="A120" s="29">
        <v>41173</v>
      </c>
      <c r="B120" s="7" t="s">
        <v>407</v>
      </c>
      <c r="C120" s="7"/>
      <c r="D120" s="110">
        <f>1*3+5*2.4</f>
        <v>15</v>
      </c>
      <c r="E120" s="6">
        <f t="shared" si="12"/>
        <v>6256.9800000000014</v>
      </c>
      <c r="F120" s="10"/>
      <c r="G120" s="10">
        <f t="shared" si="13"/>
        <v>11.426302417582422</v>
      </c>
      <c r="H120" s="9"/>
      <c r="I120" s="9">
        <f t="shared" si="14"/>
        <v>171.39453626373631</v>
      </c>
      <c r="J120" s="4">
        <f t="shared" si="15"/>
        <v>71494.145700764886</v>
      </c>
      <c r="K120" s="111"/>
    </row>
    <row r="121" spans="1:12" x14ac:dyDescent="0.2">
      <c r="A121" s="29">
        <v>41173</v>
      </c>
      <c r="B121" s="7" t="s">
        <v>406</v>
      </c>
      <c r="C121" s="7"/>
      <c r="D121" s="110">
        <f>4*4.2+1*1.5</f>
        <v>18.3</v>
      </c>
      <c r="E121" s="6">
        <f t="shared" si="12"/>
        <v>6238.6800000000012</v>
      </c>
      <c r="F121" s="10"/>
      <c r="G121" s="10">
        <f t="shared" si="13"/>
        <v>11.426302417582423</v>
      </c>
      <c r="H121" s="9"/>
      <c r="I121" s="9">
        <f t="shared" si="14"/>
        <v>209.10133424175837</v>
      </c>
      <c r="J121" s="4">
        <f t="shared" si="15"/>
        <v>71285.044366523129</v>
      </c>
      <c r="K121" s="111"/>
    </row>
    <row r="122" spans="1:12" x14ac:dyDescent="0.2">
      <c r="A122" s="29">
        <v>41173</v>
      </c>
      <c r="B122" s="7" t="s">
        <v>405</v>
      </c>
      <c r="C122" s="7"/>
      <c r="D122" s="110">
        <f>4*2.5</f>
        <v>10</v>
      </c>
      <c r="E122" s="6">
        <f t="shared" si="12"/>
        <v>6228.6800000000012</v>
      </c>
      <c r="F122" s="10"/>
      <c r="G122" s="10">
        <f t="shared" si="13"/>
        <v>11.426302417582423</v>
      </c>
      <c r="H122" s="9"/>
      <c r="I122" s="9">
        <f t="shared" si="14"/>
        <v>114.26302417582423</v>
      </c>
      <c r="J122" s="4">
        <f t="shared" si="15"/>
        <v>71170.781342347298</v>
      </c>
      <c r="K122" s="111"/>
    </row>
    <row r="123" spans="1:12" x14ac:dyDescent="0.2">
      <c r="A123" s="29">
        <v>41173</v>
      </c>
      <c r="B123" s="7" t="s">
        <v>404</v>
      </c>
      <c r="C123" s="7"/>
      <c r="D123" s="110">
        <f>17*5.5+28*5</f>
        <v>233.5</v>
      </c>
      <c r="E123" s="6">
        <f t="shared" si="12"/>
        <v>5995.1800000000012</v>
      </c>
      <c r="F123" s="10"/>
      <c r="G123" s="10">
        <f t="shared" si="13"/>
        <v>11.426302417582423</v>
      </c>
      <c r="H123" s="9"/>
      <c r="I123" s="9">
        <f t="shared" si="14"/>
        <v>2668.041614505496</v>
      </c>
      <c r="J123" s="4">
        <f t="shared" si="15"/>
        <v>68502.739727841807</v>
      </c>
      <c r="K123" s="111"/>
    </row>
    <row r="124" spans="1:12" x14ac:dyDescent="0.2">
      <c r="A124" s="29">
        <v>41181</v>
      </c>
      <c r="B124" s="7" t="s">
        <v>403</v>
      </c>
      <c r="C124" s="7"/>
      <c r="D124" s="110">
        <f>7*4</f>
        <v>28</v>
      </c>
      <c r="E124" s="6">
        <f t="shared" si="12"/>
        <v>5967.1800000000012</v>
      </c>
      <c r="F124" s="10"/>
      <c r="G124" s="10">
        <f t="shared" si="13"/>
        <v>11.426302417582423</v>
      </c>
      <c r="H124" s="9"/>
      <c r="I124" s="9">
        <f t="shared" si="14"/>
        <v>319.93646769230787</v>
      </c>
      <c r="J124" s="4">
        <f t="shared" si="15"/>
        <v>68182.803260149492</v>
      </c>
      <c r="K124" s="111"/>
    </row>
    <row r="125" spans="1:12" x14ac:dyDescent="0.2">
      <c r="A125" s="29">
        <v>41178</v>
      </c>
      <c r="B125" s="7" t="s">
        <v>402</v>
      </c>
      <c r="C125" s="7"/>
      <c r="D125" s="110">
        <f>7*4</f>
        <v>28</v>
      </c>
      <c r="E125" s="6">
        <f t="shared" si="12"/>
        <v>5939.1800000000012</v>
      </c>
      <c r="F125" s="10"/>
      <c r="G125" s="10">
        <f t="shared" si="13"/>
        <v>11.426302417582422</v>
      </c>
      <c r="H125" s="9"/>
      <c r="I125" s="9">
        <f t="shared" si="14"/>
        <v>319.93646769230782</v>
      </c>
      <c r="J125" s="4">
        <f t="shared" si="15"/>
        <v>67862.866792457178</v>
      </c>
      <c r="K125" s="111"/>
    </row>
    <row r="126" spans="1:12" s="100" customFormat="1" ht="15" thickBot="1" x14ac:dyDescent="0.25">
      <c r="A126" s="121">
        <v>41180</v>
      </c>
      <c r="B126" s="120" t="s">
        <v>401</v>
      </c>
      <c r="C126" s="120"/>
      <c r="D126" s="120">
        <f>18*2.9</f>
        <v>52.199999999999996</v>
      </c>
      <c r="E126" s="119">
        <f t="shared" si="12"/>
        <v>5886.9800000000014</v>
      </c>
      <c r="F126" s="118"/>
      <c r="G126" s="118">
        <f t="shared" si="13"/>
        <v>11.426302417582422</v>
      </c>
      <c r="H126" s="117"/>
      <c r="I126" s="117">
        <f t="shared" si="14"/>
        <v>596.45298619780237</v>
      </c>
      <c r="J126" s="116">
        <f t="shared" si="15"/>
        <v>67266.41380625937</v>
      </c>
      <c r="K126" s="115"/>
      <c r="L126" s="76">
        <f>SUM(I97:I126)</f>
        <v>13641.519667279126</v>
      </c>
    </row>
    <row r="127" spans="1:12" x14ac:dyDescent="0.2">
      <c r="A127" s="38">
        <v>41184</v>
      </c>
      <c r="B127" s="37" t="s">
        <v>400</v>
      </c>
      <c r="C127" s="37"/>
      <c r="D127" s="114">
        <f>16*7+13*7.5+18*4.2</f>
        <v>285.10000000000002</v>
      </c>
      <c r="E127" s="36">
        <f t="shared" si="12"/>
        <v>5601.880000000001</v>
      </c>
      <c r="F127" s="34"/>
      <c r="G127" s="34">
        <f t="shared" si="13"/>
        <v>11.42630241758242</v>
      </c>
      <c r="H127" s="37"/>
      <c r="I127" s="32">
        <f t="shared" si="14"/>
        <v>3257.6388192527484</v>
      </c>
      <c r="J127" s="31">
        <f t="shared" si="15"/>
        <v>64008.774987006618</v>
      </c>
      <c r="K127" s="113"/>
    </row>
    <row r="128" spans="1:12" x14ac:dyDescent="0.2">
      <c r="A128" s="29">
        <v>41184</v>
      </c>
      <c r="B128" s="7" t="s">
        <v>399</v>
      </c>
      <c r="C128" s="7"/>
      <c r="D128" s="110">
        <f>9*3.85</f>
        <v>34.65</v>
      </c>
      <c r="E128" s="6">
        <f t="shared" si="12"/>
        <v>5567.2300000000014</v>
      </c>
      <c r="F128" s="10"/>
      <c r="G128" s="10">
        <f t="shared" si="13"/>
        <v>11.42630241758242</v>
      </c>
      <c r="H128" s="7"/>
      <c r="I128" s="9">
        <f t="shared" si="14"/>
        <v>395.92137876923084</v>
      </c>
      <c r="J128" s="4">
        <f t="shared" si="15"/>
        <v>63612.85360823739</v>
      </c>
      <c r="K128" s="111"/>
    </row>
    <row r="129" spans="1:11" x14ac:dyDescent="0.2">
      <c r="A129" s="29">
        <v>41184</v>
      </c>
      <c r="B129" s="7" t="s">
        <v>398</v>
      </c>
      <c r="C129" s="7"/>
      <c r="D129" s="110">
        <f>8*6.5</f>
        <v>52</v>
      </c>
      <c r="E129" s="6">
        <f t="shared" si="12"/>
        <v>5515.2300000000014</v>
      </c>
      <c r="F129" s="10"/>
      <c r="G129" s="10">
        <f t="shared" si="13"/>
        <v>11.42630241758242</v>
      </c>
      <c r="H129" s="7"/>
      <c r="I129" s="9">
        <f t="shared" si="14"/>
        <v>594.16772571428578</v>
      </c>
      <c r="J129" s="4">
        <f t="shared" si="15"/>
        <v>63018.685882523103</v>
      </c>
      <c r="K129" s="111"/>
    </row>
    <row r="130" spans="1:11" x14ac:dyDescent="0.2">
      <c r="A130" s="29">
        <v>41185</v>
      </c>
      <c r="B130" s="7" t="s">
        <v>397</v>
      </c>
      <c r="C130" s="7"/>
      <c r="D130" s="110">
        <f>1*3.5</f>
        <v>3.5</v>
      </c>
      <c r="E130" s="6">
        <f t="shared" si="12"/>
        <v>5511.7300000000014</v>
      </c>
      <c r="F130" s="10"/>
      <c r="G130" s="10">
        <f t="shared" si="13"/>
        <v>11.42630241758242</v>
      </c>
      <c r="H130" s="7"/>
      <c r="I130" s="9">
        <f t="shared" si="14"/>
        <v>39.99205846153847</v>
      </c>
      <c r="J130" s="4">
        <f t="shared" si="15"/>
        <v>62978.693824061564</v>
      </c>
      <c r="K130" s="111"/>
    </row>
    <row r="131" spans="1:11" x14ac:dyDescent="0.2">
      <c r="A131" s="29">
        <v>41185</v>
      </c>
      <c r="B131" s="7" t="s">
        <v>396</v>
      </c>
      <c r="C131" s="7"/>
      <c r="D131" s="110">
        <f>5*1.5</f>
        <v>7.5</v>
      </c>
      <c r="E131" s="6">
        <f t="shared" si="12"/>
        <v>5504.2300000000014</v>
      </c>
      <c r="F131" s="10"/>
      <c r="G131" s="10">
        <f t="shared" si="13"/>
        <v>11.42630241758242</v>
      </c>
      <c r="H131" s="7"/>
      <c r="I131" s="9">
        <f t="shared" si="14"/>
        <v>85.697268131868157</v>
      </c>
      <c r="J131" s="4">
        <f t="shared" si="15"/>
        <v>62892.996555929698</v>
      </c>
      <c r="K131" s="111"/>
    </row>
    <row r="132" spans="1:11" x14ac:dyDescent="0.2">
      <c r="A132" s="29">
        <v>41185</v>
      </c>
      <c r="B132" s="7" t="s">
        <v>395</v>
      </c>
      <c r="C132" s="7"/>
      <c r="D132" s="110">
        <f>5*2.5</f>
        <v>12.5</v>
      </c>
      <c r="E132" s="6">
        <f t="shared" si="12"/>
        <v>5491.7300000000014</v>
      </c>
      <c r="F132" s="10"/>
      <c r="G132" s="10">
        <f t="shared" si="13"/>
        <v>11.42630241758242</v>
      </c>
      <c r="H132" s="7"/>
      <c r="I132" s="9">
        <f t="shared" si="14"/>
        <v>142.82878021978024</v>
      </c>
      <c r="J132" s="4">
        <f t="shared" si="15"/>
        <v>62750.167775709917</v>
      </c>
      <c r="K132" s="111"/>
    </row>
    <row r="133" spans="1:11" x14ac:dyDescent="0.2">
      <c r="A133" s="29">
        <v>41187</v>
      </c>
      <c r="B133" s="7" t="s">
        <v>394</v>
      </c>
      <c r="C133" s="7"/>
      <c r="D133" s="110">
        <f>14*4.08+12*3.9+2*2.35</f>
        <v>108.62</v>
      </c>
      <c r="E133" s="6">
        <f t="shared" si="12"/>
        <v>5383.1100000000015</v>
      </c>
      <c r="F133" s="10"/>
      <c r="G133" s="10">
        <f t="shared" si="13"/>
        <v>11.42630241758242</v>
      </c>
      <c r="H133" s="7"/>
      <c r="I133" s="9">
        <f t="shared" si="14"/>
        <v>1241.1249685978025</v>
      </c>
      <c r="J133" s="4">
        <f t="shared" si="15"/>
        <v>61509.042807112113</v>
      </c>
      <c r="K133" s="111"/>
    </row>
    <row r="134" spans="1:11" x14ac:dyDescent="0.2">
      <c r="A134" s="29">
        <v>41188</v>
      </c>
      <c r="B134" s="7" t="s">
        <v>393</v>
      </c>
      <c r="C134" s="7"/>
      <c r="D134" s="110">
        <f>20*4.5+10*4</f>
        <v>130</v>
      </c>
      <c r="E134" s="6">
        <f t="shared" si="12"/>
        <v>5253.1100000000015</v>
      </c>
      <c r="F134" s="10"/>
      <c r="G134" s="10">
        <f t="shared" si="13"/>
        <v>11.42630241758242</v>
      </c>
      <c r="H134" s="7"/>
      <c r="I134" s="9">
        <f t="shared" si="14"/>
        <v>1485.4193142857146</v>
      </c>
      <c r="J134" s="4">
        <f t="shared" si="15"/>
        <v>60023.623492826402</v>
      </c>
      <c r="K134" s="111"/>
    </row>
    <row r="135" spans="1:11" x14ac:dyDescent="0.2">
      <c r="A135" s="29">
        <v>41188</v>
      </c>
      <c r="B135" s="7" t="s">
        <v>392</v>
      </c>
      <c r="C135" s="7"/>
      <c r="D135" s="110">
        <f>34*7.7+34*6.55+34*8.1+14*6.25+7*4.7+7*4.8+1*26</f>
        <v>939.9</v>
      </c>
      <c r="E135" s="6">
        <f t="shared" si="12"/>
        <v>4313.2100000000019</v>
      </c>
      <c r="F135" s="10"/>
      <c r="G135" s="10">
        <f t="shared" si="13"/>
        <v>11.42630241758242</v>
      </c>
      <c r="H135" s="7"/>
      <c r="I135" s="9">
        <f t="shared" si="14"/>
        <v>10739.581642285717</v>
      </c>
      <c r="J135" s="4">
        <f t="shared" si="15"/>
        <v>49284.041850540685</v>
      </c>
      <c r="K135" s="111"/>
    </row>
    <row r="136" spans="1:11" x14ac:dyDescent="0.2">
      <c r="A136" s="29">
        <v>41191</v>
      </c>
      <c r="B136" s="7" t="s">
        <v>391</v>
      </c>
      <c r="C136" s="7"/>
      <c r="D136" s="110">
        <f>9*5</f>
        <v>45</v>
      </c>
      <c r="E136" s="6">
        <f t="shared" si="12"/>
        <v>4268.2100000000019</v>
      </c>
      <c r="F136" s="10"/>
      <c r="G136" s="10">
        <f t="shared" si="13"/>
        <v>11.426302417582418</v>
      </c>
      <c r="H136" s="7"/>
      <c r="I136" s="9">
        <f t="shared" si="14"/>
        <v>514.18360879120883</v>
      </c>
      <c r="J136" s="4">
        <f t="shared" si="15"/>
        <v>48769.858241749476</v>
      </c>
      <c r="K136" s="111"/>
    </row>
    <row r="137" spans="1:11" x14ac:dyDescent="0.2">
      <c r="A137" s="29">
        <v>41192</v>
      </c>
      <c r="B137" s="7" t="s">
        <v>390</v>
      </c>
      <c r="C137" s="7"/>
      <c r="D137" s="110">
        <f>8*3</f>
        <v>24</v>
      </c>
      <c r="E137" s="6">
        <f t="shared" si="12"/>
        <v>4244.2100000000019</v>
      </c>
      <c r="F137" s="10"/>
      <c r="G137" s="10">
        <f t="shared" si="13"/>
        <v>11.426302417582418</v>
      </c>
      <c r="H137" s="7"/>
      <c r="I137" s="9">
        <f t="shared" si="14"/>
        <v>274.23125802197802</v>
      </c>
      <c r="J137" s="4">
        <f t="shared" si="15"/>
        <v>48495.626983727496</v>
      </c>
      <c r="K137" s="111"/>
    </row>
    <row r="138" spans="1:11" x14ac:dyDescent="0.2">
      <c r="A138" s="29">
        <v>41193</v>
      </c>
      <c r="B138" s="7" t="s">
        <v>389</v>
      </c>
      <c r="C138" s="7"/>
      <c r="D138" s="110">
        <f>17*5.02</f>
        <v>85.339999999999989</v>
      </c>
      <c r="E138" s="6">
        <f t="shared" ref="E138:E169" si="16">E137-D138</f>
        <v>4158.8700000000017</v>
      </c>
      <c r="F138" s="10"/>
      <c r="G138" s="10">
        <f t="shared" ref="G138:G169" si="17">J137/E137</f>
        <v>11.426302417582418</v>
      </c>
      <c r="H138" s="7"/>
      <c r="I138" s="9">
        <f t="shared" ref="I138:I169" si="18">D138*G138</f>
        <v>975.12064831648343</v>
      </c>
      <c r="J138" s="4">
        <f t="shared" ref="J138:J169" si="19">J137-I138</f>
        <v>47520.50633541101</v>
      </c>
      <c r="K138" s="111"/>
    </row>
    <row r="139" spans="1:11" x14ac:dyDescent="0.2">
      <c r="A139" s="29">
        <v>41194</v>
      </c>
      <c r="B139" s="7" t="s">
        <v>388</v>
      </c>
      <c r="C139" s="7"/>
      <c r="D139" s="110">
        <f>1*2</f>
        <v>2</v>
      </c>
      <c r="E139" s="6">
        <f t="shared" si="16"/>
        <v>4156.8700000000017</v>
      </c>
      <c r="F139" s="10"/>
      <c r="G139" s="10">
        <f t="shared" si="17"/>
        <v>11.426302417582418</v>
      </c>
      <c r="H139" s="7"/>
      <c r="I139" s="9">
        <f t="shared" si="18"/>
        <v>22.852604835164836</v>
      </c>
      <c r="J139" s="4">
        <f t="shared" si="19"/>
        <v>47497.653730575847</v>
      </c>
      <c r="K139" s="111"/>
    </row>
    <row r="140" spans="1:11" x14ac:dyDescent="0.2">
      <c r="A140" s="29">
        <v>41194</v>
      </c>
      <c r="B140" s="7" t="s">
        <v>387</v>
      </c>
      <c r="C140" s="7"/>
      <c r="D140" s="110">
        <f>3*4</f>
        <v>12</v>
      </c>
      <c r="E140" s="6">
        <f t="shared" si="16"/>
        <v>4144.8700000000017</v>
      </c>
      <c r="F140" s="7"/>
      <c r="G140" s="10">
        <f t="shared" si="17"/>
        <v>11.426302417582418</v>
      </c>
      <c r="H140" s="7"/>
      <c r="I140" s="9">
        <f t="shared" si="18"/>
        <v>137.11562901098901</v>
      </c>
      <c r="J140" s="4">
        <f t="shared" si="19"/>
        <v>47360.53810156486</v>
      </c>
      <c r="K140" s="111"/>
    </row>
    <row r="141" spans="1:11" x14ac:dyDescent="0.2">
      <c r="A141" s="29">
        <v>41194</v>
      </c>
      <c r="B141" s="7" t="s">
        <v>386</v>
      </c>
      <c r="C141" s="7"/>
      <c r="D141" s="110">
        <f>3*2.6</f>
        <v>7.8000000000000007</v>
      </c>
      <c r="E141" s="6">
        <f t="shared" si="16"/>
        <v>4137.0700000000015</v>
      </c>
      <c r="F141" s="7"/>
      <c r="G141" s="10">
        <f t="shared" si="17"/>
        <v>11.426302417582418</v>
      </c>
      <c r="H141" s="7"/>
      <c r="I141" s="9">
        <f t="shared" si="18"/>
        <v>89.125158857142864</v>
      </c>
      <c r="J141" s="4">
        <f t="shared" si="19"/>
        <v>47271.412942707721</v>
      </c>
      <c r="K141" s="111"/>
    </row>
    <row r="142" spans="1:11" x14ac:dyDescent="0.2">
      <c r="A142" s="29">
        <v>41195</v>
      </c>
      <c r="B142" s="7" t="s">
        <v>385</v>
      </c>
      <c r="C142" s="7"/>
      <c r="D142" s="110">
        <v>0</v>
      </c>
      <c r="E142" s="6">
        <f t="shared" si="16"/>
        <v>4137.0700000000015</v>
      </c>
      <c r="F142" s="7"/>
      <c r="G142" s="10">
        <f t="shared" si="17"/>
        <v>11.42630241758242</v>
      </c>
      <c r="H142" s="7"/>
      <c r="I142" s="9">
        <f t="shared" si="18"/>
        <v>0</v>
      </c>
      <c r="J142" s="4">
        <f t="shared" si="19"/>
        <v>47271.412942707721</v>
      </c>
      <c r="K142" s="111"/>
    </row>
    <row r="143" spans="1:11" x14ac:dyDescent="0.2">
      <c r="A143" s="29">
        <v>41195</v>
      </c>
      <c r="B143" s="7" t="s">
        <v>384</v>
      </c>
      <c r="C143" s="7"/>
      <c r="D143" s="110">
        <f>5*2.3</f>
        <v>11.5</v>
      </c>
      <c r="E143" s="6">
        <f t="shared" si="16"/>
        <v>4125.5700000000015</v>
      </c>
      <c r="F143" s="10"/>
      <c r="G143" s="10">
        <f t="shared" si="17"/>
        <v>11.42630241758242</v>
      </c>
      <c r="H143" s="7"/>
      <c r="I143" s="9">
        <f t="shared" si="18"/>
        <v>131.40247780219784</v>
      </c>
      <c r="J143" s="4">
        <f t="shared" si="19"/>
        <v>47140.010464905521</v>
      </c>
      <c r="K143" s="111"/>
    </row>
    <row r="144" spans="1:11" x14ac:dyDescent="0.2">
      <c r="A144" s="29">
        <v>41195</v>
      </c>
      <c r="B144" s="7" t="s">
        <v>383</v>
      </c>
      <c r="C144" s="7"/>
      <c r="D144" s="110">
        <f>5*3</f>
        <v>15</v>
      </c>
      <c r="E144" s="6">
        <f t="shared" si="16"/>
        <v>4110.5700000000015</v>
      </c>
      <c r="F144" s="7"/>
      <c r="G144" s="10">
        <f t="shared" si="17"/>
        <v>11.42630241758242</v>
      </c>
      <c r="H144" s="7"/>
      <c r="I144" s="9">
        <f t="shared" si="18"/>
        <v>171.39453626373631</v>
      </c>
      <c r="J144" s="4">
        <f t="shared" si="19"/>
        <v>46968.615928641782</v>
      </c>
      <c r="K144" s="111"/>
    </row>
    <row r="145" spans="1:12" x14ac:dyDescent="0.2">
      <c r="A145" s="29">
        <v>41195</v>
      </c>
      <c r="B145" s="7" t="s">
        <v>382</v>
      </c>
      <c r="C145" s="7"/>
      <c r="D145" s="110">
        <f>39*4</f>
        <v>156</v>
      </c>
      <c r="E145" s="6">
        <f t="shared" si="16"/>
        <v>3954.5700000000015</v>
      </c>
      <c r="F145" s="7"/>
      <c r="G145" s="10">
        <f t="shared" si="17"/>
        <v>11.42630241758242</v>
      </c>
      <c r="H145" s="7"/>
      <c r="I145" s="9">
        <f t="shared" si="18"/>
        <v>1782.5031771428576</v>
      </c>
      <c r="J145" s="4">
        <f t="shared" si="19"/>
        <v>45186.112751498928</v>
      </c>
      <c r="K145" s="111"/>
    </row>
    <row r="146" spans="1:12" x14ac:dyDescent="0.2">
      <c r="A146" s="29">
        <v>41195</v>
      </c>
      <c r="B146" s="7" t="s">
        <v>381</v>
      </c>
      <c r="C146" s="7"/>
      <c r="D146" s="110">
        <f>13*5</f>
        <v>65</v>
      </c>
      <c r="E146" s="6">
        <f t="shared" si="16"/>
        <v>3889.5700000000015</v>
      </c>
      <c r="F146" s="7"/>
      <c r="G146" s="10">
        <f t="shared" si="17"/>
        <v>11.42630241758242</v>
      </c>
      <c r="H146" s="7"/>
      <c r="I146" s="9">
        <f t="shared" si="18"/>
        <v>742.70965714285728</v>
      </c>
      <c r="J146" s="4">
        <f t="shared" si="19"/>
        <v>44443.403094356072</v>
      </c>
      <c r="K146" s="111"/>
    </row>
    <row r="147" spans="1:12" x14ac:dyDescent="0.2">
      <c r="A147" s="29">
        <v>41197</v>
      </c>
      <c r="B147" s="7" t="s">
        <v>380</v>
      </c>
      <c r="C147" s="7"/>
      <c r="D147" s="110">
        <f>2*2</f>
        <v>4</v>
      </c>
      <c r="E147" s="6">
        <f t="shared" si="16"/>
        <v>3885.5700000000015</v>
      </c>
      <c r="F147" s="7"/>
      <c r="G147" s="10">
        <f t="shared" si="17"/>
        <v>11.42630241758242</v>
      </c>
      <c r="H147" s="7"/>
      <c r="I147" s="9">
        <f t="shared" si="18"/>
        <v>45.70520967032968</v>
      </c>
      <c r="J147" s="4">
        <f t="shared" si="19"/>
        <v>44397.697884685746</v>
      </c>
      <c r="K147" s="111"/>
    </row>
    <row r="148" spans="1:12" x14ac:dyDescent="0.2">
      <c r="A148" s="29">
        <v>41197</v>
      </c>
      <c r="B148" s="7" t="s">
        <v>379</v>
      </c>
      <c r="C148" s="7"/>
      <c r="D148" s="110">
        <f>1*4</f>
        <v>4</v>
      </c>
      <c r="E148" s="6">
        <f t="shared" si="16"/>
        <v>3881.5700000000015</v>
      </c>
      <c r="F148" s="7"/>
      <c r="G148" s="10">
        <f t="shared" si="17"/>
        <v>11.426302417582422</v>
      </c>
      <c r="H148" s="7"/>
      <c r="I148" s="9">
        <f t="shared" si="18"/>
        <v>45.705209670329687</v>
      </c>
      <c r="J148" s="4">
        <f t="shared" si="19"/>
        <v>44351.992675015419</v>
      </c>
      <c r="K148" s="111"/>
    </row>
    <row r="149" spans="1:12" x14ac:dyDescent="0.2">
      <c r="A149" s="29">
        <v>41198</v>
      </c>
      <c r="B149" s="7" t="s">
        <v>378</v>
      </c>
      <c r="C149" s="7"/>
      <c r="D149" s="110">
        <f>52*6+52*2.1+4*2</f>
        <v>429.2</v>
      </c>
      <c r="E149" s="6">
        <f t="shared" si="16"/>
        <v>3452.3700000000017</v>
      </c>
      <c r="F149" s="10"/>
      <c r="G149" s="10">
        <f t="shared" si="17"/>
        <v>11.426302417582422</v>
      </c>
      <c r="H149" s="7"/>
      <c r="I149" s="9">
        <f t="shared" si="18"/>
        <v>4904.1689976263751</v>
      </c>
      <c r="J149" s="4">
        <f t="shared" si="19"/>
        <v>39447.823677389046</v>
      </c>
      <c r="K149" s="111"/>
    </row>
    <row r="150" spans="1:12" x14ac:dyDescent="0.2">
      <c r="A150" s="29">
        <v>41202</v>
      </c>
      <c r="B150" s="7" t="s">
        <v>377</v>
      </c>
      <c r="C150" s="7"/>
      <c r="D150" s="110">
        <f>11*4.2</f>
        <v>46.2</v>
      </c>
      <c r="E150" s="6">
        <f t="shared" si="16"/>
        <v>3406.1700000000019</v>
      </c>
      <c r="F150" s="10"/>
      <c r="G150" s="10">
        <f t="shared" si="17"/>
        <v>11.426302417582422</v>
      </c>
      <c r="H150" s="7"/>
      <c r="I150" s="9">
        <f t="shared" si="18"/>
        <v>527.89517169230794</v>
      </c>
      <c r="J150" s="4">
        <f t="shared" si="19"/>
        <v>38919.928505696735</v>
      </c>
      <c r="K150" s="111"/>
    </row>
    <row r="151" spans="1:12" x14ac:dyDescent="0.2">
      <c r="A151" s="29">
        <v>41202</v>
      </c>
      <c r="B151" s="7" t="s">
        <v>376</v>
      </c>
      <c r="C151" s="7"/>
      <c r="D151" s="110">
        <f>12*4</f>
        <v>48</v>
      </c>
      <c r="E151" s="6">
        <f t="shared" si="16"/>
        <v>3358.1700000000019</v>
      </c>
      <c r="F151" s="10"/>
      <c r="G151" s="10">
        <f t="shared" si="17"/>
        <v>11.42630241758242</v>
      </c>
      <c r="H151" s="7"/>
      <c r="I151" s="9">
        <f t="shared" si="18"/>
        <v>548.46251604395616</v>
      </c>
      <c r="J151" s="4">
        <f t="shared" si="19"/>
        <v>38371.465989652781</v>
      </c>
      <c r="K151" s="111"/>
    </row>
    <row r="152" spans="1:12" x14ac:dyDescent="0.2">
      <c r="A152" s="29">
        <v>41209</v>
      </c>
      <c r="B152" s="7" t="s">
        <v>375</v>
      </c>
      <c r="C152" s="7"/>
      <c r="D152" s="110">
        <f>2*4.3</f>
        <v>8.6</v>
      </c>
      <c r="E152" s="6">
        <f t="shared" si="16"/>
        <v>3349.570000000002</v>
      </c>
      <c r="F152" s="10"/>
      <c r="G152" s="10">
        <f t="shared" si="17"/>
        <v>11.426302417582422</v>
      </c>
      <c r="H152" s="7"/>
      <c r="I152" s="9">
        <f t="shared" si="18"/>
        <v>98.266200791208817</v>
      </c>
      <c r="J152" s="4">
        <f t="shared" si="19"/>
        <v>38273.199788861573</v>
      </c>
      <c r="K152" s="111"/>
    </row>
    <row r="153" spans="1:12" x14ac:dyDescent="0.2">
      <c r="A153" s="29">
        <v>41209</v>
      </c>
      <c r="B153" s="7" t="s">
        <v>374</v>
      </c>
      <c r="C153" s="7"/>
      <c r="D153" s="110">
        <f>11*3.7+22*3.8</f>
        <v>124.3</v>
      </c>
      <c r="E153" s="6">
        <f t="shared" si="16"/>
        <v>3225.2700000000018</v>
      </c>
      <c r="F153" s="10"/>
      <c r="G153" s="10">
        <f t="shared" si="17"/>
        <v>11.426302417582422</v>
      </c>
      <c r="H153" s="7"/>
      <c r="I153" s="9">
        <f t="shared" si="18"/>
        <v>1420.289390505495</v>
      </c>
      <c r="J153" s="4">
        <f t="shared" si="19"/>
        <v>36852.910398356078</v>
      </c>
      <c r="K153" s="111"/>
    </row>
    <row r="154" spans="1:12" x14ac:dyDescent="0.2">
      <c r="A154" s="29">
        <v>41209</v>
      </c>
      <c r="B154" s="7" t="s">
        <v>373</v>
      </c>
      <c r="C154" s="7"/>
      <c r="D154" s="110">
        <v>0</v>
      </c>
      <c r="E154" s="6">
        <f t="shared" si="16"/>
        <v>3225.2700000000018</v>
      </c>
      <c r="F154" s="10"/>
      <c r="G154" s="10">
        <f t="shared" si="17"/>
        <v>11.426302417582422</v>
      </c>
      <c r="H154" s="7"/>
      <c r="I154" s="9">
        <f t="shared" si="18"/>
        <v>0</v>
      </c>
      <c r="J154" s="4">
        <f t="shared" si="19"/>
        <v>36852.910398356078</v>
      </c>
      <c r="K154" s="111"/>
    </row>
    <row r="155" spans="1:12" x14ac:dyDescent="0.2">
      <c r="A155" s="84">
        <v>41209</v>
      </c>
      <c r="B155" s="80" t="s">
        <v>372</v>
      </c>
      <c r="C155" s="80"/>
      <c r="D155" s="80">
        <v>0</v>
      </c>
      <c r="E155" s="82">
        <f t="shared" si="16"/>
        <v>3225.2700000000018</v>
      </c>
      <c r="F155" s="81"/>
      <c r="G155" s="81">
        <f t="shared" si="17"/>
        <v>11.426302417582422</v>
      </c>
      <c r="H155" s="80"/>
      <c r="I155" s="79">
        <f t="shared" si="18"/>
        <v>0</v>
      </c>
      <c r="J155" s="78">
        <f t="shared" si="19"/>
        <v>36852.910398356078</v>
      </c>
      <c r="K155" s="112"/>
      <c r="L155" s="76">
        <f>SUM(I127:I155)</f>
        <v>30413.503407903299</v>
      </c>
    </row>
    <row r="156" spans="1:12" x14ac:dyDescent="0.2">
      <c r="A156" s="29">
        <v>41219</v>
      </c>
      <c r="B156" s="7" t="s">
        <v>371</v>
      </c>
      <c r="C156" s="7"/>
      <c r="D156" s="110">
        <f>2*3.7</f>
        <v>7.4</v>
      </c>
      <c r="E156" s="6">
        <f t="shared" si="16"/>
        <v>3217.8700000000017</v>
      </c>
      <c r="F156" s="10"/>
      <c r="G156" s="10">
        <f t="shared" si="17"/>
        <v>11.426302417582422</v>
      </c>
      <c r="H156" s="7"/>
      <c r="I156" s="9">
        <f t="shared" si="18"/>
        <v>84.55463789010993</v>
      </c>
      <c r="J156" s="4">
        <f t="shared" si="19"/>
        <v>36768.355760465965</v>
      </c>
      <c r="K156" s="111"/>
    </row>
    <row r="157" spans="1:12" x14ac:dyDescent="0.2">
      <c r="A157" s="29">
        <v>41219</v>
      </c>
      <c r="B157" s="7" t="s">
        <v>370</v>
      </c>
      <c r="C157" s="7"/>
      <c r="D157" s="110">
        <f>1*95.7</f>
        <v>95.7</v>
      </c>
      <c r="E157" s="6">
        <f t="shared" si="16"/>
        <v>3122.1700000000019</v>
      </c>
      <c r="F157" s="10"/>
      <c r="G157" s="10">
        <f t="shared" si="17"/>
        <v>11.426302417582422</v>
      </c>
      <c r="H157" s="7"/>
      <c r="I157" s="9">
        <f t="shared" si="18"/>
        <v>1093.4971413626379</v>
      </c>
      <c r="J157" s="4">
        <f t="shared" si="19"/>
        <v>35674.858619103325</v>
      </c>
      <c r="K157" s="111"/>
    </row>
    <row r="158" spans="1:12" x14ac:dyDescent="0.2">
      <c r="A158" s="29">
        <v>41220</v>
      </c>
      <c r="B158" s="7" t="s">
        <v>369</v>
      </c>
      <c r="C158" s="7"/>
      <c r="D158" s="110">
        <f>10*4.8</f>
        <v>48</v>
      </c>
      <c r="E158" s="6">
        <f t="shared" si="16"/>
        <v>3074.1700000000019</v>
      </c>
      <c r="F158" s="10"/>
      <c r="G158" s="10">
        <f t="shared" si="17"/>
        <v>11.42630241758242</v>
      </c>
      <c r="H158" s="7"/>
      <c r="I158" s="9">
        <f t="shared" si="18"/>
        <v>548.46251604395616</v>
      </c>
      <c r="J158" s="4">
        <f t="shared" si="19"/>
        <v>35126.396103059371</v>
      </c>
      <c r="K158" s="105"/>
    </row>
    <row r="159" spans="1:12" x14ac:dyDescent="0.2">
      <c r="A159" s="29">
        <v>41220</v>
      </c>
      <c r="B159" s="7" t="s">
        <v>368</v>
      </c>
      <c r="C159" s="40"/>
      <c r="D159" s="40">
        <f>5*5.57+3*4.2</f>
        <v>40.450000000000003</v>
      </c>
      <c r="E159" s="6">
        <f t="shared" si="16"/>
        <v>3033.7200000000021</v>
      </c>
      <c r="F159" s="10"/>
      <c r="G159" s="10">
        <f t="shared" si="17"/>
        <v>11.42630241758242</v>
      </c>
      <c r="H159" s="40"/>
      <c r="I159" s="9">
        <f t="shared" si="18"/>
        <v>462.19393279120891</v>
      </c>
      <c r="J159" s="4">
        <f t="shared" si="19"/>
        <v>34664.20217026816</v>
      </c>
      <c r="K159" s="105"/>
    </row>
    <row r="160" spans="1:12" x14ac:dyDescent="0.2">
      <c r="A160" s="29">
        <v>41220</v>
      </c>
      <c r="B160" s="7" t="s">
        <v>367</v>
      </c>
      <c r="C160" s="40"/>
      <c r="D160" s="40">
        <f>5*6+6*2.35</f>
        <v>44.1</v>
      </c>
      <c r="E160" s="6">
        <f t="shared" si="16"/>
        <v>2989.6200000000022</v>
      </c>
      <c r="F160" s="39"/>
      <c r="G160" s="10">
        <f t="shared" si="17"/>
        <v>11.426302417582418</v>
      </c>
      <c r="H160" s="40"/>
      <c r="I160" s="9">
        <f t="shared" si="18"/>
        <v>503.89993661538466</v>
      </c>
      <c r="J160" s="4">
        <f t="shared" si="19"/>
        <v>34160.302233652772</v>
      </c>
      <c r="K160" s="105"/>
    </row>
    <row r="161" spans="1:11" x14ac:dyDescent="0.2">
      <c r="A161" s="29">
        <v>41221</v>
      </c>
      <c r="B161" s="7" t="s">
        <v>366</v>
      </c>
      <c r="C161" s="40"/>
      <c r="D161" s="40">
        <f>14*7.15+12*2.73+12*2.68+10*1.3</f>
        <v>178.02</v>
      </c>
      <c r="E161" s="6">
        <f t="shared" si="16"/>
        <v>2811.6000000000022</v>
      </c>
      <c r="F161" s="39"/>
      <c r="G161" s="10">
        <f t="shared" si="17"/>
        <v>11.426302417582418</v>
      </c>
      <c r="H161" s="40"/>
      <c r="I161" s="9">
        <f t="shared" si="18"/>
        <v>2034.1103563780223</v>
      </c>
      <c r="J161" s="4">
        <f t="shared" si="19"/>
        <v>32126.191877274749</v>
      </c>
      <c r="K161" s="105"/>
    </row>
    <row r="162" spans="1:11" x14ac:dyDescent="0.2">
      <c r="A162" s="29">
        <v>41222</v>
      </c>
      <c r="B162" s="7" t="s">
        <v>365</v>
      </c>
      <c r="C162" s="40"/>
      <c r="D162" s="40">
        <f>4*6.5</f>
        <v>26</v>
      </c>
      <c r="E162" s="6">
        <f t="shared" si="16"/>
        <v>2785.6000000000022</v>
      </c>
      <c r="F162" s="39"/>
      <c r="G162" s="10">
        <f t="shared" si="17"/>
        <v>11.426302417582416</v>
      </c>
      <c r="H162" s="40"/>
      <c r="I162" s="9">
        <f t="shared" si="18"/>
        <v>297.08386285714283</v>
      </c>
      <c r="J162" s="4">
        <f t="shared" si="19"/>
        <v>31829.108014417605</v>
      </c>
      <c r="K162" s="105"/>
    </row>
    <row r="163" spans="1:11" x14ac:dyDescent="0.2">
      <c r="A163" s="29">
        <v>41223</v>
      </c>
      <c r="B163" s="7" t="s">
        <v>364</v>
      </c>
      <c r="C163" s="40"/>
      <c r="D163" s="40">
        <f>5*3.6</f>
        <v>18</v>
      </c>
      <c r="E163" s="6">
        <f t="shared" si="16"/>
        <v>2767.6000000000022</v>
      </c>
      <c r="F163" s="39"/>
      <c r="G163" s="10">
        <f t="shared" si="17"/>
        <v>11.426302417582416</v>
      </c>
      <c r="H163" s="40"/>
      <c r="I163" s="9">
        <f t="shared" si="18"/>
        <v>205.6734435164835</v>
      </c>
      <c r="J163" s="4">
        <f t="shared" si="19"/>
        <v>31623.434570901121</v>
      </c>
      <c r="K163" s="105"/>
    </row>
    <row r="164" spans="1:11" x14ac:dyDescent="0.2">
      <c r="A164" s="29">
        <v>41225</v>
      </c>
      <c r="B164" s="7" t="s">
        <v>363</v>
      </c>
      <c r="C164" s="40"/>
      <c r="D164" s="40">
        <f>23*5.4+17*5.15+1*9</f>
        <v>220.75</v>
      </c>
      <c r="E164" s="6">
        <f t="shared" si="16"/>
        <v>2546.8500000000022</v>
      </c>
      <c r="F164" s="39"/>
      <c r="G164" s="10">
        <f t="shared" si="17"/>
        <v>11.426302417582416</v>
      </c>
      <c r="H164" s="40"/>
      <c r="I164" s="9">
        <f t="shared" si="18"/>
        <v>2522.3562586813182</v>
      </c>
      <c r="J164" s="4">
        <f t="shared" si="19"/>
        <v>29101.078312219805</v>
      </c>
      <c r="K164" s="105"/>
    </row>
    <row r="165" spans="1:11" x14ac:dyDescent="0.2">
      <c r="A165" s="29">
        <v>41225</v>
      </c>
      <c r="B165" s="7" t="s">
        <v>362</v>
      </c>
      <c r="C165" s="40"/>
      <c r="D165" s="40">
        <f>1*2</f>
        <v>2</v>
      </c>
      <c r="E165" s="6">
        <f t="shared" si="16"/>
        <v>2544.8500000000022</v>
      </c>
      <c r="F165" s="39"/>
      <c r="G165" s="10">
        <f t="shared" si="17"/>
        <v>11.426302417582418</v>
      </c>
      <c r="H165" s="40"/>
      <c r="I165" s="9">
        <f t="shared" si="18"/>
        <v>22.852604835164836</v>
      </c>
      <c r="J165" s="4">
        <f t="shared" si="19"/>
        <v>29078.225707384641</v>
      </c>
      <c r="K165" s="105"/>
    </row>
    <row r="166" spans="1:11" x14ac:dyDescent="0.2">
      <c r="A166" s="29">
        <v>41226</v>
      </c>
      <c r="B166" s="7" t="s">
        <v>361</v>
      </c>
      <c r="C166" s="40"/>
      <c r="D166" s="40">
        <f>15*5.9</f>
        <v>88.5</v>
      </c>
      <c r="E166" s="6">
        <f t="shared" si="16"/>
        <v>2456.3500000000022</v>
      </c>
      <c r="F166" s="39"/>
      <c r="G166" s="10">
        <f t="shared" si="17"/>
        <v>11.426302417582418</v>
      </c>
      <c r="H166" s="40"/>
      <c r="I166" s="9">
        <f t="shared" si="18"/>
        <v>1011.227763956044</v>
      </c>
      <c r="J166" s="4">
        <f t="shared" si="19"/>
        <v>28066.997943428596</v>
      </c>
      <c r="K166" s="105"/>
    </row>
    <row r="167" spans="1:11" x14ac:dyDescent="0.2">
      <c r="A167" s="29">
        <v>41228</v>
      </c>
      <c r="B167" s="7" t="s">
        <v>360</v>
      </c>
      <c r="C167" s="40"/>
      <c r="D167" s="40">
        <f>7*2.35</f>
        <v>16.45</v>
      </c>
      <c r="E167" s="6">
        <f t="shared" si="16"/>
        <v>2439.9000000000024</v>
      </c>
      <c r="F167" s="39"/>
      <c r="G167" s="10">
        <f t="shared" si="17"/>
        <v>11.426302417582418</v>
      </c>
      <c r="H167" s="40"/>
      <c r="I167" s="9">
        <f t="shared" si="18"/>
        <v>187.96267476923077</v>
      </c>
      <c r="J167" s="4">
        <f t="shared" si="19"/>
        <v>27879.035268659365</v>
      </c>
      <c r="K167" s="105"/>
    </row>
    <row r="168" spans="1:11" ht="15" thickBot="1" x14ac:dyDescent="0.25">
      <c r="A168" s="27">
        <v>41228</v>
      </c>
      <c r="B168" s="26" t="s">
        <v>359</v>
      </c>
      <c r="C168" s="108"/>
      <c r="D168" s="108">
        <f>2*4</f>
        <v>8</v>
      </c>
      <c r="E168" s="25">
        <f t="shared" si="16"/>
        <v>2431.9000000000024</v>
      </c>
      <c r="F168" s="109"/>
      <c r="G168" s="23">
        <f t="shared" si="17"/>
        <v>11.426302417582416</v>
      </c>
      <c r="H168" s="108"/>
      <c r="I168" s="21">
        <f t="shared" si="18"/>
        <v>91.410419340659331</v>
      </c>
      <c r="J168" s="20">
        <f t="shared" si="19"/>
        <v>27787.624849318705</v>
      </c>
      <c r="K168" s="107"/>
    </row>
    <row r="169" spans="1:11" x14ac:dyDescent="0.2">
      <c r="A169" s="38">
        <v>41228</v>
      </c>
      <c r="B169" s="37" t="s">
        <v>358</v>
      </c>
      <c r="C169" s="88"/>
      <c r="D169" s="88">
        <f>4*3.75</f>
        <v>15</v>
      </c>
      <c r="E169" s="36">
        <f t="shared" si="16"/>
        <v>2416.9000000000024</v>
      </c>
      <c r="F169" s="89"/>
      <c r="G169" s="34">
        <f t="shared" si="17"/>
        <v>11.426302417582416</v>
      </c>
      <c r="H169" s="88"/>
      <c r="I169" s="32">
        <f t="shared" si="18"/>
        <v>171.39453626373626</v>
      </c>
      <c r="J169" s="31">
        <f t="shared" si="19"/>
        <v>27616.23031305497</v>
      </c>
      <c r="K169" s="106"/>
    </row>
    <row r="170" spans="1:11" x14ac:dyDescent="0.2">
      <c r="A170" s="29">
        <v>41228</v>
      </c>
      <c r="B170" s="7" t="s">
        <v>357</v>
      </c>
      <c r="C170" s="40"/>
      <c r="D170" s="40">
        <f>4*2</f>
        <v>8</v>
      </c>
      <c r="E170" s="6">
        <f t="shared" ref="E170:E201" si="20">E169-D170</f>
        <v>2408.9000000000024</v>
      </c>
      <c r="F170" s="39"/>
      <c r="G170" s="10">
        <f t="shared" ref="G170:G197" si="21">J169/E169</f>
        <v>11.426302417582416</v>
      </c>
      <c r="H170" s="40"/>
      <c r="I170" s="9">
        <f t="shared" ref="I170:I197" si="22">D170*G170</f>
        <v>91.410419340659331</v>
      </c>
      <c r="J170" s="4">
        <f t="shared" ref="J170:J201" si="23">J169-I170</f>
        <v>27524.81989371431</v>
      </c>
      <c r="K170" s="105"/>
    </row>
    <row r="171" spans="1:11" x14ac:dyDescent="0.2">
      <c r="A171" s="29">
        <v>41228</v>
      </c>
      <c r="B171" s="7" t="s">
        <v>356</v>
      </c>
      <c r="C171" s="40"/>
      <c r="D171" s="40">
        <f>4*2</f>
        <v>8</v>
      </c>
      <c r="E171" s="6">
        <f t="shared" si="20"/>
        <v>2400.9000000000024</v>
      </c>
      <c r="F171" s="39"/>
      <c r="G171" s="10">
        <f t="shared" si="21"/>
        <v>11.426302417582416</v>
      </c>
      <c r="H171" s="40"/>
      <c r="I171" s="9">
        <f t="shared" si="22"/>
        <v>91.410419340659331</v>
      </c>
      <c r="J171" s="4">
        <f t="shared" si="23"/>
        <v>27433.40947437365</v>
      </c>
      <c r="K171" s="105"/>
    </row>
    <row r="172" spans="1:11" x14ac:dyDescent="0.2">
      <c r="A172" s="29">
        <v>41228</v>
      </c>
      <c r="B172" s="7" t="s">
        <v>355</v>
      </c>
      <c r="C172" s="40"/>
      <c r="D172" s="40">
        <f>6*5.7</f>
        <v>34.200000000000003</v>
      </c>
      <c r="E172" s="6">
        <f t="shared" si="20"/>
        <v>2366.7000000000025</v>
      </c>
      <c r="F172" s="39"/>
      <c r="G172" s="10">
        <f t="shared" si="21"/>
        <v>11.426302417582416</v>
      </c>
      <c r="H172" s="40"/>
      <c r="I172" s="9">
        <f t="shared" si="22"/>
        <v>390.77954268131867</v>
      </c>
      <c r="J172" s="4">
        <f t="shared" si="23"/>
        <v>27042.629931692332</v>
      </c>
      <c r="K172" s="105"/>
    </row>
    <row r="173" spans="1:11" x14ac:dyDescent="0.2">
      <c r="A173" s="29">
        <v>41228</v>
      </c>
      <c r="B173" s="7" t="s">
        <v>354</v>
      </c>
      <c r="C173" s="40"/>
      <c r="D173" s="40">
        <f>15*4.1</f>
        <v>61.499999999999993</v>
      </c>
      <c r="E173" s="6">
        <f t="shared" si="20"/>
        <v>2305.2000000000025</v>
      </c>
      <c r="F173" s="39"/>
      <c r="G173" s="10">
        <f t="shared" si="21"/>
        <v>11.426302417582416</v>
      </c>
      <c r="H173" s="40"/>
      <c r="I173" s="9">
        <f t="shared" si="22"/>
        <v>702.71759868131858</v>
      </c>
      <c r="J173" s="4">
        <f t="shared" si="23"/>
        <v>26339.912333011012</v>
      </c>
      <c r="K173" s="105"/>
    </row>
    <row r="174" spans="1:11" x14ac:dyDescent="0.2">
      <c r="A174" s="29">
        <v>41229</v>
      </c>
      <c r="B174" s="7" t="s">
        <v>353</v>
      </c>
      <c r="C174" s="40"/>
      <c r="D174" s="40">
        <f>1*3.2</f>
        <v>3.2</v>
      </c>
      <c r="E174" s="6">
        <f t="shared" si="20"/>
        <v>2302.0000000000027</v>
      </c>
      <c r="F174" s="39"/>
      <c r="G174" s="10">
        <f t="shared" si="21"/>
        <v>11.426302417582415</v>
      </c>
      <c r="H174" s="40"/>
      <c r="I174" s="9">
        <f t="shared" si="22"/>
        <v>36.564167736263727</v>
      </c>
      <c r="J174" s="4">
        <f t="shared" si="23"/>
        <v>26303.348165274747</v>
      </c>
      <c r="K174" s="28"/>
    </row>
    <row r="175" spans="1:11" x14ac:dyDescent="0.2">
      <c r="A175" s="29">
        <v>41229</v>
      </c>
      <c r="B175" s="7" t="s">
        <v>352</v>
      </c>
      <c r="C175" s="40"/>
      <c r="D175" s="40">
        <f>33*2.2+6*1.8+18*1.9+2*2.4</f>
        <v>122.39999999999999</v>
      </c>
      <c r="E175" s="6">
        <f t="shared" si="20"/>
        <v>2179.6000000000026</v>
      </c>
      <c r="F175" s="39"/>
      <c r="G175" s="10">
        <f t="shared" si="21"/>
        <v>11.426302417582413</v>
      </c>
      <c r="H175" s="40"/>
      <c r="I175" s="9">
        <f t="shared" si="22"/>
        <v>1398.5794159120871</v>
      </c>
      <c r="J175" s="4">
        <f t="shared" si="23"/>
        <v>24904.768749362658</v>
      </c>
      <c r="K175" s="28"/>
    </row>
    <row r="176" spans="1:11" x14ac:dyDescent="0.2">
      <c r="A176" s="29">
        <v>41232</v>
      </c>
      <c r="B176" s="7" t="s">
        <v>351</v>
      </c>
      <c r="C176" s="40"/>
      <c r="D176" s="40">
        <f>23*4.5+5*2+1*4</f>
        <v>117.5</v>
      </c>
      <c r="E176" s="6">
        <f t="shared" si="20"/>
        <v>2062.1000000000026</v>
      </c>
      <c r="F176" s="39"/>
      <c r="G176" s="10">
        <f t="shared" si="21"/>
        <v>11.426302417582413</v>
      </c>
      <c r="H176" s="40"/>
      <c r="I176" s="9">
        <f t="shared" si="22"/>
        <v>1342.5905340659335</v>
      </c>
      <c r="J176" s="4">
        <f t="shared" si="23"/>
        <v>23562.178215296724</v>
      </c>
      <c r="K176" s="28"/>
    </row>
    <row r="177" spans="1:11" x14ac:dyDescent="0.2">
      <c r="A177" s="29">
        <v>41232</v>
      </c>
      <c r="B177" s="7" t="s">
        <v>350</v>
      </c>
      <c r="C177" s="40"/>
      <c r="D177" s="40">
        <f>4*6.8</f>
        <v>27.2</v>
      </c>
      <c r="E177" s="6">
        <f t="shared" si="20"/>
        <v>2034.9000000000026</v>
      </c>
      <c r="F177" s="39"/>
      <c r="G177" s="10">
        <f t="shared" si="21"/>
        <v>11.426302417582413</v>
      </c>
      <c r="H177" s="40"/>
      <c r="I177" s="9">
        <f t="shared" si="22"/>
        <v>310.79542575824161</v>
      </c>
      <c r="J177" s="4">
        <f t="shared" si="23"/>
        <v>23251.382789538482</v>
      </c>
      <c r="K177" s="28"/>
    </row>
    <row r="178" spans="1:11" x14ac:dyDescent="0.2">
      <c r="A178" s="29">
        <v>41233</v>
      </c>
      <c r="B178" s="7" t="s">
        <v>349</v>
      </c>
      <c r="C178" s="40"/>
      <c r="D178" s="40">
        <f>26*2.5+5*0.65</f>
        <v>68.25</v>
      </c>
      <c r="E178" s="6">
        <f t="shared" si="20"/>
        <v>1966.6500000000026</v>
      </c>
      <c r="F178" s="39"/>
      <c r="G178" s="10">
        <f t="shared" si="21"/>
        <v>11.426302417582413</v>
      </c>
      <c r="H178" s="40"/>
      <c r="I178" s="9">
        <f t="shared" si="22"/>
        <v>779.84513999999967</v>
      </c>
      <c r="J178" s="4">
        <f t="shared" si="23"/>
        <v>22471.537649538481</v>
      </c>
      <c r="K178" s="28"/>
    </row>
    <row r="179" spans="1:11" x14ac:dyDescent="0.2">
      <c r="A179" s="29">
        <v>41233</v>
      </c>
      <c r="B179" s="7" t="s">
        <v>348</v>
      </c>
      <c r="C179" s="40"/>
      <c r="D179" s="40">
        <f>12*5.3+5*3.2</f>
        <v>79.599999999999994</v>
      </c>
      <c r="E179" s="6">
        <f t="shared" si="20"/>
        <v>1887.0500000000027</v>
      </c>
      <c r="F179" s="39"/>
      <c r="G179" s="10">
        <f t="shared" si="21"/>
        <v>11.426302417582413</v>
      </c>
      <c r="H179" s="40"/>
      <c r="I179" s="9">
        <f t="shared" si="22"/>
        <v>909.53367243955995</v>
      </c>
      <c r="J179" s="4">
        <f t="shared" si="23"/>
        <v>21562.003977098921</v>
      </c>
      <c r="K179" s="28"/>
    </row>
    <row r="180" spans="1:11" x14ac:dyDescent="0.2">
      <c r="A180" s="29">
        <v>41235</v>
      </c>
      <c r="B180" s="7" t="s">
        <v>347</v>
      </c>
      <c r="C180" s="40"/>
      <c r="D180" s="40">
        <f>4*4.5</f>
        <v>18</v>
      </c>
      <c r="E180" s="6">
        <f t="shared" si="20"/>
        <v>1869.0500000000027</v>
      </c>
      <c r="F180" s="39"/>
      <c r="G180" s="10">
        <f t="shared" si="21"/>
        <v>11.426302417582411</v>
      </c>
      <c r="H180" s="40"/>
      <c r="I180" s="9">
        <f t="shared" si="22"/>
        <v>205.67344351648339</v>
      </c>
      <c r="J180" s="4">
        <f t="shared" si="23"/>
        <v>21356.330533582437</v>
      </c>
      <c r="K180" s="28"/>
    </row>
    <row r="181" spans="1:11" x14ac:dyDescent="0.2">
      <c r="A181" s="29">
        <v>41235</v>
      </c>
      <c r="B181" s="7" t="s">
        <v>346</v>
      </c>
      <c r="C181" s="3"/>
      <c r="D181" s="3">
        <v>0</v>
      </c>
      <c r="E181" s="6">
        <f t="shared" si="20"/>
        <v>1869.0500000000027</v>
      </c>
      <c r="F181" s="39"/>
      <c r="G181" s="10">
        <f t="shared" si="21"/>
        <v>11.426302417582411</v>
      </c>
      <c r="H181" s="40"/>
      <c r="I181" s="9">
        <f t="shared" si="22"/>
        <v>0</v>
      </c>
      <c r="J181" s="4">
        <f t="shared" si="23"/>
        <v>21356.330533582437</v>
      </c>
      <c r="K181" s="28"/>
    </row>
    <row r="182" spans="1:11" x14ac:dyDescent="0.2">
      <c r="A182" s="29">
        <v>41236</v>
      </c>
      <c r="B182" s="7" t="s">
        <v>345</v>
      </c>
      <c r="C182" s="3"/>
      <c r="D182" s="3">
        <f>43*5</f>
        <v>215</v>
      </c>
      <c r="E182" s="6">
        <f t="shared" si="20"/>
        <v>1654.0500000000027</v>
      </c>
      <c r="F182" s="39"/>
      <c r="G182" s="10">
        <f t="shared" si="21"/>
        <v>11.426302417582411</v>
      </c>
      <c r="H182" s="40"/>
      <c r="I182" s="9">
        <f t="shared" si="22"/>
        <v>2456.6550197802185</v>
      </c>
      <c r="J182" s="4">
        <f t="shared" si="23"/>
        <v>18899.67551380222</v>
      </c>
      <c r="K182" s="28"/>
    </row>
    <row r="183" spans="1:11" x14ac:dyDescent="0.2">
      <c r="A183" s="29">
        <v>41237</v>
      </c>
      <c r="B183" s="7" t="s">
        <v>344</v>
      </c>
      <c r="C183" s="3"/>
      <c r="D183" s="3">
        <f>33*6.08+33*6.9</f>
        <v>428.34000000000003</v>
      </c>
      <c r="E183" s="6">
        <f t="shared" si="20"/>
        <v>1225.7100000000028</v>
      </c>
      <c r="F183" s="39"/>
      <c r="G183" s="10">
        <f t="shared" si="21"/>
        <v>11.426302417582413</v>
      </c>
      <c r="H183" s="40"/>
      <c r="I183" s="9">
        <f t="shared" si="22"/>
        <v>4894.3423775472511</v>
      </c>
      <c r="J183" s="4">
        <f t="shared" si="23"/>
        <v>14005.333136254969</v>
      </c>
      <c r="K183" s="28"/>
    </row>
    <row r="184" spans="1:11" x14ac:dyDescent="0.2">
      <c r="A184" s="29">
        <v>41237</v>
      </c>
      <c r="B184" s="7" t="s">
        <v>343</v>
      </c>
      <c r="C184" s="3"/>
      <c r="D184" s="3">
        <f>14*2.6+4*3.4</f>
        <v>50</v>
      </c>
      <c r="E184" s="6">
        <f t="shared" si="20"/>
        <v>1175.7100000000028</v>
      </c>
      <c r="F184" s="39"/>
      <c r="G184" s="10">
        <f t="shared" si="21"/>
        <v>11.426302417582411</v>
      </c>
      <c r="H184" s="40"/>
      <c r="I184" s="9">
        <f t="shared" si="22"/>
        <v>571.31512087912051</v>
      </c>
      <c r="J184" s="4">
        <f t="shared" si="23"/>
        <v>13434.018015375848</v>
      </c>
      <c r="K184" s="28"/>
    </row>
    <row r="185" spans="1:11" x14ac:dyDescent="0.2">
      <c r="A185" s="29">
        <v>41237</v>
      </c>
      <c r="B185" s="7" t="s">
        <v>342</v>
      </c>
      <c r="C185" s="3"/>
      <c r="D185" s="3">
        <v>0</v>
      </c>
      <c r="E185" s="6">
        <f t="shared" si="20"/>
        <v>1175.7100000000028</v>
      </c>
      <c r="F185" s="39"/>
      <c r="G185" s="10">
        <f t="shared" si="21"/>
        <v>11.426302417582411</v>
      </c>
      <c r="H185" s="40"/>
      <c r="I185" s="9">
        <f t="shared" si="22"/>
        <v>0</v>
      </c>
      <c r="J185" s="4">
        <f t="shared" si="23"/>
        <v>13434.018015375848</v>
      </c>
      <c r="K185" s="28"/>
    </row>
    <row r="186" spans="1:11" x14ac:dyDescent="0.2">
      <c r="A186" s="29">
        <v>41237</v>
      </c>
      <c r="B186" s="7" t="s">
        <v>341</v>
      </c>
      <c r="C186" s="3"/>
      <c r="D186" s="3">
        <f>80*6</f>
        <v>480</v>
      </c>
      <c r="E186" s="6">
        <f t="shared" si="20"/>
        <v>695.71000000000276</v>
      </c>
      <c r="F186" s="39"/>
      <c r="G186" s="10">
        <f t="shared" si="21"/>
        <v>11.426302417582411</v>
      </c>
      <c r="H186" s="40"/>
      <c r="I186" s="9">
        <f t="shared" si="22"/>
        <v>5484.6251604395575</v>
      </c>
      <c r="J186" s="4">
        <f t="shared" si="23"/>
        <v>7949.3928549362909</v>
      </c>
      <c r="K186" s="28"/>
    </row>
    <row r="187" spans="1:11" x14ac:dyDescent="0.2">
      <c r="A187" s="29">
        <v>41237</v>
      </c>
      <c r="B187" s="7" t="s">
        <v>340</v>
      </c>
      <c r="C187" s="3"/>
      <c r="D187" s="3">
        <f>25*7.7+11*7.65+15*3.55</f>
        <v>329.9</v>
      </c>
      <c r="E187" s="6">
        <f t="shared" si="20"/>
        <v>365.81000000000279</v>
      </c>
      <c r="F187" s="39"/>
      <c r="G187" s="10">
        <f t="shared" si="21"/>
        <v>11.426302417582411</v>
      </c>
      <c r="H187" s="40"/>
      <c r="I187" s="9">
        <f t="shared" si="22"/>
        <v>3769.537167560437</v>
      </c>
      <c r="J187" s="4">
        <f t="shared" si="23"/>
        <v>4179.8556873758534</v>
      </c>
      <c r="K187" s="28"/>
    </row>
    <row r="188" spans="1:11" x14ac:dyDescent="0.2">
      <c r="A188" s="29">
        <v>41239</v>
      </c>
      <c r="B188" s="7" t="s">
        <v>339</v>
      </c>
      <c r="C188" s="3"/>
      <c r="D188" s="3">
        <v>0</v>
      </c>
      <c r="E188" s="6">
        <f t="shared" si="20"/>
        <v>365.81000000000279</v>
      </c>
      <c r="F188" s="39"/>
      <c r="G188" s="10">
        <f t="shared" si="21"/>
        <v>11.426302417582411</v>
      </c>
      <c r="H188" s="40"/>
      <c r="I188" s="9">
        <f t="shared" si="22"/>
        <v>0</v>
      </c>
      <c r="J188" s="4">
        <f t="shared" si="23"/>
        <v>4179.8556873758534</v>
      </c>
      <c r="K188" s="28"/>
    </row>
    <row r="189" spans="1:11" x14ac:dyDescent="0.2">
      <c r="A189" s="29">
        <v>41239</v>
      </c>
      <c r="B189" s="7" t="s">
        <v>338</v>
      </c>
      <c r="C189" s="3"/>
      <c r="D189" s="3">
        <f>7*6.46+4*2.08</f>
        <v>53.54</v>
      </c>
      <c r="E189" s="6">
        <f t="shared" si="20"/>
        <v>312.27000000000277</v>
      </c>
      <c r="F189" s="39"/>
      <c r="G189" s="10">
        <f t="shared" si="21"/>
        <v>11.426302417582411</v>
      </c>
      <c r="H189" s="40"/>
      <c r="I189" s="9">
        <f t="shared" si="22"/>
        <v>611.76423143736224</v>
      </c>
      <c r="J189" s="4">
        <f t="shared" si="23"/>
        <v>3568.091455938491</v>
      </c>
      <c r="K189" s="28"/>
    </row>
    <row r="190" spans="1:11" x14ac:dyDescent="0.2">
      <c r="A190" s="29">
        <v>41239</v>
      </c>
      <c r="B190" s="7" t="s">
        <v>337</v>
      </c>
      <c r="C190" s="3"/>
      <c r="D190" s="3">
        <f>1*7</f>
        <v>7</v>
      </c>
      <c r="E190" s="6">
        <f t="shared" si="20"/>
        <v>305.27000000000277</v>
      </c>
      <c r="F190" s="39"/>
      <c r="G190" s="10">
        <f t="shared" si="21"/>
        <v>11.426302417582411</v>
      </c>
      <c r="H190" s="40"/>
      <c r="I190" s="9">
        <f t="shared" si="22"/>
        <v>79.984116923076883</v>
      </c>
      <c r="J190" s="4">
        <f t="shared" si="23"/>
        <v>3488.1073390154143</v>
      </c>
      <c r="K190" s="28"/>
    </row>
    <row r="191" spans="1:11" x14ac:dyDescent="0.2">
      <c r="A191" s="29">
        <v>41239</v>
      </c>
      <c r="B191" s="7" t="s">
        <v>336</v>
      </c>
      <c r="C191" s="3"/>
      <c r="D191" s="3">
        <f>7*4.5</f>
        <v>31.5</v>
      </c>
      <c r="E191" s="6">
        <f t="shared" si="20"/>
        <v>273.77000000000277</v>
      </c>
      <c r="F191" s="39"/>
      <c r="G191" s="10">
        <f t="shared" si="21"/>
        <v>11.426302417582411</v>
      </c>
      <c r="H191" s="40"/>
      <c r="I191" s="9">
        <f t="shared" si="22"/>
        <v>359.92852615384595</v>
      </c>
      <c r="J191" s="4">
        <f t="shared" si="23"/>
        <v>3128.1788128615681</v>
      </c>
      <c r="K191" s="28"/>
    </row>
    <row r="192" spans="1:11" x14ac:dyDescent="0.2">
      <c r="A192" s="29">
        <v>41240</v>
      </c>
      <c r="B192" s="7" t="s">
        <v>335</v>
      </c>
      <c r="C192" s="3"/>
      <c r="D192" s="3">
        <f>24*2.6</f>
        <v>62.400000000000006</v>
      </c>
      <c r="E192" s="6">
        <f t="shared" si="20"/>
        <v>211.37000000000276</v>
      </c>
      <c r="F192" s="39"/>
      <c r="G192" s="10">
        <f t="shared" si="21"/>
        <v>11.426302417582411</v>
      </c>
      <c r="H192" s="40"/>
      <c r="I192" s="9">
        <f t="shared" si="22"/>
        <v>713.00127085714246</v>
      </c>
      <c r="J192" s="4">
        <f t="shared" si="23"/>
        <v>2415.1775420044255</v>
      </c>
      <c r="K192" s="28"/>
    </row>
    <row r="193" spans="1:12" x14ac:dyDescent="0.2">
      <c r="A193" s="29">
        <v>41240</v>
      </c>
      <c r="B193" s="7" t="s">
        <v>334</v>
      </c>
      <c r="C193" s="3"/>
      <c r="D193" s="3">
        <f>4*2.5</f>
        <v>10</v>
      </c>
      <c r="E193" s="6">
        <f t="shared" si="20"/>
        <v>201.37000000000276</v>
      </c>
      <c r="F193" s="39"/>
      <c r="G193" s="10">
        <f t="shared" si="21"/>
        <v>11.426302417582409</v>
      </c>
      <c r="H193" s="40"/>
      <c r="I193" s="9">
        <f t="shared" si="22"/>
        <v>114.26302417582409</v>
      </c>
      <c r="J193" s="4">
        <f t="shared" si="23"/>
        <v>2300.9145178286012</v>
      </c>
      <c r="K193" s="28"/>
    </row>
    <row r="194" spans="1:12" x14ac:dyDescent="0.2">
      <c r="A194" s="29">
        <v>41240</v>
      </c>
      <c r="B194" s="7" t="s">
        <v>333</v>
      </c>
      <c r="C194" s="3"/>
      <c r="D194" s="3">
        <f>8*1.7+1*1.74</f>
        <v>15.34</v>
      </c>
      <c r="E194" s="6">
        <f t="shared" si="20"/>
        <v>186.03000000000276</v>
      </c>
      <c r="F194" s="39"/>
      <c r="G194" s="10">
        <f t="shared" si="21"/>
        <v>11.426302417582409</v>
      </c>
      <c r="H194" s="40"/>
      <c r="I194" s="9">
        <f t="shared" si="22"/>
        <v>175.27947908571414</v>
      </c>
      <c r="J194" s="4">
        <f t="shared" si="23"/>
        <v>2125.635038742887</v>
      </c>
      <c r="K194" s="28"/>
    </row>
    <row r="195" spans="1:12" x14ac:dyDescent="0.2">
      <c r="A195" s="29">
        <v>41241</v>
      </c>
      <c r="B195" s="7" t="s">
        <v>332</v>
      </c>
      <c r="C195" s="3"/>
      <c r="D195" s="3">
        <f>1*11</f>
        <v>11</v>
      </c>
      <c r="E195" s="6">
        <f t="shared" si="20"/>
        <v>175.03000000000276</v>
      </c>
      <c r="F195" s="39"/>
      <c r="G195" s="10">
        <f t="shared" si="21"/>
        <v>11.426302417582409</v>
      </c>
      <c r="H195" s="40"/>
      <c r="I195" s="9">
        <f t="shared" si="22"/>
        <v>125.68932659340651</v>
      </c>
      <c r="J195" s="4">
        <f t="shared" si="23"/>
        <v>1999.9457121494804</v>
      </c>
      <c r="K195" s="28"/>
    </row>
    <row r="196" spans="1:12" x14ac:dyDescent="0.2">
      <c r="A196" s="29">
        <v>41243</v>
      </c>
      <c r="B196" s="7" t="s">
        <v>331</v>
      </c>
      <c r="C196" s="3"/>
      <c r="D196" s="3">
        <f>12*3</f>
        <v>36</v>
      </c>
      <c r="E196" s="6">
        <f t="shared" si="20"/>
        <v>139.03000000000276</v>
      </c>
      <c r="F196" s="39"/>
      <c r="G196" s="10">
        <f t="shared" si="21"/>
        <v>11.426302417582408</v>
      </c>
      <c r="H196" s="40"/>
      <c r="I196" s="9">
        <f t="shared" si="22"/>
        <v>411.34688703296666</v>
      </c>
      <c r="J196" s="4">
        <f t="shared" si="23"/>
        <v>1588.5988251165138</v>
      </c>
      <c r="K196" s="28"/>
    </row>
    <row r="197" spans="1:12" x14ac:dyDescent="0.2">
      <c r="A197" s="29">
        <v>41243</v>
      </c>
      <c r="B197" s="7" t="s">
        <v>330</v>
      </c>
      <c r="C197" s="3"/>
      <c r="D197" s="3">
        <f>12*2.8</f>
        <v>33.599999999999994</v>
      </c>
      <c r="E197" s="6">
        <f t="shared" si="20"/>
        <v>105.43000000000276</v>
      </c>
      <c r="F197" s="39"/>
      <c r="G197" s="10">
        <f t="shared" si="21"/>
        <v>11.426302417582409</v>
      </c>
      <c r="H197" s="40"/>
      <c r="I197" s="9">
        <f t="shared" si="22"/>
        <v>383.92376123076889</v>
      </c>
      <c r="J197" s="4">
        <f t="shared" si="23"/>
        <v>1204.675063885745</v>
      </c>
      <c r="K197" s="28"/>
    </row>
    <row r="198" spans="1:12" ht="15" x14ac:dyDescent="0.25">
      <c r="A198" s="29">
        <v>41243</v>
      </c>
      <c r="B198" s="7" t="s">
        <v>329</v>
      </c>
      <c r="C198" s="3">
        <v>1869</v>
      </c>
      <c r="D198" s="3"/>
      <c r="E198" s="6">
        <f>E197+C198</f>
        <v>1974.4300000000028</v>
      </c>
      <c r="F198" s="39">
        <f>H198/C198</f>
        <v>14.458468449197861</v>
      </c>
      <c r="G198" s="39"/>
      <c r="H198" s="104">
        <f>+[2]prorrateo!D7</f>
        <v>27022.877531550803</v>
      </c>
      <c r="I198" s="103"/>
      <c r="J198" s="4">
        <f>J197+H198</f>
        <v>28227.552595436548</v>
      </c>
      <c r="K198" s="28"/>
    </row>
    <row r="199" spans="1:12" ht="15" x14ac:dyDescent="0.25">
      <c r="A199" s="29">
        <v>41243</v>
      </c>
      <c r="B199" s="7" t="s">
        <v>329</v>
      </c>
      <c r="C199" s="3">
        <v>1850</v>
      </c>
      <c r="D199" s="3"/>
      <c r="E199" s="6">
        <f>E198+C199</f>
        <v>3824.430000000003</v>
      </c>
      <c r="F199" s="39">
        <f>H199/C199</f>
        <v>14.458468449197861</v>
      </c>
      <c r="G199" s="39"/>
      <c r="H199" s="104">
        <f>+[2]prorrateo!D8</f>
        <v>26748.166631016044</v>
      </c>
      <c r="I199" s="103"/>
      <c r="J199" s="4">
        <f>J198+H199</f>
        <v>54975.719226452595</v>
      </c>
      <c r="K199" s="28"/>
    </row>
    <row r="200" spans="1:12" ht="15" x14ac:dyDescent="0.25">
      <c r="A200" s="29">
        <v>41243</v>
      </c>
      <c r="B200" s="7" t="s">
        <v>329</v>
      </c>
      <c r="C200" s="3">
        <v>1911</v>
      </c>
      <c r="D200" s="3"/>
      <c r="E200" s="6">
        <f>E199+C200</f>
        <v>5735.430000000003</v>
      </c>
      <c r="F200" s="39">
        <f>H200/C200</f>
        <v>14.458468449197859</v>
      </c>
      <c r="G200" s="39"/>
      <c r="H200" s="104">
        <f>+[2]prorrateo!D9</f>
        <v>27630.133206417107</v>
      </c>
      <c r="I200" s="103"/>
      <c r="J200" s="4">
        <f>J199+H200</f>
        <v>82605.852432869695</v>
      </c>
      <c r="K200" s="28"/>
    </row>
    <row r="201" spans="1:12" ht="15" x14ac:dyDescent="0.25">
      <c r="A201" s="29">
        <v>41243</v>
      </c>
      <c r="B201" s="7" t="s">
        <v>329</v>
      </c>
      <c r="C201" s="3">
        <v>1820</v>
      </c>
      <c r="D201" s="3"/>
      <c r="E201" s="6">
        <f>E200+C201</f>
        <v>7555.430000000003</v>
      </c>
      <c r="F201" s="39">
        <f>H201/C201</f>
        <v>14.458468449197859</v>
      </c>
      <c r="G201" s="39"/>
      <c r="H201" s="104">
        <f>+[2]prorrateo!D10</f>
        <v>26314.412577540104</v>
      </c>
      <c r="I201" s="103"/>
      <c r="J201" s="4">
        <f>J200+H201</f>
        <v>108920.2650104098</v>
      </c>
      <c r="K201" s="28"/>
    </row>
    <row r="202" spans="1:12" s="100" customFormat="1" ht="15" x14ac:dyDescent="0.25">
      <c r="A202" s="84">
        <v>41243</v>
      </c>
      <c r="B202" s="80" t="s">
        <v>329</v>
      </c>
      <c r="C202" s="83">
        <v>1900</v>
      </c>
      <c r="D202" s="83"/>
      <c r="E202" s="82">
        <f>E201+C202</f>
        <v>9455.4300000000039</v>
      </c>
      <c r="F202" s="81">
        <f>H202/C202</f>
        <v>14.458468449197859</v>
      </c>
      <c r="G202" s="81"/>
      <c r="H202" s="102">
        <f>+[2]prorrateo!D11</f>
        <v>27471.090053475931</v>
      </c>
      <c r="I202" s="101"/>
      <c r="J202" s="78">
        <f>J201+H202</f>
        <v>136391.35506388574</v>
      </c>
      <c r="K202" s="77"/>
      <c r="L202" s="76">
        <f>SUM(I156:I202)</f>
        <v>35648.235334470322</v>
      </c>
    </row>
    <row r="203" spans="1:12" x14ac:dyDescent="0.2">
      <c r="A203" s="29">
        <v>41245</v>
      </c>
      <c r="B203" s="7" t="s">
        <v>328</v>
      </c>
      <c r="C203" s="3"/>
      <c r="D203" s="3">
        <f>4*5.1+4*3.6</f>
        <v>34.799999999999997</v>
      </c>
      <c r="E203" s="6">
        <f t="shared" ref="E203:E247" si="24">E202-D203</f>
        <v>9420.6300000000047</v>
      </c>
      <c r="F203" s="39"/>
      <c r="G203" s="10">
        <f t="shared" ref="G203:G247" si="25">J202/E202</f>
        <v>14.424659170855866</v>
      </c>
      <c r="H203" s="39"/>
      <c r="I203" s="9">
        <f t="shared" ref="I203:I247" si="26">D203*G203</f>
        <v>501.9781391457841</v>
      </c>
      <c r="J203" s="4">
        <f t="shared" ref="J203:J247" si="27">J202-I203</f>
        <v>135889.37692473995</v>
      </c>
      <c r="K203" s="28"/>
    </row>
    <row r="204" spans="1:12" x14ac:dyDescent="0.2">
      <c r="A204" s="29">
        <v>41245</v>
      </c>
      <c r="B204" s="7" t="s">
        <v>327</v>
      </c>
      <c r="C204" s="3"/>
      <c r="D204" s="3">
        <f>6*5.25</f>
        <v>31.5</v>
      </c>
      <c r="E204" s="6">
        <f t="shared" si="24"/>
        <v>9389.1300000000047</v>
      </c>
      <c r="F204" s="39"/>
      <c r="G204" s="10">
        <f t="shared" si="25"/>
        <v>14.424659170855865</v>
      </c>
      <c r="H204" s="40"/>
      <c r="I204" s="9">
        <f t="shared" si="26"/>
        <v>454.37676388195973</v>
      </c>
      <c r="J204" s="4">
        <f t="shared" si="27"/>
        <v>135435.00016085798</v>
      </c>
      <c r="K204" s="28"/>
    </row>
    <row r="205" spans="1:12" x14ac:dyDescent="0.2">
      <c r="A205" s="29">
        <v>41246</v>
      </c>
      <c r="B205" s="7" t="s">
        <v>326</v>
      </c>
      <c r="C205" s="3"/>
      <c r="D205" s="3">
        <f>5*2.44</f>
        <v>12.2</v>
      </c>
      <c r="E205" s="6">
        <f t="shared" si="24"/>
        <v>9376.9300000000039</v>
      </c>
      <c r="F205" s="39"/>
      <c r="G205" s="10">
        <f t="shared" si="25"/>
        <v>14.424659170855863</v>
      </c>
      <c r="H205" s="40"/>
      <c r="I205" s="9">
        <f t="shared" si="26"/>
        <v>175.98084188444153</v>
      </c>
      <c r="J205" s="4">
        <f t="shared" si="27"/>
        <v>135259.01931897353</v>
      </c>
      <c r="K205" s="28"/>
    </row>
    <row r="206" spans="1:12" x14ac:dyDescent="0.2">
      <c r="A206" s="29">
        <v>41247</v>
      </c>
      <c r="B206" s="7" t="s">
        <v>325</v>
      </c>
      <c r="C206" s="3"/>
      <c r="D206" s="3">
        <f>22*4.9+10*1.6</f>
        <v>123.80000000000001</v>
      </c>
      <c r="E206" s="6">
        <f t="shared" si="24"/>
        <v>9253.1300000000047</v>
      </c>
      <c r="F206" s="39"/>
      <c r="G206" s="10">
        <f t="shared" si="25"/>
        <v>14.424659170855863</v>
      </c>
      <c r="H206" s="40"/>
      <c r="I206" s="9">
        <f t="shared" si="26"/>
        <v>1785.7728053519561</v>
      </c>
      <c r="J206" s="4">
        <f t="shared" si="27"/>
        <v>133473.24651362156</v>
      </c>
      <c r="K206" s="28"/>
    </row>
    <row r="207" spans="1:12" x14ac:dyDescent="0.2">
      <c r="A207" s="29">
        <v>41250</v>
      </c>
      <c r="B207" s="7" t="s">
        <v>324</v>
      </c>
      <c r="C207" s="3"/>
      <c r="D207" s="3">
        <f>4*3.1</f>
        <v>12.4</v>
      </c>
      <c r="E207" s="6">
        <f t="shared" si="24"/>
        <v>9240.730000000005</v>
      </c>
      <c r="F207" s="39"/>
      <c r="G207" s="10">
        <f t="shared" si="25"/>
        <v>14.424659170855861</v>
      </c>
      <c r="H207" s="40"/>
      <c r="I207" s="9">
        <f t="shared" si="26"/>
        <v>178.86577371861267</v>
      </c>
      <c r="J207" s="4">
        <f t="shared" si="27"/>
        <v>133294.38073990296</v>
      </c>
      <c r="K207" s="28"/>
    </row>
    <row r="208" spans="1:12" x14ac:dyDescent="0.2">
      <c r="A208" s="29">
        <v>41250</v>
      </c>
      <c r="B208" s="7" t="s">
        <v>323</v>
      </c>
      <c r="C208" s="3"/>
      <c r="D208" s="3">
        <f>1*8+2*3.47+12*6.98</f>
        <v>98.7</v>
      </c>
      <c r="E208" s="6">
        <f t="shared" si="24"/>
        <v>9142.0300000000043</v>
      </c>
      <c r="F208" s="39"/>
      <c r="G208" s="10">
        <f t="shared" si="25"/>
        <v>14.424659170855861</v>
      </c>
      <c r="H208" s="40"/>
      <c r="I208" s="9">
        <f t="shared" si="26"/>
        <v>1423.7138601634736</v>
      </c>
      <c r="J208" s="4">
        <f t="shared" si="27"/>
        <v>131870.6668797395</v>
      </c>
      <c r="K208" s="28"/>
    </row>
    <row r="209" spans="1:11" x14ac:dyDescent="0.2">
      <c r="A209" s="29">
        <v>41250</v>
      </c>
      <c r="B209" s="7" t="s">
        <v>322</v>
      </c>
      <c r="C209" s="3"/>
      <c r="D209" s="3">
        <f>5*4.5</f>
        <v>22.5</v>
      </c>
      <c r="E209" s="6">
        <f t="shared" si="24"/>
        <v>9119.5300000000043</v>
      </c>
      <c r="F209" s="39"/>
      <c r="G209" s="10">
        <f t="shared" si="25"/>
        <v>14.424659170855865</v>
      </c>
      <c r="H209" s="40"/>
      <c r="I209" s="9">
        <f t="shared" si="26"/>
        <v>324.55483134425697</v>
      </c>
      <c r="J209" s="4">
        <f t="shared" si="27"/>
        <v>131546.11204839524</v>
      </c>
      <c r="K209" s="28"/>
    </row>
    <row r="210" spans="1:11" ht="15" thickBot="1" x14ac:dyDescent="0.25">
      <c r="A210" s="99">
        <v>41251</v>
      </c>
      <c r="B210" s="98" t="s">
        <v>321</v>
      </c>
      <c r="C210" s="97"/>
      <c r="D210" s="97">
        <f>3*3.5</f>
        <v>10.5</v>
      </c>
      <c r="E210" s="96">
        <f t="shared" si="24"/>
        <v>9109.0300000000043</v>
      </c>
      <c r="F210" s="95"/>
      <c r="G210" s="94">
        <f t="shared" si="25"/>
        <v>14.424659170855865</v>
      </c>
      <c r="H210" s="93"/>
      <c r="I210" s="92">
        <f t="shared" si="26"/>
        <v>151.45892129398658</v>
      </c>
      <c r="J210" s="91">
        <f t="shared" si="27"/>
        <v>131394.65312710125</v>
      </c>
      <c r="K210" s="90"/>
    </row>
    <row r="211" spans="1:11" x14ac:dyDescent="0.2">
      <c r="A211" s="38">
        <v>41251</v>
      </c>
      <c r="B211" s="37" t="s">
        <v>320</v>
      </c>
      <c r="C211" s="33"/>
      <c r="D211" s="33">
        <f>20*5.7+14*1.7+20*0.5</f>
        <v>147.80000000000001</v>
      </c>
      <c r="E211" s="36">
        <f t="shared" si="24"/>
        <v>8961.230000000005</v>
      </c>
      <c r="F211" s="89"/>
      <c r="G211" s="34">
        <f t="shared" si="25"/>
        <v>14.424659170855863</v>
      </c>
      <c r="H211" s="88"/>
      <c r="I211" s="32">
        <f t="shared" si="26"/>
        <v>2131.9646254524969</v>
      </c>
      <c r="J211" s="31">
        <f t="shared" si="27"/>
        <v>129262.68850164875</v>
      </c>
      <c r="K211" s="30"/>
    </row>
    <row r="212" spans="1:11" x14ac:dyDescent="0.2">
      <c r="A212" s="29">
        <v>41253</v>
      </c>
      <c r="B212" s="7" t="s">
        <v>319</v>
      </c>
      <c r="C212" s="3"/>
      <c r="D212" s="3">
        <f>14*6.98+1*6.47</f>
        <v>104.19</v>
      </c>
      <c r="E212" s="6">
        <f t="shared" si="24"/>
        <v>8857.0400000000045</v>
      </c>
      <c r="F212" s="39"/>
      <c r="G212" s="10">
        <f t="shared" si="25"/>
        <v>14.424659170855863</v>
      </c>
      <c r="H212" s="40"/>
      <c r="I212" s="9">
        <f t="shared" si="26"/>
        <v>1502.9052390114723</v>
      </c>
      <c r="J212" s="4">
        <f t="shared" si="27"/>
        <v>127759.78326263728</v>
      </c>
      <c r="K212" s="28"/>
    </row>
    <row r="213" spans="1:11" x14ac:dyDescent="0.2">
      <c r="A213" s="29">
        <v>41253</v>
      </c>
      <c r="B213" s="7" t="s">
        <v>318</v>
      </c>
      <c r="C213" s="3"/>
      <c r="D213" s="3">
        <f>4*2</f>
        <v>8</v>
      </c>
      <c r="E213" s="6">
        <f t="shared" si="24"/>
        <v>8849.0400000000045</v>
      </c>
      <c r="F213" s="39"/>
      <c r="G213" s="10">
        <f t="shared" si="25"/>
        <v>14.424659170855863</v>
      </c>
      <c r="H213" s="40"/>
      <c r="I213" s="9">
        <f t="shared" si="26"/>
        <v>115.3972733668469</v>
      </c>
      <c r="J213" s="4">
        <f t="shared" si="27"/>
        <v>127644.38598927043</v>
      </c>
      <c r="K213" s="28"/>
    </row>
    <row r="214" spans="1:11" x14ac:dyDescent="0.2">
      <c r="A214" s="29">
        <v>41253</v>
      </c>
      <c r="B214" s="7" t="s">
        <v>317</v>
      </c>
      <c r="C214" s="3"/>
      <c r="D214" s="3">
        <f>13*1.95+10*2.45+11*2.4+6*3</f>
        <v>94.25</v>
      </c>
      <c r="E214" s="6">
        <f t="shared" si="24"/>
        <v>8754.7900000000045</v>
      </c>
      <c r="F214" s="39"/>
      <c r="G214" s="10">
        <f t="shared" si="25"/>
        <v>14.424659170855863</v>
      </c>
      <c r="H214" s="40"/>
      <c r="I214" s="9">
        <f t="shared" si="26"/>
        <v>1359.5241268531652</v>
      </c>
      <c r="J214" s="4">
        <f t="shared" si="27"/>
        <v>126284.86186241727</v>
      </c>
      <c r="K214" s="28"/>
    </row>
    <row r="215" spans="1:11" x14ac:dyDescent="0.2">
      <c r="A215" s="29">
        <v>41253</v>
      </c>
      <c r="B215" s="7" t="s">
        <v>316</v>
      </c>
      <c r="C215" s="3"/>
      <c r="D215" s="3">
        <f>14*4+14*0.5</f>
        <v>63</v>
      </c>
      <c r="E215" s="6">
        <f t="shared" si="24"/>
        <v>8691.7900000000045</v>
      </c>
      <c r="F215" s="39"/>
      <c r="G215" s="10">
        <f t="shared" si="25"/>
        <v>14.424659170855863</v>
      </c>
      <c r="H215" s="40"/>
      <c r="I215" s="9">
        <f t="shared" si="26"/>
        <v>908.75352776391935</v>
      </c>
      <c r="J215" s="4">
        <f t="shared" si="27"/>
        <v>125376.10833465334</v>
      </c>
      <c r="K215" s="28"/>
    </row>
    <row r="216" spans="1:11" x14ac:dyDescent="0.2">
      <c r="A216" s="29">
        <v>41253</v>
      </c>
      <c r="B216" s="7" t="s">
        <v>315</v>
      </c>
      <c r="C216" s="3"/>
      <c r="D216" s="3">
        <f>12*4.9</f>
        <v>58.800000000000004</v>
      </c>
      <c r="E216" s="6">
        <f t="shared" si="24"/>
        <v>8632.9900000000052</v>
      </c>
      <c r="F216" s="39"/>
      <c r="G216" s="10">
        <f t="shared" si="25"/>
        <v>14.424659170855863</v>
      </c>
      <c r="H216" s="40"/>
      <c r="I216" s="9">
        <f t="shared" si="26"/>
        <v>848.16995924632477</v>
      </c>
      <c r="J216" s="4">
        <f t="shared" si="27"/>
        <v>124527.93837540701</v>
      </c>
      <c r="K216" s="28"/>
    </row>
    <row r="217" spans="1:11" x14ac:dyDescent="0.2">
      <c r="A217" s="29">
        <v>41253</v>
      </c>
      <c r="B217" s="7" t="s">
        <v>314</v>
      </c>
      <c r="C217" s="3"/>
      <c r="D217" s="3">
        <f>34*3.2</f>
        <v>108.80000000000001</v>
      </c>
      <c r="E217" s="6">
        <f t="shared" si="24"/>
        <v>8524.190000000006</v>
      </c>
      <c r="F217" s="39"/>
      <c r="G217" s="10">
        <f t="shared" si="25"/>
        <v>14.424659170855861</v>
      </c>
      <c r="H217" s="40"/>
      <c r="I217" s="9">
        <f t="shared" si="26"/>
        <v>1569.402917789118</v>
      </c>
      <c r="J217" s="4">
        <f t="shared" si="27"/>
        <v>122958.53545761789</v>
      </c>
      <c r="K217" s="28"/>
    </row>
    <row r="218" spans="1:11" x14ac:dyDescent="0.2">
      <c r="A218" s="29">
        <v>41254</v>
      </c>
      <c r="B218" s="7" t="s">
        <v>313</v>
      </c>
      <c r="C218" s="3"/>
      <c r="D218" s="3">
        <f>1*5</f>
        <v>5</v>
      </c>
      <c r="E218" s="6">
        <f t="shared" si="24"/>
        <v>8519.190000000006</v>
      </c>
      <c r="F218" s="39"/>
      <c r="G218" s="10">
        <f t="shared" si="25"/>
        <v>14.424659170855859</v>
      </c>
      <c r="H218" s="40"/>
      <c r="I218" s="9">
        <f t="shared" si="26"/>
        <v>72.123295854279291</v>
      </c>
      <c r="J218" s="4">
        <f t="shared" si="27"/>
        <v>122886.41216176361</v>
      </c>
      <c r="K218" s="28"/>
    </row>
    <row r="219" spans="1:11" x14ac:dyDescent="0.2">
      <c r="A219" s="29">
        <v>41254</v>
      </c>
      <c r="B219" s="7" t="s">
        <v>312</v>
      </c>
      <c r="C219" s="3"/>
      <c r="D219" s="3">
        <f>12*4.5+1*4.5</f>
        <v>58.5</v>
      </c>
      <c r="E219" s="6">
        <f t="shared" si="24"/>
        <v>8460.690000000006</v>
      </c>
      <c r="F219" s="39"/>
      <c r="G219" s="10">
        <f t="shared" si="25"/>
        <v>14.424659170855859</v>
      </c>
      <c r="H219" s="40"/>
      <c r="I219" s="9">
        <f t="shared" si="26"/>
        <v>843.8425614950678</v>
      </c>
      <c r="J219" s="4">
        <f t="shared" si="27"/>
        <v>122042.56960026854</v>
      </c>
      <c r="K219" s="28"/>
    </row>
    <row r="220" spans="1:11" x14ac:dyDescent="0.2">
      <c r="A220" s="29">
        <v>41254</v>
      </c>
      <c r="B220" s="7" t="s">
        <v>311</v>
      </c>
      <c r="C220" s="3"/>
      <c r="D220" s="3">
        <f>11*2.8</f>
        <v>30.799999999999997</v>
      </c>
      <c r="E220" s="6">
        <f t="shared" si="24"/>
        <v>8429.8900000000067</v>
      </c>
      <c r="F220" s="39"/>
      <c r="G220" s="10">
        <f t="shared" si="25"/>
        <v>14.424659170855859</v>
      </c>
      <c r="H220" s="40"/>
      <c r="I220" s="9">
        <f t="shared" si="26"/>
        <v>444.27950246236043</v>
      </c>
      <c r="J220" s="4">
        <f t="shared" si="27"/>
        <v>121598.29009780618</v>
      </c>
      <c r="K220" s="28"/>
    </row>
    <row r="221" spans="1:11" x14ac:dyDescent="0.2">
      <c r="A221" s="29">
        <v>41255</v>
      </c>
      <c r="B221" s="7" t="s">
        <v>310</v>
      </c>
      <c r="C221" s="3"/>
      <c r="D221" s="3">
        <f>1*4.5</f>
        <v>4.5</v>
      </c>
      <c r="E221" s="6">
        <f t="shared" si="24"/>
        <v>8425.3900000000067</v>
      </c>
      <c r="F221" s="39"/>
      <c r="G221" s="10">
        <f t="shared" si="25"/>
        <v>14.424659170855858</v>
      </c>
      <c r="H221" s="40"/>
      <c r="I221" s="9">
        <f t="shared" si="26"/>
        <v>64.910966268851354</v>
      </c>
      <c r="J221" s="4">
        <f t="shared" si="27"/>
        <v>121533.37913153732</v>
      </c>
      <c r="K221" s="28"/>
    </row>
    <row r="222" spans="1:11" x14ac:dyDescent="0.2">
      <c r="A222" s="29">
        <v>41255</v>
      </c>
      <c r="B222" s="7" t="s">
        <v>309</v>
      </c>
      <c r="C222" s="3"/>
      <c r="D222" s="3">
        <f>8*4.6</f>
        <v>36.799999999999997</v>
      </c>
      <c r="E222" s="6">
        <f t="shared" si="24"/>
        <v>8388.5900000000074</v>
      </c>
      <c r="F222" s="39"/>
      <c r="G222" s="10">
        <f t="shared" si="25"/>
        <v>14.424659170855858</v>
      </c>
      <c r="H222" s="40"/>
      <c r="I222" s="9">
        <f t="shared" si="26"/>
        <v>530.82745748749551</v>
      </c>
      <c r="J222" s="4">
        <f t="shared" si="27"/>
        <v>121002.55167404983</v>
      </c>
      <c r="K222" s="28"/>
    </row>
    <row r="223" spans="1:11" x14ac:dyDescent="0.2">
      <c r="A223" s="29">
        <v>41255</v>
      </c>
      <c r="B223" s="7" t="s">
        <v>308</v>
      </c>
      <c r="C223" s="3"/>
      <c r="D223" s="3">
        <v>0</v>
      </c>
      <c r="E223" s="6">
        <f t="shared" si="24"/>
        <v>8388.5900000000074</v>
      </c>
      <c r="F223" s="39"/>
      <c r="G223" s="10">
        <f t="shared" si="25"/>
        <v>14.424659170855856</v>
      </c>
      <c r="H223" s="40"/>
      <c r="I223" s="9">
        <f t="shared" si="26"/>
        <v>0</v>
      </c>
      <c r="J223" s="4">
        <f t="shared" si="27"/>
        <v>121002.55167404983</v>
      </c>
      <c r="K223" s="28"/>
    </row>
    <row r="224" spans="1:11" x14ac:dyDescent="0.2">
      <c r="A224" s="29">
        <v>41255</v>
      </c>
      <c r="B224" s="7" t="s">
        <v>307</v>
      </c>
      <c r="C224" s="3"/>
      <c r="D224" s="3">
        <f>1*3</f>
        <v>3</v>
      </c>
      <c r="E224" s="6">
        <f t="shared" si="24"/>
        <v>8385.5900000000074</v>
      </c>
      <c r="F224" s="39"/>
      <c r="G224" s="10">
        <f t="shared" si="25"/>
        <v>14.424659170855856</v>
      </c>
      <c r="H224" s="40"/>
      <c r="I224" s="9">
        <f t="shared" si="26"/>
        <v>43.273977512567569</v>
      </c>
      <c r="J224" s="4">
        <f t="shared" si="27"/>
        <v>120959.27769653726</v>
      </c>
      <c r="K224" s="28"/>
    </row>
    <row r="225" spans="1:11" x14ac:dyDescent="0.2">
      <c r="A225" s="29">
        <v>41257</v>
      </c>
      <c r="B225" s="7" t="s">
        <v>306</v>
      </c>
      <c r="C225" s="3"/>
      <c r="D225" s="3">
        <f>12*3</f>
        <v>36</v>
      </c>
      <c r="E225" s="6">
        <f t="shared" si="24"/>
        <v>8349.5900000000074</v>
      </c>
      <c r="F225" s="39"/>
      <c r="G225" s="10">
        <f t="shared" si="25"/>
        <v>14.424659170855856</v>
      </c>
      <c r="H225" s="40"/>
      <c r="I225" s="9">
        <f t="shared" si="26"/>
        <v>519.28773015081083</v>
      </c>
      <c r="J225" s="4">
        <f t="shared" si="27"/>
        <v>120439.98996638645</v>
      </c>
      <c r="K225" s="28"/>
    </row>
    <row r="226" spans="1:11" x14ac:dyDescent="0.2">
      <c r="A226" s="29">
        <v>41257</v>
      </c>
      <c r="B226" s="7" t="s">
        <v>305</v>
      </c>
      <c r="C226" s="3"/>
      <c r="D226" s="3">
        <v>0</v>
      </c>
      <c r="E226" s="6">
        <f t="shared" si="24"/>
        <v>8349.5900000000074</v>
      </c>
      <c r="F226" s="39"/>
      <c r="G226" s="10">
        <f t="shared" si="25"/>
        <v>14.424659170855856</v>
      </c>
      <c r="H226" s="40"/>
      <c r="I226" s="9">
        <f t="shared" si="26"/>
        <v>0</v>
      </c>
      <c r="J226" s="4">
        <f t="shared" si="27"/>
        <v>120439.98996638645</v>
      </c>
      <c r="K226" s="28"/>
    </row>
    <row r="227" spans="1:11" x14ac:dyDescent="0.2">
      <c r="A227" s="29">
        <v>41257</v>
      </c>
      <c r="B227" s="7" t="s">
        <v>304</v>
      </c>
      <c r="C227" s="3"/>
      <c r="D227" s="3">
        <f>2*3</f>
        <v>6</v>
      </c>
      <c r="E227" s="6">
        <f t="shared" si="24"/>
        <v>8343.5900000000074</v>
      </c>
      <c r="F227" s="39"/>
      <c r="G227" s="10">
        <f t="shared" si="25"/>
        <v>14.424659170855856</v>
      </c>
      <c r="H227" s="40"/>
      <c r="I227" s="9">
        <f t="shared" si="26"/>
        <v>86.547955025135138</v>
      </c>
      <c r="J227" s="4">
        <f t="shared" si="27"/>
        <v>120353.44201136132</v>
      </c>
      <c r="K227" s="28"/>
    </row>
    <row r="228" spans="1:11" x14ac:dyDescent="0.2">
      <c r="A228" s="29">
        <v>41260</v>
      </c>
      <c r="B228" s="7" t="s">
        <v>303</v>
      </c>
      <c r="C228" s="3"/>
      <c r="D228" s="3">
        <f>5*7</f>
        <v>35</v>
      </c>
      <c r="E228" s="6">
        <f t="shared" si="24"/>
        <v>8308.5900000000074</v>
      </c>
      <c r="F228" s="39"/>
      <c r="G228" s="10">
        <f t="shared" si="25"/>
        <v>14.424659170855856</v>
      </c>
      <c r="H228" s="40"/>
      <c r="I228" s="9">
        <f t="shared" si="26"/>
        <v>504.86307097995495</v>
      </c>
      <c r="J228" s="4">
        <f t="shared" si="27"/>
        <v>119848.57894038135</v>
      </c>
      <c r="K228" s="28"/>
    </row>
    <row r="229" spans="1:11" x14ac:dyDescent="0.2">
      <c r="A229" s="29">
        <v>41261</v>
      </c>
      <c r="B229" s="7" t="s">
        <v>302</v>
      </c>
      <c r="C229" s="3"/>
      <c r="D229" s="3">
        <f>5*4.74+5*3.2+1*3.1</f>
        <v>42.800000000000004</v>
      </c>
      <c r="E229" s="6">
        <f t="shared" si="24"/>
        <v>8265.7900000000081</v>
      </c>
      <c r="F229" s="39"/>
      <c r="G229" s="10">
        <f t="shared" si="25"/>
        <v>14.424659170855854</v>
      </c>
      <c r="H229" s="39"/>
      <c r="I229" s="9">
        <f t="shared" si="26"/>
        <v>617.37541251263065</v>
      </c>
      <c r="J229" s="4">
        <f t="shared" si="27"/>
        <v>119231.20352786873</v>
      </c>
      <c r="K229" s="28"/>
    </row>
    <row r="230" spans="1:11" x14ac:dyDescent="0.2">
      <c r="A230" s="29">
        <v>41261</v>
      </c>
      <c r="B230" s="7" t="s">
        <v>301</v>
      </c>
      <c r="C230" s="3"/>
      <c r="D230" s="3">
        <f>1*9</f>
        <v>9</v>
      </c>
      <c r="E230" s="6">
        <f t="shared" si="24"/>
        <v>8256.7900000000081</v>
      </c>
      <c r="F230" s="39"/>
      <c r="G230" s="10">
        <f t="shared" si="25"/>
        <v>14.424659170855854</v>
      </c>
      <c r="H230" s="39"/>
      <c r="I230" s="9">
        <f t="shared" si="26"/>
        <v>129.82193253770268</v>
      </c>
      <c r="J230" s="4">
        <f t="shared" si="27"/>
        <v>119101.38159533103</v>
      </c>
      <c r="K230" s="28"/>
    </row>
    <row r="231" spans="1:11" x14ac:dyDescent="0.2">
      <c r="A231" s="29">
        <v>41263</v>
      </c>
      <c r="B231" s="7" t="s">
        <v>300</v>
      </c>
      <c r="C231" s="3"/>
      <c r="D231" s="3">
        <f>11*6.2</f>
        <v>68.2</v>
      </c>
      <c r="E231" s="6">
        <f t="shared" si="24"/>
        <v>8188.5900000000083</v>
      </c>
      <c r="F231" s="39"/>
      <c r="G231" s="10">
        <f t="shared" si="25"/>
        <v>14.424659170855854</v>
      </c>
      <c r="H231" s="40"/>
      <c r="I231" s="9">
        <f t="shared" si="26"/>
        <v>983.76175545236924</v>
      </c>
      <c r="J231" s="4">
        <f t="shared" si="27"/>
        <v>118117.61983987865</v>
      </c>
      <c r="K231" s="28"/>
    </row>
    <row r="232" spans="1:11" x14ac:dyDescent="0.2">
      <c r="A232" s="29">
        <v>41263</v>
      </c>
      <c r="B232" s="7" t="s">
        <v>299</v>
      </c>
      <c r="C232" s="3"/>
      <c r="D232" s="3">
        <f>10*10+14*8</f>
        <v>212</v>
      </c>
      <c r="E232" s="6">
        <f t="shared" si="24"/>
        <v>7976.5900000000083</v>
      </c>
      <c r="F232" s="39"/>
      <c r="G232" s="10">
        <f t="shared" si="25"/>
        <v>14.424659170855854</v>
      </c>
      <c r="H232" s="40"/>
      <c r="I232" s="9">
        <f t="shared" si="26"/>
        <v>3058.027744221441</v>
      </c>
      <c r="J232" s="4">
        <f t="shared" si="27"/>
        <v>115059.59209565721</v>
      </c>
      <c r="K232" s="28"/>
    </row>
    <row r="233" spans="1:11" x14ac:dyDescent="0.2">
      <c r="A233" s="29">
        <v>41263</v>
      </c>
      <c r="B233" s="7" t="s">
        <v>298</v>
      </c>
      <c r="C233" s="3"/>
      <c r="D233" s="3">
        <f>7*3.8</f>
        <v>26.599999999999998</v>
      </c>
      <c r="E233" s="6">
        <f t="shared" si="24"/>
        <v>7949.990000000008</v>
      </c>
      <c r="F233" s="39"/>
      <c r="G233" s="10">
        <f t="shared" si="25"/>
        <v>14.424659170855852</v>
      </c>
      <c r="H233" s="40"/>
      <c r="I233" s="9">
        <f t="shared" si="26"/>
        <v>383.69593394476561</v>
      </c>
      <c r="J233" s="4">
        <f t="shared" si="27"/>
        <v>114675.89616171244</v>
      </c>
      <c r="K233" s="28"/>
    </row>
    <row r="234" spans="1:11" x14ac:dyDescent="0.2">
      <c r="A234" s="29">
        <v>41264</v>
      </c>
      <c r="B234" s="7" t="s">
        <v>297</v>
      </c>
      <c r="C234" s="3"/>
      <c r="D234" s="3">
        <f>26*6</f>
        <v>156</v>
      </c>
      <c r="E234" s="6">
        <f t="shared" si="24"/>
        <v>7793.990000000008</v>
      </c>
      <c r="F234" s="39"/>
      <c r="G234" s="10">
        <f t="shared" si="25"/>
        <v>14.424659170855854</v>
      </c>
      <c r="H234" s="40"/>
      <c r="I234" s="9">
        <f t="shared" si="26"/>
        <v>2250.2468306535134</v>
      </c>
      <c r="J234" s="4">
        <f t="shared" si="27"/>
        <v>112425.64933105893</v>
      </c>
      <c r="K234" s="28"/>
    </row>
    <row r="235" spans="1:11" x14ac:dyDescent="0.2">
      <c r="A235" s="29">
        <v>41264</v>
      </c>
      <c r="B235" s="7" t="s">
        <v>296</v>
      </c>
      <c r="C235" s="3"/>
      <c r="D235" s="3">
        <f>50*7</f>
        <v>350</v>
      </c>
      <c r="E235" s="6">
        <f t="shared" si="24"/>
        <v>7443.990000000008</v>
      </c>
      <c r="F235" s="39"/>
      <c r="G235" s="10">
        <f t="shared" si="25"/>
        <v>14.424659170855854</v>
      </c>
      <c r="H235" s="40"/>
      <c r="I235" s="9">
        <f t="shared" si="26"/>
        <v>5048.6307097995486</v>
      </c>
      <c r="J235" s="4">
        <f t="shared" si="27"/>
        <v>107377.01862125938</v>
      </c>
      <c r="K235" s="28"/>
    </row>
    <row r="236" spans="1:11" x14ac:dyDescent="0.2">
      <c r="A236" s="29">
        <v>41265</v>
      </c>
      <c r="B236" s="7" t="s">
        <v>295</v>
      </c>
      <c r="C236" s="3"/>
      <c r="D236" s="3">
        <f>41*8.2</f>
        <v>336.2</v>
      </c>
      <c r="E236" s="6">
        <f t="shared" si="24"/>
        <v>7107.7900000000081</v>
      </c>
      <c r="F236" s="39"/>
      <c r="G236" s="10">
        <f t="shared" si="25"/>
        <v>14.424659170855854</v>
      </c>
      <c r="H236" s="40"/>
      <c r="I236" s="9">
        <f t="shared" si="26"/>
        <v>4849.5704132417377</v>
      </c>
      <c r="J236" s="4">
        <f t="shared" si="27"/>
        <v>102527.44820801765</v>
      </c>
      <c r="K236" s="28"/>
    </row>
    <row r="237" spans="1:11" x14ac:dyDescent="0.2">
      <c r="A237" s="29">
        <v>41267</v>
      </c>
      <c r="B237" s="7" t="s">
        <v>294</v>
      </c>
      <c r="C237" s="3"/>
      <c r="D237" s="3">
        <f>16*4+7*4.5</f>
        <v>95.5</v>
      </c>
      <c r="E237" s="6">
        <f t="shared" si="24"/>
        <v>7012.2900000000081</v>
      </c>
      <c r="F237" s="39"/>
      <c r="G237" s="10">
        <f t="shared" si="25"/>
        <v>14.424659170855854</v>
      </c>
      <c r="H237" s="40"/>
      <c r="I237" s="9">
        <f t="shared" si="26"/>
        <v>1377.5549508167342</v>
      </c>
      <c r="J237" s="4">
        <f t="shared" si="27"/>
        <v>101149.89325720092</v>
      </c>
      <c r="K237" s="28"/>
    </row>
    <row r="238" spans="1:11" x14ac:dyDescent="0.2">
      <c r="A238" s="29">
        <v>41267</v>
      </c>
      <c r="B238" s="7" t="s">
        <v>293</v>
      </c>
      <c r="C238" s="3"/>
      <c r="D238" s="3">
        <f>4*3</f>
        <v>12</v>
      </c>
      <c r="E238" s="6">
        <f t="shared" si="24"/>
        <v>7000.2900000000081</v>
      </c>
      <c r="F238" s="39"/>
      <c r="G238" s="10">
        <f t="shared" si="25"/>
        <v>14.424659170855856</v>
      </c>
      <c r="H238" s="40"/>
      <c r="I238" s="9">
        <f t="shared" si="26"/>
        <v>173.09591005027028</v>
      </c>
      <c r="J238" s="4">
        <f t="shared" si="27"/>
        <v>100976.79734715066</v>
      </c>
      <c r="K238" s="28"/>
    </row>
    <row r="239" spans="1:11" x14ac:dyDescent="0.2">
      <c r="A239" s="29">
        <v>41267</v>
      </c>
      <c r="B239" s="7" t="s">
        <v>292</v>
      </c>
      <c r="C239" s="3"/>
      <c r="D239" s="3">
        <f>12*4.4</f>
        <v>52.800000000000004</v>
      </c>
      <c r="E239" s="6">
        <f t="shared" si="24"/>
        <v>6947.490000000008</v>
      </c>
      <c r="F239" s="39"/>
      <c r="G239" s="10">
        <f t="shared" si="25"/>
        <v>14.424659170855856</v>
      </c>
      <c r="H239" s="40"/>
      <c r="I239" s="9">
        <f t="shared" si="26"/>
        <v>761.62200422118929</v>
      </c>
      <c r="J239" s="4">
        <f t="shared" si="27"/>
        <v>100215.17534292946</v>
      </c>
      <c r="K239" s="28"/>
    </row>
    <row r="240" spans="1:11" x14ac:dyDescent="0.2">
      <c r="A240" s="29">
        <v>41269</v>
      </c>
      <c r="B240" s="7" t="s">
        <v>291</v>
      </c>
      <c r="C240" s="3"/>
      <c r="D240" s="3">
        <f>10*3</f>
        <v>30</v>
      </c>
      <c r="E240" s="6">
        <f t="shared" si="24"/>
        <v>6917.490000000008</v>
      </c>
      <c r="F240" s="39"/>
      <c r="G240" s="10">
        <f t="shared" si="25"/>
        <v>14.424659170855856</v>
      </c>
      <c r="H240" s="40"/>
      <c r="I240" s="9">
        <f t="shared" si="26"/>
        <v>432.73977512567569</v>
      </c>
      <c r="J240" s="4">
        <f t="shared" si="27"/>
        <v>99782.435567803783</v>
      </c>
      <c r="K240" s="28"/>
    </row>
    <row r="241" spans="1:12" x14ac:dyDescent="0.2">
      <c r="A241" s="29">
        <v>41269</v>
      </c>
      <c r="B241" s="7" t="s">
        <v>290</v>
      </c>
      <c r="C241" s="3"/>
      <c r="D241" s="3">
        <f>5*2.65+2*3.6+1*2+7*3</f>
        <v>43.45</v>
      </c>
      <c r="E241" s="6">
        <f t="shared" si="24"/>
        <v>6874.0400000000081</v>
      </c>
      <c r="F241" s="39"/>
      <c r="G241" s="10">
        <f t="shared" si="25"/>
        <v>14.424659170855856</v>
      </c>
      <c r="H241" s="40"/>
      <c r="I241" s="9">
        <f t="shared" si="26"/>
        <v>626.75144097368695</v>
      </c>
      <c r="J241" s="4">
        <f t="shared" si="27"/>
        <v>99155.684126830092</v>
      </c>
      <c r="K241" s="28"/>
    </row>
    <row r="242" spans="1:12" x14ac:dyDescent="0.2">
      <c r="A242" s="29">
        <v>41270</v>
      </c>
      <c r="B242" s="7" t="s">
        <v>289</v>
      </c>
      <c r="C242" s="3"/>
      <c r="D242" s="3">
        <f>8*2.94</f>
        <v>23.52</v>
      </c>
      <c r="E242" s="6">
        <f t="shared" si="24"/>
        <v>6850.5200000000077</v>
      </c>
      <c r="F242" s="39"/>
      <c r="G242" s="10">
        <f t="shared" si="25"/>
        <v>14.424659170855854</v>
      </c>
      <c r="H242" s="40"/>
      <c r="I242" s="9">
        <f t="shared" si="26"/>
        <v>339.26798369852969</v>
      </c>
      <c r="J242" s="4">
        <f t="shared" si="27"/>
        <v>98816.416143131559</v>
      </c>
      <c r="K242" s="28"/>
    </row>
    <row r="243" spans="1:12" x14ac:dyDescent="0.2">
      <c r="A243" s="29">
        <v>41270</v>
      </c>
      <c r="B243" s="7" t="s">
        <v>288</v>
      </c>
      <c r="C243" s="3"/>
      <c r="D243" s="3">
        <f>5*6.3</f>
        <v>31.5</v>
      </c>
      <c r="E243" s="6">
        <f t="shared" si="24"/>
        <v>6819.0200000000077</v>
      </c>
      <c r="F243" s="39"/>
      <c r="G243" s="10">
        <f t="shared" si="25"/>
        <v>14.424659170855854</v>
      </c>
      <c r="H243" s="40"/>
      <c r="I243" s="9">
        <f t="shared" si="26"/>
        <v>454.37676388195939</v>
      </c>
      <c r="J243" s="4">
        <f t="shared" si="27"/>
        <v>98362.039379249603</v>
      </c>
      <c r="K243" s="28"/>
    </row>
    <row r="244" spans="1:12" x14ac:dyDescent="0.2">
      <c r="A244" s="87">
        <v>41271</v>
      </c>
      <c r="B244" s="17" t="s">
        <v>287</v>
      </c>
      <c r="C244" s="11"/>
      <c r="D244" s="11">
        <f>2*3</f>
        <v>6</v>
      </c>
      <c r="E244" s="6">
        <f t="shared" si="24"/>
        <v>6813.0200000000077</v>
      </c>
      <c r="F244" s="39"/>
      <c r="G244" s="10">
        <f t="shared" si="25"/>
        <v>14.424659170855856</v>
      </c>
      <c r="H244" s="86"/>
      <c r="I244" s="13">
        <f t="shared" si="26"/>
        <v>86.547955025135138</v>
      </c>
      <c r="J244" s="4">
        <f t="shared" si="27"/>
        <v>98275.49142422447</v>
      </c>
      <c r="K244" s="85"/>
    </row>
    <row r="245" spans="1:12" x14ac:dyDescent="0.2">
      <c r="A245" s="29">
        <v>41271</v>
      </c>
      <c r="B245" s="7" t="s">
        <v>286</v>
      </c>
      <c r="C245" s="3"/>
      <c r="D245" s="3">
        <f>23*3</f>
        <v>69</v>
      </c>
      <c r="E245" s="6">
        <f t="shared" si="24"/>
        <v>6744.0200000000077</v>
      </c>
      <c r="F245" s="39"/>
      <c r="G245" s="10">
        <f t="shared" si="25"/>
        <v>14.424659170855856</v>
      </c>
      <c r="H245" s="40"/>
      <c r="I245" s="9">
        <f t="shared" si="26"/>
        <v>995.30148278905403</v>
      </c>
      <c r="J245" s="4">
        <f t="shared" si="27"/>
        <v>97280.189941435412</v>
      </c>
      <c r="K245" s="28"/>
    </row>
    <row r="246" spans="1:12" x14ac:dyDescent="0.2">
      <c r="A246" s="29">
        <v>41272</v>
      </c>
      <c r="B246" s="7" t="s">
        <v>285</v>
      </c>
      <c r="C246" s="3"/>
      <c r="D246" s="3">
        <f>12*4.6+12*2</f>
        <v>79.199999999999989</v>
      </c>
      <c r="E246" s="6">
        <f t="shared" si="24"/>
        <v>6664.8200000000079</v>
      </c>
      <c r="F246" s="39"/>
      <c r="G246" s="10">
        <f t="shared" si="25"/>
        <v>14.424659170855854</v>
      </c>
      <c r="H246" s="40"/>
      <c r="I246" s="9">
        <f t="shared" si="26"/>
        <v>1142.4330063317834</v>
      </c>
      <c r="J246" s="4">
        <f t="shared" si="27"/>
        <v>96137.756935103622</v>
      </c>
      <c r="K246" s="28"/>
    </row>
    <row r="247" spans="1:12" x14ac:dyDescent="0.2">
      <c r="A247" s="84">
        <v>41272</v>
      </c>
      <c r="B247" s="80" t="s">
        <v>284</v>
      </c>
      <c r="C247" s="83"/>
      <c r="D247" s="83">
        <f>5*3+5*2</f>
        <v>25</v>
      </c>
      <c r="E247" s="82">
        <f t="shared" si="24"/>
        <v>6639.8200000000079</v>
      </c>
      <c r="F247" s="81"/>
      <c r="G247" s="81">
        <f t="shared" si="25"/>
        <v>14.424659170855854</v>
      </c>
      <c r="H247" s="80"/>
      <c r="I247" s="79">
        <f t="shared" si="26"/>
        <v>360.61647927139637</v>
      </c>
      <c r="J247" s="78">
        <f t="shared" si="27"/>
        <v>95777.140455832225</v>
      </c>
      <c r="K247" s="77"/>
      <c r="L247" s="76">
        <f>SUM(I203:I247)</f>
        <v>40614.214608053451</v>
      </c>
    </row>
    <row r="248" spans="1:12" x14ac:dyDescent="0.2">
      <c r="A248" s="29"/>
      <c r="B248" s="7"/>
      <c r="C248" s="3"/>
      <c r="D248" s="3"/>
      <c r="E248" s="6"/>
      <c r="F248" s="39"/>
      <c r="G248" s="10"/>
      <c r="H248" s="40"/>
      <c r="I248" s="9"/>
      <c r="J248" s="4"/>
      <c r="K248" s="28"/>
    </row>
    <row r="249" spans="1:12" x14ac:dyDescent="0.2">
      <c r="A249" s="29"/>
      <c r="B249" s="7"/>
      <c r="C249" s="3"/>
      <c r="D249" s="3"/>
      <c r="E249" s="6"/>
      <c r="F249" s="39"/>
      <c r="G249" s="10"/>
      <c r="H249" s="40"/>
      <c r="I249" s="9"/>
      <c r="J249" s="4"/>
      <c r="K249" s="28"/>
    </row>
    <row r="250" spans="1:12" ht="15" thickBot="1" x14ac:dyDescent="0.25">
      <c r="A250" s="27"/>
      <c r="B250" s="26" t="s">
        <v>283</v>
      </c>
      <c r="C250" s="26">
        <f>SUM(C9:C249)</f>
        <v>20725</v>
      </c>
      <c r="D250" s="26">
        <f>SUM(D10:D249)</f>
        <v>14085.180000000002</v>
      </c>
      <c r="E250" s="75">
        <f>C250-D250</f>
        <v>6639.8199999999979</v>
      </c>
      <c r="F250" s="74"/>
      <c r="G250" s="73"/>
      <c r="H250" s="23">
        <f>SUM(H9:H249)</f>
        <v>265160.87</v>
      </c>
      <c r="I250" s="23">
        <f>SUM(I9:I249)</f>
        <v>169383.7295441677</v>
      </c>
      <c r="J250" s="23">
        <f>H250-I250</f>
        <v>95777.140455832297</v>
      </c>
      <c r="K250" s="19"/>
      <c r="L250" s="72">
        <f>SUM(L11:L248)</f>
        <v>169383.72954416773</v>
      </c>
    </row>
    <row r="251" spans="1:12" x14ac:dyDescent="0.2">
      <c r="A251" s="67"/>
      <c r="B251" s="56"/>
      <c r="C251" s="56"/>
      <c r="D251" s="56"/>
      <c r="E251" s="71"/>
      <c r="F251" s="53"/>
      <c r="G251" s="66"/>
      <c r="H251" s="70"/>
      <c r="I251" s="70"/>
      <c r="J251" s="70"/>
      <c r="K251" s="52"/>
    </row>
    <row r="252" spans="1:12" x14ac:dyDescent="0.2">
      <c r="A252" s="67"/>
      <c r="B252" s="56"/>
      <c r="C252" s="56"/>
      <c r="D252" s="56"/>
      <c r="E252" s="71"/>
      <c r="F252" s="53"/>
      <c r="G252" s="66"/>
      <c r="H252" s="70"/>
      <c r="I252" s="70"/>
      <c r="J252" s="70"/>
      <c r="K252" s="52"/>
    </row>
    <row r="253" spans="1:12" x14ac:dyDescent="0.2">
      <c r="A253" s="67"/>
      <c r="B253" s="53" t="s">
        <v>282</v>
      </c>
      <c r="C253" s="53"/>
      <c r="D253" s="2"/>
      <c r="E253" s="53"/>
      <c r="F253" s="66">
        <f>J247/E247</f>
        <v>14.424659170855854</v>
      </c>
      <c r="G253" s="66"/>
      <c r="H253" s="66"/>
      <c r="I253" s="56"/>
      <c r="J253" s="66"/>
      <c r="K253" s="52"/>
    </row>
    <row r="254" spans="1:12" x14ac:dyDescent="0.2">
      <c r="A254" s="67"/>
      <c r="B254" s="53" t="s">
        <v>281</v>
      </c>
      <c r="C254" s="53"/>
      <c r="D254" s="2"/>
      <c r="E254" s="53"/>
      <c r="F254" s="66">
        <f>E250*F253</f>
        <v>95777.140455832079</v>
      </c>
      <c r="G254" s="66"/>
      <c r="H254" s="66"/>
      <c r="I254" s="56"/>
      <c r="J254" s="66"/>
      <c r="K254" s="52"/>
    </row>
    <row r="255" spans="1:12" x14ac:dyDescent="0.2">
      <c r="A255" s="67"/>
      <c r="B255" s="68" t="s">
        <v>280</v>
      </c>
      <c r="C255" s="53"/>
      <c r="D255" s="53"/>
      <c r="E255" s="53"/>
      <c r="F255" s="53"/>
      <c r="G255" s="66"/>
      <c r="H255" s="66"/>
      <c r="I255" s="56"/>
      <c r="J255" s="66"/>
      <c r="K255" s="52"/>
    </row>
    <row r="256" spans="1:12" x14ac:dyDescent="0.2">
      <c r="A256" s="67"/>
      <c r="B256" s="68" t="s">
        <v>279</v>
      </c>
      <c r="C256" s="53">
        <v>1.01027</v>
      </c>
      <c r="D256" s="53"/>
      <c r="E256" s="53"/>
      <c r="F256" s="53"/>
      <c r="G256" s="66"/>
      <c r="H256" s="66"/>
      <c r="I256" s="56"/>
      <c r="J256" s="66"/>
      <c r="K256" s="52"/>
    </row>
    <row r="257" spans="1:11" x14ac:dyDescent="0.2">
      <c r="A257" s="67"/>
      <c r="B257" s="68" t="s">
        <v>278</v>
      </c>
      <c r="C257" s="53"/>
      <c r="D257" s="53"/>
      <c r="E257" s="53"/>
      <c r="F257" s="66">
        <f>+F254*C256</f>
        <v>96760.771688313471</v>
      </c>
      <c r="G257" s="66"/>
      <c r="H257" s="66"/>
      <c r="I257" s="56"/>
      <c r="J257" s="66"/>
      <c r="K257" s="52"/>
    </row>
    <row r="258" spans="1:11" x14ac:dyDescent="0.2">
      <c r="A258" s="67"/>
      <c r="B258" s="68" t="s">
        <v>277</v>
      </c>
      <c r="C258" s="53"/>
      <c r="D258" s="53"/>
      <c r="E258" s="53"/>
      <c r="F258" s="69">
        <f>+F254</f>
        <v>95777.140455832079</v>
      </c>
      <c r="G258" s="66"/>
      <c r="H258" s="66"/>
      <c r="I258" s="56"/>
      <c r="J258" s="66"/>
      <c r="K258" s="52"/>
    </row>
    <row r="259" spans="1:11" x14ac:dyDescent="0.2">
      <c r="A259" s="67"/>
      <c r="B259" s="68" t="s">
        <v>276</v>
      </c>
      <c r="C259" s="53"/>
      <c r="D259" s="53"/>
      <c r="E259" s="53"/>
      <c r="F259" s="66">
        <f>F257-F258</f>
        <v>983.63123248139163</v>
      </c>
      <c r="G259" s="66"/>
      <c r="H259" s="66"/>
      <c r="I259" s="56"/>
      <c r="J259" s="66"/>
      <c r="K259" s="52"/>
    </row>
    <row r="260" spans="1:11" x14ac:dyDescent="0.2">
      <c r="A260" s="67"/>
      <c r="B260" s="53"/>
      <c r="C260" s="53"/>
      <c r="D260" s="53"/>
      <c r="E260" s="53"/>
      <c r="F260" s="53"/>
      <c r="G260" s="66"/>
      <c r="H260" s="66"/>
      <c r="I260" s="56"/>
      <c r="J260" s="66"/>
      <c r="K260" s="52"/>
    </row>
    <row r="261" spans="1:11" x14ac:dyDescent="0.2">
      <c r="A261" s="67"/>
      <c r="B261" s="53"/>
      <c r="C261" s="53"/>
      <c r="D261" s="53"/>
      <c r="E261" s="53"/>
      <c r="F261" s="53"/>
      <c r="G261" s="66"/>
      <c r="H261" s="66"/>
      <c r="I261" s="56"/>
      <c r="J261" s="66"/>
      <c r="K261" s="52"/>
    </row>
    <row r="262" spans="1:11" x14ac:dyDescent="0.2">
      <c r="A262" s="67"/>
      <c r="B262" s="53"/>
      <c r="C262" s="53"/>
      <c r="D262" s="53"/>
      <c r="E262" s="53"/>
      <c r="F262" s="53"/>
      <c r="G262" s="66"/>
      <c r="H262" s="66"/>
      <c r="I262" s="56"/>
      <c r="J262" s="66"/>
      <c r="K262" s="52"/>
    </row>
    <row r="263" spans="1:11" x14ac:dyDescent="0.2">
      <c r="A263" s="67"/>
      <c r="B263" s="53"/>
      <c r="C263" s="53"/>
      <c r="D263" s="53"/>
      <c r="E263" s="53"/>
      <c r="F263" s="53"/>
      <c r="G263" s="66"/>
      <c r="H263" s="66"/>
      <c r="I263" s="56"/>
      <c r="J263" s="66"/>
      <c r="K263" s="52"/>
    </row>
    <row r="264" spans="1:11" x14ac:dyDescent="0.2">
      <c r="A264" s="67"/>
      <c r="B264" s="53"/>
      <c r="C264" s="53"/>
      <c r="D264" s="53"/>
      <c r="E264" s="53"/>
      <c r="F264" s="53"/>
      <c r="G264" s="66"/>
      <c r="H264" s="66"/>
      <c r="I264" s="56"/>
      <c r="J264" s="66"/>
      <c r="K264" s="52"/>
    </row>
    <row r="265" spans="1:11" x14ac:dyDescent="0.2">
      <c r="A265" s="67"/>
      <c r="B265" s="53"/>
      <c r="C265" s="53"/>
      <c r="D265" s="53"/>
      <c r="E265" s="53"/>
      <c r="F265" s="53"/>
      <c r="G265" s="66"/>
      <c r="H265" s="66"/>
      <c r="I265" s="56"/>
      <c r="J265" s="66"/>
      <c r="K265" s="52"/>
    </row>
    <row r="266" spans="1:11" x14ac:dyDescent="0.2">
      <c r="A266" s="67"/>
      <c r="B266" s="53"/>
      <c r="C266" s="53"/>
      <c r="D266" s="53"/>
      <c r="E266" s="53"/>
      <c r="F266" s="53"/>
      <c r="G266" s="66"/>
      <c r="H266" s="66"/>
      <c r="I266" s="56"/>
      <c r="J266" s="66"/>
      <c r="K266" s="52"/>
    </row>
    <row r="267" spans="1:11" x14ac:dyDescent="0.2">
      <c r="A267" s="67"/>
      <c r="B267" s="53"/>
      <c r="C267" s="53"/>
      <c r="D267" s="53"/>
      <c r="E267" s="53"/>
      <c r="F267" s="53"/>
      <c r="G267" s="66"/>
      <c r="H267" s="66"/>
      <c r="I267" s="56"/>
      <c r="J267" s="66"/>
      <c r="K267" s="52"/>
    </row>
    <row r="268" spans="1:11" x14ac:dyDescent="0.2">
      <c r="A268" s="67"/>
      <c r="B268" s="53"/>
      <c r="C268" s="53"/>
      <c r="D268" s="53"/>
      <c r="E268" s="53"/>
      <c r="F268" s="53"/>
      <c r="G268" s="66"/>
      <c r="H268" s="66"/>
      <c r="I268" s="56"/>
      <c r="J268" s="66"/>
      <c r="K268" s="52"/>
    </row>
    <row r="269" spans="1:11" x14ac:dyDescent="0.2">
      <c r="A269" s="67"/>
      <c r="B269" s="53"/>
      <c r="C269" s="53"/>
      <c r="D269" s="53"/>
      <c r="E269" s="53"/>
      <c r="F269" s="53"/>
      <c r="G269" s="66"/>
      <c r="H269" s="66"/>
      <c r="I269" s="56"/>
      <c r="J269" s="66"/>
      <c r="K269" s="52"/>
    </row>
    <row r="270" spans="1:11" x14ac:dyDescent="0.2">
      <c r="A270" s="67"/>
      <c r="B270" s="53"/>
      <c r="C270" s="53"/>
      <c r="D270" s="53"/>
      <c r="E270" s="53"/>
      <c r="F270" s="53"/>
      <c r="G270" s="66"/>
      <c r="H270" s="66"/>
      <c r="I270" s="56"/>
      <c r="J270" s="66"/>
      <c r="K270" s="52"/>
    </row>
    <row r="271" spans="1:11" x14ac:dyDescent="0.2">
      <c r="A271" s="67"/>
      <c r="B271" s="53"/>
      <c r="C271" s="53"/>
      <c r="D271" s="53"/>
      <c r="E271" s="53"/>
      <c r="F271" s="53"/>
      <c r="G271" s="66"/>
      <c r="H271" s="66"/>
      <c r="I271" s="56"/>
      <c r="J271" s="66"/>
      <c r="K271" s="52"/>
    </row>
    <row r="272" spans="1:11" x14ac:dyDescent="0.2">
      <c r="A272" s="67"/>
      <c r="B272" s="53"/>
      <c r="C272" s="53"/>
      <c r="D272" s="53"/>
      <c r="E272" s="53"/>
      <c r="F272" s="53"/>
      <c r="G272" s="66"/>
      <c r="H272" s="66"/>
      <c r="I272" s="56"/>
      <c r="J272" s="66"/>
      <c r="K272" s="52"/>
    </row>
    <row r="273" spans="1:11" x14ac:dyDescent="0.2">
      <c r="A273" s="67"/>
      <c r="B273" s="53"/>
      <c r="C273" s="53"/>
      <c r="D273" s="53"/>
      <c r="E273" s="53"/>
      <c r="F273" s="53"/>
      <c r="G273" s="66"/>
      <c r="H273" s="66"/>
      <c r="I273" s="56"/>
      <c r="J273" s="66"/>
      <c r="K273" s="52"/>
    </row>
    <row r="274" spans="1:11" x14ac:dyDescent="0.2">
      <c r="A274" s="67"/>
      <c r="B274" s="53"/>
      <c r="C274" s="53"/>
      <c r="D274" s="53"/>
      <c r="E274" s="53"/>
      <c r="F274" s="53"/>
      <c r="G274" s="66"/>
      <c r="H274" s="66"/>
      <c r="I274" s="56"/>
      <c r="J274" s="66"/>
      <c r="K274" s="52"/>
    </row>
    <row r="275" spans="1:11" x14ac:dyDescent="0.2">
      <c r="A275" s="67"/>
      <c r="B275" s="53"/>
      <c r="C275" s="53"/>
      <c r="D275" s="53"/>
      <c r="E275" s="53"/>
      <c r="F275" s="53"/>
      <c r="G275" s="66"/>
      <c r="H275" s="66"/>
      <c r="I275" s="56"/>
      <c r="J275" s="66"/>
      <c r="K275" s="52"/>
    </row>
    <row r="276" spans="1:11" x14ac:dyDescent="0.2">
      <c r="A276" s="67"/>
      <c r="B276" s="53"/>
      <c r="C276" s="53"/>
      <c r="D276" s="53"/>
      <c r="E276" s="53"/>
      <c r="F276" s="53"/>
      <c r="G276" s="66"/>
      <c r="H276" s="66"/>
      <c r="I276" s="56"/>
      <c r="J276" s="66"/>
      <c r="K276" s="52"/>
    </row>
    <row r="277" spans="1:11" x14ac:dyDescent="0.2">
      <c r="A277" s="67"/>
      <c r="B277" s="53"/>
      <c r="C277" s="53"/>
      <c r="D277" s="53"/>
      <c r="E277" s="53"/>
      <c r="F277" s="53"/>
      <c r="G277" s="66"/>
      <c r="H277" s="66"/>
      <c r="I277" s="56"/>
      <c r="J277" s="66"/>
      <c r="K277" s="52"/>
    </row>
    <row r="278" spans="1:11" x14ac:dyDescent="0.2">
      <c r="A278" s="67"/>
      <c r="B278" s="53"/>
      <c r="C278" s="53"/>
      <c r="D278" s="53"/>
      <c r="E278" s="53"/>
      <c r="F278" s="53"/>
      <c r="G278" s="66"/>
      <c r="H278" s="66"/>
      <c r="I278" s="56"/>
      <c r="J278" s="66"/>
      <c r="K278" s="52"/>
    </row>
    <row r="279" spans="1:11" x14ac:dyDescent="0.2">
      <c r="A279" s="67"/>
      <c r="B279" s="53"/>
      <c r="C279" s="53"/>
      <c r="D279" s="53"/>
      <c r="E279" s="53"/>
      <c r="F279" s="53"/>
      <c r="G279" s="66"/>
      <c r="H279" s="66"/>
      <c r="I279" s="56"/>
      <c r="J279" s="66"/>
      <c r="K279" s="52"/>
    </row>
    <row r="280" spans="1:11" x14ac:dyDescent="0.2">
      <c r="A280" s="67"/>
      <c r="B280" s="53"/>
      <c r="C280" s="53"/>
      <c r="D280" s="53"/>
      <c r="E280" s="53"/>
      <c r="F280" s="53"/>
      <c r="G280" s="66"/>
      <c r="H280" s="66"/>
      <c r="I280" s="56"/>
      <c r="J280" s="66"/>
      <c r="K280" s="52"/>
    </row>
    <row r="281" spans="1:11" x14ac:dyDescent="0.2">
      <c r="A281" s="67"/>
      <c r="B281" s="53"/>
      <c r="C281" s="53"/>
      <c r="D281" s="53"/>
      <c r="E281" s="53"/>
      <c r="F281" s="53"/>
      <c r="G281" s="66"/>
      <c r="H281" s="66"/>
      <c r="I281" s="56"/>
      <c r="J281" s="66"/>
      <c r="K281" s="52"/>
    </row>
    <row r="282" spans="1:11" x14ac:dyDescent="0.2">
      <c r="A282" s="67"/>
      <c r="B282" s="53"/>
      <c r="C282" s="53"/>
      <c r="D282" s="53"/>
      <c r="E282" s="53"/>
      <c r="F282" s="53"/>
      <c r="G282" s="66"/>
      <c r="H282" s="66"/>
      <c r="I282" s="56"/>
      <c r="J282" s="66"/>
      <c r="K282" s="52"/>
    </row>
    <row r="283" spans="1:11" x14ac:dyDescent="0.2">
      <c r="A283" s="67"/>
      <c r="B283" s="53"/>
      <c r="C283" s="53"/>
      <c r="D283" s="53"/>
      <c r="E283" s="53"/>
      <c r="F283" s="53"/>
      <c r="G283" s="66"/>
      <c r="H283" s="66"/>
      <c r="I283" s="56"/>
      <c r="J283" s="66"/>
      <c r="K283" s="52"/>
    </row>
    <row r="284" spans="1:11" x14ac:dyDescent="0.2">
      <c r="A284" s="67"/>
      <c r="B284" s="53"/>
      <c r="C284" s="53"/>
      <c r="D284" s="53"/>
      <c r="E284" s="53"/>
      <c r="F284" s="53"/>
      <c r="G284" s="66"/>
      <c r="H284" s="66"/>
      <c r="I284" s="56"/>
      <c r="J284" s="66"/>
      <c r="K284" s="52"/>
    </row>
    <row r="285" spans="1:11" x14ac:dyDescent="0.2">
      <c r="A285" s="67"/>
      <c r="B285" s="53"/>
      <c r="C285" s="53"/>
      <c r="D285" s="53"/>
      <c r="E285" s="53"/>
      <c r="F285" s="53"/>
      <c r="G285" s="66"/>
      <c r="H285" s="66"/>
      <c r="I285" s="56"/>
      <c r="J285" s="66"/>
      <c r="K285" s="52"/>
    </row>
    <row r="286" spans="1:11" x14ac:dyDescent="0.2">
      <c r="A286" s="67"/>
      <c r="B286" s="53"/>
      <c r="C286" s="53"/>
      <c r="D286" s="53"/>
      <c r="E286" s="53"/>
      <c r="F286" s="53"/>
      <c r="G286" s="66"/>
      <c r="H286" s="66"/>
      <c r="I286" s="56"/>
      <c r="J286" s="66"/>
      <c r="K286" s="52"/>
    </row>
    <row r="287" spans="1:11" x14ac:dyDescent="0.2">
      <c r="A287" s="67"/>
      <c r="B287" s="53"/>
      <c r="C287" s="53"/>
      <c r="D287" s="53"/>
      <c r="E287" s="53"/>
      <c r="F287" s="53"/>
      <c r="G287" s="66"/>
      <c r="H287" s="66"/>
      <c r="I287" s="56"/>
      <c r="J287" s="66"/>
      <c r="K287" s="52"/>
    </row>
    <row r="288" spans="1:11" x14ac:dyDescent="0.2">
      <c r="A288" s="67"/>
      <c r="B288" s="53"/>
      <c r="C288" s="53"/>
      <c r="D288" s="53"/>
      <c r="E288" s="53"/>
      <c r="F288" s="53"/>
      <c r="G288" s="66"/>
      <c r="H288" s="66"/>
      <c r="I288" s="56"/>
      <c r="J288" s="66"/>
      <c r="K288" s="52"/>
    </row>
    <row r="289" spans="1:11" x14ac:dyDescent="0.2">
      <c r="A289" s="67"/>
      <c r="B289" s="53"/>
      <c r="C289" s="53"/>
      <c r="D289" s="53"/>
      <c r="E289" s="53"/>
      <c r="F289" s="53"/>
      <c r="G289" s="66"/>
      <c r="H289" s="66"/>
      <c r="I289" s="56"/>
      <c r="J289" s="66"/>
      <c r="K289" s="52"/>
    </row>
    <row r="290" spans="1:11" x14ac:dyDescent="0.2">
      <c r="A290" s="67"/>
      <c r="B290" s="53"/>
      <c r="C290" s="53"/>
      <c r="D290" s="53"/>
      <c r="E290" s="53"/>
      <c r="F290" s="53"/>
      <c r="G290" s="66"/>
      <c r="H290" s="66"/>
      <c r="I290" s="56"/>
      <c r="J290" s="66"/>
      <c r="K290" s="52"/>
    </row>
    <row r="291" spans="1:11" x14ac:dyDescent="0.2">
      <c r="A291" s="67"/>
      <c r="B291" s="53"/>
      <c r="C291" s="53"/>
      <c r="D291" s="53"/>
      <c r="E291" s="53"/>
      <c r="F291" s="53"/>
      <c r="G291" s="66"/>
      <c r="H291" s="66"/>
      <c r="I291" s="56"/>
      <c r="J291" s="66"/>
      <c r="K291" s="52"/>
    </row>
    <row r="292" spans="1:11" ht="15" thickBot="1" x14ac:dyDescent="0.25">
      <c r="A292" s="67"/>
      <c r="B292" s="53"/>
      <c r="C292" s="53"/>
      <c r="D292" s="53"/>
      <c r="E292" s="53"/>
      <c r="F292" s="53"/>
      <c r="G292" s="66"/>
      <c r="H292" s="66"/>
      <c r="I292" s="56"/>
      <c r="J292" s="66"/>
      <c r="K292" s="52"/>
    </row>
    <row r="293" spans="1:11" x14ac:dyDescent="0.2">
      <c r="A293" s="65" t="s">
        <v>275</v>
      </c>
      <c r="B293" s="64"/>
      <c r="C293" s="62"/>
      <c r="D293" s="62"/>
      <c r="E293" s="62"/>
      <c r="F293" s="62"/>
      <c r="G293" s="62"/>
      <c r="H293" s="63" t="s">
        <v>274</v>
      </c>
      <c r="I293" s="62"/>
      <c r="J293" s="62"/>
      <c r="K293" s="61"/>
    </row>
    <row r="294" spans="1:11" x14ac:dyDescent="0.2">
      <c r="A294" s="60" t="s">
        <v>273</v>
      </c>
      <c r="B294" s="59"/>
      <c r="C294" s="53"/>
      <c r="D294" s="53"/>
      <c r="E294" s="53"/>
      <c r="F294" s="53"/>
      <c r="G294" s="53"/>
      <c r="H294" s="56" t="s">
        <v>272</v>
      </c>
      <c r="I294" s="53"/>
      <c r="J294" s="53"/>
      <c r="K294" s="52"/>
    </row>
    <row r="295" spans="1:11" x14ac:dyDescent="0.2">
      <c r="A295" s="58" t="s">
        <v>271</v>
      </c>
      <c r="B295" s="57"/>
      <c r="C295" s="53"/>
      <c r="D295" s="53"/>
      <c r="E295" s="53"/>
      <c r="F295" s="53"/>
      <c r="G295" s="53"/>
      <c r="H295" s="56" t="s">
        <v>270</v>
      </c>
      <c r="I295" s="53"/>
      <c r="J295" s="53"/>
      <c r="K295" s="52"/>
    </row>
    <row r="296" spans="1:11" ht="15" x14ac:dyDescent="0.25">
      <c r="A296" s="55"/>
      <c r="B296" s="53"/>
      <c r="C296" s="53"/>
      <c r="D296" s="147" t="s">
        <v>269</v>
      </c>
      <c r="E296" s="147"/>
      <c r="F296" s="147"/>
      <c r="G296" s="147"/>
      <c r="H296" s="147"/>
      <c r="I296" s="53"/>
      <c r="J296" s="53"/>
      <c r="K296" s="52"/>
    </row>
    <row r="297" spans="1:11" ht="15" x14ac:dyDescent="0.25">
      <c r="A297" s="55"/>
      <c r="B297" s="54"/>
      <c r="C297" s="53"/>
      <c r="D297" s="56" t="s">
        <v>268</v>
      </c>
      <c r="E297" s="54"/>
      <c r="F297" s="54"/>
      <c r="G297" s="53"/>
      <c r="H297" s="53"/>
      <c r="I297" s="53"/>
      <c r="J297" s="53"/>
      <c r="K297" s="52"/>
    </row>
    <row r="298" spans="1:11" ht="15" x14ac:dyDescent="0.25">
      <c r="A298" s="55"/>
      <c r="B298" s="54"/>
      <c r="C298" s="53"/>
      <c r="D298" s="53" t="s">
        <v>267</v>
      </c>
      <c r="E298" s="54"/>
      <c r="F298" s="54"/>
      <c r="G298" s="53"/>
      <c r="H298" s="53"/>
      <c r="I298" s="53"/>
      <c r="J298" s="53"/>
      <c r="K298" s="52"/>
    </row>
    <row r="299" spans="1:11" x14ac:dyDescent="0.2">
      <c r="A299" s="51" t="s">
        <v>266</v>
      </c>
      <c r="B299" s="50" t="s">
        <v>265</v>
      </c>
      <c r="C299" s="149" t="s">
        <v>264</v>
      </c>
      <c r="D299" s="149"/>
      <c r="E299" s="150"/>
      <c r="F299" s="148" t="s">
        <v>263</v>
      </c>
      <c r="G299" s="148"/>
      <c r="H299" s="151" t="s">
        <v>262</v>
      </c>
      <c r="I299" s="152"/>
      <c r="J299" s="152"/>
      <c r="K299" s="49" t="s">
        <v>261</v>
      </c>
    </row>
    <row r="300" spans="1:11" x14ac:dyDescent="0.2">
      <c r="A300" s="48"/>
      <c r="B300" s="47"/>
      <c r="C300" s="47" t="s">
        <v>260</v>
      </c>
      <c r="D300" s="44" t="s">
        <v>259</v>
      </c>
      <c r="E300" s="46" t="s">
        <v>258</v>
      </c>
      <c r="F300" s="45" t="s">
        <v>257</v>
      </c>
      <c r="G300" s="45" t="s">
        <v>256</v>
      </c>
      <c r="H300" s="44" t="s">
        <v>255</v>
      </c>
      <c r="I300" s="43" t="s">
        <v>254</v>
      </c>
      <c r="J300" s="42" t="s">
        <v>253</v>
      </c>
      <c r="K300" s="41"/>
    </row>
    <row r="301" spans="1:11" x14ac:dyDescent="0.2">
      <c r="A301" s="29">
        <v>41276</v>
      </c>
      <c r="B301" s="7" t="s">
        <v>252</v>
      </c>
      <c r="C301" s="3"/>
      <c r="D301" s="3">
        <f>2*3</f>
        <v>6</v>
      </c>
      <c r="E301" s="6">
        <f>E247-D301</f>
        <v>6633.8200000000079</v>
      </c>
      <c r="F301" s="39"/>
      <c r="G301" s="10">
        <f>J247/E247</f>
        <v>14.424659170855854</v>
      </c>
      <c r="H301" s="40"/>
      <c r="I301" s="9">
        <f t="shared" ref="I301:I332" si="28">D301*G301</f>
        <v>86.547955025135124</v>
      </c>
      <c r="J301" s="4">
        <f>J247-I301</f>
        <v>95690.592500807092</v>
      </c>
      <c r="K301" s="28"/>
    </row>
    <row r="302" spans="1:11" x14ac:dyDescent="0.2">
      <c r="A302" s="29">
        <v>41276</v>
      </c>
      <c r="B302" s="7" t="s">
        <v>251</v>
      </c>
      <c r="C302" s="3"/>
      <c r="D302" s="3">
        <f>10*3</f>
        <v>30</v>
      </c>
      <c r="E302" s="6">
        <f t="shared" ref="E302:E365" si="29">E301-D302</f>
        <v>6603.8200000000079</v>
      </c>
      <c r="F302" s="39"/>
      <c r="G302" s="10">
        <f t="shared" ref="G302:G333" si="30">J301/E301</f>
        <v>14.424659170855854</v>
      </c>
      <c r="H302" s="40"/>
      <c r="I302" s="9">
        <f t="shared" si="28"/>
        <v>432.73977512567564</v>
      </c>
      <c r="J302" s="4">
        <f t="shared" ref="J302:J365" si="31">J301-I302</f>
        <v>95257.852725681412</v>
      </c>
      <c r="K302" s="28"/>
    </row>
    <row r="303" spans="1:11" x14ac:dyDescent="0.2">
      <c r="A303" s="29">
        <v>41278</v>
      </c>
      <c r="B303" s="7" t="s">
        <v>250</v>
      </c>
      <c r="C303" s="3"/>
      <c r="D303" s="3">
        <f>14*4.4+5*3.5+5*5</f>
        <v>104.10000000000001</v>
      </c>
      <c r="E303" s="6">
        <f t="shared" si="29"/>
        <v>6499.7200000000075</v>
      </c>
      <c r="F303" s="39"/>
      <c r="G303" s="10">
        <f t="shared" si="30"/>
        <v>14.424659170855852</v>
      </c>
      <c r="H303" s="40"/>
      <c r="I303" s="9">
        <f t="shared" si="28"/>
        <v>1501.6070196860944</v>
      </c>
      <c r="J303" s="4">
        <f t="shared" si="31"/>
        <v>93756.245705995316</v>
      </c>
      <c r="K303" s="28"/>
    </row>
    <row r="304" spans="1:11" x14ac:dyDescent="0.2">
      <c r="A304" s="29">
        <v>41279</v>
      </c>
      <c r="B304" s="7" t="s">
        <v>249</v>
      </c>
      <c r="C304" s="3"/>
      <c r="D304" s="3">
        <f>3*3</f>
        <v>9</v>
      </c>
      <c r="E304" s="6">
        <f t="shared" si="29"/>
        <v>6490.7200000000075</v>
      </c>
      <c r="F304" s="39"/>
      <c r="G304" s="10">
        <f t="shared" si="30"/>
        <v>14.424659170855854</v>
      </c>
      <c r="H304" s="40"/>
      <c r="I304" s="9">
        <f t="shared" si="28"/>
        <v>129.82193253770268</v>
      </c>
      <c r="J304" s="4">
        <f t="shared" si="31"/>
        <v>93626.423773457616</v>
      </c>
      <c r="K304" s="28"/>
    </row>
    <row r="305" spans="1:11" x14ac:dyDescent="0.2">
      <c r="A305" s="29">
        <v>41281</v>
      </c>
      <c r="B305" s="7" t="s">
        <v>248</v>
      </c>
      <c r="C305" s="3"/>
      <c r="D305" s="3">
        <f>8*4.1+3*4+3*4.3+2*4.5+3*3.15+3*1.6+7*0.5</f>
        <v>84.449999999999989</v>
      </c>
      <c r="E305" s="6">
        <f t="shared" si="29"/>
        <v>6406.2700000000077</v>
      </c>
      <c r="F305" s="39"/>
      <c r="G305" s="10">
        <f t="shared" si="30"/>
        <v>14.424659170855854</v>
      </c>
      <c r="H305" s="40"/>
      <c r="I305" s="9">
        <f t="shared" si="28"/>
        <v>1218.1624669787768</v>
      </c>
      <c r="J305" s="4">
        <f t="shared" si="31"/>
        <v>92408.261306478846</v>
      </c>
      <c r="K305" s="28"/>
    </row>
    <row r="306" spans="1:11" x14ac:dyDescent="0.2">
      <c r="A306" s="29">
        <v>41282</v>
      </c>
      <c r="B306" s="7" t="s">
        <v>247</v>
      </c>
      <c r="C306" s="3"/>
      <c r="D306" s="3">
        <f>25*5.7</f>
        <v>142.5</v>
      </c>
      <c r="E306" s="6">
        <f t="shared" si="29"/>
        <v>6263.7700000000077</v>
      </c>
      <c r="F306" s="39"/>
      <c r="G306" s="10">
        <f t="shared" si="30"/>
        <v>14.424659170855854</v>
      </c>
      <c r="H306" s="3"/>
      <c r="I306" s="9">
        <f t="shared" si="28"/>
        <v>2055.5139318469592</v>
      </c>
      <c r="J306" s="4">
        <f t="shared" si="31"/>
        <v>90352.747374631886</v>
      </c>
      <c r="K306" s="28"/>
    </row>
    <row r="307" spans="1:11" x14ac:dyDescent="0.2">
      <c r="A307" s="29">
        <v>41282</v>
      </c>
      <c r="B307" s="7" t="s">
        <v>246</v>
      </c>
      <c r="C307" s="3"/>
      <c r="D307" s="3">
        <f>5*3.6</f>
        <v>18</v>
      </c>
      <c r="E307" s="6">
        <f t="shared" si="29"/>
        <v>6245.7700000000077</v>
      </c>
      <c r="F307" s="3"/>
      <c r="G307" s="10">
        <f t="shared" si="30"/>
        <v>14.424659170855854</v>
      </c>
      <c r="H307" s="3"/>
      <c r="I307" s="9">
        <f t="shared" si="28"/>
        <v>259.64386507540536</v>
      </c>
      <c r="J307" s="4">
        <f t="shared" si="31"/>
        <v>90093.103509556488</v>
      </c>
      <c r="K307" s="28"/>
    </row>
    <row r="308" spans="1:11" x14ac:dyDescent="0.2">
      <c r="A308" s="29">
        <v>41282</v>
      </c>
      <c r="B308" s="7" t="s">
        <v>245</v>
      </c>
      <c r="C308" s="3"/>
      <c r="D308" s="3">
        <f>3*1.95</f>
        <v>5.85</v>
      </c>
      <c r="E308" s="6">
        <f t="shared" si="29"/>
        <v>6239.9200000000073</v>
      </c>
      <c r="F308" s="5"/>
      <c r="G308" s="10">
        <f t="shared" si="30"/>
        <v>14.424659170855856</v>
      </c>
      <c r="H308" s="3"/>
      <c r="I308" s="9">
        <f t="shared" si="28"/>
        <v>84.384256149506754</v>
      </c>
      <c r="J308" s="4">
        <f t="shared" si="31"/>
        <v>90008.719253406976</v>
      </c>
      <c r="K308" s="28"/>
    </row>
    <row r="309" spans="1:11" x14ac:dyDescent="0.2">
      <c r="A309" s="29">
        <v>41283</v>
      </c>
      <c r="B309" s="7" t="s">
        <v>244</v>
      </c>
      <c r="C309" s="3"/>
      <c r="D309" s="3">
        <f>4*5.6</f>
        <v>22.4</v>
      </c>
      <c r="E309" s="6">
        <f t="shared" si="29"/>
        <v>6217.5200000000077</v>
      </c>
      <c r="F309" s="5"/>
      <c r="G309" s="10">
        <f t="shared" si="30"/>
        <v>14.424659170855856</v>
      </c>
      <c r="H309" s="3"/>
      <c r="I309" s="9">
        <f t="shared" si="28"/>
        <v>323.11236542717114</v>
      </c>
      <c r="J309" s="4">
        <f t="shared" si="31"/>
        <v>89685.606887979811</v>
      </c>
      <c r="K309" s="28"/>
    </row>
    <row r="310" spans="1:11" x14ac:dyDescent="0.2">
      <c r="A310" s="29">
        <v>41283</v>
      </c>
      <c r="B310" s="7" t="s">
        <v>243</v>
      </c>
      <c r="C310" s="3"/>
      <c r="D310" s="3">
        <f>6*3</f>
        <v>18</v>
      </c>
      <c r="E310" s="6">
        <f t="shared" si="29"/>
        <v>6199.5200000000077</v>
      </c>
      <c r="F310" s="5"/>
      <c r="G310" s="10">
        <f t="shared" si="30"/>
        <v>14.424659170855856</v>
      </c>
      <c r="H310" s="3"/>
      <c r="I310" s="9">
        <f t="shared" si="28"/>
        <v>259.64386507540542</v>
      </c>
      <c r="J310" s="4">
        <f t="shared" si="31"/>
        <v>89425.963022904412</v>
      </c>
      <c r="K310" s="28"/>
    </row>
    <row r="311" spans="1:11" x14ac:dyDescent="0.2">
      <c r="A311" s="29">
        <v>41283</v>
      </c>
      <c r="B311" s="7" t="s">
        <v>242</v>
      </c>
      <c r="C311" s="3"/>
      <c r="D311" s="3">
        <f>0</f>
        <v>0</v>
      </c>
      <c r="E311" s="6">
        <f t="shared" si="29"/>
        <v>6199.5200000000077</v>
      </c>
      <c r="F311" s="5"/>
      <c r="G311" s="10">
        <f t="shared" si="30"/>
        <v>14.424659170855858</v>
      </c>
      <c r="H311" s="3"/>
      <c r="I311" s="9">
        <f t="shared" si="28"/>
        <v>0</v>
      </c>
      <c r="J311" s="4">
        <f t="shared" si="31"/>
        <v>89425.963022904412</v>
      </c>
      <c r="K311" s="28"/>
    </row>
    <row r="312" spans="1:11" x14ac:dyDescent="0.2">
      <c r="A312" s="29">
        <v>41283</v>
      </c>
      <c r="B312" s="7" t="s">
        <v>241</v>
      </c>
      <c r="C312" s="3"/>
      <c r="D312" s="3">
        <f>14*3+14*3.5</f>
        <v>91</v>
      </c>
      <c r="E312" s="6">
        <f t="shared" si="29"/>
        <v>6108.5200000000077</v>
      </c>
      <c r="F312" s="5"/>
      <c r="G312" s="10">
        <f t="shared" si="30"/>
        <v>14.424659170855858</v>
      </c>
      <c r="H312" s="3"/>
      <c r="I312" s="9">
        <f t="shared" si="28"/>
        <v>1312.6439845478831</v>
      </c>
      <c r="J312" s="4">
        <f t="shared" si="31"/>
        <v>88113.319038356523</v>
      </c>
      <c r="K312" s="28"/>
    </row>
    <row r="313" spans="1:11" x14ac:dyDescent="0.2">
      <c r="A313" s="29">
        <v>41284</v>
      </c>
      <c r="B313" s="7" t="s">
        <v>240</v>
      </c>
      <c r="C313" s="3"/>
      <c r="D313" s="3">
        <f>12*3</f>
        <v>36</v>
      </c>
      <c r="E313" s="6">
        <f t="shared" si="29"/>
        <v>6072.5200000000077</v>
      </c>
      <c r="F313" s="5"/>
      <c r="G313" s="10">
        <f t="shared" si="30"/>
        <v>14.424659170855856</v>
      </c>
      <c r="H313" s="3"/>
      <c r="I313" s="9">
        <f t="shared" si="28"/>
        <v>519.28773015081083</v>
      </c>
      <c r="J313" s="4">
        <f t="shared" si="31"/>
        <v>87594.031308205711</v>
      </c>
      <c r="K313" s="28"/>
    </row>
    <row r="314" spans="1:11" x14ac:dyDescent="0.2">
      <c r="A314" s="29">
        <v>41284</v>
      </c>
      <c r="B314" s="7" t="s">
        <v>239</v>
      </c>
      <c r="C314" s="3"/>
      <c r="D314" s="3">
        <f>2*3</f>
        <v>6</v>
      </c>
      <c r="E314" s="6">
        <f t="shared" si="29"/>
        <v>6066.5200000000077</v>
      </c>
      <c r="F314" s="5"/>
      <c r="G314" s="10">
        <f t="shared" si="30"/>
        <v>14.424659170855856</v>
      </c>
      <c r="H314" s="3"/>
      <c r="I314" s="9">
        <f t="shared" si="28"/>
        <v>86.547955025135138</v>
      </c>
      <c r="J314" s="4">
        <f t="shared" si="31"/>
        <v>87507.483353180578</v>
      </c>
      <c r="K314" s="28"/>
    </row>
    <row r="315" spans="1:11" x14ac:dyDescent="0.2">
      <c r="A315" s="29">
        <v>41284</v>
      </c>
      <c r="B315" s="7" t="s">
        <v>238</v>
      </c>
      <c r="C315" s="3"/>
      <c r="D315" s="3">
        <f>3*4.5</f>
        <v>13.5</v>
      </c>
      <c r="E315" s="6">
        <f t="shared" si="29"/>
        <v>6053.0200000000077</v>
      </c>
      <c r="F315" s="5"/>
      <c r="G315" s="10">
        <f t="shared" si="30"/>
        <v>14.424659170855856</v>
      </c>
      <c r="H315" s="3"/>
      <c r="I315" s="9">
        <f t="shared" si="28"/>
        <v>194.73289880655406</v>
      </c>
      <c r="J315" s="4">
        <f t="shared" si="31"/>
        <v>87312.750454374022</v>
      </c>
      <c r="K315" s="28"/>
    </row>
    <row r="316" spans="1:11" x14ac:dyDescent="0.2">
      <c r="A316" s="29">
        <v>41286</v>
      </c>
      <c r="B316" s="7" t="s">
        <v>237</v>
      </c>
      <c r="C316" s="3"/>
      <c r="D316" s="3">
        <f>10*4.4+5*4.1</f>
        <v>64.5</v>
      </c>
      <c r="E316" s="6">
        <f t="shared" si="29"/>
        <v>5988.5200000000077</v>
      </c>
      <c r="F316" s="5"/>
      <c r="G316" s="10">
        <f t="shared" si="30"/>
        <v>14.424659170855856</v>
      </c>
      <c r="H316" s="3"/>
      <c r="I316" s="9">
        <f t="shared" si="28"/>
        <v>930.39051652020271</v>
      </c>
      <c r="J316" s="4">
        <f t="shared" si="31"/>
        <v>86382.35993785382</v>
      </c>
      <c r="K316" s="28"/>
    </row>
    <row r="317" spans="1:11" x14ac:dyDescent="0.2">
      <c r="A317" s="29">
        <v>41286</v>
      </c>
      <c r="B317" s="7" t="s">
        <v>236</v>
      </c>
      <c r="C317" s="3"/>
      <c r="D317" s="3">
        <f>1*2.5+1*2.7+1*3+1*3.25+1*3.5+1*3.7+1*3.9+1*4.2+1*4.5+1*4.9+1*5</f>
        <v>41.15</v>
      </c>
      <c r="E317" s="6">
        <f t="shared" si="29"/>
        <v>5947.3700000000081</v>
      </c>
      <c r="F317" s="5"/>
      <c r="G317" s="10">
        <f t="shared" si="30"/>
        <v>14.424659170855856</v>
      </c>
      <c r="H317" s="3"/>
      <c r="I317" s="9">
        <f t="shared" si="28"/>
        <v>593.57472488071846</v>
      </c>
      <c r="J317" s="4">
        <f t="shared" si="31"/>
        <v>85788.785212973104</v>
      </c>
      <c r="K317" s="28"/>
    </row>
    <row r="318" spans="1:11" x14ac:dyDescent="0.2">
      <c r="A318" s="29">
        <v>41288</v>
      </c>
      <c r="B318" s="7" t="s">
        <v>235</v>
      </c>
      <c r="C318" s="3"/>
      <c r="D318" s="3">
        <f>3*1.7</f>
        <v>5.0999999999999996</v>
      </c>
      <c r="E318" s="6">
        <f t="shared" si="29"/>
        <v>5942.2700000000077</v>
      </c>
      <c r="F318" s="5"/>
      <c r="G318" s="10">
        <f t="shared" si="30"/>
        <v>14.424659170855856</v>
      </c>
      <c r="H318" s="3"/>
      <c r="I318" s="9">
        <f t="shared" si="28"/>
        <v>73.565761771364862</v>
      </c>
      <c r="J318" s="4">
        <f t="shared" si="31"/>
        <v>85715.219451201745</v>
      </c>
      <c r="K318" s="28"/>
    </row>
    <row r="319" spans="1:11" x14ac:dyDescent="0.2">
      <c r="A319" s="29">
        <v>41288</v>
      </c>
      <c r="B319" s="7" t="s">
        <v>234</v>
      </c>
      <c r="C319" s="3"/>
      <c r="D319" s="3">
        <f>24*5+3*3</f>
        <v>129</v>
      </c>
      <c r="E319" s="6">
        <f t="shared" si="29"/>
        <v>5813.2700000000077</v>
      </c>
      <c r="F319" s="5"/>
      <c r="G319" s="10">
        <f t="shared" si="30"/>
        <v>14.424659170855858</v>
      </c>
      <c r="H319" s="3"/>
      <c r="I319" s="9">
        <f t="shared" si="28"/>
        <v>1860.7810330404056</v>
      </c>
      <c r="J319" s="4">
        <f t="shared" si="31"/>
        <v>83854.438418161342</v>
      </c>
      <c r="K319" s="28"/>
    </row>
    <row r="320" spans="1:11" x14ac:dyDescent="0.2">
      <c r="A320" s="29">
        <v>41288</v>
      </c>
      <c r="B320" s="7" t="s">
        <v>233</v>
      </c>
      <c r="C320" s="3"/>
      <c r="D320" s="3">
        <f>13*6.2</f>
        <v>80.600000000000009</v>
      </c>
      <c r="E320" s="6">
        <f t="shared" si="29"/>
        <v>5732.6700000000073</v>
      </c>
      <c r="F320" s="5"/>
      <c r="G320" s="10">
        <f t="shared" si="30"/>
        <v>14.424659170855858</v>
      </c>
      <c r="H320" s="3"/>
      <c r="I320" s="9">
        <f t="shared" si="28"/>
        <v>1162.6275291709821</v>
      </c>
      <c r="J320" s="4">
        <f t="shared" si="31"/>
        <v>82691.810888990367</v>
      </c>
      <c r="K320" s="28"/>
    </row>
    <row r="321" spans="1:11" x14ac:dyDescent="0.2">
      <c r="A321" s="29">
        <v>41288</v>
      </c>
      <c r="B321" s="7" t="s">
        <v>232</v>
      </c>
      <c r="C321" s="3"/>
      <c r="D321" s="3">
        <f>5*4.03+14*4.1+8*3.3+6*4</f>
        <v>127.94999999999999</v>
      </c>
      <c r="E321" s="6">
        <f t="shared" si="29"/>
        <v>5604.7200000000075</v>
      </c>
      <c r="F321" s="5"/>
      <c r="G321" s="10">
        <f t="shared" si="30"/>
        <v>14.424659170855859</v>
      </c>
      <c r="H321" s="3"/>
      <c r="I321" s="9">
        <f t="shared" si="28"/>
        <v>1845.6351409110071</v>
      </c>
      <c r="J321" s="4">
        <f t="shared" si="31"/>
        <v>80846.17574807936</v>
      </c>
      <c r="K321" s="28"/>
    </row>
    <row r="322" spans="1:11" x14ac:dyDescent="0.2">
      <c r="A322" s="29">
        <v>41289</v>
      </c>
      <c r="B322" s="7" t="s">
        <v>231</v>
      </c>
      <c r="C322" s="3"/>
      <c r="D322" s="3">
        <f>4*2.5</f>
        <v>10</v>
      </c>
      <c r="E322" s="6">
        <f t="shared" si="29"/>
        <v>5594.7200000000075</v>
      </c>
      <c r="F322" s="5"/>
      <c r="G322" s="10">
        <f t="shared" si="30"/>
        <v>14.424659170855859</v>
      </c>
      <c r="H322" s="3"/>
      <c r="I322" s="9">
        <f t="shared" si="28"/>
        <v>144.24659170855858</v>
      </c>
      <c r="J322" s="4">
        <f t="shared" si="31"/>
        <v>80701.929156370796</v>
      </c>
      <c r="K322" s="28"/>
    </row>
    <row r="323" spans="1:11" x14ac:dyDescent="0.2">
      <c r="A323" s="29">
        <v>41291</v>
      </c>
      <c r="B323" s="7" t="s">
        <v>230</v>
      </c>
      <c r="C323" s="3"/>
      <c r="D323" s="3">
        <f>6*5+4*4.8</f>
        <v>49.2</v>
      </c>
      <c r="E323" s="6">
        <f t="shared" si="29"/>
        <v>5545.5200000000077</v>
      </c>
      <c r="F323" s="5"/>
      <c r="G323" s="10">
        <f t="shared" si="30"/>
        <v>14.424659170855858</v>
      </c>
      <c r="H323" s="3"/>
      <c r="I323" s="9">
        <f t="shared" si="28"/>
        <v>709.69323120610818</v>
      </c>
      <c r="J323" s="4">
        <f t="shared" si="31"/>
        <v>79992.235925164685</v>
      </c>
      <c r="K323" s="28"/>
    </row>
    <row r="324" spans="1:11" x14ac:dyDescent="0.2">
      <c r="A324" s="29">
        <v>41291</v>
      </c>
      <c r="B324" s="7" t="s">
        <v>229</v>
      </c>
      <c r="C324" s="3"/>
      <c r="D324" s="3">
        <f>7*7</f>
        <v>49</v>
      </c>
      <c r="E324" s="6">
        <f t="shared" si="29"/>
        <v>5496.5200000000077</v>
      </c>
      <c r="F324" s="5"/>
      <c r="G324" s="10">
        <f t="shared" si="30"/>
        <v>14.424659170855858</v>
      </c>
      <c r="H324" s="3"/>
      <c r="I324" s="9">
        <f t="shared" si="28"/>
        <v>706.80829937193698</v>
      </c>
      <c r="J324" s="4">
        <f t="shared" si="31"/>
        <v>79285.427625792741</v>
      </c>
      <c r="K324" s="28"/>
    </row>
    <row r="325" spans="1:11" x14ac:dyDescent="0.2">
      <c r="A325" s="29">
        <v>41291</v>
      </c>
      <c r="B325" s="7" t="s">
        <v>228</v>
      </c>
      <c r="C325" s="3"/>
      <c r="D325" s="3">
        <f>5*4.5</f>
        <v>22.5</v>
      </c>
      <c r="E325" s="6">
        <f t="shared" si="29"/>
        <v>5474.0200000000077</v>
      </c>
      <c r="F325" s="5"/>
      <c r="G325" s="10">
        <f t="shared" si="30"/>
        <v>14.424659170855856</v>
      </c>
      <c r="H325" s="3"/>
      <c r="I325" s="9">
        <f t="shared" si="28"/>
        <v>324.55483134425674</v>
      </c>
      <c r="J325" s="4">
        <f t="shared" si="31"/>
        <v>78960.872794448485</v>
      </c>
      <c r="K325" s="28"/>
    </row>
    <row r="326" spans="1:11" x14ac:dyDescent="0.2">
      <c r="A326" s="29">
        <v>41291</v>
      </c>
      <c r="B326" s="7" t="s">
        <v>227</v>
      </c>
      <c r="C326" s="3"/>
      <c r="D326" s="3">
        <v>0</v>
      </c>
      <c r="E326" s="6">
        <f t="shared" si="29"/>
        <v>5474.0200000000077</v>
      </c>
      <c r="F326" s="5"/>
      <c r="G326" s="10">
        <f t="shared" si="30"/>
        <v>14.424659170855856</v>
      </c>
      <c r="H326" s="3"/>
      <c r="I326" s="9">
        <f t="shared" si="28"/>
        <v>0</v>
      </c>
      <c r="J326" s="4">
        <f t="shared" si="31"/>
        <v>78960.872794448485</v>
      </c>
      <c r="K326" s="28"/>
    </row>
    <row r="327" spans="1:11" x14ac:dyDescent="0.2">
      <c r="A327" s="29">
        <v>41291</v>
      </c>
      <c r="B327" s="7" t="s">
        <v>226</v>
      </c>
      <c r="C327" s="3"/>
      <c r="D327" s="3">
        <v>0</v>
      </c>
      <c r="E327" s="6">
        <f t="shared" si="29"/>
        <v>5474.0200000000077</v>
      </c>
      <c r="F327" s="5"/>
      <c r="G327" s="10">
        <f t="shared" si="30"/>
        <v>14.424659170855856</v>
      </c>
      <c r="H327" s="3"/>
      <c r="I327" s="9">
        <f t="shared" si="28"/>
        <v>0</v>
      </c>
      <c r="J327" s="4">
        <f t="shared" si="31"/>
        <v>78960.872794448485</v>
      </c>
      <c r="K327" s="28"/>
    </row>
    <row r="328" spans="1:11" x14ac:dyDescent="0.2">
      <c r="A328" s="29">
        <v>41292</v>
      </c>
      <c r="B328" s="7" t="s">
        <v>225</v>
      </c>
      <c r="C328" s="3"/>
      <c r="D328" s="3">
        <f>3*7</f>
        <v>21</v>
      </c>
      <c r="E328" s="6">
        <f t="shared" si="29"/>
        <v>5453.0200000000077</v>
      </c>
      <c r="F328" s="5"/>
      <c r="G328" s="10">
        <f t="shared" si="30"/>
        <v>14.424659170855856</v>
      </c>
      <c r="H328" s="3"/>
      <c r="I328" s="9">
        <f t="shared" si="28"/>
        <v>302.91784258797298</v>
      </c>
      <c r="J328" s="4">
        <f t="shared" si="31"/>
        <v>78657.954951860505</v>
      </c>
      <c r="K328" s="28"/>
    </row>
    <row r="329" spans="1:11" x14ac:dyDescent="0.2">
      <c r="A329" s="29">
        <v>41292</v>
      </c>
      <c r="B329" s="7" t="s">
        <v>224</v>
      </c>
      <c r="C329" s="3"/>
      <c r="D329" s="3">
        <v>0</v>
      </c>
      <c r="E329" s="6">
        <f t="shared" si="29"/>
        <v>5453.0200000000077</v>
      </c>
      <c r="F329" s="5"/>
      <c r="G329" s="10">
        <f t="shared" si="30"/>
        <v>14.424659170855856</v>
      </c>
      <c r="H329" s="3"/>
      <c r="I329" s="9">
        <f t="shared" si="28"/>
        <v>0</v>
      </c>
      <c r="J329" s="4">
        <f t="shared" si="31"/>
        <v>78657.954951860505</v>
      </c>
      <c r="K329" s="28"/>
    </row>
    <row r="330" spans="1:11" x14ac:dyDescent="0.2">
      <c r="A330" s="29">
        <v>41292</v>
      </c>
      <c r="B330" s="7" t="s">
        <v>223</v>
      </c>
      <c r="C330" s="3"/>
      <c r="D330" s="3">
        <f>10*4.7+22*4</f>
        <v>135</v>
      </c>
      <c r="E330" s="6">
        <f t="shared" si="29"/>
        <v>5318.0200000000077</v>
      </c>
      <c r="F330" s="5"/>
      <c r="G330" s="10">
        <f t="shared" si="30"/>
        <v>14.424659170855856</v>
      </c>
      <c r="H330" s="3"/>
      <c r="I330" s="9">
        <f t="shared" si="28"/>
        <v>1947.3289880655404</v>
      </c>
      <c r="J330" s="4">
        <f t="shared" si="31"/>
        <v>76710.62596379497</v>
      </c>
      <c r="K330" s="28"/>
    </row>
    <row r="331" spans="1:11" x14ac:dyDescent="0.2">
      <c r="A331" s="29">
        <v>41292</v>
      </c>
      <c r="B331" s="7" t="s">
        <v>222</v>
      </c>
      <c r="C331" s="3"/>
      <c r="D331" s="3">
        <f>26*5.4+1*5</f>
        <v>145.4</v>
      </c>
      <c r="E331" s="6">
        <f t="shared" si="29"/>
        <v>5172.6200000000081</v>
      </c>
      <c r="F331" s="5"/>
      <c r="G331" s="10">
        <f t="shared" si="30"/>
        <v>14.424659170855856</v>
      </c>
      <c r="H331" s="3"/>
      <c r="I331" s="9">
        <f t="shared" si="28"/>
        <v>2097.3454434424416</v>
      </c>
      <c r="J331" s="4">
        <f t="shared" si="31"/>
        <v>74613.280520352535</v>
      </c>
      <c r="K331" s="28"/>
    </row>
    <row r="332" spans="1:11" x14ac:dyDescent="0.2">
      <c r="A332" s="29">
        <v>41293</v>
      </c>
      <c r="B332" s="7" t="s">
        <v>221</v>
      </c>
      <c r="C332" s="3"/>
      <c r="D332" s="3">
        <f>1*6</f>
        <v>6</v>
      </c>
      <c r="E332" s="6">
        <f t="shared" si="29"/>
        <v>5166.6200000000081</v>
      </c>
      <c r="F332" s="5"/>
      <c r="G332" s="10">
        <f t="shared" si="30"/>
        <v>14.424659170855856</v>
      </c>
      <c r="H332" s="3"/>
      <c r="I332" s="9">
        <f t="shared" si="28"/>
        <v>86.547955025135138</v>
      </c>
      <c r="J332" s="4">
        <f t="shared" si="31"/>
        <v>74526.732565327402</v>
      </c>
      <c r="K332" s="28"/>
    </row>
    <row r="333" spans="1:11" x14ac:dyDescent="0.2">
      <c r="A333" s="29">
        <v>41295</v>
      </c>
      <c r="B333" s="7" t="s">
        <v>220</v>
      </c>
      <c r="C333" s="3"/>
      <c r="D333" s="3">
        <f>9*5.2</f>
        <v>46.800000000000004</v>
      </c>
      <c r="E333" s="6">
        <f t="shared" si="29"/>
        <v>5119.8200000000079</v>
      </c>
      <c r="F333" s="5"/>
      <c r="G333" s="10">
        <f t="shared" si="30"/>
        <v>14.424659170855856</v>
      </c>
      <c r="H333" s="3"/>
      <c r="I333" s="9">
        <f t="shared" ref="I333:I364" si="32">D333*G333</f>
        <v>675.07404919605415</v>
      </c>
      <c r="J333" s="4">
        <f t="shared" si="31"/>
        <v>73851.658516131341</v>
      </c>
      <c r="K333" s="28"/>
    </row>
    <row r="334" spans="1:11" ht="15" thickBot="1" x14ac:dyDescent="0.25">
      <c r="A334" s="27">
        <v>41297</v>
      </c>
      <c r="B334" s="26" t="s">
        <v>219</v>
      </c>
      <c r="C334" s="22"/>
      <c r="D334" s="22">
        <v>0</v>
      </c>
      <c r="E334" s="25">
        <f t="shared" si="29"/>
        <v>5119.8200000000079</v>
      </c>
      <c r="F334" s="24"/>
      <c r="G334" s="23">
        <f t="shared" ref="G334:G365" si="33">J333/E333</f>
        <v>14.424659170855856</v>
      </c>
      <c r="H334" s="22"/>
      <c r="I334" s="21">
        <f t="shared" si="32"/>
        <v>0</v>
      </c>
      <c r="J334" s="20">
        <f t="shared" si="31"/>
        <v>73851.658516131341</v>
      </c>
      <c r="K334" s="19"/>
    </row>
    <row r="335" spans="1:11" x14ac:dyDescent="0.2">
      <c r="A335" s="38">
        <v>41297</v>
      </c>
      <c r="B335" s="37" t="s">
        <v>218</v>
      </c>
      <c r="C335" s="33"/>
      <c r="D335" s="33">
        <f>15*1.8</f>
        <v>27</v>
      </c>
      <c r="E335" s="36">
        <f t="shared" si="29"/>
        <v>5092.8200000000079</v>
      </c>
      <c r="F335" s="35"/>
      <c r="G335" s="34">
        <f t="shared" si="33"/>
        <v>14.424659170855856</v>
      </c>
      <c r="H335" s="33"/>
      <c r="I335" s="32">
        <f t="shared" si="32"/>
        <v>389.46579761310812</v>
      </c>
      <c r="J335" s="31">
        <f t="shared" si="31"/>
        <v>73462.192718518229</v>
      </c>
      <c r="K335" s="30"/>
    </row>
    <row r="336" spans="1:11" x14ac:dyDescent="0.2">
      <c r="A336" s="29">
        <v>41297</v>
      </c>
      <c r="B336" s="7" t="s">
        <v>217</v>
      </c>
      <c r="C336" s="3"/>
      <c r="D336" s="3">
        <f>1*6.55+1*6.15+1*1.62+1*2.57+1*1.18</f>
        <v>18.07</v>
      </c>
      <c r="E336" s="6">
        <f t="shared" si="29"/>
        <v>5074.7500000000082</v>
      </c>
      <c r="F336" s="5"/>
      <c r="G336" s="10">
        <f t="shared" si="33"/>
        <v>14.424659170855854</v>
      </c>
      <c r="H336" s="3"/>
      <c r="I336" s="9">
        <f t="shared" si="32"/>
        <v>260.65359121736526</v>
      </c>
      <c r="J336" s="4">
        <f t="shared" si="31"/>
        <v>73201.539127300857</v>
      </c>
      <c r="K336" s="28"/>
    </row>
    <row r="337" spans="1:11" x14ac:dyDescent="0.2">
      <c r="A337" s="29">
        <v>41297</v>
      </c>
      <c r="B337" s="7" t="s">
        <v>216</v>
      </c>
      <c r="C337" s="3"/>
      <c r="D337" s="3">
        <f>35*2.4</f>
        <v>84</v>
      </c>
      <c r="E337" s="6">
        <f t="shared" si="29"/>
        <v>4990.7500000000082</v>
      </c>
      <c r="F337" s="5"/>
      <c r="G337" s="10">
        <f t="shared" si="33"/>
        <v>14.424659170855852</v>
      </c>
      <c r="H337" s="3"/>
      <c r="I337" s="9">
        <f t="shared" si="32"/>
        <v>1211.6713703518915</v>
      </c>
      <c r="J337" s="4">
        <f t="shared" si="31"/>
        <v>71989.867756948966</v>
      </c>
      <c r="K337" s="28"/>
    </row>
    <row r="338" spans="1:11" x14ac:dyDescent="0.2">
      <c r="A338" s="29">
        <v>41297</v>
      </c>
      <c r="B338" s="7" t="s">
        <v>215</v>
      </c>
      <c r="C338" s="3"/>
      <c r="D338" s="3">
        <f>10*0.8</f>
        <v>8</v>
      </c>
      <c r="E338" s="6">
        <f t="shared" si="29"/>
        <v>4982.7500000000082</v>
      </c>
      <c r="F338" s="5"/>
      <c r="G338" s="10">
        <f t="shared" si="33"/>
        <v>14.424659170855852</v>
      </c>
      <c r="H338" s="3"/>
      <c r="I338" s="9">
        <f t="shared" si="32"/>
        <v>115.39727336684682</v>
      </c>
      <c r="J338" s="4">
        <f t="shared" si="31"/>
        <v>71874.470483582118</v>
      </c>
      <c r="K338" s="28"/>
    </row>
    <row r="339" spans="1:11" x14ac:dyDescent="0.2">
      <c r="A339" s="29">
        <v>41297</v>
      </c>
      <c r="B339" s="7" t="s">
        <v>214</v>
      </c>
      <c r="C339" s="3"/>
      <c r="D339" s="3">
        <f>3*3.5</f>
        <v>10.5</v>
      </c>
      <c r="E339" s="6">
        <f t="shared" si="29"/>
        <v>4972.2500000000082</v>
      </c>
      <c r="F339" s="5"/>
      <c r="G339" s="10">
        <f t="shared" si="33"/>
        <v>14.424659170855852</v>
      </c>
      <c r="H339" s="3"/>
      <c r="I339" s="9">
        <f t="shared" si="32"/>
        <v>151.45892129398644</v>
      </c>
      <c r="J339" s="4">
        <f t="shared" si="31"/>
        <v>71723.011562288128</v>
      </c>
      <c r="K339" s="28"/>
    </row>
    <row r="340" spans="1:11" x14ac:dyDescent="0.2">
      <c r="A340" s="29">
        <v>41297</v>
      </c>
      <c r="B340" s="7" t="s">
        <v>213</v>
      </c>
      <c r="C340" s="3"/>
      <c r="D340" s="3">
        <f>11*4.7</f>
        <v>51.7</v>
      </c>
      <c r="E340" s="6">
        <f t="shared" si="29"/>
        <v>4920.5500000000084</v>
      </c>
      <c r="F340" s="5"/>
      <c r="G340" s="10">
        <f t="shared" si="33"/>
        <v>14.424659170855852</v>
      </c>
      <c r="H340" s="3"/>
      <c r="I340" s="9">
        <f t="shared" si="32"/>
        <v>745.75487913324764</v>
      </c>
      <c r="J340" s="4">
        <f t="shared" si="31"/>
        <v>70977.256683154876</v>
      </c>
      <c r="K340" s="28"/>
    </row>
    <row r="341" spans="1:11" x14ac:dyDescent="0.2">
      <c r="A341" s="29">
        <v>41297</v>
      </c>
      <c r="B341" s="7" t="s">
        <v>212</v>
      </c>
      <c r="C341" s="3"/>
      <c r="D341" s="3">
        <f>1*1.5+1*2.3</f>
        <v>3.8</v>
      </c>
      <c r="E341" s="6">
        <f t="shared" si="29"/>
        <v>4916.7500000000082</v>
      </c>
      <c r="F341" s="5"/>
      <c r="G341" s="10">
        <f t="shared" si="33"/>
        <v>14.42465917085585</v>
      </c>
      <c r="H341" s="3"/>
      <c r="I341" s="9">
        <f t="shared" si="32"/>
        <v>54.813704849252233</v>
      </c>
      <c r="J341" s="4">
        <f t="shared" si="31"/>
        <v>70922.442978305626</v>
      </c>
      <c r="K341" s="28"/>
    </row>
    <row r="342" spans="1:11" x14ac:dyDescent="0.2">
      <c r="A342" s="29">
        <v>41298</v>
      </c>
      <c r="B342" s="7" t="s">
        <v>211</v>
      </c>
      <c r="C342" s="3"/>
      <c r="D342" s="3">
        <f>4*2</f>
        <v>8</v>
      </c>
      <c r="E342" s="6">
        <f t="shared" si="29"/>
        <v>4908.7500000000082</v>
      </c>
      <c r="F342" s="5"/>
      <c r="G342" s="10">
        <f t="shared" si="33"/>
        <v>14.424659170855852</v>
      </c>
      <c r="H342" s="3"/>
      <c r="I342" s="9">
        <f t="shared" si="32"/>
        <v>115.39727336684682</v>
      </c>
      <c r="J342" s="4">
        <f t="shared" si="31"/>
        <v>70807.045704938777</v>
      </c>
      <c r="K342" s="28"/>
    </row>
    <row r="343" spans="1:11" x14ac:dyDescent="0.2">
      <c r="A343" s="29">
        <v>41299</v>
      </c>
      <c r="B343" s="7" t="s">
        <v>210</v>
      </c>
      <c r="C343" s="3"/>
      <c r="D343" s="3">
        <f>3*2.45+1*1.8</f>
        <v>9.15</v>
      </c>
      <c r="E343" s="6">
        <f t="shared" si="29"/>
        <v>4899.6000000000085</v>
      </c>
      <c r="F343" s="5"/>
      <c r="G343" s="10">
        <f t="shared" si="33"/>
        <v>14.42465917085585</v>
      </c>
      <c r="H343" s="3"/>
      <c r="I343" s="9">
        <f t="shared" si="32"/>
        <v>131.98563141333105</v>
      </c>
      <c r="J343" s="4">
        <f t="shared" si="31"/>
        <v>70675.060073525441</v>
      </c>
      <c r="K343" s="28"/>
    </row>
    <row r="344" spans="1:11" x14ac:dyDescent="0.2">
      <c r="A344" s="29">
        <v>41299</v>
      </c>
      <c r="B344" s="7" t="s">
        <v>209</v>
      </c>
      <c r="C344" s="3"/>
      <c r="D344" s="3">
        <f>12*4.7</f>
        <v>56.400000000000006</v>
      </c>
      <c r="E344" s="6">
        <f t="shared" si="29"/>
        <v>4843.2000000000089</v>
      </c>
      <c r="F344" s="5"/>
      <c r="G344" s="10">
        <f t="shared" si="33"/>
        <v>14.424659170855849</v>
      </c>
      <c r="H344" s="3"/>
      <c r="I344" s="9">
        <f t="shared" si="32"/>
        <v>813.55077723626994</v>
      </c>
      <c r="J344" s="4">
        <f t="shared" si="31"/>
        <v>69861.509296289165</v>
      </c>
      <c r="K344" s="28"/>
    </row>
    <row r="345" spans="1:11" x14ac:dyDescent="0.2">
      <c r="A345" s="29">
        <v>41299</v>
      </c>
      <c r="B345" s="7" t="s">
        <v>208</v>
      </c>
      <c r="C345" s="3"/>
      <c r="D345" s="3">
        <f>2*2.2</f>
        <v>4.4000000000000004</v>
      </c>
      <c r="E345" s="6">
        <f t="shared" si="29"/>
        <v>4838.8000000000093</v>
      </c>
      <c r="F345" s="5"/>
      <c r="G345" s="10">
        <f t="shared" si="33"/>
        <v>14.424659170855847</v>
      </c>
      <c r="H345" s="3"/>
      <c r="I345" s="9">
        <f t="shared" si="32"/>
        <v>63.468500351765734</v>
      </c>
      <c r="J345" s="4">
        <f t="shared" si="31"/>
        <v>69798.040795937399</v>
      </c>
      <c r="K345" s="28"/>
    </row>
    <row r="346" spans="1:11" x14ac:dyDescent="0.2">
      <c r="A346" s="29">
        <v>41299</v>
      </c>
      <c r="B346" s="7" t="s">
        <v>207</v>
      </c>
      <c r="C346" s="3"/>
      <c r="D346" s="3">
        <f>5*6.6+5*2.4</f>
        <v>45</v>
      </c>
      <c r="E346" s="6">
        <f t="shared" si="29"/>
        <v>4793.8000000000093</v>
      </c>
      <c r="F346" s="5"/>
      <c r="G346" s="10">
        <f t="shared" si="33"/>
        <v>14.424659170855845</v>
      </c>
      <c r="H346" s="3"/>
      <c r="I346" s="9">
        <f t="shared" si="32"/>
        <v>649.10966268851303</v>
      </c>
      <c r="J346" s="4">
        <f t="shared" si="31"/>
        <v>69148.931133248887</v>
      </c>
      <c r="K346" s="28"/>
    </row>
    <row r="347" spans="1:11" x14ac:dyDescent="0.2">
      <c r="A347" s="29">
        <v>41300</v>
      </c>
      <c r="B347" s="7" t="s">
        <v>206</v>
      </c>
      <c r="C347" s="3"/>
      <c r="D347" s="3">
        <f>18*4.35</f>
        <v>78.3</v>
      </c>
      <c r="E347" s="6">
        <f t="shared" si="29"/>
        <v>4715.5000000000091</v>
      </c>
      <c r="F347" s="5"/>
      <c r="G347" s="10">
        <f t="shared" si="33"/>
        <v>14.424659170855845</v>
      </c>
      <c r="H347" s="3"/>
      <c r="I347" s="9">
        <f t="shared" si="32"/>
        <v>1129.4508130780127</v>
      </c>
      <c r="J347" s="4">
        <f t="shared" si="31"/>
        <v>68019.480320170871</v>
      </c>
      <c r="K347" s="28"/>
    </row>
    <row r="348" spans="1:11" x14ac:dyDescent="0.2">
      <c r="A348" s="29">
        <v>41300</v>
      </c>
      <c r="B348" s="7" t="s">
        <v>205</v>
      </c>
      <c r="C348" s="3"/>
      <c r="D348" s="3">
        <f>6*5.8</f>
        <v>34.799999999999997</v>
      </c>
      <c r="E348" s="6">
        <f t="shared" si="29"/>
        <v>4680.7000000000089</v>
      </c>
      <c r="F348" s="5"/>
      <c r="G348" s="10">
        <f t="shared" si="33"/>
        <v>14.424659170855845</v>
      </c>
      <c r="H348" s="3"/>
      <c r="I348" s="9">
        <f t="shared" si="32"/>
        <v>501.97813914578336</v>
      </c>
      <c r="J348" s="4">
        <f t="shared" si="31"/>
        <v>67517.502181025091</v>
      </c>
      <c r="K348" s="28"/>
    </row>
    <row r="349" spans="1:11" x14ac:dyDescent="0.2">
      <c r="A349" s="29">
        <v>41300</v>
      </c>
      <c r="B349" s="7" t="s">
        <v>204</v>
      </c>
      <c r="C349" s="3"/>
      <c r="D349" s="3">
        <f>20*4+1*4</f>
        <v>84</v>
      </c>
      <c r="E349" s="6">
        <f t="shared" si="29"/>
        <v>4596.7000000000089</v>
      </c>
      <c r="F349" s="5"/>
      <c r="G349" s="10">
        <f t="shared" si="33"/>
        <v>14.424659170855847</v>
      </c>
      <c r="H349" s="3"/>
      <c r="I349" s="9">
        <f t="shared" si="32"/>
        <v>1211.6713703518913</v>
      </c>
      <c r="J349" s="4">
        <f t="shared" si="31"/>
        <v>66305.8308106732</v>
      </c>
      <c r="K349" s="28"/>
    </row>
    <row r="350" spans="1:11" x14ac:dyDescent="0.2">
      <c r="A350" s="29">
        <v>41300</v>
      </c>
      <c r="B350" s="7" t="s">
        <v>203</v>
      </c>
      <c r="C350" s="3"/>
      <c r="D350" s="3">
        <f>13*3+13*3.5</f>
        <v>84.5</v>
      </c>
      <c r="E350" s="6">
        <f t="shared" si="29"/>
        <v>4512.2000000000089</v>
      </c>
      <c r="F350" s="5"/>
      <c r="G350" s="10">
        <f t="shared" si="33"/>
        <v>14.424659170855847</v>
      </c>
      <c r="H350" s="3"/>
      <c r="I350" s="9">
        <f t="shared" si="32"/>
        <v>1218.8836999373191</v>
      </c>
      <c r="J350" s="4">
        <f t="shared" si="31"/>
        <v>65086.947110735884</v>
      </c>
      <c r="K350" s="28"/>
    </row>
    <row r="351" spans="1:11" x14ac:dyDescent="0.2">
      <c r="A351" s="29">
        <v>41303</v>
      </c>
      <c r="B351" s="7" t="s">
        <v>202</v>
      </c>
      <c r="C351" s="3"/>
      <c r="D351" s="3">
        <f>2*2.5</f>
        <v>5</v>
      </c>
      <c r="E351" s="6">
        <f t="shared" si="29"/>
        <v>4507.2000000000089</v>
      </c>
      <c r="F351" s="5"/>
      <c r="G351" s="10">
        <f t="shared" si="33"/>
        <v>14.424659170855847</v>
      </c>
      <c r="H351" s="3"/>
      <c r="I351" s="9">
        <f t="shared" si="32"/>
        <v>72.123295854279235</v>
      </c>
      <c r="J351" s="4">
        <f t="shared" si="31"/>
        <v>65014.823814881602</v>
      </c>
      <c r="K351" s="28"/>
    </row>
    <row r="352" spans="1:11" x14ac:dyDescent="0.2">
      <c r="A352" s="29">
        <v>41303</v>
      </c>
      <c r="B352" s="7" t="s">
        <v>201</v>
      </c>
      <c r="C352" s="3"/>
      <c r="D352" s="3">
        <f>5*2.3</f>
        <v>11.5</v>
      </c>
      <c r="E352" s="6">
        <f t="shared" si="29"/>
        <v>4495.7000000000089</v>
      </c>
      <c r="F352" s="5"/>
      <c r="G352" s="10">
        <f t="shared" si="33"/>
        <v>14.424659170855847</v>
      </c>
      <c r="H352" s="3"/>
      <c r="I352" s="9">
        <f t="shared" si="32"/>
        <v>165.88358046484223</v>
      </c>
      <c r="J352" s="4">
        <f t="shared" si="31"/>
        <v>64848.940234416761</v>
      </c>
      <c r="K352" s="28"/>
    </row>
    <row r="353" spans="1:11" x14ac:dyDescent="0.2">
      <c r="A353" s="29">
        <v>41304</v>
      </c>
      <c r="B353" s="7" t="s">
        <v>200</v>
      </c>
      <c r="C353" s="3"/>
      <c r="D353" s="3">
        <f>9*1.5</f>
        <v>13.5</v>
      </c>
      <c r="E353" s="6">
        <f t="shared" si="29"/>
        <v>4482.2000000000089</v>
      </c>
      <c r="F353" s="5"/>
      <c r="G353" s="10">
        <f t="shared" si="33"/>
        <v>14.424659170855847</v>
      </c>
      <c r="H353" s="3"/>
      <c r="I353" s="9">
        <f t="shared" si="32"/>
        <v>194.73289880655392</v>
      </c>
      <c r="J353" s="4">
        <f t="shared" si="31"/>
        <v>64654.207335610205</v>
      </c>
      <c r="K353" s="28"/>
    </row>
    <row r="354" spans="1:11" x14ac:dyDescent="0.2">
      <c r="A354" s="29">
        <v>41305</v>
      </c>
      <c r="B354" s="7" t="s">
        <v>199</v>
      </c>
      <c r="C354" s="3"/>
      <c r="D354" s="3">
        <f>2*6.7+5*9+4*3.1</f>
        <v>70.8</v>
      </c>
      <c r="E354" s="6">
        <f t="shared" si="29"/>
        <v>4411.4000000000087</v>
      </c>
      <c r="F354" s="5"/>
      <c r="G354" s="10">
        <f t="shared" si="33"/>
        <v>14.424659170855847</v>
      </c>
      <c r="H354" s="3"/>
      <c r="I354" s="9">
        <f t="shared" si="32"/>
        <v>1021.2658692965939</v>
      </c>
      <c r="J354" s="4">
        <f t="shared" si="31"/>
        <v>63632.941466313612</v>
      </c>
      <c r="K354" s="28"/>
    </row>
    <row r="355" spans="1:11" x14ac:dyDescent="0.2">
      <c r="A355" s="29">
        <v>41305</v>
      </c>
      <c r="B355" s="7" t="s">
        <v>198</v>
      </c>
      <c r="C355" s="3"/>
      <c r="D355" s="3">
        <f>3*3</f>
        <v>9</v>
      </c>
      <c r="E355" s="6">
        <f t="shared" si="29"/>
        <v>4402.4000000000087</v>
      </c>
      <c r="F355" s="5"/>
      <c r="G355" s="10">
        <f t="shared" si="33"/>
        <v>14.424659170855847</v>
      </c>
      <c r="H355" s="3"/>
      <c r="I355" s="9">
        <f t="shared" si="32"/>
        <v>129.82193253770262</v>
      </c>
      <c r="J355" s="4">
        <f t="shared" si="31"/>
        <v>63503.119533775913</v>
      </c>
      <c r="K355" s="28"/>
    </row>
    <row r="356" spans="1:11" x14ac:dyDescent="0.2">
      <c r="A356" s="29">
        <v>41306</v>
      </c>
      <c r="B356" s="7" t="s">
        <v>197</v>
      </c>
      <c r="C356" s="3"/>
      <c r="D356" s="3">
        <f>8*1.4+1*2+1*3</f>
        <v>16.2</v>
      </c>
      <c r="E356" s="6">
        <f t="shared" si="29"/>
        <v>4386.2000000000089</v>
      </c>
      <c r="F356" s="5"/>
      <c r="G356" s="10">
        <f t="shared" si="33"/>
        <v>14.424659170855849</v>
      </c>
      <c r="H356" s="3"/>
      <c r="I356" s="9">
        <f t="shared" si="32"/>
        <v>233.67947856786475</v>
      </c>
      <c r="J356" s="4">
        <f t="shared" si="31"/>
        <v>63269.440055208048</v>
      </c>
      <c r="K356" s="28"/>
    </row>
    <row r="357" spans="1:11" x14ac:dyDescent="0.2">
      <c r="A357" s="29">
        <v>41306</v>
      </c>
      <c r="B357" s="7" t="s">
        <v>196</v>
      </c>
      <c r="C357" s="3"/>
      <c r="D357" s="3">
        <f>1*3.5</f>
        <v>3.5</v>
      </c>
      <c r="E357" s="6">
        <f t="shared" si="29"/>
        <v>4382.7000000000089</v>
      </c>
      <c r="F357" s="5"/>
      <c r="G357" s="10">
        <f t="shared" si="33"/>
        <v>14.424659170855847</v>
      </c>
      <c r="H357" s="3"/>
      <c r="I357" s="9">
        <f t="shared" si="32"/>
        <v>50.486307097995464</v>
      </c>
      <c r="J357" s="4">
        <f t="shared" si="31"/>
        <v>63218.953748110049</v>
      </c>
      <c r="K357" s="28"/>
    </row>
    <row r="358" spans="1:11" x14ac:dyDescent="0.2">
      <c r="A358" s="29">
        <v>41306</v>
      </c>
      <c r="B358" s="7" t="s">
        <v>195</v>
      </c>
      <c r="C358" s="3"/>
      <c r="D358" s="3">
        <v>0</v>
      </c>
      <c r="E358" s="6">
        <f t="shared" si="29"/>
        <v>4382.7000000000089</v>
      </c>
      <c r="F358" s="5"/>
      <c r="G358" s="10">
        <f t="shared" si="33"/>
        <v>14.424659170855847</v>
      </c>
      <c r="H358" s="3"/>
      <c r="I358" s="9">
        <f t="shared" si="32"/>
        <v>0</v>
      </c>
      <c r="J358" s="4">
        <f t="shared" si="31"/>
        <v>63218.953748110049</v>
      </c>
      <c r="K358" s="28" t="s">
        <v>170</v>
      </c>
    </row>
    <row r="359" spans="1:11" x14ac:dyDescent="0.2">
      <c r="A359" s="29">
        <v>41306</v>
      </c>
      <c r="B359" s="7" t="s">
        <v>194</v>
      </c>
      <c r="C359" s="3"/>
      <c r="D359" s="3">
        <f>10*4.85</f>
        <v>48.5</v>
      </c>
      <c r="E359" s="6">
        <f t="shared" si="29"/>
        <v>4334.2000000000089</v>
      </c>
      <c r="F359" s="5"/>
      <c r="G359" s="10">
        <f t="shared" si="33"/>
        <v>14.424659170855847</v>
      </c>
      <c r="H359" s="3"/>
      <c r="I359" s="9">
        <f t="shared" si="32"/>
        <v>699.59596978650859</v>
      </c>
      <c r="J359" s="4">
        <f t="shared" si="31"/>
        <v>62519.357778323538</v>
      </c>
      <c r="K359" s="28"/>
    </row>
    <row r="360" spans="1:11" x14ac:dyDescent="0.2">
      <c r="A360" s="29">
        <v>41307</v>
      </c>
      <c r="B360" s="7" t="s">
        <v>193</v>
      </c>
      <c r="C360" s="3"/>
      <c r="D360" s="3">
        <f>14*4</f>
        <v>56</v>
      </c>
      <c r="E360" s="6">
        <f t="shared" si="29"/>
        <v>4278.2000000000089</v>
      </c>
      <c r="F360" s="5"/>
      <c r="G360" s="10">
        <f t="shared" si="33"/>
        <v>14.424659170855847</v>
      </c>
      <c r="H360" s="3"/>
      <c r="I360" s="9">
        <f t="shared" si="32"/>
        <v>807.78091356792743</v>
      </c>
      <c r="J360" s="4">
        <f t="shared" si="31"/>
        <v>61711.576864755611</v>
      </c>
      <c r="K360" s="28"/>
    </row>
    <row r="361" spans="1:11" x14ac:dyDescent="0.2">
      <c r="A361" s="29">
        <v>41307</v>
      </c>
      <c r="B361" s="7" t="s">
        <v>192</v>
      </c>
      <c r="C361" s="3"/>
      <c r="D361" s="3">
        <f>70*6.3</f>
        <v>441</v>
      </c>
      <c r="E361" s="6">
        <f t="shared" si="29"/>
        <v>3837.2000000000089</v>
      </c>
      <c r="F361" s="5"/>
      <c r="G361" s="10">
        <f t="shared" si="33"/>
        <v>14.424659170855847</v>
      </c>
      <c r="H361" s="3"/>
      <c r="I361" s="9">
        <f t="shared" si="32"/>
        <v>6361.2746943474285</v>
      </c>
      <c r="J361" s="4">
        <f t="shared" si="31"/>
        <v>55350.302170408184</v>
      </c>
      <c r="K361" s="28"/>
    </row>
    <row r="362" spans="1:11" x14ac:dyDescent="0.2">
      <c r="A362" s="29">
        <v>41310</v>
      </c>
      <c r="B362" s="7" t="s">
        <v>191</v>
      </c>
      <c r="C362" s="3"/>
      <c r="D362" s="3">
        <f>3*2.3</f>
        <v>6.8999999999999995</v>
      </c>
      <c r="E362" s="6">
        <f t="shared" si="29"/>
        <v>3830.3000000000088</v>
      </c>
      <c r="F362" s="5"/>
      <c r="G362" s="10">
        <f t="shared" si="33"/>
        <v>14.424659170855847</v>
      </c>
      <c r="H362" s="3"/>
      <c r="I362" s="9">
        <f t="shared" si="32"/>
        <v>99.53014827890533</v>
      </c>
      <c r="J362" s="4">
        <f t="shared" si="31"/>
        <v>55250.772022129277</v>
      </c>
      <c r="K362" s="28"/>
    </row>
    <row r="363" spans="1:11" x14ac:dyDescent="0.2">
      <c r="A363" s="29">
        <v>41312</v>
      </c>
      <c r="B363" s="7" t="s">
        <v>190</v>
      </c>
      <c r="C363" s="3"/>
      <c r="D363" s="3">
        <f>2*4.8+6*5</f>
        <v>39.6</v>
      </c>
      <c r="E363" s="6">
        <f t="shared" si="29"/>
        <v>3790.7000000000089</v>
      </c>
      <c r="F363" s="5"/>
      <c r="G363" s="10">
        <f t="shared" si="33"/>
        <v>14.424659170855847</v>
      </c>
      <c r="H363" s="3"/>
      <c r="I363" s="9">
        <f t="shared" si="32"/>
        <v>571.2165031658916</v>
      </c>
      <c r="J363" s="4">
        <f t="shared" si="31"/>
        <v>54679.555518963381</v>
      </c>
      <c r="K363" s="28"/>
    </row>
    <row r="364" spans="1:11" x14ac:dyDescent="0.2">
      <c r="A364" s="29">
        <v>41313</v>
      </c>
      <c r="B364" s="7" t="s">
        <v>189</v>
      </c>
      <c r="C364" s="3"/>
      <c r="D364" s="3">
        <f>4*2.29</f>
        <v>9.16</v>
      </c>
      <c r="E364" s="6">
        <f t="shared" si="29"/>
        <v>3781.5400000000091</v>
      </c>
      <c r="F364" s="5"/>
      <c r="G364" s="10">
        <f t="shared" si="33"/>
        <v>14.424659170855845</v>
      </c>
      <c r="H364" s="3"/>
      <c r="I364" s="9">
        <f t="shared" si="32"/>
        <v>132.12987800503953</v>
      </c>
      <c r="J364" s="4">
        <f t="shared" si="31"/>
        <v>54547.425640958339</v>
      </c>
      <c r="K364" s="28"/>
    </row>
    <row r="365" spans="1:11" x14ac:dyDescent="0.2">
      <c r="A365" s="29">
        <v>41313</v>
      </c>
      <c r="B365" s="7" t="s">
        <v>188</v>
      </c>
      <c r="C365" s="3"/>
      <c r="D365" s="3">
        <f>8*4.5</f>
        <v>36</v>
      </c>
      <c r="E365" s="6">
        <f t="shared" si="29"/>
        <v>3745.5400000000091</v>
      </c>
      <c r="F365" s="5"/>
      <c r="G365" s="10">
        <f t="shared" si="33"/>
        <v>14.424659170855843</v>
      </c>
      <c r="H365" s="3"/>
      <c r="I365" s="9">
        <f t="shared" ref="I365:I390" si="34">D365*G365</f>
        <v>519.28773015081038</v>
      </c>
      <c r="J365" s="4">
        <f t="shared" si="31"/>
        <v>54028.137910807527</v>
      </c>
      <c r="K365" s="28"/>
    </row>
    <row r="366" spans="1:11" x14ac:dyDescent="0.2">
      <c r="A366" s="29">
        <v>41314</v>
      </c>
      <c r="B366" s="7" t="s">
        <v>187</v>
      </c>
      <c r="C366" s="3"/>
      <c r="D366" s="3">
        <f>4*4.15</f>
        <v>16.600000000000001</v>
      </c>
      <c r="E366" s="6">
        <f t="shared" ref="E366:E429" si="35">E365-D366</f>
        <v>3728.9400000000091</v>
      </c>
      <c r="F366" s="5"/>
      <c r="G366" s="10">
        <f t="shared" ref="G366:G390" si="36">J365/E365</f>
        <v>14.424659170855843</v>
      </c>
      <c r="H366" s="3"/>
      <c r="I366" s="9">
        <f t="shared" si="34"/>
        <v>239.44934223620703</v>
      </c>
      <c r="J366" s="4">
        <f t="shared" ref="J366:J429" si="37">J365-I366</f>
        <v>53788.688568571321</v>
      </c>
      <c r="K366" s="28"/>
    </row>
    <row r="367" spans="1:11" x14ac:dyDescent="0.2">
      <c r="A367" s="29">
        <v>41314</v>
      </c>
      <c r="B367" s="7" t="s">
        <v>186</v>
      </c>
      <c r="C367" s="3"/>
      <c r="D367" s="3">
        <f>3*3</f>
        <v>9</v>
      </c>
      <c r="E367" s="6">
        <f t="shared" si="35"/>
        <v>3719.9400000000091</v>
      </c>
      <c r="F367" s="5"/>
      <c r="G367" s="10">
        <f t="shared" si="36"/>
        <v>14.424659170855843</v>
      </c>
      <c r="H367" s="3"/>
      <c r="I367" s="9">
        <f t="shared" si="34"/>
        <v>129.82193253770259</v>
      </c>
      <c r="J367" s="4">
        <f t="shared" si="37"/>
        <v>53658.866636033621</v>
      </c>
      <c r="K367" s="28"/>
    </row>
    <row r="368" spans="1:11" x14ac:dyDescent="0.2">
      <c r="A368" s="29">
        <v>41314</v>
      </c>
      <c r="B368" s="7" t="s">
        <v>185</v>
      </c>
      <c r="C368" s="3"/>
      <c r="D368" s="3">
        <f>6*3.2</f>
        <v>19.200000000000003</v>
      </c>
      <c r="E368" s="6">
        <f t="shared" si="35"/>
        <v>3700.7400000000093</v>
      </c>
      <c r="F368" s="5"/>
      <c r="G368" s="10">
        <f t="shared" si="36"/>
        <v>14.424659170855843</v>
      </c>
      <c r="H368" s="3"/>
      <c r="I368" s="9">
        <f t="shared" si="34"/>
        <v>276.95345608043226</v>
      </c>
      <c r="J368" s="4">
        <f t="shared" si="37"/>
        <v>53381.91317995319</v>
      </c>
      <c r="K368" s="28"/>
    </row>
    <row r="369" spans="1:11" x14ac:dyDescent="0.2">
      <c r="A369" s="29">
        <v>41321</v>
      </c>
      <c r="B369" s="7" t="s">
        <v>184</v>
      </c>
      <c r="C369" s="3"/>
      <c r="D369" s="3">
        <f>7*4+3*2.7</f>
        <v>36.1</v>
      </c>
      <c r="E369" s="6">
        <f t="shared" si="35"/>
        <v>3664.6400000000094</v>
      </c>
      <c r="F369" s="5"/>
      <c r="G369" s="10">
        <f t="shared" si="36"/>
        <v>14.424659170855843</v>
      </c>
      <c r="H369" s="3"/>
      <c r="I369" s="9">
        <f t="shared" si="34"/>
        <v>520.73019606789592</v>
      </c>
      <c r="J369" s="4">
        <f t="shared" si="37"/>
        <v>52861.182983885294</v>
      </c>
      <c r="K369" s="28"/>
    </row>
    <row r="370" spans="1:11" x14ac:dyDescent="0.2">
      <c r="A370" s="29">
        <v>41321</v>
      </c>
      <c r="B370" s="7" t="s">
        <v>183</v>
      </c>
      <c r="C370" s="3"/>
      <c r="D370" s="3">
        <f>7*4.3</f>
        <v>30.099999999999998</v>
      </c>
      <c r="E370" s="6">
        <f t="shared" si="35"/>
        <v>3634.5400000000095</v>
      </c>
      <c r="F370" s="5"/>
      <c r="G370" s="10">
        <f t="shared" si="36"/>
        <v>14.424659170855843</v>
      </c>
      <c r="H370" s="3"/>
      <c r="I370" s="9">
        <f t="shared" si="34"/>
        <v>434.18224104276084</v>
      </c>
      <c r="J370" s="4">
        <f t="shared" si="37"/>
        <v>52427.000742842531</v>
      </c>
      <c r="K370" s="28"/>
    </row>
    <row r="371" spans="1:11" x14ac:dyDescent="0.2">
      <c r="A371" s="29">
        <v>41323</v>
      </c>
      <c r="B371" s="7" t="s">
        <v>182</v>
      </c>
      <c r="C371" s="3"/>
      <c r="D371" s="3">
        <f>20*3</f>
        <v>60</v>
      </c>
      <c r="E371" s="6">
        <f t="shared" si="35"/>
        <v>3574.5400000000095</v>
      </c>
      <c r="F371" s="5"/>
      <c r="G371" s="10">
        <f t="shared" si="36"/>
        <v>14.424659170855842</v>
      </c>
      <c r="H371" s="3"/>
      <c r="I371" s="9">
        <f t="shared" si="34"/>
        <v>865.47955025135047</v>
      </c>
      <c r="J371" s="4">
        <f t="shared" si="37"/>
        <v>51561.521192591179</v>
      </c>
      <c r="K371" s="28"/>
    </row>
    <row r="372" spans="1:11" x14ac:dyDescent="0.2">
      <c r="A372" s="29">
        <v>41325</v>
      </c>
      <c r="B372" s="7" t="s">
        <v>181</v>
      </c>
      <c r="C372" s="3"/>
      <c r="D372" s="3">
        <f>82*9.85</f>
        <v>807.69999999999993</v>
      </c>
      <c r="E372" s="6">
        <f t="shared" si="35"/>
        <v>2766.8400000000097</v>
      </c>
      <c r="F372" s="5"/>
      <c r="G372" s="10">
        <f t="shared" si="36"/>
        <v>14.424659170855842</v>
      </c>
      <c r="H372" s="3"/>
      <c r="I372" s="9">
        <f t="shared" si="34"/>
        <v>11650.797212300262</v>
      </c>
      <c r="J372" s="4">
        <f t="shared" si="37"/>
        <v>39910.723980290917</v>
      </c>
      <c r="K372" s="28"/>
    </row>
    <row r="373" spans="1:11" x14ac:dyDescent="0.2">
      <c r="A373" s="29">
        <v>41325</v>
      </c>
      <c r="B373" s="7" t="s">
        <v>180</v>
      </c>
      <c r="C373" s="3"/>
      <c r="D373" s="3">
        <v>0</v>
      </c>
      <c r="E373" s="6">
        <f t="shared" si="35"/>
        <v>2766.8400000000097</v>
      </c>
      <c r="F373" s="5"/>
      <c r="G373" s="10">
        <f t="shared" si="36"/>
        <v>14.424659170855842</v>
      </c>
      <c r="H373" s="3"/>
      <c r="I373" s="9">
        <f t="shared" si="34"/>
        <v>0</v>
      </c>
      <c r="J373" s="4">
        <f t="shared" si="37"/>
        <v>39910.723980290917</v>
      </c>
      <c r="K373" s="28"/>
    </row>
    <row r="374" spans="1:11" x14ac:dyDescent="0.2">
      <c r="A374" s="29">
        <v>41325</v>
      </c>
      <c r="B374" s="7" t="s">
        <v>179</v>
      </c>
      <c r="C374" s="3"/>
      <c r="D374" s="3">
        <v>0</v>
      </c>
      <c r="E374" s="6">
        <f t="shared" si="35"/>
        <v>2766.8400000000097</v>
      </c>
      <c r="F374" s="5"/>
      <c r="G374" s="10">
        <f t="shared" si="36"/>
        <v>14.424659170855842</v>
      </c>
      <c r="H374" s="3"/>
      <c r="I374" s="9">
        <f t="shared" si="34"/>
        <v>0</v>
      </c>
      <c r="J374" s="4">
        <f t="shared" si="37"/>
        <v>39910.723980290917</v>
      </c>
      <c r="K374" s="28"/>
    </row>
    <row r="375" spans="1:11" x14ac:dyDescent="0.2">
      <c r="A375" s="29">
        <v>41325</v>
      </c>
      <c r="B375" s="7" t="s">
        <v>178</v>
      </c>
      <c r="C375" s="3"/>
      <c r="D375" s="3">
        <f>41*0.7+13*3</f>
        <v>67.7</v>
      </c>
      <c r="E375" s="6">
        <f t="shared" si="35"/>
        <v>2699.1400000000099</v>
      </c>
      <c r="F375" s="5"/>
      <c r="G375" s="10">
        <f t="shared" si="36"/>
        <v>14.424659170855842</v>
      </c>
      <c r="H375" s="3"/>
      <c r="I375" s="9">
        <f t="shared" si="34"/>
        <v>976.54942586694051</v>
      </c>
      <c r="J375" s="4">
        <f t="shared" si="37"/>
        <v>38934.174554423975</v>
      </c>
      <c r="K375" s="28"/>
    </row>
    <row r="376" spans="1:11" ht="15" thickBot="1" x14ac:dyDescent="0.25">
      <c r="A376" s="27">
        <v>41325</v>
      </c>
      <c r="B376" s="26" t="s">
        <v>177</v>
      </c>
      <c r="C376" s="22"/>
      <c r="D376" s="22">
        <f>9*4.6</f>
        <v>41.4</v>
      </c>
      <c r="E376" s="25">
        <f t="shared" si="35"/>
        <v>2657.7400000000098</v>
      </c>
      <c r="F376" s="24"/>
      <c r="G376" s="23">
        <f t="shared" si="36"/>
        <v>14.42465917085584</v>
      </c>
      <c r="H376" s="22"/>
      <c r="I376" s="21">
        <f t="shared" si="34"/>
        <v>597.18088967343169</v>
      </c>
      <c r="J376" s="20">
        <f t="shared" si="37"/>
        <v>38336.993664750546</v>
      </c>
      <c r="K376" s="19"/>
    </row>
    <row r="377" spans="1:11" x14ac:dyDescent="0.2">
      <c r="A377" s="18">
        <v>41327</v>
      </c>
      <c r="B377" s="17" t="s">
        <v>176</v>
      </c>
      <c r="C377" s="11"/>
      <c r="D377" s="11">
        <f>6*4.95+8*7.15</f>
        <v>86.9</v>
      </c>
      <c r="E377" s="16">
        <f t="shared" si="35"/>
        <v>2570.8400000000097</v>
      </c>
      <c r="F377" s="15"/>
      <c r="G377" s="14">
        <f t="shared" si="36"/>
        <v>14.424659170855842</v>
      </c>
      <c r="H377" s="11"/>
      <c r="I377" s="13">
        <f t="shared" si="34"/>
        <v>1253.5028819473728</v>
      </c>
      <c r="J377" s="12">
        <f t="shared" si="37"/>
        <v>37083.490782803172</v>
      </c>
      <c r="K377" s="11"/>
    </row>
    <row r="378" spans="1:11" x14ac:dyDescent="0.2">
      <c r="A378" s="8">
        <v>41327</v>
      </c>
      <c r="B378" s="7" t="s">
        <v>175</v>
      </c>
      <c r="C378" s="3"/>
      <c r="D378" s="3">
        <f>1*3.2</f>
        <v>3.2</v>
      </c>
      <c r="E378" s="6">
        <f t="shared" si="35"/>
        <v>2567.6400000000099</v>
      </c>
      <c r="F378" s="5"/>
      <c r="G378" s="10">
        <f t="shared" si="36"/>
        <v>14.424659170855842</v>
      </c>
      <c r="H378" s="3"/>
      <c r="I378" s="9">
        <f t="shared" si="34"/>
        <v>46.158909346738696</v>
      </c>
      <c r="J378" s="4">
        <f t="shared" si="37"/>
        <v>37037.331873456431</v>
      </c>
      <c r="K378" s="3"/>
    </row>
    <row r="379" spans="1:11" x14ac:dyDescent="0.2">
      <c r="A379" s="8">
        <v>41331</v>
      </c>
      <c r="B379" s="7" t="s">
        <v>174</v>
      </c>
      <c r="C379" s="3"/>
      <c r="D379" s="3">
        <f>1*31</f>
        <v>31</v>
      </c>
      <c r="E379" s="6">
        <f t="shared" si="35"/>
        <v>2536.6400000000099</v>
      </c>
      <c r="F379" s="5"/>
      <c r="G379" s="10">
        <f t="shared" si="36"/>
        <v>14.42465917085584</v>
      </c>
      <c r="H379" s="3"/>
      <c r="I379" s="9">
        <f t="shared" si="34"/>
        <v>447.16443429653106</v>
      </c>
      <c r="J379" s="4">
        <f t="shared" si="37"/>
        <v>36590.167439159901</v>
      </c>
      <c r="K379" s="3"/>
    </row>
    <row r="380" spans="1:11" x14ac:dyDescent="0.2">
      <c r="A380" s="8">
        <v>41332</v>
      </c>
      <c r="B380" s="7" t="s">
        <v>173</v>
      </c>
      <c r="C380" s="3"/>
      <c r="D380" s="3">
        <f>9*5+12*2.5</f>
        <v>75</v>
      </c>
      <c r="E380" s="6">
        <f t="shared" si="35"/>
        <v>2461.6400000000099</v>
      </c>
      <c r="F380" s="5"/>
      <c r="G380" s="10">
        <f t="shared" si="36"/>
        <v>14.42465917085584</v>
      </c>
      <c r="H380" s="3"/>
      <c r="I380" s="9">
        <f t="shared" si="34"/>
        <v>1081.8494378141879</v>
      </c>
      <c r="J380" s="4">
        <f t="shared" si="37"/>
        <v>35508.318001345709</v>
      </c>
      <c r="K380" s="3"/>
    </row>
    <row r="381" spans="1:11" x14ac:dyDescent="0.2">
      <c r="A381" s="8">
        <v>41332</v>
      </c>
      <c r="B381" s="7" t="s">
        <v>172</v>
      </c>
      <c r="C381" s="3"/>
      <c r="D381" s="3">
        <f>7*10.2+7*6.3+7*7.3</f>
        <v>166.6</v>
      </c>
      <c r="E381" s="6">
        <f t="shared" si="35"/>
        <v>2295.04000000001</v>
      </c>
      <c r="F381" s="5"/>
      <c r="G381" s="10">
        <f t="shared" si="36"/>
        <v>14.424659170855838</v>
      </c>
      <c r="H381" s="3"/>
      <c r="I381" s="9">
        <f t="shared" si="34"/>
        <v>2403.1482178645824</v>
      </c>
      <c r="J381" s="4">
        <f t="shared" si="37"/>
        <v>33105.169783481128</v>
      </c>
      <c r="K381" s="3"/>
    </row>
    <row r="382" spans="1:11" x14ac:dyDescent="0.2">
      <c r="A382" s="8">
        <v>41332</v>
      </c>
      <c r="B382" s="7" t="s">
        <v>171</v>
      </c>
      <c r="C382" s="3"/>
      <c r="D382" s="3">
        <v>0</v>
      </c>
      <c r="E382" s="6">
        <f t="shared" si="35"/>
        <v>2295.04000000001</v>
      </c>
      <c r="F382" s="5"/>
      <c r="G382" s="10">
        <f t="shared" si="36"/>
        <v>14.424659170855838</v>
      </c>
      <c r="H382" s="3"/>
      <c r="I382" s="9">
        <f t="shared" si="34"/>
        <v>0</v>
      </c>
      <c r="J382" s="4">
        <f t="shared" si="37"/>
        <v>33105.169783481128</v>
      </c>
      <c r="K382" s="3" t="s">
        <v>170</v>
      </c>
    </row>
    <row r="383" spans="1:11" x14ac:dyDescent="0.2">
      <c r="A383" s="8">
        <v>41333</v>
      </c>
      <c r="B383" s="7" t="s">
        <v>169</v>
      </c>
      <c r="C383" s="3"/>
      <c r="D383" s="3">
        <f>5*3.65+5*2.64</f>
        <v>31.450000000000003</v>
      </c>
      <c r="E383" s="6">
        <f t="shared" si="35"/>
        <v>2263.5900000000101</v>
      </c>
      <c r="F383" s="5"/>
      <c r="G383" s="10">
        <f t="shared" si="36"/>
        <v>14.424659170855838</v>
      </c>
      <c r="H383" s="3"/>
      <c r="I383" s="9">
        <f t="shared" si="34"/>
        <v>453.65553092341617</v>
      </c>
      <c r="J383" s="4">
        <f t="shared" si="37"/>
        <v>32651.51425255771</v>
      </c>
      <c r="K383" s="3"/>
    </row>
    <row r="384" spans="1:11" x14ac:dyDescent="0.2">
      <c r="A384" s="8">
        <v>41335</v>
      </c>
      <c r="B384" s="7" t="s">
        <v>168</v>
      </c>
      <c r="C384" s="3"/>
      <c r="D384" s="3">
        <f>5*2.6+1*2</f>
        <v>15</v>
      </c>
      <c r="E384" s="6">
        <f t="shared" si="35"/>
        <v>2248.5900000000101</v>
      </c>
      <c r="F384" s="5"/>
      <c r="G384" s="10">
        <f t="shared" si="36"/>
        <v>14.424659170855836</v>
      </c>
      <c r="H384" s="3"/>
      <c r="I384" s="9">
        <f t="shared" si="34"/>
        <v>216.36988756283753</v>
      </c>
      <c r="J384" s="4">
        <f t="shared" si="37"/>
        <v>32435.144364994874</v>
      </c>
      <c r="K384" s="3"/>
    </row>
    <row r="385" spans="1:11" x14ac:dyDescent="0.2">
      <c r="A385" s="8">
        <v>41335</v>
      </c>
      <c r="B385" s="7" t="s">
        <v>167</v>
      </c>
      <c r="C385" s="3"/>
      <c r="D385" s="3">
        <f>3*4.4</f>
        <v>13.200000000000001</v>
      </c>
      <c r="E385" s="6">
        <f t="shared" si="35"/>
        <v>2235.3900000000103</v>
      </c>
      <c r="F385" s="5"/>
      <c r="G385" s="10">
        <f t="shared" si="36"/>
        <v>14.424659170855838</v>
      </c>
      <c r="H385" s="3"/>
      <c r="I385" s="9">
        <f t="shared" si="34"/>
        <v>190.40550105529707</v>
      </c>
      <c r="J385" s="4">
        <f t="shared" si="37"/>
        <v>32244.738863939576</v>
      </c>
      <c r="K385" s="3"/>
    </row>
    <row r="386" spans="1:11" x14ac:dyDescent="0.2">
      <c r="A386" s="8">
        <v>41335</v>
      </c>
      <c r="B386" s="7" t="s">
        <v>166</v>
      </c>
      <c r="C386" s="3"/>
      <c r="D386" s="3">
        <f>6*4+5*2.2+3*2.5</f>
        <v>42.5</v>
      </c>
      <c r="E386" s="6">
        <f t="shared" si="35"/>
        <v>2192.8900000000103</v>
      </c>
      <c r="F386" s="5"/>
      <c r="G386" s="10">
        <f t="shared" si="36"/>
        <v>14.424659170855836</v>
      </c>
      <c r="H386" s="3"/>
      <c r="I386" s="9">
        <f t="shared" si="34"/>
        <v>613.048014761373</v>
      </c>
      <c r="J386" s="4">
        <f t="shared" si="37"/>
        <v>31631.690849178201</v>
      </c>
      <c r="K386" s="3"/>
    </row>
    <row r="387" spans="1:11" x14ac:dyDescent="0.2">
      <c r="A387" s="8">
        <v>41335</v>
      </c>
      <c r="B387" s="7" t="s">
        <v>165</v>
      </c>
      <c r="C387" s="3"/>
      <c r="D387" s="3">
        <f>3*4</f>
        <v>12</v>
      </c>
      <c r="E387" s="6">
        <f t="shared" si="35"/>
        <v>2180.8900000000103</v>
      </c>
      <c r="F387" s="5"/>
      <c r="G387" s="10">
        <f t="shared" si="36"/>
        <v>14.424659170855834</v>
      </c>
      <c r="H387" s="3"/>
      <c r="I387" s="9">
        <f t="shared" si="34"/>
        <v>173.09591005027002</v>
      </c>
      <c r="J387" s="4">
        <f t="shared" si="37"/>
        <v>31458.594939127932</v>
      </c>
      <c r="K387" s="3"/>
    </row>
    <row r="388" spans="1:11" x14ac:dyDescent="0.2">
      <c r="A388" s="8">
        <v>41335</v>
      </c>
      <c r="B388" s="7" t="s">
        <v>164</v>
      </c>
      <c r="C388" s="3"/>
      <c r="D388" s="3">
        <f>4*3.5+1*3.3+2*2.7+2*2.4</f>
        <v>27.500000000000004</v>
      </c>
      <c r="E388" s="6">
        <f t="shared" si="35"/>
        <v>2153.3900000000103</v>
      </c>
      <c r="F388" s="5"/>
      <c r="G388" s="10">
        <f t="shared" si="36"/>
        <v>14.424659170855836</v>
      </c>
      <c r="H388" s="3"/>
      <c r="I388" s="9">
        <f t="shared" si="34"/>
        <v>396.67812719853555</v>
      </c>
      <c r="J388" s="4">
        <f t="shared" si="37"/>
        <v>31061.916811929397</v>
      </c>
      <c r="K388" s="3"/>
    </row>
    <row r="389" spans="1:11" x14ac:dyDescent="0.2">
      <c r="A389" s="8">
        <v>41337</v>
      </c>
      <c r="B389" s="7" t="s">
        <v>163</v>
      </c>
      <c r="C389" s="3"/>
      <c r="D389" s="3">
        <f>12*5.3</f>
        <v>63.599999999999994</v>
      </c>
      <c r="E389" s="6">
        <f t="shared" si="35"/>
        <v>2089.7900000000104</v>
      </c>
      <c r="F389" s="5"/>
      <c r="G389" s="10">
        <f t="shared" si="36"/>
        <v>14.424659170855836</v>
      </c>
      <c r="H389" s="3"/>
      <c r="I389" s="9">
        <f t="shared" si="34"/>
        <v>917.40832326643113</v>
      </c>
      <c r="J389" s="4">
        <f t="shared" si="37"/>
        <v>30144.508488662967</v>
      </c>
      <c r="K389" s="3"/>
    </row>
    <row r="390" spans="1:11" x14ac:dyDescent="0.2">
      <c r="A390" s="8">
        <v>41337</v>
      </c>
      <c r="B390" s="7" t="s">
        <v>162</v>
      </c>
      <c r="C390" s="3"/>
      <c r="D390" s="3">
        <f>13*5</f>
        <v>65</v>
      </c>
      <c r="E390" s="6">
        <f t="shared" si="35"/>
        <v>2024.7900000000104</v>
      </c>
      <c r="F390" s="5"/>
      <c r="G390" s="10">
        <f t="shared" si="36"/>
        <v>14.424659170855834</v>
      </c>
      <c r="H390" s="3"/>
      <c r="I390" s="9">
        <f t="shared" si="34"/>
        <v>937.60284610562928</v>
      </c>
      <c r="J390" s="4">
        <f t="shared" si="37"/>
        <v>29206.905642557336</v>
      </c>
      <c r="K390" s="3"/>
    </row>
    <row r="391" spans="1:11" x14ac:dyDescent="0.2">
      <c r="A391" s="8" t="s">
        <v>136</v>
      </c>
      <c r="B391" s="7" t="s">
        <v>161</v>
      </c>
      <c r="C391" s="3"/>
      <c r="D391" s="3"/>
      <c r="E391" s="6">
        <f t="shared" si="35"/>
        <v>2024.7900000000104</v>
      </c>
      <c r="F391" s="5"/>
      <c r="G391" s="5"/>
      <c r="H391" s="3"/>
      <c r="I391" s="3"/>
      <c r="J391" s="4">
        <f t="shared" si="37"/>
        <v>29206.905642557336</v>
      </c>
      <c r="K391" s="3"/>
    </row>
    <row r="392" spans="1:11" x14ac:dyDescent="0.2">
      <c r="A392" s="8" t="s">
        <v>136</v>
      </c>
      <c r="B392" s="7" t="s">
        <v>160</v>
      </c>
      <c r="C392" s="3"/>
      <c r="D392" s="3"/>
      <c r="E392" s="6">
        <f t="shared" si="35"/>
        <v>2024.7900000000104</v>
      </c>
      <c r="F392" s="5"/>
      <c r="G392" s="5"/>
      <c r="H392" s="3"/>
      <c r="I392" s="3"/>
      <c r="J392" s="4">
        <f t="shared" si="37"/>
        <v>29206.905642557336</v>
      </c>
      <c r="K392" s="3"/>
    </row>
    <row r="393" spans="1:11" x14ac:dyDescent="0.2">
      <c r="A393" s="8" t="s">
        <v>136</v>
      </c>
      <c r="B393" s="7" t="s">
        <v>159</v>
      </c>
      <c r="C393" s="3"/>
      <c r="D393" s="3"/>
      <c r="E393" s="6">
        <f t="shared" si="35"/>
        <v>2024.7900000000104</v>
      </c>
      <c r="F393" s="5"/>
      <c r="G393" s="5"/>
      <c r="H393" s="3"/>
      <c r="I393" s="3"/>
      <c r="J393" s="4">
        <f t="shared" si="37"/>
        <v>29206.905642557336</v>
      </c>
      <c r="K393" s="3"/>
    </row>
    <row r="394" spans="1:11" x14ac:dyDescent="0.2">
      <c r="A394" s="8" t="s">
        <v>136</v>
      </c>
      <c r="B394" s="7" t="s">
        <v>158</v>
      </c>
      <c r="C394" s="3"/>
      <c r="D394" s="3"/>
      <c r="E394" s="6">
        <f t="shared" si="35"/>
        <v>2024.7900000000104</v>
      </c>
      <c r="F394" s="5"/>
      <c r="G394" s="5"/>
      <c r="H394" s="3"/>
      <c r="I394" s="3"/>
      <c r="J394" s="4">
        <f t="shared" si="37"/>
        <v>29206.905642557336</v>
      </c>
      <c r="K394" s="3"/>
    </row>
    <row r="395" spans="1:11" x14ac:dyDescent="0.2">
      <c r="A395" s="8" t="s">
        <v>136</v>
      </c>
      <c r="B395" s="7" t="s">
        <v>157</v>
      </c>
      <c r="C395" s="3"/>
      <c r="D395" s="3"/>
      <c r="E395" s="6">
        <f t="shared" si="35"/>
        <v>2024.7900000000104</v>
      </c>
      <c r="F395" s="5"/>
      <c r="G395" s="5"/>
      <c r="H395" s="3"/>
      <c r="I395" s="3"/>
      <c r="J395" s="4">
        <f t="shared" si="37"/>
        <v>29206.905642557336</v>
      </c>
      <c r="K395" s="3"/>
    </row>
    <row r="396" spans="1:11" x14ac:dyDescent="0.2">
      <c r="A396" s="8" t="s">
        <v>136</v>
      </c>
      <c r="B396" s="7" t="s">
        <v>156</v>
      </c>
      <c r="C396" s="3"/>
      <c r="D396" s="3"/>
      <c r="E396" s="6">
        <f t="shared" si="35"/>
        <v>2024.7900000000104</v>
      </c>
      <c r="F396" s="5"/>
      <c r="G396" s="5"/>
      <c r="H396" s="3"/>
      <c r="I396" s="3"/>
      <c r="J396" s="4">
        <f t="shared" si="37"/>
        <v>29206.905642557336</v>
      </c>
      <c r="K396" s="3"/>
    </row>
    <row r="397" spans="1:11" x14ac:dyDescent="0.2">
      <c r="A397" s="8" t="s">
        <v>136</v>
      </c>
      <c r="B397" s="7" t="s">
        <v>155</v>
      </c>
      <c r="C397" s="3"/>
      <c r="D397" s="3"/>
      <c r="E397" s="6">
        <f t="shared" si="35"/>
        <v>2024.7900000000104</v>
      </c>
      <c r="F397" s="5"/>
      <c r="G397" s="5"/>
      <c r="H397" s="3"/>
      <c r="I397" s="3"/>
      <c r="J397" s="4">
        <f t="shared" si="37"/>
        <v>29206.905642557336</v>
      </c>
      <c r="K397" s="3"/>
    </row>
    <row r="398" spans="1:11" x14ac:dyDescent="0.2">
      <c r="A398" s="8" t="s">
        <v>136</v>
      </c>
      <c r="B398" s="7" t="s">
        <v>154</v>
      </c>
      <c r="C398" s="3"/>
      <c r="D398" s="3"/>
      <c r="E398" s="6">
        <f t="shared" si="35"/>
        <v>2024.7900000000104</v>
      </c>
      <c r="F398" s="5"/>
      <c r="G398" s="5"/>
      <c r="H398" s="3"/>
      <c r="I398" s="3"/>
      <c r="J398" s="4">
        <f t="shared" si="37"/>
        <v>29206.905642557336</v>
      </c>
      <c r="K398" s="3"/>
    </row>
    <row r="399" spans="1:11" x14ac:dyDescent="0.2">
      <c r="A399" s="8" t="s">
        <v>136</v>
      </c>
      <c r="B399" s="7" t="s">
        <v>153</v>
      </c>
      <c r="C399" s="3"/>
      <c r="D399" s="3"/>
      <c r="E399" s="6">
        <f t="shared" si="35"/>
        <v>2024.7900000000104</v>
      </c>
      <c r="F399" s="5"/>
      <c r="G399" s="5"/>
      <c r="H399" s="3"/>
      <c r="I399" s="3"/>
      <c r="J399" s="4">
        <f t="shared" si="37"/>
        <v>29206.905642557336</v>
      </c>
      <c r="K399" s="3"/>
    </row>
    <row r="400" spans="1:11" x14ac:dyDescent="0.2">
      <c r="A400" s="8" t="s">
        <v>136</v>
      </c>
      <c r="B400" s="7" t="s">
        <v>152</v>
      </c>
      <c r="C400" s="3"/>
      <c r="D400" s="3"/>
      <c r="E400" s="6">
        <f t="shared" si="35"/>
        <v>2024.7900000000104</v>
      </c>
      <c r="F400" s="5"/>
      <c r="G400" s="5"/>
      <c r="H400" s="3"/>
      <c r="I400" s="3"/>
      <c r="J400" s="4">
        <f t="shared" si="37"/>
        <v>29206.905642557336</v>
      </c>
      <c r="K400" s="3"/>
    </row>
    <row r="401" spans="1:11" x14ac:dyDescent="0.2">
      <c r="A401" s="8" t="s">
        <v>136</v>
      </c>
      <c r="B401" s="7" t="s">
        <v>151</v>
      </c>
      <c r="C401" s="3"/>
      <c r="D401" s="3"/>
      <c r="E401" s="6">
        <f t="shared" si="35"/>
        <v>2024.7900000000104</v>
      </c>
      <c r="F401" s="5"/>
      <c r="G401" s="5"/>
      <c r="H401" s="3"/>
      <c r="I401" s="3"/>
      <c r="J401" s="4">
        <f t="shared" si="37"/>
        <v>29206.905642557336</v>
      </c>
      <c r="K401" s="3"/>
    </row>
    <row r="402" spans="1:11" x14ac:dyDescent="0.2">
      <c r="A402" s="8" t="s">
        <v>136</v>
      </c>
      <c r="B402" s="7" t="s">
        <v>150</v>
      </c>
      <c r="C402" s="3"/>
      <c r="D402" s="3"/>
      <c r="E402" s="6">
        <f t="shared" si="35"/>
        <v>2024.7900000000104</v>
      </c>
      <c r="F402" s="5"/>
      <c r="G402" s="5"/>
      <c r="H402" s="3"/>
      <c r="I402" s="3"/>
      <c r="J402" s="4">
        <f t="shared" si="37"/>
        <v>29206.905642557336</v>
      </c>
      <c r="K402" s="3"/>
    </row>
    <row r="403" spans="1:11" x14ac:dyDescent="0.2">
      <c r="A403" s="8" t="s">
        <v>136</v>
      </c>
      <c r="B403" s="7" t="s">
        <v>149</v>
      </c>
      <c r="C403" s="3"/>
      <c r="D403" s="3"/>
      <c r="E403" s="6">
        <f t="shared" si="35"/>
        <v>2024.7900000000104</v>
      </c>
      <c r="F403" s="5"/>
      <c r="G403" s="5"/>
      <c r="H403" s="3"/>
      <c r="I403" s="3"/>
      <c r="J403" s="4">
        <f t="shared" si="37"/>
        <v>29206.905642557336</v>
      </c>
      <c r="K403" s="3"/>
    </row>
    <row r="404" spans="1:11" x14ac:dyDescent="0.2">
      <c r="A404" s="8" t="s">
        <v>136</v>
      </c>
      <c r="B404" s="7" t="s">
        <v>148</v>
      </c>
      <c r="C404" s="3"/>
      <c r="D404" s="3"/>
      <c r="E404" s="6">
        <f t="shared" si="35"/>
        <v>2024.7900000000104</v>
      </c>
      <c r="F404" s="5"/>
      <c r="G404" s="5"/>
      <c r="H404" s="3"/>
      <c r="I404" s="3"/>
      <c r="J404" s="4">
        <f t="shared" si="37"/>
        <v>29206.905642557336</v>
      </c>
      <c r="K404" s="3"/>
    </row>
    <row r="405" spans="1:11" x14ac:dyDescent="0.2">
      <c r="A405" s="8" t="s">
        <v>136</v>
      </c>
      <c r="B405" s="7" t="s">
        <v>147</v>
      </c>
      <c r="C405" s="3"/>
      <c r="D405" s="3"/>
      <c r="E405" s="6">
        <f t="shared" si="35"/>
        <v>2024.7900000000104</v>
      </c>
      <c r="F405" s="5"/>
      <c r="G405" s="5"/>
      <c r="H405" s="3"/>
      <c r="I405" s="3"/>
      <c r="J405" s="4">
        <f t="shared" si="37"/>
        <v>29206.905642557336</v>
      </c>
      <c r="K405" s="3"/>
    </row>
    <row r="406" spans="1:11" x14ac:dyDescent="0.2">
      <c r="A406" s="8" t="s">
        <v>136</v>
      </c>
      <c r="B406" s="7" t="s">
        <v>146</v>
      </c>
      <c r="C406" s="3"/>
      <c r="D406" s="3"/>
      <c r="E406" s="6">
        <f t="shared" si="35"/>
        <v>2024.7900000000104</v>
      </c>
      <c r="F406" s="5"/>
      <c r="G406" s="5"/>
      <c r="H406" s="3"/>
      <c r="I406" s="3"/>
      <c r="J406" s="4">
        <f t="shared" si="37"/>
        <v>29206.905642557336</v>
      </c>
      <c r="K406" s="3"/>
    </row>
    <row r="407" spans="1:11" x14ac:dyDescent="0.2">
      <c r="A407" s="8" t="s">
        <v>136</v>
      </c>
      <c r="B407" s="7" t="s">
        <v>145</v>
      </c>
      <c r="C407" s="3"/>
      <c r="D407" s="3"/>
      <c r="E407" s="6">
        <f t="shared" si="35"/>
        <v>2024.7900000000104</v>
      </c>
      <c r="F407" s="5"/>
      <c r="G407" s="5"/>
      <c r="H407" s="3"/>
      <c r="I407" s="3"/>
      <c r="J407" s="4">
        <f t="shared" si="37"/>
        <v>29206.905642557336</v>
      </c>
      <c r="K407" s="3"/>
    </row>
    <row r="408" spans="1:11" x14ac:dyDescent="0.2">
      <c r="A408" s="8" t="s">
        <v>136</v>
      </c>
      <c r="B408" s="7" t="s">
        <v>144</v>
      </c>
      <c r="C408" s="3"/>
      <c r="D408" s="3"/>
      <c r="E408" s="6">
        <f t="shared" si="35"/>
        <v>2024.7900000000104</v>
      </c>
      <c r="F408" s="5"/>
      <c r="G408" s="5"/>
      <c r="H408" s="3"/>
      <c r="I408" s="3"/>
      <c r="J408" s="4">
        <f t="shared" si="37"/>
        <v>29206.905642557336</v>
      </c>
      <c r="K408" s="3"/>
    </row>
    <row r="409" spans="1:11" x14ac:dyDescent="0.2">
      <c r="A409" s="8" t="s">
        <v>136</v>
      </c>
      <c r="B409" s="7" t="s">
        <v>143</v>
      </c>
      <c r="C409" s="3"/>
      <c r="D409" s="3"/>
      <c r="E409" s="6">
        <f t="shared" si="35"/>
        <v>2024.7900000000104</v>
      </c>
      <c r="F409" s="5"/>
      <c r="G409" s="5"/>
      <c r="H409" s="3"/>
      <c r="I409" s="3"/>
      <c r="J409" s="4">
        <f t="shared" si="37"/>
        <v>29206.905642557336</v>
      </c>
      <c r="K409" s="3"/>
    </row>
    <row r="410" spans="1:11" x14ac:dyDescent="0.2">
      <c r="A410" s="8" t="s">
        <v>136</v>
      </c>
      <c r="B410" s="7" t="s">
        <v>142</v>
      </c>
      <c r="C410" s="3"/>
      <c r="D410" s="3"/>
      <c r="E410" s="6">
        <f t="shared" si="35"/>
        <v>2024.7900000000104</v>
      </c>
      <c r="F410" s="5"/>
      <c r="G410" s="5"/>
      <c r="H410" s="3"/>
      <c r="I410" s="3"/>
      <c r="J410" s="4">
        <f t="shared" si="37"/>
        <v>29206.905642557336</v>
      </c>
      <c r="K410" s="3"/>
    </row>
    <row r="411" spans="1:11" x14ac:dyDescent="0.2">
      <c r="A411" s="8" t="s">
        <v>136</v>
      </c>
      <c r="B411" s="7" t="s">
        <v>141</v>
      </c>
      <c r="C411" s="3"/>
      <c r="D411" s="3"/>
      <c r="E411" s="6">
        <f t="shared" si="35"/>
        <v>2024.7900000000104</v>
      </c>
      <c r="F411" s="5"/>
      <c r="G411" s="5"/>
      <c r="H411" s="3"/>
      <c r="I411" s="3"/>
      <c r="J411" s="4">
        <f t="shared" si="37"/>
        <v>29206.905642557336</v>
      </c>
      <c r="K411" s="3"/>
    </row>
    <row r="412" spans="1:11" x14ac:dyDescent="0.2">
      <c r="A412" s="8" t="s">
        <v>136</v>
      </c>
      <c r="B412" s="7" t="s">
        <v>140</v>
      </c>
      <c r="C412" s="3"/>
      <c r="D412" s="3"/>
      <c r="E412" s="6">
        <f t="shared" si="35"/>
        <v>2024.7900000000104</v>
      </c>
      <c r="F412" s="5"/>
      <c r="G412" s="5"/>
      <c r="H412" s="3"/>
      <c r="I412" s="3"/>
      <c r="J412" s="4">
        <f t="shared" si="37"/>
        <v>29206.905642557336</v>
      </c>
      <c r="K412" s="3"/>
    </row>
    <row r="413" spans="1:11" x14ac:dyDescent="0.2">
      <c r="A413" s="8" t="s">
        <v>136</v>
      </c>
      <c r="B413" s="7" t="s">
        <v>139</v>
      </c>
      <c r="C413" s="3"/>
      <c r="D413" s="3"/>
      <c r="E413" s="6">
        <f t="shared" si="35"/>
        <v>2024.7900000000104</v>
      </c>
      <c r="F413" s="5"/>
      <c r="G413" s="5"/>
      <c r="H413" s="3"/>
      <c r="I413" s="3"/>
      <c r="J413" s="4">
        <f t="shared" si="37"/>
        <v>29206.905642557336</v>
      </c>
      <c r="K413" s="3"/>
    </row>
    <row r="414" spans="1:11" x14ac:dyDescent="0.2">
      <c r="A414" s="8" t="s">
        <v>136</v>
      </c>
      <c r="B414" s="7" t="s">
        <v>138</v>
      </c>
      <c r="C414" s="3"/>
      <c r="D414" s="3"/>
      <c r="E414" s="6">
        <f t="shared" si="35"/>
        <v>2024.7900000000104</v>
      </c>
      <c r="F414" s="5"/>
      <c r="G414" s="5"/>
      <c r="H414" s="3"/>
      <c r="I414" s="3"/>
      <c r="J414" s="4">
        <f t="shared" si="37"/>
        <v>29206.905642557336</v>
      </c>
      <c r="K414" s="3"/>
    </row>
    <row r="415" spans="1:11" x14ac:dyDescent="0.2">
      <c r="A415" s="8" t="s">
        <v>136</v>
      </c>
      <c r="B415" s="7" t="s">
        <v>137</v>
      </c>
      <c r="C415" s="3"/>
      <c r="D415" s="3"/>
      <c r="E415" s="6">
        <f t="shared" si="35"/>
        <v>2024.7900000000104</v>
      </c>
      <c r="F415" s="5"/>
      <c r="G415" s="5"/>
      <c r="H415" s="3"/>
      <c r="I415" s="3"/>
      <c r="J415" s="4">
        <f t="shared" si="37"/>
        <v>29206.905642557336</v>
      </c>
      <c r="K415" s="3"/>
    </row>
    <row r="416" spans="1:11" x14ac:dyDescent="0.2">
      <c r="A416" s="8" t="s">
        <v>136</v>
      </c>
      <c r="B416" s="7" t="s">
        <v>135</v>
      </c>
      <c r="C416" s="3"/>
      <c r="D416" s="3"/>
      <c r="E416" s="6">
        <f t="shared" si="35"/>
        <v>2024.7900000000104</v>
      </c>
      <c r="F416" s="5"/>
      <c r="G416" s="5"/>
      <c r="H416" s="3"/>
      <c r="I416" s="3"/>
      <c r="J416" s="4">
        <f t="shared" si="37"/>
        <v>29206.905642557336</v>
      </c>
      <c r="K416" s="3"/>
    </row>
    <row r="417" spans="1:11" x14ac:dyDescent="0.2">
      <c r="A417" s="8" t="s">
        <v>1</v>
      </c>
      <c r="B417" s="7" t="s">
        <v>134</v>
      </c>
      <c r="C417" s="3"/>
      <c r="D417" s="3"/>
      <c r="E417" s="6">
        <f t="shared" si="35"/>
        <v>2024.7900000000104</v>
      </c>
      <c r="F417" s="5"/>
      <c r="G417" s="5"/>
      <c r="H417" s="3"/>
      <c r="I417" s="3"/>
      <c r="J417" s="4">
        <f t="shared" si="37"/>
        <v>29206.905642557336</v>
      </c>
      <c r="K417" s="3"/>
    </row>
    <row r="418" spans="1:11" x14ac:dyDescent="0.2">
      <c r="A418" s="8" t="s">
        <v>1</v>
      </c>
      <c r="B418" s="7" t="s">
        <v>133</v>
      </c>
      <c r="C418" s="3"/>
      <c r="D418" s="3"/>
      <c r="E418" s="6">
        <f t="shared" si="35"/>
        <v>2024.7900000000104</v>
      </c>
      <c r="F418" s="5"/>
      <c r="G418" s="5"/>
      <c r="H418" s="3"/>
      <c r="I418" s="3"/>
      <c r="J418" s="4">
        <f t="shared" si="37"/>
        <v>29206.905642557336</v>
      </c>
      <c r="K418" s="3"/>
    </row>
    <row r="419" spans="1:11" x14ac:dyDescent="0.2">
      <c r="A419" s="8" t="s">
        <v>1</v>
      </c>
      <c r="B419" s="7" t="s">
        <v>132</v>
      </c>
      <c r="C419" s="3"/>
      <c r="D419" s="3"/>
      <c r="E419" s="6">
        <f t="shared" si="35"/>
        <v>2024.7900000000104</v>
      </c>
      <c r="F419" s="5"/>
      <c r="G419" s="5"/>
      <c r="H419" s="3"/>
      <c r="I419" s="3"/>
      <c r="J419" s="4">
        <f t="shared" si="37"/>
        <v>29206.905642557336</v>
      </c>
      <c r="K419" s="3"/>
    </row>
    <row r="420" spans="1:11" x14ac:dyDescent="0.2">
      <c r="A420" s="8" t="s">
        <v>1</v>
      </c>
      <c r="B420" s="7" t="s">
        <v>131</v>
      </c>
      <c r="C420" s="3"/>
      <c r="D420" s="3"/>
      <c r="E420" s="6">
        <f t="shared" si="35"/>
        <v>2024.7900000000104</v>
      </c>
      <c r="F420" s="5"/>
      <c r="G420" s="5"/>
      <c r="H420" s="3"/>
      <c r="I420" s="3"/>
      <c r="J420" s="4">
        <f t="shared" si="37"/>
        <v>29206.905642557336</v>
      </c>
      <c r="K420" s="3"/>
    </row>
    <row r="421" spans="1:11" x14ac:dyDescent="0.2">
      <c r="A421" s="8" t="s">
        <v>1</v>
      </c>
      <c r="B421" s="7" t="s">
        <v>130</v>
      </c>
      <c r="C421" s="3"/>
      <c r="D421" s="3"/>
      <c r="E421" s="6">
        <f t="shared" si="35"/>
        <v>2024.7900000000104</v>
      </c>
      <c r="F421" s="5"/>
      <c r="G421" s="5"/>
      <c r="H421" s="3"/>
      <c r="I421" s="3"/>
      <c r="J421" s="4">
        <f t="shared" si="37"/>
        <v>29206.905642557336</v>
      </c>
      <c r="K421" s="3"/>
    </row>
    <row r="422" spans="1:11" x14ac:dyDescent="0.2">
      <c r="A422" s="8" t="s">
        <v>1</v>
      </c>
      <c r="B422" s="7" t="s">
        <v>129</v>
      </c>
      <c r="C422" s="3"/>
      <c r="D422" s="3"/>
      <c r="E422" s="6">
        <f t="shared" si="35"/>
        <v>2024.7900000000104</v>
      </c>
      <c r="F422" s="5"/>
      <c r="G422" s="5"/>
      <c r="H422" s="3"/>
      <c r="I422" s="3"/>
      <c r="J422" s="4">
        <f t="shared" si="37"/>
        <v>29206.905642557336</v>
      </c>
      <c r="K422" s="3"/>
    </row>
    <row r="423" spans="1:11" x14ac:dyDescent="0.2">
      <c r="A423" s="8" t="s">
        <v>1</v>
      </c>
      <c r="B423" s="7" t="s">
        <v>128</v>
      </c>
      <c r="C423" s="3"/>
      <c r="D423" s="3"/>
      <c r="E423" s="6">
        <f t="shared" si="35"/>
        <v>2024.7900000000104</v>
      </c>
      <c r="F423" s="5"/>
      <c r="G423" s="5"/>
      <c r="H423" s="3"/>
      <c r="I423" s="3"/>
      <c r="J423" s="4">
        <f t="shared" si="37"/>
        <v>29206.905642557336</v>
      </c>
      <c r="K423" s="3"/>
    </row>
    <row r="424" spans="1:11" x14ac:dyDescent="0.2">
      <c r="A424" s="8" t="s">
        <v>1</v>
      </c>
      <c r="B424" s="7" t="s">
        <v>127</v>
      </c>
      <c r="C424" s="3"/>
      <c r="D424" s="3"/>
      <c r="E424" s="6">
        <f t="shared" si="35"/>
        <v>2024.7900000000104</v>
      </c>
      <c r="F424" s="5"/>
      <c r="G424" s="5"/>
      <c r="H424" s="3"/>
      <c r="I424" s="3"/>
      <c r="J424" s="4">
        <f t="shared" si="37"/>
        <v>29206.905642557336</v>
      </c>
      <c r="K424" s="3"/>
    </row>
    <row r="425" spans="1:11" x14ac:dyDescent="0.2">
      <c r="A425" s="8" t="s">
        <v>1</v>
      </c>
      <c r="B425" s="7" t="s">
        <v>126</v>
      </c>
      <c r="C425" s="3"/>
      <c r="D425" s="3"/>
      <c r="E425" s="6">
        <f t="shared" si="35"/>
        <v>2024.7900000000104</v>
      </c>
      <c r="F425" s="5"/>
      <c r="G425" s="5"/>
      <c r="H425" s="3"/>
      <c r="I425" s="3"/>
      <c r="J425" s="4">
        <f t="shared" si="37"/>
        <v>29206.905642557336</v>
      </c>
      <c r="K425" s="3"/>
    </row>
    <row r="426" spans="1:11" x14ac:dyDescent="0.2">
      <c r="A426" s="8" t="s">
        <v>1</v>
      </c>
      <c r="B426" s="7" t="s">
        <v>125</v>
      </c>
      <c r="C426" s="3"/>
      <c r="D426" s="3"/>
      <c r="E426" s="6">
        <f t="shared" si="35"/>
        <v>2024.7900000000104</v>
      </c>
      <c r="F426" s="5"/>
      <c r="G426" s="5"/>
      <c r="H426" s="3"/>
      <c r="I426" s="3"/>
      <c r="J426" s="4">
        <f t="shared" si="37"/>
        <v>29206.905642557336</v>
      </c>
      <c r="K426" s="3"/>
    </row>
    <row r="427" spans="1:11" x14ac:dyDescent="0.2">
      <c r="A427" s="8" t="s">
        <v>1</v>
      </c>
      <c r="B427" s="7" t="s">
        <v>124</v>
      </c>
      <c r="C427" s="3"/>
      <c r="D427" s="3"/>
      <c r="E427" s="6">
        <f t="shared" si="35"/>
        <v>2024.7900000000104</v>
      </c>
      <c r="F427" s="5"/>
      <c r="G427" s="5"/>
      <c r="H427" s="3"/>
      <c r="I427" s="3"/>
      <c r="J427" s="4">
        <f t="shared" si="37"/>
        <v>29206.905642557336</v>
      </c>
      <c r="K427" s="3"/>
    </row>
    <row r="428" spans="1:11" x14ac:dyDescent="0.2">
      <c r="A428" s="8" t="s">
        <v>1</v>
      </c>
      <c r="B428" s="7" t="s">
        <v>123</v>
      </c>
      <c r="C428" s="3"/>
      <c r="D428" s="3"/>
      <c r="E428" s="6">
        <f t="shared" si="35"/>
        <v>2024.7900000000104</v>
      </c>
      <c r="F428" s="5"/>
      <c r="G428" s="5"/>
      <c r="H428" s="3"/>
      <c r="I428" s="3"/>
      <c r="J428" s="4">
        <f t="shared" si="37"/>
        <v>29206.905642557336</v>
      </c>
      <c r="K428" s="3"/>
    </row>
    <row r="429" spans="1:11" x14ac:dyDescent="0.2">
      <c r="A429" s="8" t="s">
        <v>1</v>
      </c>
      <c r="B429" s="7" t="s">
        <v>122</v>
      </c>
      <c r="C429" s="3"/>
      <c r="D429" s="3"/>
      <c r="E429" s="6">
        <f t="shared" si="35"/>
        <v>2024.7900000000104</v>
      </c>
      <c r="F429" s="5"/>
      <c r="G429" s="5"/>
      <c r="H429" s="3"/>
      <c r="I429" s="3"/>
      <c r="J429" s="4">
        <f t="shared" si="37"/>
        <v>29206.905642557336</v>
      </c>
      <c r="K429" s="3"/>
    </row>
    <row r="430" spans="1:11" x14ac:dyDescent="0.2">
      <c r="A430" s="8" t="s">
        <v>1</v>
      </c>
      <c r="B430" s="7" t="s">
        <v>121</v>
      </c>
      <c r="C430" s="3"/>
      <c r="D430" s="3"/>
      <c r="E430" s="6">
        <f t="shared" ref="E430:E493" si="38">E429-D430</f>
        <v>2024.7900000000104</v>
      </c>
      <c r="F430" s="5"/>
      <c r="G430" s="5"/>
      <c r="H430" s="3"/>
      <c r="I430" s="3"/>
      <c r="J430" s="4">
        <f t="shared" ref="J430:J493" si="39">J429-I430</f>
        <v>29206.905642557336</v>
      </c>
      <c r="K430" s="3"/>
    </row>
    <row r="431" spans="1:11" x14ac:dyDescent="0.2">
      <c r="A431" s="8" t="s">
        <v>1</v>
      </c>
      <c r="B431" s="7" t="s">
        <v>120</v>
      </c>
      <c r="C431" s="3"/>
      <c r="D431" s="3"/>
      <c r="E431" s="6">
        <f t="shared" si="38"/>
        <v>2024.7900000000104</v>
      </c>
      <c r="F431" s="5"/>
      <c r="G431" s="5"/>
      <c r="H431" s="3"/>
      <c r="I431" s="3"/>
      <c r="J431" s="4">
        <f t="shared" si="39"/>
        <v>29206.905642557336</v>
      </c>
      <c r="K431" s="3"/>
    </row>
    <row r="432" spans="1:11" x14ac:dyDescent="0.2">
      <c r="A432" s="8" t="s">
        <v>1</v>
      </c>
      <c r="B432" s="7" t="s">
        <v>119</v>
      </c>
      <c r="C432" s="3"/>
      <c r="D432" s="3"/>
      <c r="E432" s="6">
        <f t="shared" si="38"/>
        <v>2024.7900000000104</v>
      </c>
      <c r="F432" s="5"/>
      <c r="G432" s="5"/>
      <c r="H432" s="3"/>
      <c r="I432" s="3"/>
      <c r="J432" s="4">
        <f t="shared" si="39"/>
        <v>29206.905642557336</v>
      </c>
      <c r="K432" s="3"/>
    </row>
    <row r="433" spans="1:11" x14ac:dyDescent="0.2">
      <c r="A433" s="8" t="s">
        <v>1</v>
      </c>
      <c r="B433" s="7" t="s">
        <v>118</v>
      </c>
      <c r="C433" s="3"/>
      <c r="D433" s="3"/>
      <c r="E433" s="6">
        <f t="shared" si="38"/>
        <v>2024.7900000000104</v>
      </c>
      <c r="F433" s="5"/>
      <c r="G433" s="5"/>
      <c r="H433" s="3"/>
      <c r="I433" s="3"/>
      <c r="J433" s="4">
        <f t="shared" si="39"/>
        <v>29206.905642557336</v>
      </c>
      <c r="K433" s="3"/>
    </row>
    <row r="434" spans="1:11" x14ac:dyDescent="0.2">
      <c r="A434" s="8" t="s">
        <v>1</v>
      </c>
      <c r="B434" s="7" t="s">
        <v>117</v>
      </c>
      <c r="C434" s="3"/>
      <c r="D434" s="3"/>
      <c r="E434" s="6">
        <f t="shared" si="38"/>
        <v>2024.7900000000104</v>
      </c>
      <c r="F434" s="5"/>
      <c r="G434" s="5"/>
      <c r="H434" s="3"/>
      <c r="I434" s="3"/>
      <c r="J434" s="4">
        <f t="shared" si="39"/>
        <v>29206.905642557336</v>
      </c>
      <c r="K434" s="3"/>
    </row>
    <row r="435" spans="1:11" x14ac:dyDescent="0.2">
      <c r="A435" s="8" t="s">
        <v>1</v>
      </c>
      <c r="B435" s="7" t="s">
        <v>116</v>
      </c>
      <c r="C435" s="3"/>
      <c r="D435" s="3"/>
      <c r="E435" s="6">
        <f t="shared" si="38"/>
        <v>2024.7900000000104</v>
      </c>
      <c r="F435" s="5"/>
      <c r="G435" s="5"/>
      <c r="H435" s="3"/>
      <c r="I435" s="3"/>
      <c r="J435" s="4">
        <f t="shared" si="39"/>
        <v>29206.905642557336</v>
      </c>
      <c r="K435" s="3"/>
    </row>
    <row r="436" spans="1:11" x14ac:dyDescent="0.2">
      <c r="A436" s="8" t="s">
        <v>1</v>
      </c>
      <c r="B436" s="7" t="s">
        <v>115</v>
      </c>
      <c r="C436" s="3"/>
      <c r="D436" s="3"/>
      <c r="E436" s="6">
        <f t="shared" si="38"/>
        <v>2024.7900000000104</v>
      </c>
      <c r="F436" s="5"/>
      <c r="G436" s="5"/>
      <c r="H436" s="3"/>
      <c r="I436" s="3"/>
      <c r="J436" s="4">
        <f t="shared" si="39"/>
        <v>29206.905642557336</v>
      </c>
      <c r="K436" s="3"/>
    </row>
    <row r="437" spans="1:11" x14ac:dyDescent="0.2">
      <c r="A437" s="8" t="s">
        <v>1</v>
      </c>
      <c r="B437" s="7" t="s">
        <v>114</v>
      </c>
      <c r="C437" s="3"/>
      <c r="D437" s="3"/>
      <c r="E437" s="6">
        <f t="shared" si="38"/>
        <v>2024.7900000000104</v>
      </c>
      <c r="F437" s="5"/>
      <c r="G437" s="5"/>
      <c r="H437" s="3"/>
      <c r="I437" s="3"/>
      <c r="J437" s="4">
        <f t="shared" si="39"/>
        <v>29206.905642557336</v>
      </c>
      <c r="K437" s="3"/>
    </row>
    <row r="438" spans="1:11" x14ac:dyDescent="0.2">
      <c r="A438" s="8" t="s">
        <v>1</v>
      </c>
      <c r="B438" s="7" t="s">
        <v>113</v>
      </c>
      <c r="C438" s="3"/>
      <c r="D438" s="3"/>
      <c r="E438" s="6">
        <f t="shared" si="38"/>
        <v>2024.7900000000104</v>
      </c>
      <c r="F438" s="5"/>
      <c r="G438" s="5"/>
      <c r="H438" s="3"/>
      <c r="I438" s="3"/>
      <c r="J438" s="4">
        <f t="shared" si="39"/>
        <v>29206.905642557336</v>
      </c>
      <c r="K438" s="3"/>
    </row>
    <row r="439" spans="1:11" x14ac:dyDescent="0.2">
      <c r="A439" s="8" t="s">
        <v>1</v>
      </c>
      <c r="B439" s="7" t="s">
        <v>112</v>
      </c>
      <c r="C439" s="3"/>
      <c r="D439" s="3"/>
      <c r="E439" s="6">
        <f t="shared" si="38"/>
        <v>2024.7900000000104</v>
      </c>
      <c r="F439" s="5"/>
      <c r="G439" s="5"/>
      <c r="H439" s="3"/>
      <c r="I439" s="3"/>
      <c r="J439" s="4">
        <f t="shared" si="39"/>
        <v>29206.905642557336</v>
      </c>
      <c r="K439" s="3"/>
    </row>
    <row r="440" spans="1:11" x14ac:dyDescent="0.2">
      <c r="A440" s="8" t="s">
        <v>1</v>
      </c>
      <c r="B440" s="7" t="s">
        <v>111</v>
      </c>
      <c r="C440" s="3"/>
      <c r="D440" s="3"/>
      <c r="E440" s="6">
        <f t="shared" si="38"/>
        <v>2024.7900000000104</v>
      </c>
      <c r="F440" s="5"/>
      <c r="G440" s="5"/>
      <c r="H440" s="3"/>
      <c r="I440" s="3"/>
      <c r="J440" s="4">
        <f t="shared" si="39"/>
        <v>29206.905642557336</v>
      </c>
      <c r="K440" s="3"/>
    </row>
    <row r="441" spans="1:11" x14ac:dyDescent="0.2">
      <c r="A441" s="8" t="s">
        <v>1</v>
      </c>
      <c r="B441" s="7" t="s">
        <v>110</v>
      </c>
      <c r="C441" s="3"/>
      <c r="D441" s="3"/>
      <c r="E441" s="6">
        <f t="shared" si="38"/>
        <v>2024.7900000000104</v>
      </c>
      <c r="F441" s="5"/>
      <c r="G441" s="5"/>
      <c r="H441" s="3"/>
      <c r="I441" s="3"/>
      <c r="J441" s="4">
        <f t="shared" si="39"/>
        <v>29206.905642557336</v>
      </c>
      <c r="K441" s="3"/>
    </row>
    <row r="442" spans="1:11" x14ac:dyDescent="0.2">
      <c r="A442" s="8" t="s">
        <v>1</v>
      </c>
      <c r="B442" s="7" t="s">
        <v>109</v>
      </c>
      <c r="C442" s="3"/>
      <c r="D442" s="3"/>
      <c r="E442" s="6">
        <f t="shared" si="38"/>
        <v>2024.7900000000104</v>
      </c>
      <c r="F442" s="5"/>
      <c r="G442" s="5"/>
      <c r="H442" s="3"/>
      <c r="I442" s="3"/>
      <c r="J442" s="4">
        <f t="shared" si="39"/>
        <v>29206.905642557336</v>
      </c>
      <c r="K442" s="3"/>
    </row>
    <row r="443" spans="1:11" x14ac:dyDescent="0.2">
      <c r="A443" s="8" t="s">
        <v>1</v>
      </c>
      <c r="B443" s="7" t="s">
        <v>108</v>
      </c>
      <c r="C443" s="3"/>
      <c r="D443" s="3"/>
      <c r="E443" s="6">
        <f t="shared" si="38"/>
        <v>2024.7900000000104</v>
      </c>
      <c r="F443" s="5"/>
      <c r="G443" s="5"/>
      <c r="H443" s="3"/>
      <c r="I443" s="3"/>
      <c r="J443" s="4">
        <f t="shared" si="39"/>
        <v>29206.905642557336</v>
      </c>
      <c r="K443" s="3"/>
    </row>
    <row r="444" spans="1:11" x14ac:dyDescent="0.2">
      <c r="A444" s="8" t="s">
        <v>1</v>
      </c>
      <c r="B444" s="7" t="s">
        <v>107</v>
      </c>
      <c r="C444" s="3"/>
      <c r="D444" s="3"/>
      <c r="E444" s="6">
        <f t="shared" si="38"/>
        <v>2024.7900000000104</v>
      </c>
      <c r="F444" s="5"/>
      <c r="G444" s="5"/>
      <c r="H444" s="3"/>
      <c r="I444" s="3"/>
      <c r="J444" s="4">
        <f t="shared" si="39"/>
        <v>29206.905642557336</v>
      </c>
      <c r="K444" s="3"/>
    </row>
    <row r="445" spans="1:11" x14ac:dyDescent="0.2">
      <c r="A445" s="8" t="s">
        <v>1</v>
      </c>
      <c r="B445" s="7" t="s">
        <v>106</v>
      </c>
      <c r="C445" s="3"/>
      <c r="D445" s="3"/>
      <c r="E445" s="6">
        <f t="shared" si="38"/>
        <v>2024.7900000000104</v>
      </c>
      <c r="F445" s="5"/>
      <c r="G445" s="5"/>
      <c r="H445" s="3"/>
      <c r="I445" s="3"/>
      <c r="J445" s="4">
        <f t="shared" si="39"/>
        <v>29206.905642557336</v>
      </c>
      <c r="K445" s="3"/>
    </row>
    <row r="446" spans="1:11" x14ac:dyDescent="0.2">
      <c r="A446" s="8" t="s">
        <v>1</v>
      </c>
      <c r="B446" s="7" t="s">
        <v>105</v>
      </c>
      <c r="C446" s="3"/>
      <c r="D446" s="3"/>
      <c r="E446" s="6">
        <f t="shared" si="38"/>
        <v>2024.7900000000104</v>
      </c>
      <c r="F446" s="5"/>
      <c r="G446" s="5"/>
      <c r="H446" s="3"/>
      <c r="I446" s="3"/>
      <c r="J446" s="4">
        <f t="shared" si="39"/>
        <v>29206.905642557336</v>
      </c>
      <c r="K446" s="3"/>
    </row>
    <row r="447" spans="1:11" x14ac:dyDescent="0.2">
      <c r="A447" s="8" t="s">
        <v>1</v>
      </c>
      <c r="B447" s="7" t="s">
        <v>104</v>
      </c>
      <c r="C447" s="3"/>
      <c r="D447" s="3"/>
      <c r="E447" s="6">
        <f t="shared" si="38"/>
        <v>2024.7900000000104</v>
      </c>
      <c r="F447" s="5"/>
      <c r="G447" s="5"/>
      <c r="H447" s="3"/>
      <c r="I447" s="3"/>
      <c r="J447" s="4">
        <f t="shared" si="39"/>
        <v>29206.905642557336</v>
      </c>
      <c r="K447" s="3"/>
    </row>
    <row r="448" spans="1:11" x14ac:dyDescent="0.2">
      <c r="A448" s="8" t="s">
        <v>1</v>
      </c>
      <c r="B448" s="7" t="s">
        <v>103</v>
      </c>
      <c r="C448" s="3"/>
      <c r="D448" s="3"/>
      <c r="E448" s="6">
        <f t="shared" si="38"/>
        <v>2024.7900000000104</v>
      </c>
      <c r="F448" s="5"/>
      <c r="G448" s="5"/>
      <c r="H448" s="3"/>
      <c r="I448" s="3"/>
      <c r="J448" s="4">
        <f t="shared" si="39"/>
        <v>29206.905642557336</v>
      </c>
      <c r="K448" s="3"/>
    </row>
    <row r="449" spans="1:11" x14ac:dyDescent="0.2">
      <c r="A449" s="8" t="s">
        <v>1</v>
      </c>
      <c r="B449" s="7" t="s">
        <v>102</v>
      </c>
      <c r="C449" s="3"/>
      <c r="D449" s="3"/>
      <c r="E449" s="6">
        <f t="shared" si="38"/>
        <v>2024.7900000000104</v>
      </c>
      <c r="F449" s="5"/>
      <c r="G449" s="5"/>
      <c r="H449" s="3"/>
      <c r="I449" s="3"/>
      <c r="J449" s="4">
        <f t="shared" si="39"/>
        <v>29206.905642557336</v>
      </c>
      <c r="K449" s="3"/>
    </row>
    <row r="450" spans="1:11" x14ac:dyDescent="0.2">
      <c r="A450" s="8" t="s">
        <v>1</v>
      </c>
      <c r="B450" s="7" t="s">
        <v>101</v>
      </c>
      <c r="C450" s="3"/>
      <c r="D450" s="3"/>
      <c r="E450" s="6">
        <f t="shared" si="38"/>
        <v>2024.7900000000104</v>
      </c>
      <c r="F450" s="5"/>
      <c r="G450" s="5"/>
      <c r="H450" s="3"/>
      <c r="I450" s="3"/>
      <c r="J450" s="4">
        <f t="shared" si="39"/>
        <v>29206.905642557336</v>
      </c>
      <c r="K450" s="3"/>
    </row>
    <row r="451" spans="1:11" x14ac:dyDescent="0.2">
      <c r="A451" s="8" t="s">
        <v>1</v>
      </c>
      <c r="B451" s="7" t="s">
        <v>100</v>
      </c>
      <c r="C451" s="3"/>
      <c r="D451" s="3"/>
      <c r="E451" s="6">
        <f t="shared" si="38"/>
        <v>2024.7900000000104</v>
      </c>
      <c r="F451" s="5"/>
      <c r="G451" s="5"/>
      <c r="H451" s="3"/>
      <c r="I451" s="3"/>
      <c r="J451" s="4">
        <f t="shared" si="39"/>
        <v>29206.905642557336</v>
      </c>
      <c r="K451" s="3"/>
    </row>
    <row r="452" spans="1:11" x14ac:dyDescent="0.2">
      <c r="A452" s="8" t="s">
        <v>1</v>
      </c>
      <c r="B452" s="7" t="s">
        <v>99</v>
      </c>
      <c r="C452" s="3"/>
      <c r="D452" s="3"/>
      <c r="E452" s="6">
        <f t="shared" si="38"/>
        <v>2024.7900000000104</v>
      </c>
      <c r="F452" s="5"/>
      <c r="G452" s="5"/>
      <c r="H452" s="3"/>
      <c r="I452" s="3"/>
      <c r="J452" s="4">
        <f t="shared" si="39"/>
        <v>29206.905642557336</v>
      </c>
      <c r="K452" s="3"/>
    </row>
    <row r="453" spans="1:11" x14ac:dyDescent="0.2">
      <c r="A453" s="8" t="s">
        <v>1</v>
      </c>
      <c r="B453" s="7" t="s">
        <v>98</v>
      </c>
      <c r="C453" s="3"/>
      <c r="D453" s="3"/>
      <c r="E453" s="6">
        <f t="shared" si="38"/>
        <v>2024.7900000000104</v>
      </c>
      <c r="F453" s="5"/>
      <c r="G453" s="5"/>
      <c r="H453" s="3"/>
      <c r="I453" s="3"/>
      <c r="J453" s="4">
        <f t="shared" si="39"/>
        <v>29206.905642557336</v>
      </c>
      <c r="K453" s="3"/>
    </row>
    <row r="454" spans="1:11" x14ac:dyDescent="0.2">
      <c r="A454" s="8" t="s">
        <v>1</v>
      </c>
      <c r="B454" s="7" t="s">
        <v>97</v>
      </c>
      <c r="C454" s="3"/>
      <c r="D454" s="3"/>
      <c r="E454" s="6">
        <f t="shared" si="38"/>
        <v>2024.7900000000104</v>
      </c>
      <c r="F454" s="5"/>
      <c r="G454" s="5"/>
      <c r="H454" s="3"/>
      <c r="I454" s="3"/>
      <c r="J454" s="4">
        <f t="shared" si="39"/>
        <v>29206.905642557336</v>
      </c>
      <c r="K454" s="3"/>
    </row>
    <row r="455" spans="1:11" x14ac:dyDescent="0.2">
      <c r="A455" s="8" t="s">
        <v>1</v>
      </c>
      <c r="B455" s="7" t="s">
        <v>96</v>
      </c>
      <c r="C455" s="3"/>
      <c r="D455" s="3"/>
      <c r="E455" s="6">
        <f t="shared" si="38"/>
        <v>2024.7900000000104</v>
      </c>
      <c r="F455" s="5"/>
      <c r="G455" s="5"/>
      <c r="H455" s="3"/>
      <c r="I455" s="3"/>
      <c r="J455" s="4">
        <f t="shared" si="39"/>
        <v>29206.905642557336</v>
      </c>
      <c r="K455" s="3"/>
    </row>
    <row r="456" spans="1:11" x14ac:dyDescent="0.2">
      <c r="A456" s="8" t="s">
        <v>1</v>
      </c>
      <c r="B456" s="7" t="s">
        <v>95</v>
      </c>
      <c r="C456" s="3"/>
      <c r="D456" s="3"/>
      <c r="E456" s="6">
        <f t="shared" si="38"/>
        <v>2024.7900000000104</v>
      </c>
      <c r="F456" s="5"/>
      <c r="G456" s="5"/>
      <c r="H456" s="3"/>
      <c r="I456" s="3"/>
      <c r="J456" s="4">
        <f t="shared" si="39"/>
        <v>29206.905642557336</v>
      </c>
      <c r="K456" s="3"/>
    </row>
    <row r="457" spans="1:11" x14ac:dyDescent="0.2">
      <c r="A457" s="8" t="s">
        <v>1</v>
      </c>
      <c r="B457" s="7" t="s">
        <v>94</v>
      </c>
      <c r="C457" s="3"/>
      <c r="D457" s="3"/>
      <c r="E457" s="6">
        <f t="shared" si="38"/>
        <v>2024.7900000000104</v>
      </c>
      <c r="F457" s="5"/>
      <c r="G457" s="5"/>
      <c r="H457" s="3"/>
      <c r="I457" s="3"/>
      <c r="J457" s="4">
        <f t="shared" si="39"/>
        <v>29206.905642557336</v>
      </c>
      <c r="K457" s="3"/>
    </row>
    <row r="458" spans="1:11" x14ac:dyDescent="0.2">
      <c r="A458" s="8" t="s">
        <v>1</v>
      </c>
      <c r="B458" s="7" t="s">
        <v>93</v>
      </c>
      <c r="C458" s="3"/>
      <c r="D458" s="3"/>
      <c r="E458" s="6">
        <f t="shared" si="38"/>
        <v>2024.7900000000104</v>
      </c>
      <c r="F458" s="5"/>
      <c r="G458" s="5"/>
      <c r="H458" s="3"/>
      <c r="I458" s="3"/>
      <c r="J458" s="4">
        <f t="shared" si="39"/>
        <v>29206.905642557336</v>
      </c>
      <c r="K458" s="3"/>
    </row>
    <row r="459" spans="1:11" x14ac:dyDescent="0.2">
      <c r="A459" s="8" t="s">
        <v>1</v>
      </c>
      <c r="B459" s="7" t="s">
        <v>92</v>
      </c>
      <c r="C459" s="3"/>
      <c r="D459" s="3"/>
      <c r="E459" s="6">
        <f t="shared" si="38"/>
        <v>2024.7900000000104</v>
      </c>
      <c r="F459" s="5"/>
      <c r="G459" s="5"/>
      <c r="H459" s="3"/>
      <c r="I459" s="3"/>
      <c r="J459" s="4">
        <f t="shared" si="39"/>
        <v>29206.905642557336</v>
      </c>
      <c r="K459" s="3"/>
    </row>
    <row r="460" spans="1:11" x14ac:dyDescent="0.2">
      <c r="A460" s="8" t="s">
        <v>1</v>
      </c>
      <c r="B460" s="7" t="s">
        <v>91</v>
      </c>
      <c r="C460" s="3"/>
      <c r="D460" s="3"/>
      <c r="E460" s="6">
        <f t="shared" si="38"/>
        <v>2024.7900000000104</v>
      </c>
      <c r="F460" s="5"/>
      <c r="G460" s="5"/>
      <c r="H460" s="3"/>
      <c r="I460" s="3"/>
      <c r="J460" s="4">
        <f t="shared" si="39"/>
        <v>29206.905642557336</v>
      </c>
      <c r="K460" s="3"/>
    </row>
    <row r="461" spans="1:11" x14ac:dyDescent="0.2">
      <c r="A461" s="8" t="s">
        <v>1</v>
      </c>
      <c r="B461" s="7" t="s">
        <v>90</v>
      </c>
      <c r="C461" s="3"/>
      <c r="D461" s="3"/>
      <c r="E461" s="6">
        <f t="shared" si="38"/>
        <v>2024.7900000000104</v>
      </c>
      <c r="F461" s="5"/>
      <c r="G461" s="5"/>
      <c r="H461" s="3"/>
      <c r="I461" s="3"/>
      <c r="J461" s="4">
        <f t="shared" si="39"/>
        <v>29206.905642557336</v>
      </c>
      <c r="K461" s="3"/>
    </row>
    <row r="462" spans="1:11" x14ac:dyDescent="0.2">
      <c r="A462" s="8" t="s">
        <v>1</v>
      </c>
      <c r="B462" s="7" t="s">
        <v>89</v>
      </c>
      <c r="C462" s="3"/>
      <c r="D462" s="3"/>
      <c r="E462" s="6">
        <f t="shared" si="38"/>
        <v>2024.7900000000104</v>
      </c>
      <c r="F462" s="5"/>
      <c r="G462" s="5"/>
      <c r="H462" s="3"/>
      <c r="I462" s="3"/>
      <c r="J462" s="4">
        <f t="shared" si="39"/>
        <v>29206.905642557336</v>
      </c>
      <c r="K462" s="3"/>
    </row>
    <row r="463" spans="1:11" x14ac:dyDescent="0.2">
      <c r="A463" s="8" t="s">
        <v>1</v>
      </c>
      <c r="B463" s="7" t="s">
        <v>88</v>
      </c>
      <c r="C463" s="3"/>
      <c r="D463" s="3"/>
      <c r="E463" s="6">
        <f t="shared" si="38"/>
        <v>2024.7900000000104</v>
      </c>
      <c r="F463" s="5"/>
      <c r="G463" s="5"/>
      <c r="H463" s="3"/>
      <c r="I463" s="3"/>
      <c r="J463" s="4">
        <f t="shared" si="39"/>
        <v>29206.905642557336</v>
      </c>
      <c r="K463" s="3"/>
    </row>
    <row r="464" spans="1:11" x14ac:dyDescent="0.2">
      <c r="A464" s="8" t="s">
        <v>1</v>
      </c>
      <c r="B464" s="7" t="s">
        <v>87</v>
      </c>
      <c r="C464" s="3"/>
      <c r="D464" s="3"/>
      <c r="E464" s="6">
        <f t="shared" si="38"/>
        <v>2024.7900000000104</v>
      </c>
      <c r="F464" s="5"/>
      <c r="G464" s="5"/>
      <c r="H464" s="3"/>
      <c r="I464" s="3"/>
      <c r="J464" s="4">
        <f t="shared" si="39"/>
        <v>29206.905642557336</v>
      </c>
      <c r="K464" s="3"/>
    </row>
    <row r="465" spans="1:11" x14ac:dyDescent="0.2">
      <c r="A465" s="8" t="s">
        <v>1</v>
      </c>
      <c r="B465" s="7" t="s">
        <v>86</v>
      </c>
      <c r="C465" s="3"/>
      <c r="D465" s="3"/>
      <c r="E465" s="6">
        <f t="shared" si="38"/>
        <v>2024.7900000000104</v>
      </c>
      <c r="F465" s="5"/>
      <c r="G465" s="5"/>
      <c r="H465" s="3"/>
      <c r="I465" s="3"/>
      <c r="J465" s="4">
        <f t="shared" si="39"/>
        <v>29206.905642557336</v>
      </c>
      <c r="K465" s="3"/>
    </row>
    <row r="466" spans="1:11" x14ac:dyDescent="0.2">
      <c r="A466" s="8" t="s">
        <v>1</v>
      </c>
      <c r="B466" s="7" t="s">
        <v>85</v>
      </c>
      <c r="C466" s="3"/>
      <c r="D466" s="3"/>
      <c r="E466" s="6">
        <f t="shared" si="38"/>
        <v>2024.7900000000104</v>
      </c>
      <c r="F466" s="5"/>
      <c r="G466" s="5"/>
      <c r="H466" s="3"/>
      <c r="I466" s="3"/>
      <c r="J466" s="4">
        <f t="shared" si="39"/>
        <v>29206.905642557336</v>
      </c>
      <c r="K466" s="3"/>
    </row>
    <row r="467" spans="1:11" x14ac:dyDescent="0.2">
      <c r="A467" s="8" t="s">
        <v>1</v>
      </c>
      <c r="B467" s="7" t="s">
        <v>84</v>
      </c>
      <c r="C467" s="3"/>
      <c r="D467" s="3"/>
      <c r="E467" s="6">
        <f t="shared" si="38"/>
        <v>2024.7900000000104</v>
      </c>
      <c r="F467" s="5"/>
      <c r="G467" s="5"/>
      <c r="H467" s="3"/>
      <c r="I467" s="3"/>
      <c r="J467" s="4">
        <f t="shared" si="39"/>
        <v>29206.905642557336</v>
      </c>
      <c r="K467" s="3"/>
    </row>
    <row r="468" spans="1:11" x14ac:dyDescent="0.2">
      <c r="A468" s="8" t="s">
        <v>1</v>
      </c>
      <c r="B468" s="7" t="s">
        <v>83</v>
      </c>
      <c r="C468" s="3"/>
      <c r="D468" s="3"/>
      <c r="E468" s="6">
        <f t="shared" si="38"/>
        <v>2024.7900000000104</v>
      </c>
      <c r="F468" s="5"/>
      <c r="G468" s="5"/>
      <c r="H468" s="3"/>
      <c r="I468" s="3"/>
      <c r="J468" s="4">
        <f t="shared" si="39"/>
        <v>29206.905642557336</v>
      </c>
      <c r="K468" s="3"/>
    </row>
    <row r="469" spans="1:11" x14ac:dyDescent="0.2">
      <c r="A469" s="8" t="s">
        <v>1</v>
      </c>
      <c r="B469" s="7" t="s">
        <v>82</v>
      </c>
      <c r="C469" s="3"/>
      <c r="D469" s="3"/>
      <c r="E469" s="6">
        <f t="shared" si="38"/>
        <v>2024.7900000000104</v>
      </c>
      <c r="F469" s="5"/>
      <c r="G469" s="5"/>
      <c r="H469" s="3"/>
      <c r="I469" s="3"/>
      <c r="J469" s="4">
        <f t="shared" si="39"/>
        <v>29206.905642557336</v>
      </c>
      <c r="K469" s="3"/>
    </row>
    <row r="470" spans="1:11" x14ac:dyDescent="0.2">
      <c r="A470" s="8" t="s">
        <v>1</v>
      </c>
      <c r="B470" s="7" t="s">
        <v>81</v>
      </c>
      <c r="C470" s="3"/>
      <c r="D470" s="3"/>
      <c r="E470" s="6">
        <f t="shared" si="38"/>
        <v>2024.7900000000104</v>
      </c>
      <c r="F470" s="5"/>
      <c r="G470" s="5"/>
      <c r="H470" s="3"/>
      <c r="I470" s="3"/>
      <c r="J470" s="4">
        <f t="shared" si="39"/>
        <v>29206.905642557336</v>
      </c>
      <c r="K470" s="3"/>
    </row>
    <row r="471" spans="1:11" x14ac:dyDescent="0.2">
      <c r="A471" s="8" t="s">
        <v>1</v>
      </c>
      <c r="B471" s="7" t="s">
        <v>80</v>
      </c>
      <c r="C471" s="3"/>
      <c r="D471" s="3"/>
      <c r="E471" s="6">
        <f t="shared" si="38"/>
        <v>2024.7900000000104</v>
      </c>
      <c r="F471" s="5"/>
      <c r="G471" s="5"/>
      <c r="H471" s="3"/>
      <c r="I471" s="3"/>
      <c r="J471" s="4">
        <f t="shared" si="39"/>
        <v>29206.905642557336</v>
      </c>
      <c r="K471" s="3"/>
    </row>
    <row r="472" spans="1:11" x14ac:dyDescent="0.2">
      <c r="A472" s="8" t="s">
        <v>1</v>
      </c>
      <c r="B472" s="7" t="s">
        <v>79</v>
      </c>
      <c r="C472" s="3"/>
      <c r="D472" s="3"/>
      <c r="E472" s="6">
        <f t="shared" si="38"/>
        <v>2024.7900000000104</v>
      </c>
      <c r="F472" s="5"/>
      <c r="G472" s="5"/>
      <c r="H472" s="3"/>
      <c r="I472" s="3"/>
      <c r="J472" s="4">
        <f t="shared" si="39"/>
        <v>29206.905642557336</v>
      </c>
      <c r="K472" s="3"/>
    </row>
    <row r="473" spans="1:11" x14ac:dyDescent="0.2">
      <c r="A473" s="8" t="s">
        <v>1</v>
      </c>
      <c r="B473" s="7" t="s">
        <v>78</v>
      </c>
      <c r="C473" s="3"/>
      <c r="D473" s="3"/>
      <c r="E473" s="6">
        <f t="shared" si="38"/>
        <v>2024.7900000000104</v>
      </c>
      <c r="F473" s="5"/>
      <c r="G473" s="5"/>
      <c r="H473" s="3"/>
      <c r="I473" s="3"/>
      <c r="J473" s="4">
        <f t="shared" si="39"/>
        <v>29206.905642557336</v>
      </c>
      <c r="K473" s="3"/>
    </row>
    <row r="474" spans="1:11" x14ac:dyDescent="0.2">
      <c r="A474" s="8" t="s">
        <v>1</v>
      </c>
      <c r="B474" s="7" t="s">
        <v>77</v>
      </c>
      <c r="C474" s="3"/>
      <c r="D474" s="3"/>
      <c r="E474" s="6">
        <f t="shared" si="38"/>
        <v>2024.7900000000104</v>
      </c>
      <c r="F474" s="5"/>
      <c r="G474" s="5"/>
      <c r="H474" s="3"/>
      <c r="I474" s="3"/>
      <c r="J474" s="4">
        <f t="shared" si="39"/>
        <v>29206.905642557336</v>
      </c>
      <c r="K474" s="3"/>
    </row>
    <row r="475" spans="1:11" x14ac:dyDescent="0.2">
      <c r="A475" s="8" t="s">
        <v>1</v>
      </c>
      <c r="B475" s="7" t="s">
        <v>76</v>
      </c>
      <c r="C475" s="3"/>
      <c r="D475" s="3"/>
      <c r="E475" s="6">
        <f t="shared" si="38"/>
        <v>2024.7900000000104</v>
      </c>
      <c r="F475" s="5"/>
      <c r="G475" s="5"/>
      <c r="H475" s="3"/>
      <c r="I475" s="3"/>
      <c r="J475" s="4">
        <f t="shared" si="39"/>
        <v>29206.905642557336</v>
      </c>
      <c r="K475" s="3"/>
    </row>
    <row r="476" spans="1:11" x14ac:dyDescent="0.2">
      <c r="A476" s="8" t="s">
        <v>1</v>
      </c>
      <c r="B476" s="7" t="s">
        <v>75</v>
      </c>
      <c r="C476" s="3"/>
      <c r="D476" s="3"/>
      <c r="E476" s="6">
        <f t="shared" si="38"/>
        <v>2024.7900000000104</v>
      </c>
      <c r="F476" s="5"/>
      <c r="G476" s="5"/>
      <c r="H476" s="3"/>
      <c r="I476" s="3"/>
      <c r="J476" s="4">
        <f t="shared" si="39"/>
        <v>29206.905642557336</v>
      </c>
      <c r="K476" s="3"/>
    </row>
    <row r="477" spans="1:11" x14ac:dyDescent="0.2">
      <c r="A477" s="8" t="s">
        <v>1</v>
      </c>
      <c r="B477" s="7" t="s">
        <v>74</v>
      </c>
      <c r="C477" s="3"/>
      <c r="D477" s="3"/>
      <c r="E477" s="6">
        <f t="shared" si="38"/>
        <v>2024.7900000000104</v>
      </c>
      <c r="F477" s="5"/>
      <c r="G477" s="5"/>
      <c r="H477" s="3"/>
      <c r="I477" s="3"/>
      <c r="J477" s="4">
        <f t="shared" si="39"/>
        <v>29206.905642557336</v>
      </c>
      <c r="K477" s="3"/>
    </row>
    <row r="478" spans="1:11" x14ac:dyDescent="0.2">
      <c r="A478" s="8" t="s">
        <v>1</v>
      </c>
      <c r="B478" s="7" t="s">
        <v>73</v>
      </c>
      <c r="C478" s="3"/>
      <c r="D478" s="3"/>
      <c r="E478" s="6">
        <f t="shared" si="38"/>
        <v>2024.7900000000104</v>
      </c>
      <c r="F478" s="5"/>
      <c r="G478" s="5"/>
      <c r="H478" s="3"/>
      <c r="I478" s="3"/>
      <c r="J478" s="4">
        <f t="shared" si="39"/>
        <v>29206.905642557336</v>
      </c>
      <c r="K478" s="3"/>
    </row>
    <row r="479" spans="1:11" x14ac:dyDescent="0.2">
      <c r="A479" s="8" t="s">
        <v>1</v>
      </c>
      <c r="B479" s="7" t="s">
        <v>72</v>
      </c>
      <c r="C479" s="3"/>
      <c r="D479" s="3"/>
      <c r="E479" s="6">
        <f t="shared" si="38"/>
        <v>2024.7900000000104</v>
      </c>
      <c r="F479" s="5"/>
      <c r="G479" s="5"/>
      <c r="H479" s="3"/>
      <c r="I479" s="3"/>
      <c r="J479" s="4">
        <f t="shared" si="39"/>
        <v>29206.905642557336</v>
      </c>
      <c r="K479" s="3"/>
    </row>
    <row r="480" spans="1:11" x14ac:dyDescent="0.2">
      <c r="A480" s="8" t="s">
        <v>1</v>
      </c>
      <c r="B480" s="7" t="s">
        <v>71</v>
      </c>
      <c r="C480" s="3"/>
      <c r="D480" s="3"/>
      <c r="E480" s="6">
        <f t="shared" si="38"/>
        <v>2024.7900000000104</v>
      </c>
      <c r="F480" s="5"/>
      <c r="G480" s="5"/>
      <c r="H480" s="3"/>
      <c r="I480" s="3"/>
      <c r="J480" s="4">
        <f t="shared" si="39"/>
        <v>29206.905642557336</v>
      </c>
      <c r="K480" s="3"/>
    </row>
    <row r="481" spans="1:11" x14ac:dyDescent="0.2">
      <c r="A481" s="8" t="s">
        <v>1</v>
      </c>
      <c r="B481" s="7" t="s">
        <v>70</v>
      </c>
      <c r="C481" s="3"/>
      <c r="D481" s="3"/>
      <c r="E481" s="6">
        <f t="shared" si="38"/>
        <v>2024.7900000000104</v>
      </c>
      <c r="F481" s="5"/>
      <c r="G481" s="5"/>
      <c r="H481" s="3"/>
      <c r="I481" s="3"/>
      <c r="J481" s="4">
        <f t="shared" si="39"/>
        <v>29206.905642557336</v>
      </c>
      <c r="K481" s="3"/>
    </row>
    <row r="482" spans="1:11" x14ac:dyDescent="0.2">
      <c r="A482" s="8" t="s">
        <v>1</v>
      </c>
      <c r="B482" s="7" t="s">
        <v>69</v>
      </c>
      <c r="C482" s="3"/>
      <c r="D482" s="3"/>
      <c r="E482" s="6">
        <f t="shared" si="38"/>
        <v>2024.7900000000104</v>
      </c>
      <c r="F482" s="5"/>
      <c r="G482" s="5"/>
      <c r="H482" s="3"/>
      <c r="I482" s="3"/>
      <c r="J482" s="4">
        <f t="shared" si="39"/>
        <v>29206.905642557336</v>
      </c>
      <c r="K482" s="3"/>
    </row>
    <row r="483" spans="1:11" x14ac:dyDescent="0.2">
      <c r="A483" s="8" t="s">
        <v>1</v>
      </c>
      <c r="B483" s="7" t="s">
        <v>68</v>
      </c>
      <c r="C483" s="3"/>
      <c r="D483" s="3"/>
      <c r="E483" s="6">
        <f t="shared" si="38"/>
        <v>2024.7900000000104</v>
      </c>
      <c r="F483" s="5"/>
      <c r="G483" s="5"/>
      <c r="H483" s="3"/>
      <c r="I483" s="3"/>
      <c r="J483" s="4">
        <f t="shared" si="39"/>
        <v>29206.905642557336</v>
      </c>
      <c r="K483" s="3"/>
    </row>
    <row r="484" spans="1:11" x14ac:dyDescent="0.2">
      <c r="A484" s="8" t="s">
        <v>1</v>
      </c>
      <c r="B484" s="7" t="s">
        <v>67</v>
      </c>
      <c r="C484" s="3"/>
      <c r="D484" s="3"/>
      <c r="E484" s="6">
        <f t="shared" si="38"/>
        <v>2024.7900000000104</v>
      </c>
      <c r="F484" s="5"/>
      <c r="G484" s="5"/>
      <c r="H484" s="3"/>
      <c r="I484" s="3"/>
      <c r="J484" s="4">
        <f t="shared" si="39"/>
        <v>29206.905642557336</v>
      </c>
      <c r="K484" s="3"/>
    </row>
    <row r="485" spans="1:11" x14ac:dyDescent="0.2">
      <c r="A485" s="8" t="s">
        <v>1</v>
      </c>
      <c r="B485" s="7" t="s">
        <v>66</v>
      </c>
      <c r="C485" s="3"/>
      <c r="D485" s="3"/>
      <c r="E485" s="6">
        <f t="shared" si="38"/>
        <v>2024.7900000000104</v>
      </c>
      <c r="F485" s="5"/>
      <c r="G485" s="5"/>
      <c r="H485" s="3"/>
      <c r="I485" s="3"/>
      <c r="J485" s="4">
        <f t="shared" si="39"/>
        <v>29206.905642557336</v>
      </c>
      <c r="K485" s="3"/>
    </row>
    <row r="486" spans="1:11" x14ac:dyDescent="0.2">
      <c r="A486" s="8" t="s">
        <v>1</v>
      </c>
      <c r="B486" s="7" t="s">
        <v>65</v>
      </c>
      <c r="C486" s="3"/>
      <c r="D486" s="3"/>
      <c r="E486" s="6">
        <f t="shared" si="38"/>
        <v>2024.7900000000104</v>
      </c>
      <c r="F486" s="5"/>
      <c r="G486" s="5"/>
      <c r="H486" s="3"/>
      <c r="I486" s="3"/>
      <c r="J486" s="4">
        <f t="shared" si="39"/>
        <v>29206.905642557336</v>
      </c>
      <c r="K486" s="3"/>
    </row>
    <row r="487" spans="1:11" x14ac:dyDescent="0.2">
      <c r="A487" s="8" t="s">
        <v>1</v>
      </c>
      <c r="B487" s="7" t="s">
        <v>64</v>
      </c>
      <c r="C487" s="3"/>
      <c r="D487" s="3"/>
      <c r="E487" s="6">
        <f t="shared" si="38"/>
        <v>2024.7900000000104</v>
      </c>
      <c r="F487" s="5"/>
      <c r="G487" s="5"/>
      <c r="H487" s="3"/>
      <c r="I487" s="3"/>
      <c r="J487" s="4">
        <f t="shared" si="39"/>
        <v>29206.905642557336</v>
      </c>
      <c r="K487" s="3"/>
    </row>
    <row r="488" spans="1:11" x14ac:dyDescent="0.2">
      <c r="A488" s="8" t="s">
        <v>1</v>
      </c>
      <c r="B488" s="7" t="s">
        <v>63</v>
      </c>
      <c r="C488" s="3"/>
      <c r="D488" s="3"/>
      <c r="E488" s="6">
        <f t="shared" si="38"/>
        <v>2024.7900000000104</v>
      </c>
      <c r="F488" s="5"/>
      <c r="G488" s="5"/>
      <c r="H488" s="3"/>
      <c r="I488" s="3"/>
      <c r="J488" s="4">
        <f t="shared" si="39"/>
        <v>29206.905642557336</v>
      </c>
      <c r="K488" s="3"/>
    </row>
    <row r="489" spans="1:11" x14ac:dyDescent="0.2">
      <c r="A489" s="8" t="s">
        <v>1</v>
      </c>
      <c r="B489" s="7" t="s">
        <v>62</v>
      </c>
      <c r="C489" s="3"/>
      <c r="D489" s="3"/>
      <c r="E489" s="6">
        <f t="shared" si="38"/>
        <v>2024.7900000000104</v>
      </c>
      <c r="F489" s="5"/>
      <c r="G489" s="5"/>
      <c r="H489" s="3"/>
      <c r="I489" s="3"/>
      <c r="J489" s="4">
        <f t="shared" si="39"/>
        <v>29206.905642557336</v>
      </c>
      <c r="K489" s="3"/>
    </row>
    <row r="490" spans="1:11" x14ac:dyDescent="0.2">
      <c r="A490" s="8" t="s">
        <v>1</v>
      </c>
      <c r="B490" s="7" t="s">
        <v>61</v>
      </c>
      <c r="C490" s="3"/>
      <c r="D490" s="3"/>
      <c r="E490" s="6">
        <f t="shared" si="38"/>
        <v>2024.7900000000104</v>
      </c>
      <c r="F490" s="5"/>
      <c r="G490" s="5"/>
      <c r="H490" s="3"/>
      <c r="I490" s="3"/>
      <c r="J490" s="4">
        <f t="shared" si="39"/>
        <v>29206.905642557336</v>
      </c>
      <c r="K490" s="3"/>
    </row>
    <row r="491" spans="1:11" x14ac:dyDescent="0.2">
      <c r="A491" s="8" t="s">
        <v>1</v>
      </c>
      <c r="B491" s="7" t="s">
        <v>60</v>
      </c>
      <c r="C491" s="3"/>
      <c r="D491" s="3"/>
      <c r="E491" s="6">
        <f t="shared" si="38"/>
        <v>2024.7900000000104</v>
      </c>
      <c r="F491" s="5"/>
      <c r="G491" s="5"/>
      <c r="H491" s="3"/>
      <c r="I491" s="3"/>
      <c r="J491" s="4">
        <f t="shared" si="39"/>
        <v>29206.905642557336</v>
      </c>
      <c r="K491" s="3"/>
    </row>
    <row r="492" spans="1:11" x14ac:dyDescent="0.2">
      <c r="A492" s="8" t="s">
        <v>1</v>
      </c>
      <c r="B492" s="7" t="s">
        <v>59</v>
      </c>
      <c r="C492" s="3"/>
      <c r="D492" s="3"/>
      <c r="E492" s="6">
        <f t="shared" si="38"/>
        <v>2024.7900000000104</v>
      </c>
      <c r="F492" s="5"/>
      <c r="G492" s="5"/>
      <c r="H492" s="3"/>
      <c r="I492" s="3"/>
      <c r="J492" s="4">
        <f t="shared" si="39"/>
        <v>29206.905642557336</v>
      </c>
      <c r="K492" s="3"/>
    </row>
    <row r="493" spans="1:11" x14ac:dyDescent="0.2">
      <c r="A493" s="8" t="s">
        <v>1</v>
      </c>
      <c r="B493" s="7" t="s">
        <v>58</v>
      </c>
      <c r="C493" s="3"/>
      <c r="D493" s="3"/>
      <c r="E493" s="6">
        <f t="shared" si="38"/>
        <v>2024.7900000000104</v>
      </c>
      <c r="F493" s="5"/>
      <c r="G493" s="5"/>
      <c r="H493" s="3"/>
      <c r="I493" s="3"/>
      <c r="J493" s="4">
        <f t="shared" si="39"/>
        <v>29206.905642557336</v>
      </c>
      <c r="K493" s="3"/>
    </row>
    <row r="494" spans="1:11" x14ac:dyDescent="0.2">
      <c r="A494" s="8" t="s">
        <v>1</v>
      </c>
      <c r="B494" s="7" t="s">
        <v>57</v>
      </c>
      <c r="C494" s="3"/>
      <c r="D494" s="3"/>
      <c r="E494" s="6">
        <f t="shared" ref="E494:E557" si="40">E493-D494</f>
        <v>2024.7900000000104</v>
      </c>
      <c r="F494" s="5"/>
      <c r="G494" s="5"/>
      <c r="H494" s="3"/>
      <c r="I494" s="3"/>
      <c r="J494" s="4">
        <f t="shared" ref="J494:J557" si="41">J493-I494</f>
        <v>29206.905642557336</v>
      </c>
      <c r="K494" s="3"/>
    </row>
    <row r="495" spans="1:11" x14ac:dyDescent="0.2">
      <c r="A495" s="8" t="s">
        <v>1</v>
      </c>
      <c r="B495" s="7" t="s">
        <v>56</v>
      </c>
      <c r="C495" s="3"/>
      <c r="D495" s="3"/>
      <c r="E495" s="6">
        <f t="shared" si="40"/>
        <v>2024.7900000000104</v>
      </c>
      <c r="F495" s="5"/>
      <c r="G495" s="5"/>
      <c r="H495" s="3"/>
      <c r="I495" s="3"/>
      <c r="J495" s="4">
        <f t="shared" si="41"/>
        <v>29206.905642557336</v>
      </c>
      <c r="K495" s="3"/>
    </row>
    <row r="496" spans="1:11" x14ac:dyDescent="0.2">
      <c r="A496" s="8" t="s">
        <v>1</v>
      </c>
      <c r="B496" s="7" t="s">
        <v>55</v>
      </c>
      <c r="C496" s="3"/>
      <c r="D496" s="3"/>
      <c r="E496" s="6">
        <f t="shared" si="40"/>
        <v>2024.7900000000104</v>
      </c>
      <c r="F496" s="5"/>
      <c r="G496" s="5"/>
      <c r="H496" s="3"/>
      <c r="I496" s="3"/>
      <c r="J496" s="4">
        <f t="shared" si="41"/>
        <v>29206.905642557336</v>
      </c>
      <c r="K496" s="3"/>
    </row>
    <row r="497" spans="1:11" x14ac:dyDescent="0.2">
      <c r="A497" s="8" t="s">
        <v>1</v>
      </c>
      <c r="B497" s="7" t="s">
        <v>54</v>
      </c>
      <c r="C497" s="3"/>
      <c r="D497" s="3"/>
      <c r="E497" s="6">
        <f t="shared" si="40"/>
        <v>2024.7900000000104</v>
      </c>
      <c r="F497" s="5"/>
      <c r="G497" s="5"/>
      <c r="H497" s="3"/>
      <c r="I497" s="3"/>
      <c r="J497" s="4">
        <f t="shared" si="41"/>
        <v>29206.905642557336</v>
      </c>
      <c r="K497" s="3"/>
    </row>
    <row r="498" spans="1:11" x14ac:dyDescent="0.2">
      <c r="A498" s="8" t="s">
        <v>1</v>
      </c>
      <c r="B498" s="7" t="s">
        <v>53</v>
      </c>
      <c r="C498" s="3"/>
      <c r="D498" s="3"/>
      <c r="E498" s="6">
        <f t="shared" si="40"/>
        <v>2024.7900000000104</v>
      </c>
      <c r="F498" s="5"/>
      <c r="G498" s="5"/>
      <c r="H498" s="3"/>
      <c r="I498" s="3"/>
      <c r="J498" s="4">
        <f t="shared" si="41"/>
        <v>29206.905642557336</v>
      </c>
      <c r="K498" s="3"/>
    </row>
    <row r="499" spans="1:11" x14ac:dyDescent="0.2">
      <c r="A499" s="8" t="s">
        <v>1</v>
      </c>
      <c r="B499" s="7" t="s">
        <v>52</v>
      </c>
      <c r="C499" s="3"/>
      <c r="D499" s="3"/>
      <c r="E499" s="6">
        <f t="shared" si="40"/>
        <v>2024.7900000000104</v>
      </c>
      <c r="F499" s="5"/>
      <c r="G499" s="5"/>
      <c r="H499" s="3"/>
      <c r="I499" s="3"/>
      <c r="J499" s="4">
        <f t="shared" si="41"/>
        <v>29206.905642557336</v>
      </c>
      <c r="K499" s="3"/>
    </row>
    <row r="500" spans="1:11" x14ac:dyDescent="0.2">
      <c r="A500" s="8" t="s">
        <v>1</v>
      </c>
      <c r="B500" s="7" t="s">
        <v>51</v>
      </c>
      <c r="C500" s="3"/>
      <c r="D500" s="3"/>
      <c r="E500" s="6">
        <f t="shared" si="40"/>
        <v>2024.7900000000104</v>
      </c>
      <c r="F500" s="5"/>
      <c r="G500" s="5"/>
      <c r="H500" s="3"/>
      <c r="I500" s="3"/>
      <c r="J500" s="4">
        <f t="shared" si="41"/>
        <v>29206.905642557336</v>
      </c>
      <c r="K500" s="3"/>
    </row>
    <row r="501" spans="1:11" x14ac:dyDescent="0.2">
      <c r="A501" s="8" t="s">
        <v>1</v>
      </c>
      <c r="B501" s="7" t="s">
        <v>50</v>
      </c>
      <c r="C501" s="3"/>
      <c r="D501" s="3"/>
      <c r="E501" s="6">
        <f t="shared" si="40"/>
        <v>2024.7900000000104</v>
      </c>
      <c r="F501" s="5"/>
      <c r="G501" s="5"/>
      <c r="H501" s="3"/>
      <c r="I501" s="3"/>
      <c r="J501" s="4">
        <f t="shared" si="41"/>
        <v>29206.905642557336</v>
      </c>
      <c r="K501" s="3"/>
    </row>
    <row r="502" spans="1:11" x14ac:dyDescent="0.2">
      <c r="A502" s="8" t="s">
        <v>1</v>
      </c>
      <c r="B502" s="7" t="s">
        <v>49</v>
      </c>
      <c r="C502" s="3"/>
      <c r="D502" s="3"/>
      <c r="E502" s="6">
        <f t="shared" si="40"/>
        <v>2024.7900000000104</v>
      </c>
      <c r="F502" s="5"/>
      <c r="G502" s="5"/>
      <c r="H502" s="3"/>
      <c r="I502" s="3"/>
      <c r="J502" s="4">
        <f t="shared" si="41"/>
        <v>29206.905642557336</v>
      </c>
      <c r="K502" s="3"/>
    </row>
    <row r="503" spans="1:11" x14ac:dyDescent="0.2">
      <c r="A503" s="8" t="s">
        <v>1</v>
      </c>
      <c r="B503" s="7" t="s">
        <v>48</v>
      </c>
      <c r="C503" s="3"/>
      <c r="D503" s="3"/>
      <c r="E503" s="6">
        <f t="shared" si="40"/>
        <v>2024.7900000000104</v>
      </c>
      <c r="F503" s="5"/>
      <c r="G503" s="5"/>
      <c r="H503" s="3"/>
      <c r="I503" s="3"/>
      <c r="J503" s="4">
        <f t="shared" si="41"/>
        <v>29206.905642557336</v>
      </c>
      <c r="K503" s="3"/>
    </row>
    <row r="504" spans="1:11" x14ac:dyDescent="0.2">
      <c r="A504" s="8" t="s">
        <v>1</v>
      </c>
      <c r="B504" s="7" t="s">
        <v>47</v>
      </c>
      <c r="C504" s="3"/>
      <c r="D504" s="3"/>
      <c r="E504" s="6">
        <f t="shared" si="40"/>
        <v>2024.7900000000104</v>
      </c>
      <c r="F504" s="5"/>
      <c r="G504" s="5"/>
      <c r="H504" s="3"/>
      <c r="I504" s="3"/>
      <c r="J504" s="4">
        <f t="shared" si="41"/>
        <v>29206.905642557336</v>
      </c>
      <c r="K504" s="3"/>
    </row>
    <row r="505" spans="1:11" x14ac:dyDescent="0.2">
      <c r="A505" s="8" t="s">
        <v>1</v>
      </c>
      <c r="B505" s="7" t="s">
        <v>46</v>
      </c>
      <c r="C505" s="3"/>
      <c r="D505" s="3"/>
      <c r="E505" s="6">
        <f t="shared" si="40"/>
        <v>2024.7900000000104</v>
      </c>
      <c r="F505" s="5"/>
      <c r="G505" s="5"/>
      <c r="H505" s="3"/>
      <c r="I505" s="3"/>
      <c r="J505" s="4">
        <f t="shared" si="41"/>
        <v>29206.905642557336</v>
      </c>
      <c r="K505" s="3"/>
    </row>
    <row r="506" spans="1:11" x14ac:dyDescent="0.2">
      <c r="A506" s="8" t="s">
        <v>1</v>
      </c>
      <c r="B506" s="7" t="s">
        <v>45</v>
      </c>
      <c r="C506" s="3"/>
      <c r="D506" s="3"/>
      <c r="E506" s="6">
        <f t="shared" si="40"/>
        <v>2024.7900000000104</v>
      </c>
      <c r="F506" s="5"/>
      <c r="G506" s="5"/>
      <c r="H506" s="3"/>
      <c r="I506" s="3"/>
      <c r="J506" s="4">
        <f t="shared" si="41"/>
        <v>29206.905642557336</v>
      </c>
      <c r="K506" s="3"/>
    </row>
    <row r="507" spans="1:11" x14ac:dyDescent="0.2">
      <c r="A507" s="8" t="s">
        <v>1</v>
      </c>
      <c r="B507" s="7" t="s">
        <v>44</v>
      </c>
      <c r="C507" s="3"/>
      <c r="D507" s="3"/>
      <c r="E507" s="6">
        <f t="shared" si="40"/>
        <v>2024.7900000000104</v>
      </c>
      <c r="F507" s="5"/>
      <c r="G507" s="5"/>
      <c r="H507" s="3"/>
      <c r="I507" s="3"/>
      <c r="J507" s="4">
        <f t="shared" si="41"/>
        <v>29206.905642557336</v>
      </c>
      <c r="K507" s="3"/>
    </row>
    <row r="508" spans="1:11" x14ac:dyDescent="0.2">
      <c r="A508" s="8" t="s">
        <v>1</v>
      </c>
      <c r="B508" s="7" t="s">
        <v>43</v>
      </c>
      <c r="C508" s="3"/>
      <c r="D508" s="3"/>
      <c r="E508" s="6">
        <f t="shared" si="40"/>
        <v>2024.7900000000104</v>
      </c>
      <c r="F508" s="5"/>
      <c r="G508" s="5"/>
      <c r="H508" s="3"/>
      <c r="I508" s="3"/>
      <c r="J508" s="4">
        <f t="shared" si="41"/>
        <v>29206.905642557336</v>
      </c>
      <c r="K508" s="3"/>
    </row>
    <row r="509" spans="1:11" x14ac:dyDescent="0.2">
      <c r="A509" s="8" t="s">
        <v>1</v>
      </c>
      <c r="B509" s="7" t="s">
        <v>42</v>
      </c>
      <c r="C509" s="3"/>
      <c r="D509" s="3"/>
      <c r="E509" s="6">
        <f t="shared" si="40"/>
        <v>2024.7900000000104</v>
      </c>
      <c r="F509" s="5"/>
      <c r="G509" s="5"/>
      <c r="H509" s="3"/>
      <c r="I509" s="3"/>
      <c r="J509" s="4">
        <f t="shared" si="41"/>
        <v>29206.905642557336</v>
      </c>
      <c r="K509" s="3"/>
    </row>
    <row r="510" spans="1:11" x14ac:dyDescent="0.2">
      <c r="A510" s="8" t="s">
        <v>1</v>
      </c>
      <c r="B510" s="7" t="s">
        <v>41</v>
      </c>
      <c r="C510" s="3"/>
      <c r="D510" s="3"/>
      <c r="E510" s="6">
        <f t="shared" si="40"/>
        <v>2024.7900000000104</v>
      </c>
      <c r="F510" s="5"/>
      <c r="G510" s="5"/>
      <c r="H510" s="3"/>
      <c r="I510" s="3"/>
      <c r="J510" s="4">
        <f t="shared" si="41"/>
        <v>29206.905642557336</v>
      </c>
      <c r="K510" s="3"/>
    </row>
    <row r="511" spans="1:11" x14ac:dyDescent="0.2">
      <c r="A511" s="8" t="s">
        <v>1</v>
      </c>
      <c r="B511" s="7" t="s">
        <v>40</v>
      </c>
      <c r="C511" s="3"/>
      <c r="D511" s="3"/>
      <c r="E511" s="6">
        <f t="shared" si="40"/>
        <v>2024.7900000000104</v>
      </c>
      <c r="F511" s="5"/>
      <c r="G511" s="5"/>
      <c r="H511" s="3"/>
      <c r="I511" s="3"/>
      <c r="J511" s="4">
        <f t="shared" si="41"/>
        <v>29206.905642557336</v>
      </c>
      <c r="K511" s="3"/>
    </row>
    <row r="512" spans="1:11" x14ac:dyDescent="0.2">
      <c r="A512" s="8" t="s">
        <v>1</v>
      </c>
      <c r="B512" s="7" t="s">
        <v>39</v>
      </c>
      <c r="C512" s="3"/>
      <c r="D512" s="3"/>
      <c r="E512" s="6">
        <f t="shared" si="40"/>
        <v>2024.7900000000104</v>
      </c>
      <c r="F512" s="5"/>
      <c r="G512" s="5"/>
      <c r="H512" s="3"/>
      <c r="I512" s="3"/>
      <c r="J512" s="4">
        <f t="shared" si="41"/>
        <v>29206.905642557336</v>
      </c>
      <c r="K512" s="3"/>
    </row>
    <row r="513" spans="1:11" x14ac:dyDescent="0.2">
      <c r="A513" s="8" t="s">
        <v>1</v>
      </c>
      <c r="B513" s="7" t="s">
        <v>38</v>
      </c>
      <c r="C513" s="3"/>
      <c r="D513" s="3"/>
      <c r="E513" s="6">
        <f t="shared" si="40"/>
        <v>2024.7900000000104</v>
      </c>
      <c r="F513" s="5"/>
      <c r="G513" s="5"/>
      <c r="H513" s="3"/>
      <c r="I513" s="3"/>
      <c r="J513" s="4">
        <f t="shared" si="41"/>
        <v>29206.905642557336</v>
      </c>
      <c r="K513" s="3"/>
    </row>
    <row r="514" spans="1:11" x14ac:dyDescent="0.2">
      <c r="A514" s="8" t="s">
        <v>1</v>
      </c>
      <c r="B514" s="7" t="s">
        <v>37</v>
      </c>
      <c r="C514" s="3"/>
      <c r="D514" s="3"/>
      <c r="E514" s="6">
        <f t="shared" si="40"/>
        <v>2024.7900000000104</v>
      </c>
      <c r="F514" s="5"/>
      <c r="G514" s="5"/>
      <c r="H514" s="3"/>
      <c r="I514" s="3"/>
      <c r="J514" s="4">
        <f t="shared" si="41"/>
        <v>29206.905642557336</v>
      </c>
      <c r="K514" s="3"/>
    </row>
    <row r="515" spans="1:11" x14ac:dyDescent="0.2">
      <c r="A515" s="8" t="s">
        <v>1</v>
      </c>
      <c r="B515" s="7" t="s">
        <v>36</v>
      </c>
      <c r="C515" s="3"/>
      <c r="D515" s="3"/>
      <c r="E515" s="6">
        <f t="shared" si="40"/>
        <v>2024.7900000000104</v>
      </c>
      <c r="F515" s="5"/>
      <c r="G515" s="5"/>
      <c r="H515" s="3"/>
      <c r="I515" s="3"/>
      <c r="J515" s="4">
        <f t="shared" si="41"/>
        <v>29206.905642557336</v>
      </c>
      <c r="K515" s="3"/>
    </row>
    <row r="516" spans="1:11" x14ac:dyDescent="0.2">
      <c r="A516" s="8" t="s">
        <v>1</v>
      </c>
      <c r="B516" s="7" t="s">
        <v>35</v>
      </c>
      <c r="C516" s="3"/>
      <c r="D516" s="3"/>
      <c r="E516" s="6">
        <f t="shared" si="40"/>
        <v>2024.7900000000104</v>
      </c>
      <c r="F516" s="5"/>
      <c r="G516" s="5"/>
      <c r="H516" s="3"/>
      <c r="I516" s="3"/>
      <c r="J516" s="4">
        <f t="shared" si="41"/>
        <v>29206.905642557336</v>
      </c>
      <c r="K516" s="3"/>
    </row>
    <row r="517" spans="1:11" x14ac:dyDescent="0.2">
      <c r="A517" s="8" t="s">
        <v>1</v>
      </c>
      <c r="B517" s="7" t="s">
        <v>34</v>
      </c>
      <c r="C517" s="3"/>
      <c r="D517" s="3"/>
      <c r="E517" s="6">
        <f t="shared" si="40"/>
        <v>2024.7900000000104</v>
      </c>
      <c r="F517" s="5"/>
      <c r="G517" s="5"/>
      <c r="H517" s="3"/>
      <c r="I517" s="3"/>
      <c r="J517" s="4">
        <f t="shared" si="41"/>
        <v>29206.905642557336</v>
      </c>
      <c r="K517" s="3"/>
    </row>
    <row r="518" spans="1:11" x14ac:dyDescent="0.2">
      <c r="A518" s="8" t="s">
        <v>1</v>
      </c>
      <c r="B518" s="7" t="s">
        <v>33</v>
      </c>
      <c r="C518" s="3"/>
      <c r="D518" s="3"/>
      <c r="E518" s="6">
        <f t="shared" si="40"/>
        <v>2024.7900000000104</v>
      </c>
      <c r="F518" s="5"/>
      <c r="G518" s="5"/>
      <c r="H518" s="3"/>
      <c r="I518" s="3"/>
      <c r="J518" s="4">
        <f t="shared" si="41"/>
        <v>29206.905642557336</v>
      </c>
      <c r="K518" s="3"/>
    </row>
    <row r="519" spans="1:11" x14ac:dyDescent="0.2">
      <c r="A519" s="8" t="s">
        <v>1</v>
      </c>
      <c r="B519" s="7" t="s">
        <v>32</v>
      </c>
      <c r="C519" s="3"/>
      <c r="D519" s="3"/>
      <c r="E519" s="6">
        <f t="shared" si="40"/>
        <v>2024.7900000000104</v>
      </c>
      <c r="F519" s="5"/>
      <c r="G519" s="5"/>
      <c r="H519" s="3"/>
      <c r="I519" s="3"/>
      <c r="J519" s="4">
        <f t="shared" si="41"/>
        <v>29206.905642557336</v>
      </c>
      <c r="K519" s="3"/>
    </row>
    <row r="520" spans="1:11" x14ac:dyDescent="0.2">
      <c r="A520" s="8" t="s">
        <v>1</v>
      </c>
      <c r="B520" s="7" t="s">
        <v>31</v>
      </c>
      <c r="C520" s="3"/>
      <c r="D520" s="3"/>
      <c r="E520" s="6">
        <f t="shared" si="40"/>
        <v>2024.7900000000104</v>
      </c>
      <c r="F520" s="5"/>
      <c r="G520" s="5"/>
      <c r="H520" s="3"/>
      <c r="I520" s="3"/>
      <c r="J520" s="4">
        <f t="shared" si="41"/>
        <v>29206.905642557336</v>
      </c>
      <c r="K520" s="3"/>
    </row>
    <row r="521" spans="1:11" x14ac:dyDescent="0.2">
      <c r="A521" s="8" t="s">
        <v>1</v>
      </c>
      <c r="B521" s="7" t="s">
        <v>30</v>
      </c>
      <c r="C521" s="3"/>
      <c r="D521" s="3"/>
      <c r="E521" s="6">
        <f t="shared" si="40"/>
        <v>2024.7900000000104</v>
      </c>
      <c r="F521" s="5"/>
      <c r="G521" s="5"/>
      <c r="H521" s="3"/>
      <c r="I521" s="3"/>
      <c r="J521" s="4">
        <f t="shared" si="41"/>
        <v>29206.905642557336</v>
      </c>
      <c r="K521" s="3"/>
    </row>
    <row r="522" spans="1:11" x14ac:dyDescent="0.2">
      <c r="A522" s="8" t="s">
        <v>1</v>
      </c>
      <c r="B522" s="7" t="s">
        <v>29</v>
      </c>
      <c r="C522" s="3"/>
      <c r="D522" s="3"/>
      <c r="E522" s="6">
        <f t="shared" si="40"/>
        <v>2024.7900000000104</v>
      </c>
      <c r="F522" s="5"/>
      <c r="G522" s="5"/>
      <c r="H522" s="3"/>
      <c r="I522" s="3"/>
      <c r="J522" s="4">
        <f t="shared" si="41"/>
        <v>29206.905642557336</v>
      </c>
      <c r="K522" s="3"/>
    </row>
    <row r="523" spans="1:11" x14ac:dyDescent="0.2">
      <c r="A523" s="8" t="s">
        <v>1</v>
      </c>
      <c r="B523" s="7" t="s">
        <v>28</v>
      </c>
      <c r="C523" s="3"/>
      <c r="D523" s="3"/>
      <c r="E523" s="6">
        <f t="shared" si="40"/>
        <v>2024.7900000000104</v>
      </c>
      <c r="F523" s="5"/>
      <c r="G523" s="5"/>
      <c r="H523" s="3"/>
      <c r="I523" s="3"/>
      <c r="J523" s="4">
        <f t="shared" si="41"/>
        <v>29206.905642557336</v>
      </c>
      <c r="K523" s="3"/>
    </row>
    <row r="524" spans="1:11" x14ac:dyDescent="0.2">
      <c r="A524" s="8" t="s">
        <v>1</v>
      </c>
      <c r="B524" s="7" t="s">
        <v>27</v>
      </c>
      <c r="C524" s="3"/>
      <c r="D524" s="3"/>
      <c r="E524" s="6">
        <f t="shared" si="40"/>
        <v>2024.7900000000104</v>
      </c>
      <c r="F524" s="5"/>
      <c r="G524" s="5"/>
      <c r="H524" s="3"/>
      <c r="I524" s="3"/>
      <c r="J524" s="4">
        <f t="shared" si="41"/>
        <v>29206.905642557336</v>
      </c>
      <c r="K524" s="3"/>
    </row>
    <row r="525" spans="1:11" x14ac:dyDescent="0.2">
      <c r="A525" s="8" t="s">
        <v>1</v>
      </c>
      <c r="B525" s="7" t="s">
        <v>26</v>
      </c>
      <c r="C525" s="3"/>
      <c r="D525" s="3"/>
      <c r="E525" s="6">
        <f t="shared" si="40"/>
        <v>2024.7900000000104</v>
      </c>
      <c r="F525" s="5"/>
      <c r="G525" s="5"/>
      <c r="H525" s="3"/>
      <c r="I525" s="3"/>
      <c r="J525" s="4">
        <f t="shared" si="41"/>
        <v>29206.905642557336</v>
      </c>
      <c r="K525" s="3"/>
    </row>
    <row r="526" spans="1:11" x14ac:dyDescent="0.2">
      <c r="A526" s="8" t="s">
        <v>1</v>
      </c>
      <c r="B526" s="7" t="s">
        <v>25</v>
      </c>
      <c r="C526" s="3"/>
      <c r="D526" s="3"/>
      <c r="E526" s="6">
        <f t="shared" si="40"/>
        <v>2024.7900000000104</v>
      </c>
      <c r="F526" s="5"/>
      <c r="G526" s="5"/>
      <c r="H526" s="3"/>
      <c r="I526" s="3"/>
      <c r="J526" s="4">
        <f t="shared" si="41"/>
        <v>29206.905642557336</v>
      </c>
      <c r="K526" s="3"/>
    </row>
    <row r="527" spans="1:11" x14ac:dyDescent="0.2">
      <c r="A527" s="8" t="s">
        <v>1</v>
      </c>
      <c r="B527" s="7" t="s">
        <v>24</v>
      </c>
      <c r="C527" s="3"/>
      <c r="D527" s="3"/>
      <c r="E527" s="6">
        <f t="shared" si="40"/>
        <v>2024.7900000000104</v>
      </c>
      <c r="F527" s="5"/>
      <c r="G527" s="5"/>
      <c r="H527" s="3"/>
      <c r="I527" s="3"/>
      <c r="J527" s="4">
        <f t="shared" si="41"/>
        <v>29206.905642557336</v>
      </c>
      <c r="K527" s="3"/>
    </row>
    <row r="528" spans="1:11" x14ac:dyDescent="0.2">
      <c r="A528" s="8" t="s">
        <v>1</v>
      </c>
      <c r="B528" s="7" t="s">
        <v>23</v>
      </c>
      <c r="C528" s="3"/>
      <c r="D528" s="3"/>
      <c r="E528" s="6">
        <f t="shared" si="40"/>
        <v>2024.7900000000104</v>
      </c>
      <c r="F528" s="5"/>
      <c r="G528" s="5"/>
      <c r="H528" s="3"/>
      <c r="I528" s="3"/>
      <c r="J528" s="4">
        <f t="shared" si="41"/>
        <v>29206.905642557336</v>
      </c>
      <c r="K528" s="3"/>
    </row>
    <row r="529" spans="1:11" x14ac:dyDescent="0.2">
      <c r="A529" s="8" t="s">
        <v>1</v>
      </c>
      <c r="B529" s="7" t="s">
        <v>22</v>
      </c>
      <c r="C529" s="3"/>
      <c r="D529" s="3"/>
      <c r="E529" s="6">
        <f t="shared" si="40"/>
        <v>2024.7900000000104</v>
      </c>
      <c r="F529" s="5"/>
      <c r="G529" s="5"/>
      <c r="H529" s="3"/>
      <c r="I529" s="3"/>
      <c r="J529" s="4">
        <f t="shared" si="41"/>
        <v>29206.905642557336</v>
      </c>
      <c r="K529" s="3"/>
    </row>
    <row r="530" spans="1:11" x14ac:dyDescent="0.2">
      <c r="A530" s="8" t="s">
        <v>1</v>
      </c>
      <c r="B530" s="7" t="s">
        <v>21</v>
      </c>
      <c r="C530" s="3"/>
      <c r="D530" s="3"/>
      <c r="E530" s="6">
        <f t="shared" si="40"/>
        <v>2024.7900000000104</v>
      </c>
      <c r="F530" s="5"/>
      <c r="G530" s="5"/>
      <c r="H530" s="3"/>
      <c r="I530" s="3"/>
      <c r="J530" s="4">
        <f t="shared" si="41"/>
        <v>29206.905642557336</v>
      </c>
      <c r="K530" s="3"/>
    </row>
    <row r="531" spans="1:11" x14ac:dyDescent="0.2">
      <c r="A531" s="8" t="s">
        <v>1</v>
      </c>
      <c r="B531" s="7" t="s">
        <v>20</v>
      </c>
      <c r="C531" s="3"/>
      <c r="D531" s="3"/>
      <c r="E531" s="6">
        <f t="shared" si="40"/>
        <v>2024.7900000000104</v>
      </c>
      <c r="F531" s="5"/>
      <c r="G531" s="5"/>
      <c r="H531" s="3"/>
      <c r="I531" s="3"/>
      <c r="J531" s="4">
        <f t="shared" si="41"/>
        <v>29206.905642557336</v>
      </c>
      <c r="K531" s="3"/>
    </row>
    <row r="532" spans="1:11" x14ac:dyDescent="0.2">
      <c r="A532" s="8" t="s">
        <v>1</v>
      </c>
      <c r="B532" s="7" t="s">
        <v>19</v>
      </c>
      <c r="C532" s="3"/>
      <c r="D532" s="3"/>
      <c r="E532" s="6">
        <f t="shared" si="40"/>
        <v>2024.7900000000104</v>
      </c>
      <c r="F532" s="5"/>
      <c r="G532" s="5"/>
      <c r="H532" s="3"/>
      <c r="I532" s="3"/>
      <c r="J532" s="4">
        <f t="shared" si="41"/>
        <v>29206.905642557336</v>
      </c>
      <c r="K532" s="3"/>
    </row>
    <row r="533" spans="1:11" x14ac:dyDescent="0.2">
      <c r="A533" s="8" t="s">
        <v>1</v>
      </c>
      <c r="B533" s="7" t="s">
        <v>18</v>
      </c>
      <c r="C533" s="3"/>
      <c r="D533" s="3"/>
      <c r="E533" s="6">
        <f t="shared" si="40"/>
        <v>2024.7900000000104</v>
      </c>
      <c r="F533" s="5"/>
      <c r="G533" s="5"/>
      <c r="H533" s="3"/>
      <c r="I533" s="3"/>
      <c r="J533" s="4">
        <f t="shared" si="41"/>
        <v>29206.905642557336</v>
      </c>
      <c r="K533" s="3"/>
    </row>
    <row r="534" spans="1:11" x14ac:dyDescent="0.2">
      <c r="A534" s="8" t="s">
        <v>1</v>
      </c>
      <c r="B534" s="7" t="s">
        <v>17</v>
      </c>
      <c r="C534" s="3"/>
      <c r="D534" s="3"/>
      <c r="E534" s="6">
        <f t="shared" si="40"/>
        <v>2024.7900000000104</v>
      </c>
      <c r="F534" s="5"/>
      <c r="G534" s="5"/>
      <c r="H534" s="3"/>
      <c r="I534" s="3"/>
      <c r="J534" s="4">
        <f t="shared" si="41"/>
        <v>29206.905642557336</v>
      </c>
      <c r="K534" s="3"/>
    </row>
    <row r="535" spans="1:11" x14ac:dyDescent="0.2">
      <c r="A535" s="8" t="s">
        <v>1</v>
      </c>
      <c r="B535" s="7" t="s">
        <v>16</v>
      </c>
      <c r="C535" s="3"/>
      <c r="D535" s="3"/>
      <c r="E535" s="6">
        <f t="shared" si="40"/>
        <v>2024.7900000000104</v>
      </c>
      <c r="F535" s="5"/>
      <c r="G535" s="5"/>
      <c r="H535" s="3"/>
      <c r="I535" s="3"/>
      <c r="J535" s="4">
        <f t="shared" si="41"/>
        <v>29206.905642557336</v>
      </c>
      <c r="K535" s="3"/>
    </row>
    <row r="536" spans="1:11" x14ac:dyDescent="0.2">
      <c r="A536" s="8" t="s">
        <v>1</v>
      </c>
      <c r="B536" s="7" t="s">
        <v>15</v>
      </c>
      <c r="C536" s="3"/>
      <c r="D536" s="3"/>
      <c r="E536" s="6">
        <f t="shared" si="40"/>
        <v>2024.7900000000104</v>
      </c>
      <c r="F536" s="5"/>
      <c r="G536" s="5"/>
      <c r="H536" s="3"/>
      <c r="I536" s="3"/>
      <c r="J536" s="4">
        <f t="shared" si="41"/>
        <v>29206.905642557336</v>
      </c>
      <c r="K536" s="3"/>
    </row>
    <row r="537" spans="1:11" x14ac:dyDescent="0.2">
      <c r="A537" s="8" t="s">
        <v>1</v>
      </c>
      <c r="B537" s="7" t="s">
        <v>14</v>
      </c>
      <c r="C537" s="3"/>
      <c r="D537" s="3"/>
      <c r="E537" s="6">
        <f t="shared" si="40"/>
        <v>2024.7900000000104</v>
      </c>
      <c r="F537" s="5"/>
      <c r="G537" s="5"/>
      <c r="H537" s="3"/>
      <c r="I537" s="3"/>
      <c r="J537" s="4">
        <f t="shared" si="41"/>
        <v>29206.905642557336</v>
      </c>
      <c r="K537" s="3"/>
    </row>
    <row r="538" spans="1:11" x14ac:dyDescent="0.2">
      <c r="A538" s="8" t="s">
        <v>1</v>
      </c>
      <c r="B538" s="7" t="s">
        <v>13</v>
      </c>
      <c r="C538" s="3"/>
      <c r="D538" s="3"/>
      <c r="E538" s="6">
        <f t="shared" si="40"/>
        <v>2024.7900000000104</v>
      </c>
      <c r="F538" s="5"/>
      <c r="G538" s="5"/>
      <c r="H538" s="3"/>
      <c r="I538" s="3"/>
      <c r="J538" s="4">
        <f t="shared" si="41"/>
        <v>29206.905642557336</v>
      </c>
      <c r="K538" s="3"/>
    </row>
    <row r="539" spans="1:11" x14ac:dyDescent="0.2">
      <c r="A539" s="8" t="s">
        <v>1</v>
      </c>
      <c r="B539" s="7" t="s">
        <v>12</v>
      </c>
      <c r="C539" s="3"/>
      <c r="D539" s="3"/>
      <c r="E539" s="6">
        <f t="shared" si="40"/>
        <v>2024.7900000000104</v>
      </c>
      <c r="F539" s="5"/>
      <c r="G539" s="5"/>
      <c r="H539" s="3"/>
      <c r="I539" s="3"/>
      <c r="J539" s="4">
        <f t="shared" si="41"/>
        <v>29206.905642557336</v>
      </c>
      <c r="K539" s="3"/>
    </row>
    <row r="540" spans="1:11" x14ac:dyDescent="0.2">
      <c r="A540" s="8" t="s">
        <v>1</v>
      </c>
      <c r="B540" s="7" t="s">
        <v>11</v>
      </c>
      <c r="C540" s="3"/>
      <c r="D540" s="3"/>
      <c r="E540" s="6">
        <f t="shared" si="40"/>
        <v>2024.7900000000104</v>
      </c>
      <c r="F540" s="5"/>
      <c r="G540" s="5"/>
      <c r="H540" s="3"/>
      <c r="I540" s="3"/>
      <c r="J540" s="4">
        <f t="shared" si="41"/>
        <v>29206.905642557336</v>
      </c>
      <c r="K540" s="3"/>
    </row>
    <row r="541" spans="1:11" x14ac:dyDescent="0.2">
      <c r="A541" s="8" t="s">
        <v>1</v>
      </c>
      <c r="B541" s="7" t="s">
        <v>10</v>
      </c>
      <c r="C541" s="3"/>
      <c r="D541" s="3"/>
      <c r="E541" s="6">
        <f t="shared" si="40"/>
        <v>2024.7900000000104</v>
      </c>
      <c r="F541" s="5"/>
      <c r="G541" s="5"/>
      <c r="H541" s="3"/>
      <c r="I541" s="3"/>
      <c r="J541" s="4">
        <f t="shared" si="41"/>
        <v>29206.905642557336</v>
      </c>
      <c r="K541" s="3"/>
    </row>
    <row r="542" spans="1:11" x14ac:dyDescent="0.2">
      <c r="A542" s="8" t="s">
        <v>1</v>
      </c>
      <c r="B542" s="7" t="s">
        <v>9</v>
      </c>
      <c r="C542" s="3"/>
      <c r="D542" s="3"/>
      <c r="E542" s="6">
        <f t="shared" si="40"/>
        <v>2024.7900000000104</v>
      </c>
      <c r="F542" s="5"/>
      <c r="G542" s="5"/>
      <c r="H542" s="3"/>
      <c r="I542" s="3"/>
      <c r="J542" s="4">
        <f t="shared" si="41"/>
        <v>29206.905642557336</v>
      </c>
      <c r="K542" s="3"/>
    </row>
    <row r="543" spans="1:11" x14ac:dyDescent="0.2">
      <c r="A543" s="8" t="s">
        <v>1</v>
      </c>
      <c r="B543" s="7" t="s">
        <v>8</v>
      </c>
      <c r="C543" s="3"/>
      <c r="D543" s="3"/>
      <c r="E543" s="6">
        <f t="shared" si="40"/>
        <v>2024.7900000000104</v>
      </c>
      <c r="F543" s="5"/>
      <c r="G543" s="5"/>
      <c r="H543" s="3"/>
      <c r="I543" s="3"/>
      <c r="J543" s="4">
        <f t="shared" si="41"/>
        <v>29206.905642557336</v>
      </c>
      <c r="K543" s="3"/>
    </row>
    <row r="544" spans="1:11" x14ac:dyDescent="0.2">
      <c r="A544" s="8" t="s">
        <v>1</v>
      </c>
      <c r="B544" s="7" t="s">
        <v>7</v>
      </c>
      <c r="C544" s="3"/>
      <c r="D544" s="3"/>
      <c r="E544" s="6">
        <f t="shared" si="40"/>
        <v>2024.7900000000104</v>
      </c>
      <c r="F544" s="5"/>
      <c r="G544" s="5"/>
      <c r="H544" s="3"/>
      <c r="I544" s="3"/>
      <c r="J544" s="4">
        <f t="shared" si="41"/>
        <v>29206.905642557336</v>
      </c>
      <c r="K544" s="3"/>
    </row>
    <row r="545" spans="1:11" x14ac:dyDescent="0.2">
      <c r="A545" s="8" t="s">
        <v>1</v>
      </c>
      <c r="B545" s="7" t="s">
        <v>6</v>
      </c>
      <c r="C545" s="3"/>
      <c r="D545" s="3"/>
      <c r="E545" s="6">
        <f t="shared" si="40"/>
        <v>2024.7900000000104</v>
      </c>
      <c r="F545" s="5"/>
      <c r="G545" s="5"/>
      <c r="H545" s="3"/>
      <c r="I545" s="3"/>
      <c r="J545" s="4">
        <f t="shared" si="41"/>
        <v>29206.905642557336</v>
      </c>
      <c r="K545" s="3"/>
    </row>
    <row r="546" spans="1:11" x14ac:dyDescent="0.2">
      <c r="A546" s="8" t="s">
        <v>1</v>
      </c>
      <c r="B546" s="7" t="s">
        <v>5</v>
      </c>
      <c r="C546" s="3"/>
      <c r="D546" s="3"/>
      <c r="E546" s="6">
        <f t="shared" si="40"/>
        <v>2024.7900000000104</v>
      </c>
      <c r="F546" s="5"/>
      <c r="G546" s="5"/>
      <c r="H546" s="3"/>
      <c r="I546" s="3"/>
      <c r="J546" s="4">
        <f t="shared" si="41"/>
        <v>29206.905642557336</v>
      </c>
      <c r="K546" s="3"/>
    </row>
    <row r="547" spans="1:11" x14ac:dyDescent="0.2">
      <c r="A547" s="8" t="s">
        <v>1</v>
      </c>
      <c r="B547" s="7" t="s">
        <v>4</v>
      </c>
      <c r="C547" s="3"/>
      <c r="D547" s="3"/>
      <c r="E547" s="6">
        <f t="shared" si="40"/>
        <v>2024.7900000000104</v>
      </c>
      <c r="F547" s="5"/>
      <c r="G547" s="5"/>
      <c r="H547" s="3"/>
      <c r="I547" s="3"/>
      <c r="J547" s="4">
        <f t="shared" si="41"/>
        <v>29206.905642557336</v>
      </c>
      <c r="K547" s="3"/>
    </row>
    <row r="548" spans="1:11" x14ac:dyDescent="0.2">
      <c r="A548" s="8" t="s">
        <v>1</v>
      </c>
      <c r="B548" s="7" t="s">
        <v>3</v>
      </c>
      <c r="C548" s="3"/>
      <c r="D548" s="3"/>
      <c r="E548" s="6">
        <f t="shared" si="40"/>
        <v>2024.7900000000104</v>
      </c>
      <c r="F548" s="5"/>
      <c r="G548" s="5"/>
      <c r="H548" s="3"/>
      <c r="I548" s="3"/>
      <c r="J548" s="4">
        <f t="shared" si="41"/>
        <v>29206.905642557336</v>
      </c>
      <c r="K548" s="3"/>
    </row>
    <row r="549" spans="1:11" x14ac:dyDescent="0.2">
      <c r="A549" s="8" t="s">
        <v>1</v>
      </c>
      <c r="B549" s="7" t="s">
        <v>2</v>
      </c>
      <c r="C549" s="3"/>
      <c r="D549" s="3"/>
      <c r="E549" s="6">
        <f t="shared" si="40"/>
        <v>2024.7900000000104</v>
      </c>
      <c r="F549" s="5"/>
      <c r="G549" s="5"/>
      <c r="H549" s="3"/>
      <c r="I549" s="3"/>
      <c r="J549" s="4">
        <f t="shared" si="41"/>
        <v>29206.905642557336</v>
      </c>
      <c r="K549" s="3"/>
    </row>
    <row r="550" spans="1:11" x14ac:dyDescent="0.2">
      <c r="A550" s="8" t="s">
        <v>1</v>
      </c>
      <c r="B550" s="7" t="s">
        <v>0</v>
      </c>
      <c r="C550" s="3"/>
      <c r="D550" s="3"/>
      <c r="E550" s="6">
        <f t="shared" si="40"/>
        <v>2024.7900000000104</v>
      </c>
      <c r="F550" s="5"/>
      <c r="G550" s="5"/>
      <c r="H550" s="3"/>
      <c r="I550" s="3"/>
      <c r="J550" s="4">
        <f t="shared" si="41"/>
        <v>29206.905642557336</v>
      </c>
      <c r="K550" s="3"/>
    </row>
    <row r="551" spans="1:1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</row>
  </sheetData>
  <mergeCells count="8">
    <mergeCell ref="D4:H4"/>
    <mergeCell ref="D296:H296"/>
    <mergeCell ref="F299:G299"/>
    <mergeCell ref="C7:E7"/>
    <mergeCell ref="H7:J7"/>
    <mergeCell ref="C299:E299"/>
    <mergeCell ref="H299:J299"/>
    <mergeCell ref="F7:G7"/>
  </mergeCells>
  <pageMargins left="0.70866141732283472" right="0.70866141732283472" top="0.74803149606299213" bottom="0.74803149606299213" header="0.31496062992125984" footer="0.31496062992125984"/>
  <pageSetup scale="8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29" workbookViewId="0">
      <selection activeCell="E48" sqref="E48"/>
    </sheetView>
  </sheetViews>
  <sheetFormatPr baseColWidth="10" defaultRowHeight="15" x14ac:dyDescent="0.25"/>
  <cols>
    <col min="2" max="2" width="24" customWidth="1"/>
  </cols>
  <sheetData>
    <row r="1" spans="1:11" x14ac:dyDescent="0.25">
      <c r="A1" s="65" t="s">
        <v>275</v>
      </c>
      <c r="B1" s="64"/>
      <c r="C1" s="62"/>
      <c r="D1" s="62"/>
      <c r="E1" s="62"/>
      <c r="F1" s="62"/>
      <c r="G1" s="62"/>
      <c r="H1" s="63" t="s">
        <v>274</v>
      </c>
      <c r="I1" s="62"/>
      <c r="J1" s="62"/>
      <c r="K1" s="61"/>
    </row>
    <row r="2" spans="1:11" x14ac:dyDescent="0.25">
      <c r="A2" s="60" t="s">
        <v>273</v>
      </c>
      <c r="B2" s="59"/>
      <c r="C2" s="53"/>
      <c r="D2" s="53"/>
      <c r="E2" s="53"/>
      <c r="F2" s="53"/>
      <c r="G2" s="53"/>
      <c r="H2" s="56" t="s">
        <v>526</v>
      </c>
      <c r="I2" s="53"/>
      <c r="J2" s="53"/>
      <c r="K2" s="52"/>
    </row>
    <row r="3" spans="1:11" x14ac:dyDescent="0.25">
      <c r="A3" s="58" t="s">
        <v>271</v>
      </c>
      <c r="B3" s="57"/>
      <c r="C3" s="53"/>
      <c r="D3" s="53"/>
      <c r="E3" s="53"/>
      <c r="F3" s="53"/>
      <c r="G3" s="53"/>
      <c r="H3" s="56" t="s">
        <v>270</v>
      </c>
      <c r="I3" s="53"/>
      <c r="J3" s="53"/>
      <c r="K3" s="52"/>
    </row>
    <row r="4" spans="1:11" x14ac:dyDescent="0.25">
      <c r="A4" s="144"/>
      <c r="B4" s="53"/>
      <c r="C4" s="53"/>
      <c r="D4" s="147" t="s">
        <v>269</v>
      </c>
      <c r="E4" s="147"/>
      <c r="F4" s="147"/>
      <c r="G4" s="147"/>
      <c r="H4" s="147"/>
      <c r="I4" s="53"/>
      <c r="J4" s="53"/>
      <c r="K4" s="52"/>
    </row>
    <row r="5" spans="1:11" x14ac:dyDescent="0.25">
      <c r="A5" s="144"/>
      <c r="B5" s="54"/>
      <c r="C5" s="53"/>
      <c r="D5" s="56" t="s">
        <v>519</v>
      </c>
      <c r="E5" s="54"/>
      <c r="F5" s="54"/>
      <c r="G5" s="53"/>
      <c r="H5" s="53"/>
      <c r="I5" s="53"/>
      <c r="J5" s="53"/>
      <c r="K5" s="52"/>
    </row>
    <row r="6" spans="1:11" x14ac:dyDescent="0.25">
      <c r="A6" s="144"/>
      <c r="B6" s="54"/>
      <c r="C6" s="53"/>
      <c r="D6" s="53" t="s">
        <v>267</v>
      </c>
      <c r="E6" s="54"/>
      <c r="F6" s="54"/>
      <c r="G6" s="53"/>
      <c r="H6" s="53"/>
      <c r="I6" s="53"/>
      <c r="J6" s="53"/>
      <c r="K6" s="52"/>
    </row>
    <row r="7" spans="1:11" x14ac:dyDescent="0.25">
      <c r="A7" s="143" t="s">
        <v>266</v>
      </c>
      <c r="B7" s="50" t="s">
        <v>265</v>
      </c>
      <c r="C7" s="149" t="s">
        <v>264</v>
      </c>
      <c r="D7" s="149"/>
      <c r="E7" s="150"/>
      <c r="F7" s="148" t="s">
        <v>263</v>
      </c>
      <c r="G7" s="148"/>
      <c r="H7" s="151" t="s">
        <v>262</v>
      </c>
      <c r="I7" s="152"/>
      <c r="J7" s="152"/>
      <c r="K7" s="49" t="s">
        <v>261</v>
      </c>
    </row>
    <row r="8" spans="1:11" x14ac:dyDescent="0.25">
      <c r="A8" s="142"/>
      <c r="B8" s="47"/>
      <c r="C8" s="47" t="s">
        <v>260</v>
      </c>
      <c r="D8" s="44" t="s">
        <v>259</v>
      </c>
      <c r="E8" s="46" t="s">
        <v>258</v>
      </c>
      <c r="F8" s="45" t="s">
        <v>257</v>
      </c>
      <c r="G8" s="45" t="s">
        <v>256</v>
      </c>
      <c r="H8" s="44" t="s">
        <v>255</v>
      </c>
      <c r="I8" s="43" t="s">
        <v>254</v>
      </c>
      <c r="J8" s="42" t="s">
        <v>253</v>
      </c>
      <c r="K8" s="41"/>
    </row>
    <row r="9" spans="1:11" x14ac:dyDescent="0.25">
      <c r="A9" s="138">
        <v>41254</v>
      </c>
      <c r="B9" s="7" t="s">
        <v>525</v>
      </c>
      <c r="C9" s="3">
        <v>1532</v>
      </c>
      <c r="D9" s="3"/>
      <c r="E9" s="6">
        <f>+C9</f>
        <v>1532</v>
      </c>
      <c r="F9" s="10">
        <f t="shared" ref="F9:F14" si="0">+J9/E9</f>
        <v>22.480349764778072</v>
      </c>
      <c r="G9" s="10"/>
      <c r="H9" s="141">
        <f>+[2]prorrateo!D22</f>
        <v>34439.895839640005</v>
      </c>
      <c r="I9" s="3"/>
      <c r="J9" s="9">
        <f>+H9</f>
        <v>34439.895839640005</v>
      </c>
      <c r="K9" s="130"/>
    </row>
    <row r="10" spans="1:11" x14ac:dyDescent="0.25">
      <c r="A10" s="138">
        <v>41254</v>
      </c>
      <c r="B10" s="7" t="s">
        <v>525</v>
      </c>
      <c r="C10" s="3">
        <v>1602</v>
      </c>
      <c r="D10" s="3"/>
      <c r="E10" s="6">
        <f>+E9+C10</f>
        <v>3134</v>
      </c>
      <c r="F10" s="10">
        <f t="shared" si="0"/>
        <v>22.480349764778072</v>
      </c>
      <c r="G10" s="10"/>
      <c r="H10" s="141">
        <f>+[2]prorrateo!D23</f>
        <v>36013.520323174467</v>
      </c>
      <c r="I10" s="9"/>
      <c r="J10" s="4">
        <f>+J9+H10</f>
        <v>70453.416162814479</v>
      </c>
      <c r="K10" s="111"/>
    </row>
    <row r="11" spans="1:11" x14ac:dyDescent="0.25">
      <c r="A11" s="138">
        <v>41254</v>
      </c>
      <c r="B11" s="7" t="s">
        <v>525</v>
      </c>
      <c r="C11" s="3">
        <v>1735</v>
      </c>
      <c r="D11" s="3"/>
      <c r="E11" s="6">
        <f>+E10+C11</f>
        <v>4869</v>
      </c>
      <c r="F11" s="10">
        <f t="shared" si="0"/>
        <v>22.480349764778072</v>
      </c>
      <c r="G11" s="10"/>
      <c r="H11" s="141">
        <f>+[2]prorrateo!D24</f>
        <v>39003.406841889955</v>
      </c>
      <c r="I11" s="9"/>
      <c r="J11" s="4">
        <f>+J10+H11</f>
        <v>109456.82300470443</v>
      </c>
      <c r="K11" s="111"/>
    </row>
    <row r="12" spans="1:11" x14ac:dyDescent="0.25">
      <c r="A12" s="138">
        <v>41254</v>
      </c>
      <c r="B12" s="7" t="s">
        <v>525</v>
      </c>
      <c r="C12" s="3">
        <v>1736</v>
      </c>
      <c r="D12" s="3"/>
      <c r="E12" s="6">
        <f>+E11+C12</f>
        <v>6605</v>
      </c>
      <c r="F12" s="10">
        <f t="shared" si="0"/>
        <v>22.480349764778072</v>
      </c>
      <c r="G12" s="10"/>
      <c r="H12" s="141">
        <f>+[2]prorrateo!D25</f>
        <v>39025.887191654736</v>
      </c>
      <c r="I12" s="9"/>
      <c r="J12" s="4">
        <f>+J11+H12</f>
        <v>148482.71019635917</v>
      </c>
      <c r="K12" s="111"/>
    </row>
    <row r="13" spans="1:11" x14ac:dyDescent="0.25">
      <c r="A13" s="138">
        <v>41254</v>
      </c>
      <c r="B13" s="7" t="s">
        <v>525</v>
      </c>
      <c r="C13" s="3">
        <v>1625</v>
      </c>
      <c r="D13" s="3"/>
      <c r="E13" s="6">
        <f>+E12+C13</f>
        <v>8230</v>
      </c>
      <c r="F13" s="10">
        <f t="shared" si="0"/>
        <v>22.480349764778076</v>
      </c>
      <c r="G13" s="10"/>
      <c r="H13" s="141">
        <f>+[2]prorrateo!D26</f>
        <v>36530.568367764368</v>
      </c>
      <c r="I13" s="9"/>
      <c r="J13" s="4">
        <f>+J12+H13</f>
        <v>185013.27856412355</v>
      </c>
      <c r="K13" s="111"/>
    </row>
    <row r="14" spans="1:11" x14ac:dyDescent="0.25">
      <c r="A14" s="138">
        <v>41254</v>
      </c>
      <c r="B14" s="7" t="s">
        <v>525</v>
      </c>
      <c r="C14" s="3">
        <v>1548</v>
      </c>
      <c r="D14" s="3"/>
      <c r="E14" s="6">
        <f>+E13+C14</f>
        <v>9778</v>
      </c>
      <c r="F14" s="10">
        <f t="shared" si="0"/>
        <v>22.480349764778076</v>
      </c>
      <c r="G14" s="10"/>
      <c r="H14" s="140">
        <f>+[2]prorrateo!D27</f>
        <v>34799.581435876455</v>
      </c>
      <c r="I14" s="9"/>
      <c r="J14" s="4">
        <f>+J13+H14</f>
        <v>219812.86000000002</v>
      </c>
      <c r="K14" s="125"/>
    </row>
    <row r="15" spans="1:11" x14ac:dyDescent="0.25">
      <c r="A15" s="138">
        <v>41255</v>
      </c>
      <c r="B15" s="7" t="s">
        <v>524</v>
      </c>
      <c r="C15" s="7"/>
      <c r="D15" s="110">
        <f>76*4.2+76*4.15+1*15</f>
        <v>649.6</v>
      </c>
      <c r="E15" s="6">
        <f>E14-D15</f>
        <v>9128.4</v>
      </c>
      <c r="F15" s="10"/>
      <c r="G15" s="10">
        <f>J14/E14</f>
        <v>22.480349764778076</v>
      </c>
      <c r="H15" s="5"/>
      <c r="I15" s="9">
        <f>D15*G15</f>
        <v>14603.235207199839</v>
      </c>
      <c r="J15" s="4">
        <f>J14-I15</f>
        <v>205209.62479280017</v>
      </c>
      <c r="K15" s="111"/>
    </row>
    <row r="16" spans="1:11" x14ac:dyDescent="0.25">
      <c r="A16" s="138">
        <v>41261</v>
      </c>
      <c r="B16" s="7" t="s">
        <v>523</v>
      </c>
      <c r="C16" s="7"/>
      <c r="D16" s="110">
        <f>17*5.35+19*4.65+19*4.75</f>
        <v>269.55</v>
      </c>
      <c r="E16" s="6">
        <f>E15-D16</f>
        <v>8858.85</v>
      </c>
      <c r="F16" s="10"/>
      <c r="G16" s="10">
        <f>J15/E15</f>
        <v>22.480349764778076</v>
      </c>
      <c r="H16" s="3"/>
      <c r="I16" s="9">
        <f>D16*G16</f>
        <v>6059.5782790959311</v>
      </c>
      <c r="J16" s="4">
        <f>J15-I16</f>
        <v>199150.04651370423</v>
      </c>
      <c r="K16" s="111"/>
    </row>
    <row r="17" spans="1:12" x14ac:dyDescent="0.25">
      <c r="A17" s="138">
        <v>41261</v>
      </c>
      <c r="B17" s="7" t="s">
        <v>522</v>
      </c>
      <c r="C17" s="7"/>
      <c r="D17" s="110">
        <f>7*5</f>
        <v>35</v>
      </c>
      <c r="E17" s="6">
        <f>E16-D17</f>
        <v>8823.85</v>
      </c>
      <c r="F17" s="10"/>
      <c r="G17" s="10">
        <f>J16/E16</f>
        <v>22.480349764778072</v>
      </c>
      <c r="H17" s="3"/>
      <c r="I17" s="9">
        <f>D17*G17</f>
        <v>786.81224176723254</v>
      </c>
      <c r="J17" s="4">
        <f>J16-I17</f>
        <v>198363.23427193699</v>
      </c>
      <c r="K17" s="111"/>
    </row>
    <row r="18" spans="1:12" x14ac:dyDescent="0.25">
      <c r="A18" s="138">
        <v>41262</v>
      </c>
      <c r="B18" s="7" t="s">
        <v>521</v>
      </c>
      <c r="C18" s="3"/>
      <c r="D18" s="3">
        <f>14*7+14*6.5+10+5.5+1*5.5+8*5+4*4+2*3.5+2*3+2*2.5+4*2+2*1.5+4*1</f>
        <v>299</v>
      </c>
      <c r="E18" s="6">
        <f>E17-D18</f>
        <v>8524.85</v>
      </c>
      <c r="F18" s="10"/>
      <c r="G18" s="10">
        <f>J17/E17</f>
        <v>22.480349764778072</v>
      </c>
      <c r="H18" s="3"/>
      <c r="I18" s="9">
        <f>D18*G18</f>
        <v>6721.6245796686435</v>
      </c>
      <c r="J18" s="4">
        <f>J17-I18</f>
        <v>191641.60969226834</v>
      </c>
      <c r="K18" s="111"/>
    </row>
    <row r="19" spans="1:12" x14ac:dyDescent="0.25">
      <c r="A19" s="138">
        <v>41271</v>
      </c>
      <c r="B19" s="7" t="s">
        <v>520</v>
      </c>
      <c r="C19" s="7"/>
      <c r="D19" s="110">
        <f>6*5.4+7*5+6*4+10*2.8+3*2.2</f>
        <v>126</v>
      </c>
      <c r="E19" s="6">
        <f>E18-D19</f>
        <v>8398.85</v>
      </c>
      <c r="F19" s="10"/>
      <c r="G19" s="10">
        <f>J18/E18</f>
        <v>22.480349764778069</v>
      </c>
      <c r="H19" s="3"/>
      <c r="I19" s="9">
        <f>D19*G19</f>
        <v>2832.5240703620366</v>
      </c>
      <c r="J19" s="4">
        <f>J18-I19</f>
        <v>188809.0856219063</v>
      </c>
      <c r="K19" s="111"/>
      <c r="L19" s="139">
        <f>SUM(I15:I19)</f>
        <v>31003.77437809368</v>
      </c>
    </row>
    <row r="20" spans="1:12" x14ac:dyDescent="0.25">
      <c r="A20" s="138"/>
      <c r="B20" s="7"/>
      <c r="C20" s="7"/>
      <c r="D20" s="110"/>
      <c r="E20" s="6"/>
      <c r="F20" s="10"/>
      <c r="G20" s="10"/>
      <c r="H20" s="3"/>
      <c r="I20" s="9"/>
      <c r="J20" s="4"/>
      <c r="K20" s="111"/>
    </row>
    <row r="21" spans="1:12" x14ac:dyDescent="0.25">
      <c r="A21" s="138"/>
      <c r="B21" s="7"/>
      <c r="C21" s="7"/>
      <c r="D21" s="110"/>
      <c r="E21" s="6"/>
      <c r="F21" s="10"/>
      <c r="G21" s="10"/>
      <c r="H21" s="3"/>
      <c r="I21" s="9"/>
      <c r="J21" s="4"/>
      <c r="K21" s="111"/>
    </row>
    <row r="22" spans="1:12" x14ac:dyDescent="0.25">
      <c r="A22" s="138"/>
      <c r="B22" s="7"/>
      <c r="C22" s="7"/>
      <c r="D22" s="110"/>
      <c r="E22" s="6"/>
      <c r="F22" s="10"/>
      <c r="G22" s="10"/>
      <c r="H22" s="3"/>
      <c r="I22" s="9"/>
      <c r="J22" s="4"/>
      <c r="K22" s="111"/>
    </row>
    <row r="23" spans="1:12" x14ac:dyDescent="0.25">
      <c r="A23" s="138"/>
      <c r="B23" s="7"/>
      <c r="C23" s="7"/>
      <c r="D23" s="110"/>
      <c r="E23" s="6"/>
      <c r="F23" s="10"/>
      <c r="G23" s="10"/>
      <c r="H23" s="3"/>
      <c r="I23" s="9"/>
      <c r="J23" s="4"/>
      <c r="K23" s="111"/>
    </row>
    <row r="24" spans="1:12" x14ac:dyDescent="0.25">
      <c r="A24" s="138"/>
      <c r="B24" s="7"/>
      <c r="C24" s="7"/>
      <c r="D24" s="110"/>
      <c r="E24" s="6"/>
      <c r="F24" s="10"/>
      <c r="G24" s="10"/>
      <c r="H24" s="3"/>
      <c r="I24" s="9"/>
      <c r="J24" s="4"/>
      <c r="K24" s="111"/>
    </row>
    <row r="25" spans="1:12" x14ac:dyDescent="0.25">
      <c r="A25" s="138"/>
      <c r="B25" s="7"/>
      <c r="C25" s="7"/>
      <c r="D25" s="110"/>
      <c r="E25" s="6"/>
      <c r="F25" s="10"/>
      <c r="G25" s="10"/>
      <c r="H25" s="3"/>
      <c r="I25" s="9"/>
      <c r="J25" s="4"/>
      <c r="K25" s="111"/>
    </row>
    <row r="26" spans="1:12" x14ac:dyDescent="0.25">
      <c r="A26" s="138"/>
      <c r="B26" s="7"/>
      <c r="C26" s="7"/>
      <c r="D26" s="110"/>
      <c r="E26" s="6"/>
      <c r="F26" s="10"/>
      <c r="G26" s="10"/>
      <c r="H26" s="3"/>
      <c r="I26" s="9"/>
      <c r="J26" s="4"/>
      <c r="K26" s="111"/>
    </row>
    <row r="27" spans="1:12" x14ac:dyDescent="0.25">
      <c r="A27" s="138"/>
      <c r="B27" s="7"/>
      <c r="C27" s="7"/>
      <c r="D27" s="110"/>
      <c r="E27" s="6"/>
      <c r="F27" s="10"/>
      <c r="G27" s="10"/>
      <c r="H27" s="3"/>
      <c r="I27" s="9"/>
      <c r="J27" s="4"/>
      <c r="K27" s="111"/>
    </row>
    <row r="28" spans="1:12" x14ac:dyDescent="0.25">
      <c r="A28" s="138"/>
      <c r="B28" s="7"/>
      <c r="C28" s="7"/>
      <c r="D28" s="110"/>
      <c r="E28" s="6"/>
      <c r="F28" s="10"/>
      <c r="G28" s="10"/>
      <c r="H28" s="3"/>
      <c r="I28" s="9"/>
      <c r="J28" s="4"/>
      <c r="K28" s="111"/>
    </row>
    <row r="29" spans="1:12" x14ac:dyDescent="0.25">
      <c r="A29" s="138"/>
      <c r="B29" s="7"/>
      <c r="C29" s="7"/>
      <c r="D29" s="110"/>
      <c r="E29" s="6"/>
      <c r="F29" s="10"/>
      <c r="G29" s="10"/>
      <c r="H29" s="3"/>
      <c r="I29" s="9"/>
      <c r="J29" s="4"/>
      <c r="K29" s="111"/>
    </row>
    <row r="30" spans="1:12" x14ac:dyDescent="0.25">
      <c r="A30" s="138"/>
      <c r="B30" s="7"/>
      <c r="C30" s="7"/>
      <c r="D30" s="110"/>
      <c r="E30" s="6"/>
      <c r="F30" s="10"/>
      <c r="G30" s="10"/>
      <c r="H30" s="3"/>
      <c r="I30" s="9"/>
      <c r="J30" s="4"/>
      <c r="K30" s="111"/>
    </row>
    <row r="31" spans="1:12" x14ac:dyDescent="0.25">
      <c r="A31" s="138"/>
      <c r="B31" s="7"/>
      <c r="C31" s="7"/>
      <c r="D31" s="110"/>
      <c r="E31" s="6"/>
      <c r="F31" s="10"/>
      <c r="G31" s="10"/>
      <c r="H31" s="3"/>
      <c r="I31" s="9"/>
      <c r="J31" s="4"/>
      <c r="K31" s="111"/>
    </row>
    <row r="32" spans="1:12" x14ac:dyDescent="0.25">
      <c r="A32" s="138"/>
      <c r="B32" s="7"/>
      <c r="C32" s="7"/>
      <c r="D32" s="110"/>
      <c r="E32" s="6"/>
      <c r="F32" s="10"/>
      <c r="G32" s="10"/>
      <c r="H32" s="3"/>
      <c r="I32" s="9"/>
      <c r="J32" s="4"/>
      <c r="K32" s="111"/>
    </row>
    <row r="33" spans="1:11" x14ac:dyDescent="0.25">
      <c r="A33" s="138"/>
      <c r="B33" s="7"/>
      <c r="C33" s="7"/>
      <c r="D33" s="110"/>
      <c r="E33" s="6"/>
      <c r="F33" s="124"/>
      <c r="G33" s="10"/>
      <c r="H33" s="3"/>
      <c r="I33" s="9"/>
      <c r="J33" s="4"/>
      <c r="K33" s="111"/>
    </row>
    <row r="34" spans="1:11" x14ac:dyDescent="0.25">
      <c r="A34" s="138"/>
      <c r="B34" s="7"/>
      <c r="C34" s="7"/>
      <c r="D34" s="110"/>
      <c r="E34" s="6"/>
      <c r="F34" s="124"/>
      <c r="G34" s="10"/>
      <c r="H34" s="3"/>
      <c r="I34" s="9"/>
      <c r="J34" s="4"/>
      <c r="K34" s="111"/>
    </row>
    <row r="35" spans="1:11" x14ac:dyDescent="0.25">
      <c r="A35" s="138"/>
      <c r="B35" s="7"/>
      <c r="C35" s="7"/>
      <c r="D35" s="110"/>
      <c r="E35" s="6"/>
      <c r="F35" s="124"/>
      <c r="G35" s="10"/>
      <c r="H35" s="3"/>
      <c r="I35" s="9"/>
      <c r="J35" s="4"/>
      <c r="K35" s="111"/>
    </row>
    <row r="36" spans="1:11" x14ac:dyDescent="0.25">
      <c r="A36" s="138"/>
      <c r="B36" s="7"/>
      <c r="C36" s="7"/>
      <c r="D36" s="110"/>
      <c r="E36" s="6"/>
      <c r="F36" s="124"/>
      <c r="G36" s="10"/>
      <c r="H36" s="3"/>
      <c r="I36" s="9"/>
      <c r="J36" s="4"/>
      <c r="K36" s="111"/>
    </row>
    <row r="37" spans="1:11" x14ac:dyDescent="0.25">
      <c r="A37" s="138"/>
      <c r="B37" s="7"/>
      <c r="C37" s="7"/>
      <c r="D37" s="110"/>
      <c r="E37" s="6"/>
      <c r="F37" s="124"/>
      <c r="G37" s="10"/>
      <c r="H37" s="3"/>
      <c r="I37" s="9"/>
      <c r="J37" s="4"/>
      <c r="K37" s="111"/>
    </row>
    <row r="38" spans="1:11" x14ac:dyDescent="0.25">
      <c r="A38" s="138"/>
      <c r="B38" s="7"/>
      <c r="C38" s="7"/>
      <c r="D38" s="110"/>
      <c r="E38" s="6"/>
      <c r="F38" s="124"/>
      <c r="G38" s="10"/>
      <c r="H38" s="3"/>
      <c r="I38" s="9"/>
      <c r="J38" s="4"/>
      <c r="K38" s="111"/>
    </row>
    <row r="39" spans="1:11" x14ac:dyDescent="0.25">
      <c r="A39" s="138"/>
      <c r="B39" s="7"/>
      <c r="C39" s="7"/>
      <c r="D39" s="110"/>
      <c r="E39" s="6"/>
      <c r="F39" s="124"/>
      <c r="G39" s="10"/>
      <c r="H39" s="3"/>
      <c r="I39" s="9"/>
      <c r="J39" s="4"/>
      <c r="K39" s="111"/>
    </row>
    <row r="40" spans="1:11" x14ac:dyDescent="0.25">
      <c r="A40" s="138"/>
      <c r="B40" s="7"/>
      <c r="C40" s="7"/>
      <c r="D40" s="110"/>
      <c r="E40" s="6"/>
      <c r="F40" s="124"/>
      <c r="G40" s="10"/>
      <c r="H40" s="3"/>
      <c r="I40" s="9"/>
      <c r="J40" s="4"/>
      <c r="K40" s="111"/>
    </row>
    <row r="41" spans="1:11" x14ac:dyDescent="0.25">
      <c r="A41" s="138"/>
      <c r="B41" s="7"/>
      <c r="C41" s="7"/>
      <c r="D41" s="110"/>
      <c r="E41" s="6"/>
      <c r="F41" s="124"/>
      <c r="G41" s="10"/>
      <c r="H41" s="3"/>
      <c r="I41" s="9"/>
      <c r="J41" s="4"/>
      <c r="K41" s="111"/>
    </row>
    <row r="42" spans="1:11" ht="15.75" thickBot="1" x14ac:dyDescent="0.3">
      <c r="A42" s="137"/>
      <c r="B42" s="26"/>
      <c r="C42" s="26">
        <f>SUM(C9:C41)</f>
        <v>9778</v>
      </c>
      <c r="D42" s="26">
        <f>SUM(D9:D41)</f>
        <v>1379.15</v>
      </c>
      <c r="E42" s="123">
        <f>C42-D42</f>
        <v>8398.85</v>
      </c>
      <c r="F42" s="123"/>
      <c r="G42" s="123"/>
      <c r="H42" s="127">
        <f>SUM(H9:H41)</f>
        <v>219812.86000000002</v>
      </c>
      <c r="I42" s="23">
        <f>SUM(I9:I41)</f>
        <v>31003.77437809368</v>
      </c>
      <c r="J42" s="23">
        <f>H42-I42</f>
        <v>188809.08562190633</v>
      </c>
      <c r="K42" s="122"/>
    </row>
    <row r="43" spans="1:11" x14ac:dyDescent="0.25">
      <c r="A43" s="53" t="s">
        <v>282</v>
      </c>
      <c r="B43" s="53"/>
      <c r="C43" s="2"/>
      <c r="D43" s="53"/>
      <c r="E43" s="66">
        <f>J42/E42</f>
        <v>22.480349764778072</v>
      </c>
      <c r="F43" s="66"/>
      <c r="G43" s="66"/>
      <c r="H43" s="134"/>
      <c r="I43" s="134"/>
      <c r="J43" s="134"/>
      <c r="K43" s="134"/>
    </row>
    <row r="44" spans="1:11" x14ac:dyDescent="0.25">
      <c r="A44" s="53" t="s">
        <v>281</v>
      </c>
      <c r="B44" s="53"/>
      <c r="C44" s="2"/>
      <c r="D44" s="53"/>
      <c r="E44" s="66">
        <f>E42*E43</f>
        <v>188809.08562190633</v>
      </c>
      <c r="F44" s="66"/>
      <c r="G44" s="66"/>
      <c r="H44" s="134"/>
      <c r="I44" s="134"/>
      <c r="J44" s="134"/>
      <c r="K44" s="134"/>
    </row>
    <row r="45" spans="1:11" x14ac:dyDescent="0.25">
      <c r="A45" s="68" t="s">
        <v>280</v>
      </c>
      <c r="B45" s="53"/>
      <c r="C45" s="53"/>
      <c r="D45" s="53"/>
      <c r="E45" s="53"/>
      <c r="F45" s="66"/>
      <c r="G45" s="66"/>
      <c r="H45" s="134"/>
      <c r="I45" s="134"/>
      <c r="J45" s="134"/>
      <c r="K45" s="134"/>
    </row>
    <row r="46" spans="1:11" x14ac:dyDescent="0.25">
      <c r="A46" s="68" t="s">
        <v>279</v>
      </c>
      <c r="B46" s="136">
        <v>1.01027</v>
      </c>
      <c r="C46" s="53"/>
      <c r="D46" s="53"/>
      <c r="E46" s="53"/>
      <c r="F46" s="66"/>
      <c r="G46" s="66"/>
      <c r="H46" s="134"/>
      <c r="I46" s="134"/>
      <c r="J46" s="134"/>
      <c r="K46" s="134"/>
    </row>
    <row r="47" spans="1:11" x14ac:dyDescent="0.25">
      <c r="A47" s="68" t="s">
        <v>278</v>
      </c>
      <c r="B47" s="53"/>
      <c r="C47" s="53"/>
      <c r="D47" s="53"/>
      <c r="E47" s="135">
        <f>+E44*B46</f>
        <v>190748.15493124331</v>
      </c>
      <c r="F47" s="66"/>
      <c r="G47" s="66"/>
      <c r="H47" s="134"/>
      <c r="I47" s="134"/>
      <c r="J47" s="134"/>
      <c r="K47" s="134"/>
    </row>
    <row r="48" spans="1:11" x14ac:dyDescent="0.25">
      <c r="A48" s="68" t="s">
        <v>277</v>
      </c>
      <c r="B48" s="53"/>
      <c r="C48" s="53"/>
      <c r="D48" s="53"/>
      <c r="E48" s="69">
        <f>+E44</f>
        <v>188809.08562190633</v>
      </c>
      <c r="F48" s="66"/>
      <c r="G48" s="66"/>
      <c r="H48" s="134"/>
      <c r="I48" s="134"/>
      <c r="J48" s="134"/>
      <c r="K48" s="134"/>
    </row>
    <row r="49" spans="1:11" x14ac:dyDescent="0.25">
      <c r="A49" s="68" t="s">
        <v>276</v>
      </c>
      <c r="B49" s="53"/>
      <c r="C49" s="53"/>
      <c r="D49" s="53"/>
      <c r="E49" s="66">
        <f>E47-E48</f>
        <v>1939.0693093369773</v>
      </c>
      <c r="F49" s="66"/>
      <c r="G49" s="66"/>
      <c r="H49" s="134"/>
      <c r="I49" s="134"/>
      <c r="J49" s="134"/>
      <c r="K49" s="134"/>
    </row>
    <row r="50" spans="1:11" x14ac:dyDescent="0.25">
      <c r="A50" s="53"/>
      <c r="B50" s="53"/>
      <c r="C50" s="53"/>
      <c r="D50" s="53"/>
      <c r="E50" s="53"/>
      <c r="F50" s="66"/>
      <c r="G50" s="66"/>
      <c r="H50" s="134"/>
      <c r="I50" s="134"/>
      <c r="J50" s="134"/>
      <c r="K50" s="134"/>
    </row>
    <row r="51" spans="1:11" x14ac:dyDescent="0.25">
      <c r="A51" s="53"/>
      <c r="B51" s="53"/>
      <c r="C51" s="53"/>
      <c r="D51" s="53"/>
      <c r="E51" s="53"/>
      <c r="F51" s="66"/>
      <c r="G51" s="66"/>
      <c r="H51" s="134"/>
      <c r="I51" s="134"/>
      <c r="J51" s="134"/>
      <c r="K51" s="134"/>
    </row>
    <row r="52" spans="1:11" x14ac:dyDescent="0.25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</row>
    <row r="53" spans="1:11" x14ac:dyDescent="0.25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</row>
    <row r="54" spans="1:11" x14ac:dyDescent="0.25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</row>
    <row r="55" spans="1:11" x14ac:dyDescent="0.2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</row>
    <row r="56" spans="1:11" x14ac:dyDescent="0.25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</row>
    <row r="57" spans="1:11" x14ac:dyDescent="0.25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</row>
    <row r="58" spans="1:11" x14ac:dyDescent="0.25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</row>
    <row r="59" spans="1:11" x14ac:dyDescent="0.25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</row>
    <row r="60" spans="1:11" x14ac:dyDescent="0.25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</row>
    <row r="61" spans="1:11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</row>
    <row r="62" spans="1:11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</row>
    <row r="63" spans="1:11" x14ac:dyDescent="0.25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</row>
    <row r="64" spans="1:11" x14ac:dyDescent="0.25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</row>
    <row r="65" spans="1:11" x14ac:dyDescent="0.2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</row>
    <row r="66" spans="1:11" x14ac:dyDescent="0.25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</row>
    <row r="67" spans="1:11" x14ac:dyDescent="0.25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</row>
    <row r="68" spans="1:11" x14ac:dyDescent="0.25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</row>
  </sheetData>
  <mergeCells count="4">
    <mergeCell ref="D4:H4"/>
    <mergeCell ref="C7:E7"/>
    <mergeCell ref="F7:G7"/>
    <mergeCell ref="H7:J7"/>
  </mergeCells>
  <pageMargins left="0.70866141732283472" right="0.70866141732283472" top="0.74803149606299213" bottom="0.74803149606299213" header="0.31496062992125984" footer="0.31496062992125984"/>
  <pageSetup scale="75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2" workbookViewId="0">
      <selection activeCell="H51" sqref="H51"/>
    </sheetView>
  </sheetViews>
  <sheetFormatPr baseColWidth="10" defaultRowHeight="11.25" x14ac:dyDescent="0.2"/>
  <cols>
    <col min="1" max="1" width="11.42578125" style="134"/>
    <col min="2" max="2" width="28.42578125" style="134" customWidth="1"/>
    <col min="3" max="16384" width="11.42578125" style="134"/>
  </cols>
  <sheetData>
    <row r="1" spans="1:11" x14ac:dyDescent="0.2">
      <c r="A1" s="65" t="s">
        <v>275</v>
      </c>
      <c r="B1" s="64"/>
      <c r="C1" s="62"/>
      <c r="D1" s="62"/>
      <c r="E1" s="62"/>
      <c r="F1" s="62"/>
      <c r="G1" s="62"/>
      <c r="H1" s="63" t="s">
        <v>274</v>
      </c>
      <c r="I1" s="62"/>
      <c r="J1" s="62"/>
      <c r="K1" s="61"/>
    </row>
    <row r="2" spans="1:11" x14ac:dyDescent="0.2">
      <c r="A2" s="60" t="s">
        <v>273</v>
      </c>
      <c r="B2" s="59"/>
      <c r="C2" s="53"/>
      <c r="D2" s="53"/>
      <c r="E2" s="53"/>
      <c r="F2" s="53"/>
      <c r="G2" s="53"/>
      <c r="H2" s="56" t="s">
        <v>532</v>
      </c>
      <c r="I2" s="53"/>
      <c r="J2" s="53"/>
      <c r="K2" s="52"/>
    </row>
    <row r="3" spans="1:11" x14ac:dyDescent="0.2">
      <c r="A3" s="58" t="s">
        <v>271</v>
      </c>
      <c r="B3" s="57"/>
      <c r="C3" s="53"/>
      <c r="D3" s="53"/>
      <c r="E3" s="53"/>
      <c r="F3" s="53"/>
      <c r="G3" s="53"/>
      <c r="H3" s="56" t="s">
        <v>270</v>
      </c>
      <c r="I3" s="53"/>
      <c r="J3" s="53"/>
      <c r="K3" s="52"/>
    </row>
    <row r="4" spans="1:11" x14ac:dyDescent="0.2">
      <c r="A4" s="144"/>
      <c r="B4" s="53"/>
      <c r="C4" s="53"/>
      <c r="D4" s="147" t="s">
        <v>269</v>
      </c>
      <c r="E4" s="147"/>
      <c r="F4" s="147"/>
      <c r="G4" s="147"/>
      <c r="H4" s="147"/>
      <c r="I4" s="53"/>
      <c r="J4" s="53"/>
      <c r="K4" s="52"/>
    </row>
    <row r="5" spans="1:11" x14ac:dyDescent="0.2">
      <c r="A5" s="144"/>
      <c r="B5" s="54"/>
      <c r="C5" s="53"/>
      <c r="D5" s="56" t="s">
        <v>519</v>
      </c>
      <c r="E5" s="54"/>
      <c r="F5" s="54"/>
      <c r="G5" s="53"/>
      <c r="H5" s="53"/>
      <c r="I5" s="53"/>
      <c r="J5" s="53"/>
      <c r="K5" s="52"/>
    </row>
    <row r="6" spans="1:11" x14ac:dyDescent="0.2">
      <c r="A6" s="144"/>
      <c r="B6" s="54"/>
      <c r="C6" s="53"/>
      <c r="D6" s="53" t="s">
        <v>267</v>
      </c>
      <c r="E6" s="54"/>
      <c r="F6" s="54"/>
      <c r="G6" s="53"/>
      <c r="H6" s="53"/>
      <c r="I6" s="53"/>
      <c r="J6" s="53"/>
      <c r="K6" s="52"/>
    </row>
    <row r="7" spans="1:11" x14ac:dyDescent="0.2">
      <c r="A7" s="143" t="s">
        <v>266</v>
      </c>
      <c r="B7" s="50" t="s">
        <v>265</v>
      </c>
      <c r="C7" s="149" t="s">
        <v>264</v>
      </c>
      <c r="D7" s="149"/>
      <c r="E7" s="150"/>
      <c r="F7" s="148" t="s">
        <v>263</v>
      </c>
      <c r="G7" s="148"/>
      <c r="H7" s="151" t="s">
        <v>262</v>
      </c>
      <c r="I7" s="152"/>
      <c r="J7" s="152"/>
      <c r="K7" s="49" t="s">
        <v>261</v>
      </c>
    </row>
    <row r="8" spans="1:11" x14ac:dyDescent="0.2">
      <c r="A8" s="142"/>
      <c r="B8" s="47"/>
      <c r="C8" s="47" t="s">
        <v>260</v>
      </c>
      <c r="D8" s="44" t="s">
        <v>259</v>
      </c>
      <c r="E8" s="46" t="s">
        <v>258</v>
      </c>
      <c r="F8" s="45" t="s">
        <v>257</v>
      </c>
      <c r="G8" s="45" t="s">
        <v>256</v>
      </c>
      <c r="H8" s="44" t="s">
        <v>255</v>
      </c>
      <c r="I8" s="43" t="s">
        <v>254</v>
      </c>
      <c r="J8" s="42" t="s">
        <v>253</v>
      </c>
      <c r="K8" s="41"/>
    </row>
    <row r="9" spans="1:11" x14ac:dyDescent="0.2">
      <c r="A9" s="138">
        <v>41254</v>
      </c>
      <c r="B9" s="7" t="s">
        <v>531</v>
      </c>
      <c r="C9" s="3">
        <v>1327</v>
      </c>
      <c r="D9" s="7"/>
      <c r="E9" s="6">
        <f>+C9</f>
        <v>1327</v>
      </c>
      <c r="F9" s="10">
        <f t="shared" ref="F9:F14" si="0">+J9/E9</f>
        <v>22.480312646920549</v>
      </c>
      <c r="G9" s="10"/>
      <c r="H9" s="39">
        <f>+[2]prorrateo!D37</f>
        <v>29831.374882463566</v>
      </c>
      <c r="I9" s="3"/>
      <c r="J9" s="9">
        <f>+H9</f>
        <v>29831.374882463566</v>
      </c>
      <c r="K9" s="130"/>
    </row>
    <row r="10" spans="1:11" x14ac:dyDescent="0.2">
      <c r="A10" s="138">
        <v>41254</v>
      </c>
      <c r="B10" s="7" t="s">
        <v>531</v>
      </c>
      <c r="C10" s="3">
        <v>1449</v>
      </c>
      <c r="D10" s="110"/>
      <c r="E10" s="6">
        <f>+E9+C10</f>
        <v>2776</v>
      </c>
      <c r="F10" s="10">
        <f t="shared" si="0"/>
        <v>22.480312646920545</v>
      </c>
      <c r="G10" s="10"/>
      <c r="H10" s="39">
        <f>+[2]prorrateo!D38</f>
        <v>32573.97302538787</v>
      </c>
      <c r="I10" s="9"/>
      <c r="J10" s="4">
        <f>+J9+H10</f>
        <v>62405.347907851436</v>
      </c>
      <c r="K10" s="111"/>
    </row>
    <row r="11" spans="1:11" x14ac:dyDescent="0.2">
      <c r="A11" s="138">
        <v>41254</v>
      </c>
      <c r="B11" s="7" t="s">
        <v>531</v>
      </c>
      <c r="C11" s="3">
        <v>1245</v>
      </c>
      <c r="D11" s="110"/>
      <c r="E11" s="6">
        <f>+E10+C11</f>
        <v>4021</v>
      </c>
      <c r="F11" s="10">
        <f t="shared" si="0"/>
        <v>22.480312646920549</v>
      </c>
      <c r="G11" s="10"/>
      <c r="H11" s="39">
        <f>+[2]prorrateo!D39</f>
        <v>27987.98924541608</v>
      </c>
      <c r="I11" s="9"/>
      <c r="J11" s="4">
        <f>+J10+H11</f>
        <v>90393.337153267523</v>
      </c>
      <c r="K11" s="111"/>
    </row>
    <row r="12" spans="1:11" x14ac:dyDescent="0.2">
      <c r="A12" s="138">
        <v>41254</v>
      </c>
      <c r="B12" s="7" t="s">
        <v>531</v>
      </c>
      <c r="C12" s="3">
        <v>1637</v>
      </c>
      <c r="D12" s="110"/>
      <c r="E12" s="6">
        <f>+E11+C12</f>
        <v>5658</v>
      </c>
      <c r="F12" s="10">
        <f t="shared" si="0"/>
        <v>22.480312646920545</v>
      </c>
      <c r="G12" s="10"/>
      <c r="H12" s="39">
        <f>+[2]prorrateo!D40</f>
        <v>36800.271803008931</v>
      </c>
      <c r="I12" s="9"/>
      <c r="J12" s="4">
        <f>+J11+H12</f>
        <v>127193.60895627645</v>
      </c>
      <c r="K12" s="111"/>
    </row>
    <row r="13" spans="1:11" x14ac:dyDescent="0.2">
      <c r="A13" s="138">
        <v>41254</v>
      </c>
      <c r="B13" s="7" t="s">
        <v>531</v>
      </c>
      <c r="C13" s="3">
        <v>1412</v>
      </c>
      <c r="D13" s="110"/>
      <c r="E13" s="6">
        <f>+E12+C13</f>
        <v>7070</v>
      </c>
      <c r="F13" s="10">
        <f t="shared" si="0"/>
        <v>22.480312646920545</v>
      </c>
      <c r="G13" s="10"/>
      <c r="H13" s="39">
        <f>+[2]prorrateo!D41</f>
        <v>31742.201457451811</v>
      </c>
      <c r="I13" s="9"/>
      <c r="J13" s="4">
        <f>+J12+H13</f>
        <v>158935.81041372826</v>
      </c>
      <c r="K13" s="111"/>
    </row>
    <row r="14" spans="1:11" x14ac:dyDescent="0.2">
      <c r="A14" s="138">
        <v>41254</v>
      </c>
      <c r="B14" s="7" t="s">
        <v>531</v>
      </c>
      <c r="C14" s="3">
        <v>1438</v>
      </c>
      <c r="D14" s="110"/>
      <c r="E14" s="6">
        <f>+E13+C14</f>
        <v>8508</v>
      </c>
      <c r="F14" s="10">
        <f t="shared" si="0"/>
        <v>22.480312646920545</v>
      </c>
      <c r="G14" s="10"/>
      <c r="H14" s="39">
        <f>+[2]prorrateo!D42</f>
        <v>32326.689586271747</v>
      </c>
      <c r="I14" s="9"/>
      <c r="J14" s="4">
        <f>+J13+H14</f>
        <v>191262.5</v>
      </c>
      <c r="K14" s="125"/>
    </row>
    <row r="15" spans="1:11" x14ac:dyDescent="0.2">
      <c r="A15" s="138">
        <v>41255</v>
      </c>
      <c r="B15" s="7" t="s">
        <v>530</v>
      </c>
      <c r="C15" s="7"/>
      <c r="D15" s="110">
        <f>18*3.4+6*4.6</f>
        <v>88.8</v>
      </c>
      <c r="E15" s="6">
        <f>E14-D15</f>
        <v>8419.2000000000007</v>
      </c>
      <c r="F15" s="10"/>
      <c r="G15" s="10">
        <f>J14/E14</f>
        <v>22.480312646920545</v>
      </c>
      <c r="H15" s="5"/>
      <c r="I15" s="9">
        <f>D15*G15</f>
        <v>1996.2517630465443</v>
      </c>
      <c r="J15" s="4">
        <f>J14-I15</f>
        <v>189266.24823695346</v>
      </c>
      <c r="K15" s="111"/>
    </row>
    <row r="16" spans="1:11" x14ac:dyDescent="0.2">
      <c r="A16" s="138">
        <v>41255</v>
      </c>
      <c r="B16" s="7" t="s">
        <v>529</v>
      </c>
      <c r="C16" s="7"/>
      <c r="D16" s="110">
        <f>8*4+8*4.2</f>
        <v>65.599999999999994</v>
      </c>
      <c r="E16" s="6">
        <f>E15-D16</f>
        <v>8353.6</v>
      </c>
      <c r="F16" s="10"/>
      <c r="G16" s="10">
        <f>J15/E15</f>
        <v>22.480312646920542</v>
      </c>
      <c r="H16" s="3"/>
      <c r="I16" s="9">
        <f>D16*G16</f>
        <v>1474.7085096379874</v>
      </c>
      <c r="J16" s="4">
        <f>J15-I16</f>
        <v>187791.53972731548</v>
      </c>
      <c r="K16" s="111"/>
    </row>
    <row r="17" spans="1:12" x14ac:dyDescent="0.2">
      <c r="A17" s="138">
        <v>41258</v>
      </c>
      <c r="B17" s="7" t="s">
        <v>528</v>
      </c>
      <c r="C17" s="7"/>
      <c r="D17" s="110">
        <f>5*4.8</f>
        <v>24</v>
      </c>
      <c r="E17" s="6">
        <f>E16-D17</f>
        <v>8329.6</v>
      </c>
      <c r="F17" s="10"/>
      <c r="G17" s="10">
        <f>J16/E16</f>
        <v>22.480312646920545</v>
      </c>
      <c r="H17" s="3"/>
      <c r="I17" s="9">
        <f>D17*G17</f>
        <v>539.52750352609314</v>
      </c>
      <c r="J17" s="4">
        <f>J16-I17</f>
        <v>187252.01222378938</v>
      </c>
      <c r="K17" s="111"/>
    </row>
    <row r="18" spans="1:12" x14ac:dyDescent="0.2">
      <c r="A18" s="138">
        <v>41260</v>
      </c>
      <c r="B18" s="7" t="s">
        <v>527</v>
      </c>
      <c r="C18" s="7"/>
      <c r="D18" s="110">
        <f>5*2.4+2*4</f>
        <v>20</v>
      </c>
      <c r="E18" s="6">
        <f>E17-D18</f>
        <v>8309.6</v>
      </c>
      <c r="F18" s="10"/>
      <c r="G18" s="10">
        <f>J17/E17</f>
        <v>22.480312646920545</v>
      </c>
      <c r="H18" s="3"/>
      <c r="I18" s="9">
        <f>D18*G18</f>
        <v>449.60625293841088</v>
      </c>
      <c r="J18" s="4">
        <f>J17-I18</f>
        <v>186802.40597085096</v>
      </c>
      <c r="K18" s="111"/>
      <c r="L18" s="146">
        <f>SUM(I15:I18)</f>
        <v>4460.0940291490351</v>
      </c>
    </row>
    <row r="19" spans="1:12" x14ac:dyDescent="0.2">
      <c r="A19" s="138"/>
      <c r="B19" s="7"/>
      <c r="C19" s="7"/>
      <c r="D19" s="110"/>
      <c r="E19" s="6"/>
      <c r="F19" s="10"/>
      <c r="G19" s="10"/>
      <c r="H19" s="3"/>
      <c r="I19" s="9"/>
      <c r="J19" s="4"/>
      <c r="K19" s="111"/>
    </row>
    <row r="20" spans="1:12" x14ac:dyDescent="0.2">
      <c r="A20" s="138"/>
      <c r="B20" s="7"/>
      <c r="C20" s="7"/>
      <c r="D20" s="110"/>
      <c r="E20" s="6"/>
      <c r="F20" s="10"/>
      <c r="G20" s="10"/>
      <c r="H20" s="3"/>
      <c r="I20" s="9"/>
      <c r="J20" s="4"/>
      <c r="K20" s="111"/>
    </row>
    <row r="21" spans="1:12" x14ac:dyDescent="0.2">
      <c r="A21" s="138"/>
      <c r="B21" s="7"/>
      <c r="C21" s="7"/>
      <c r="D21" s="110"/>
      <c r="E21" s="6"/>
      <c r="F21" s="10"/>
      <c r="G21" s="10"/>
      <c r="H21" s="3"/>
      <c r="I21" s="9"/>
      <c r="J21" s="4"/>
      <c r="K21" s="111"/>
    </row>
    <row r="22" spans="1:12" x14ac:dyDescent="0.2">
      <c r="A22" s="138"/>
      <c r="B22" s="7"/>
      <c r="C22" s="7"/>
      <c r="D22" s="110"/>
      <c r="E22" s="6"/>
      <c r="F22" s="10"/>
      <c r="G22" s="10"/>
      <c r="H22" s="3"/>
      <c r="I22" s="9"/>
      <c r="J22" s="4"/>
      <c r="K22" s="111"/>
    </row>
    <row r="23" spans="1:12" x14ac:dyDescent="0.2">
      <c r="A23" s="138"/>
      <c r="B23" s="7"/>
      <c r="C23" s="7"/>
      <c r="D23" s="110"/>
      <c r="E23" s="6"/>
      <c r="F23" s="10"/>
      <c r="G23" s="10"/>
      <c r="H23" s="3"/>
      <c r="I23" s="9"/>
      <c r="J23" s="4"/>
      <c r="K23" s="111"/>
    </row>
    <row r="24" spans="1:12" x14ac:dyDescent="0.2">
      <c r="A24" s="138"/>
      <c r="B24" s="7"/>
      <c r="C24" s="7"/>
      <c r="D24" s="110"/>
      <c r="E24" s="6"/>
      <c r="F24" s="10"/>
      <c r="G24" s="10"/>
      <c r="H24" s="3"/>
      <c r="I24" s="9"/>
      <c r="J24" s="4"/>
      <c r="K24" s="111"/>
    </row>
    <row r="25" spans="1:12" x14ac:dyDescent="0.2">
      <c r="A25" s="138"/>
      <c r="B25" s="7"/>
      <c r="C25" s="7"/>
      <c r="D25" s="110"/>
      <c r="E25" s="6"/>
      <c r="F25" s="10"/>
      <c r="G25" s="10"/>
      <c r="H25" s="3"/>
      <c r="I25" s="9"/>
      <c r="J25" s="4"/>
      <c r="K25" s="111"/>
    </row>
    <row r="26" spans="1:12" x14ac:dyDescent="0.2">
      <c r="A26" s="138"/>
      <c r="B26" s="7"/>
      <c r="C26" s="7"/>
      <c r="D26" s="110"/>
      <c r="E26" s="6"/>
      <c r="F26" s="10"/>
      <c r="G26" s="10"/>
      <c r="H26" s="3"/>
      <c r="I26" s="9"/>
      <c r="J26" s="4"/>
      <c r="K26" s="111"/>
    </row>
    <row r="27" spans="1:12" x14ac:dyDescent="0.2">
      <c r="A27" s="138"/>
      <c r="B27" s="7"/>
      <c r="C27" s="7"/>
      <c r="D27" s="110"/>
      <c r="E27" s="6"/>
      <c r="F27" s="10"/>
      <c r="G27" s="10"/>
      <c r="H27" s="3"/>
      <c r="I27" s="9"/>
      <c r="J27" s="4"/>
      <c r="K27" s="111"/>
    </row>
    <row r="28" spans="1:12" x14ac:dyDescent="0.2">
      <c r="A28" s="138"/>
      <c r="B28" s="7"/>
      <c r="C28" s="7"/>
      <c r="D28" s="110"/>
      <c r="E28" s="6"/>
      <c r="F28" s="10"/>
      <c r="G28" s="10"/>
      <c r="H28" s="3"/>
      <c r="I28" s="9"/>
      <c r="J28" s="4"/>
      <c r="K28" s="111"/>
    </row>
    <row r="29" spans="1:12" x14ac:dyDescent="0.2">
      <c r="A29" s="138"/>
      <c r="B29" s="7"/>
      <c r="C29" s="7"/>
      <c r="D29" s="110"/>
      <c r="E29" s="6"/>
      <c r="F29" s="10"/>
      <c r="G29" s="10"/>
      <c r="H29" s="3"/>
      <c r="I29" s="9"/>
      <c r="J29" s="4"/>
      <c r="K29" s="111"/>
    </row>
    <row r="30" spans="1:12" x14ac:dyDescent="0.2">
      <c r="A30" s="138"/>
      <c r="B30" s="7"/>
      <c r="C30" s="7"/>
      <c r="D30" s="110"/>
      <c r="E30" s="6"/>
      <c r="F30" s="10"/>
      <c r="G30" s="10"/>
      <c r="H30" s="3"/>
      <c r="I30" s="9"/>
      <c r="J30" s="4"/>
      <c r="K30" s="111"/>
    </row>
    <row r="31" spans="1:12" x14ac:dyDescent="0.2">
      <c r="A31" s="138"/>
      <c r="B31" s="7"/>
      <c r="C31" s="7"/>
      <c r="D31" s="110"/>
      <c r="E31" s="6"/>
      <c r="F31" s="10"/>
      <c r="G31" s="10"/>
      <c r="H31" s="3"/>
      <c r="I31" s="9"/>
      <c r="J31" s="4"/>
      <c r="K31" s="111"/>
    </row>
    <row r="32" spans="1:12" x14ac:dyDescent="0.2">
      <c r="A32" s="138"/>
      <c r="B32" s="7"/>
      <c r="C32" s="7"/>
      <c r="D32" s="110"/>
      <c r="E32" s="6"/>
      <c r="F32" s="10"/>
      <c r="G32" s="10"/>
      <c r="H32" s="3"/>
      <c r="I32" s="9"/>
      <c r="J32" s="4"/>
      <c r="K32" s="111"/>
    </row>
    <row r="33" spans="1:11" x14ac:dyDescent="0.2">
      <c r="A33" s="138"/>
      <c r="B33" s="7"/>
      <c r="C33" s="7"/>
      <c r="D33" s="110"/>
      <c r="E33" s="6"/>
      <c r="F33" s="124"/>
      <c r="G33" s="10"/>
      <c r="H33" s="3"/>
      <c r="I33" s="9"/>
      <c r="J33" s="4"/>
      <c r="K33" s="111"/>
    </row>
    <row r="34" spans="1:11" x14ac:dyDescent="0.2">
      <c r="A34" s="138"/>
      <c r="B34" s="7"/>
      <c r="C34" s="7"/>
      <c r="D34" s="110"/>
      <c r="E34" s="6"/>
      <c r="F34" s="124"/>
      <c r="G34" s="10"/>
      <c r="H34" s="3"/>
      <c r="I34" s="9"/>
      <c r="J34" s="4"/>
      <c r="K34" s="111"/>
    </row>
    <row r="35" spans="1:11" x14ac:dyDescent="0.2">
      <c r="A35" s="138"/>
      <c r="B35" s="7"/>
      <c r="C35" s="7"/>
      <c r="D35" s="110"/>
      <c r="E35" s="6"/>
      <c r="F35" s="124"/>
      <c r="G35" s="10"/>
      <c r="H35" s="3"/>
      <c r="I35" s="9"/>
      <c r="J35" s="4"/>
      <c r="K35" s="111"/>
    </row>
    <row r="36" spans="1:11" x14ac:dyDescent="0.2">
      <c r="A36" s="138"/>
      <c r="B36" s="7"/>
      <c r="C36" s="7"/>
      <c r="D36" s="110"/>
      <c r="E36" s="6"/>
      <c r="F36" s="124"/>
      <c r="G36" s="10"/>
      <c r="H36" s="3"/>
      <c r="I36" s="9"/>
      <c r="J36" s="4"/>
      <c r="K36" s="111"/>
    </row>
    <row r="37" spans="1:11" x14ac:dyDescent="0.2">
      <c r="A37" s="138"/>
      <c r="B37" s="7"/>
      <c r="C37" s="7"/>
      <c r="D37" s="110"/>
      <c r="E37" s="6"/>
      <c r="F37" s="124"/>
      <c r="G37" s="10"/>
      <c r="H37" s="3"/>
      <c r="I37" s="9"/>
      <c r="J37" s="4"/>
      <c r="K37" s="111"/>
    </row>
    <row r="38" spans="1:11" x14ac:dyDescent="0.2">
      <c r="A38" s="138"/>
      <c r="B38" s="7"/>
      <c r="C38" s="7"/>
      <c r="D38" s="110"/>
      <c r="E38" s="6"/>
      <c r="F38" s="124"/>
      <c r="G38" s="10"/>
      <c r="H38" s="3"/>
      <c r="I38" s="9"/>
      <c r="J38" s="4"/>
      <c r="K38" s="111"/>
    </row>
    <row r="39" spans="1:11" x14ac:dyDescent="0.2">
      <c r="A39" s="138"/>
      <c r="B39" s="7"/>
      <c r="C39" s="7"/>
      <c r="D39" s="110"/>
      <c r="E39" s="6"/>
      <c r="F39" s="124"/>
      <c r="G39" s="10"/>
      <c r="H39" s="3"/>
      <c r="I39" s="9"/>
      <c r="J39" s="4"/>
      <c r="K39" s="111"/>
    </row>
    <row r="40" spans="1:11" x14ac:dyDescent="0.2">
      <c r="A40" s="138"/>
      <c r="B40" s="7"/>
      <c r="C40" s="7"/>
      <c r="D40" s="110"/>
      <c r="E40" s="6"/>
      <c r="F40" s="124"/>
      <c r="G40" s="10"/>
      <c r="H40" s="3"/>
      <c r="I40" s="9"/>
      <c r="J40" s="4"/>
      <c r="K40" s="111"/>
    </row>
    <row r="41" spans="1:11" x14ac:dyDescent="0.2">
      <c r="A41" s="138"/>
      <c r="B41" s="7"/>
      <c r="C41" s="7"/>
      <c r="D41" s="110"/>
      <c r="E41" s="6"/>
      <c r="F41" s="124"/>
      <c r="G41" s="10"/>
      <c r="H41" s="3"/>
      <c r="I41" s="9"/>
      <c r="J41" s="4"/>
      <c r="K41" s="111"/>
    </row>
    <row r="42" spans="1:11" ht="12" thickBot="1" x14ac:dyDescent="0.25">
      <c r="A42" s="137"/>
      <c r="B42" s="26"/>
      <c r="C42" s="26">
        <f>SUM(C9:C41)</f>
        <v>8508</v>
      </c>
      <c r="D42" s="26">
        <f>SUM(D9:D41)</f>
        <v>198.39999999999998</v>
      </c>
      <c r="E42" s="25">
        <f>C42-D42</f>
        <v>8309.6</v>
      </c>
      <c r="F42" s="127"/>
      <c r="G42" s="23"/>
      <c r="H42" s="23">
        <f>SUM(H9:H41)</f>
        <v>191262.5</v>
      </c>
      <c r="I42" s="23">
        <f>SUM(I9:I41)</f>
        <v>4460.0940291490351</v>
      </c>
      <c r="J42" s="20">
        <f>H42-I42</f>
        <v>186802.40597085096</v>
      </c>
      <c r="K42" s="122"/>
    </row>
    <row r="43" spans="1:11" x14ac:dyDescent="0.2">
      <c r="A43" s="53" t="s">
        <v>282</v>
      </c>
      <c r="B43" s="53"/>
      <c r="C43" s="2"/>
      <c r="D43" s="53"/>
      <c r="E43" s="66">
        <f>J42/E42</f>
        <v>22.480312646920545</v>
      </c>
      <c r="F43" s="66"/>
      <c r="G43" s="66"/>
    </row>
    <row r="44" spans="1:11" x14ac:dyDescent="0.2">
      <c r="A44" s="53" t="s">
        <v>281</v>
      </c>
      <c r="B44" s="53"/>
      <c r="C44" s="2"/>
      <c r="D44" s="53"/>
      <c r="E44" s="66">
        <f>E43*E42</f>
        <v>186802.40597085096</v>
      </c>
      <c r="F44" s="66"/>
      <c r="G44" s="66"/>
    </row>
    <row r="45" spans="1:11" x14ac:dyDescent="0.2">
      <c r="A45" s="68" t="s">
        <v>280</v>
      </c>
      <c r="B45" s="53"/>
      <c r="C45" s="53"/>
      <c r="D45" s="53"/>
      <c r="E45" s="53"/>
      <c r="F45" s="66"/>
      <c r="G45" s="66"/>
    </row>
    <row r="46" spans="1:11" x14ac:dyDescent="0.2">
      <c r="A46" s="68" t="s">
        <v>279</v>
      </c>
      <c r="B46" s="136">
        <v>1.01027</v>
      </c>
      <c r="C46" s="53"/>
      <c r="D46" s="53"/>
      <c r="E46" s="53"/>
      <c r="F46" s="66"/>
      <c r="G46" s="66"/>
    </row>
    <row r="47" spans="1:11" x14ac:dyDescent="0.2">
      <c r="A47" s="68" t="s">
        <v>278</v>
      </c>
      <c r="B47" s="53"/>
      <c r="C47" s="53"/>
      <c r="D47" s="53"/>
      <c r="E47" s="145">
        <f>+E44*B46</f>
        <v>188720.8666801716</v>
      </c>
      <c r="F47" s="66"/>
      <c r="G47" s="66"/>
    </row>
    <row r="48" spans="1:11" x14ac:dyDescent="0.2">
      <c r="A48" s="68" t="s">
        <v>277</v>
      </c>
      <c r="B48" s="53"/>
      <c r="C48" s="53"/>
      <c r="D48" s="53"/>
      <c r="E48" s="69">
        <f>+E44</f>
        <v>186802.40597085096</v>
      </c>
      <c r="F48" s="66"/>
      <c r="G48" s="66"/>
    </row>
    <row r="49" spans="1:7" x14ac:dyDescent="0.2">
      <c r="A49" s="68" t="s">
        <v>276</v>
      </c>
      <c r="B49" s="53"/>
      <c r="C49" s="53"/>
      <c r="D49" s="53"/>
      <c r="E49" s="66">
        <f>+E47-E48</f>
        <v>1918.4607093206432</v>
      </c>
      <c r="F49" s="66"/>
      <c r="G49" s="66"/>
    </row>
    <row r="50" spans="1:7" x14ac:dyDescent="0.2">
      <c r="A50" s="53"/>
      <c r="B50" s="53"/>
      <c r="C50" s="53"/>
      <c r="D50" s="53"/>
      <c r="E50" s="53"/>
      <c r="F50" s="66"/>
      <c r="G50" s="66"/>
    </row>
    <row r="51" spans="1:7" x14ac:dyDescent="0.2">
      <c r="A51" s="53"/>
      <c r="B51" s="53"/>
      <c r="C51" s="53"/>
      <c r="D51" s="53"/>
      <c r="E51" s="53"/>
      <c r="F51" s="66"/>
      <c r="G51" s="66"/>
    </row>
  </sheetData>
  <mergeCells count="4">
    <mergeCell ref="D4:H4"/>
    <mergeCell ref="C7:E7"/>
    <mergeCell ref="F7:G7"/>
    <mergeCell ref="H7:J7"/>
  </mergeCells>
  <pageMargins left="0.70866141732283472" right="0.70866141732283472" top="0.74803149606299213" bottom="0.74803149606299213" header="0.31496062992125984" footer="0.31496062992125984"/>
  <pageSetup scale="8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8" sqref="F3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CAL.OND2012</vt:lpstr>
      <vt:lpstr>BLUE2012</vt:lpstr>
      <vt:lpstr>RAL2012</vt:lpstr>
      <vt:lpstr>Hoja3</vt:lpstr>
      <vt:lpstr>CAL.OND2012!Área_de_impresión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PEDF</dc:creator>
  <cp:lastModifiedBy>user</cp:lastModifiedBy>
  <dcterms:created xsi:type="dcterms:W3CDTF">2013-12-09T12:57:36Z</dcterms:created>
  <dcterms:modified xsi:type="dcterms:W3CDTF">2014-05-28T14:39:06Z</dcterms:modified>
</cp:coreProperties>
</file>