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hecto\Desktop\code\mcdm\data\"/>
    </mc:Choice>
  </mc:AlternateContent>
  <xr:revisionPtr revIDLastSave="0" documentId="13_ncr:1_{91CFBCEF-ED6E-4C0B-8BE2-84FBF38913E2}" xr6:coauthVersionLast="47" xr6:coauthVersionMax="47" xr10:uidLastSave="{00000000-0000-0000-0000-000000000000}"/>
  <bookViews>
    <workbookView xWindow="-103" yWindow="-103" windowWidth="27634" windowHeight="16629" tabRatio="500" activeTab="5" xr2:uid="{00000000-000D-0000-FFFF-FFFF00000000}"/>
  </bookViews>
  <sheets>
    <sheet name="SAW" sheetId="1" r:id="rId1"/>
    <sheet name="AHP" sheetId="2" r:id="rId2"/>
    <sheet name="ANP" sheetId="3" r:id="rId3"/>
    <sheet name="TOPSIS" sheetId="4" r:id="rId4"/>
    <sheet name="ELECTRE I" sheetId="5" r:id="rId5"/>
    <sheet name="PROMETHEE II" sheetId="6" r:id="rId6"/>
  </sheets>
  <definedNames>
    <definedName name="solver_adj" localSheetId="1" hidden="1">AHP!$I$35:$I$39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AHP!$J$25</definedName>
    <definedName name="solver_pre" localSheetId="1" hidden="1">0.000001</definedName>
    <definedName name="solver_rbv" localSheetId="1" hidden="1">2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0</definedName>
    <definedName name="solver_ver" localSheetId="1" hidden="1">3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84" i="6" l="1" a="1"/>
  <c r="A84" i="6" s="1"/>
  <c r="E77" i="6"/>
  <c r="E76" i="6"/>
  <c r="E75" i="6"/>
  <c r="E74" i="6"/>
  <c r="D77" i="6"/>
  <c r="D76" i="6"/>
  <c r="D75" i="6"/>
  <c r="D74" i="6"/>
  <c r="C77" i="6"/>
  <c r="C76" i="6"/>
  <c r="C75" i="6"/>
  <c r="C74" i="6"/>
  <c r="C66" i="6"/>
  <c r="B76" i="6"/>
  <c r="B77" i="6"/>
  <c r="B75" i="6"/>
  <c r="B74" i="6"/>
  <c r="E67" i="6"/>
  <c r="D67" i="6"/>
  <c r="C67" i="6"/>
  <c r="B67" i="6"/>
  <c r="E66" i="6"/>
  <c r="D66" i="6"/>
  <c r="B66" i="6"/>
  <c r="E65" i="6"/>
  <c r="D65" i="6"/>
  <c r="C65" i="6"/>
  <c r="B65" i="6"/>
  <c r="E64" i="6"/>
  <c r="D64" i="6"/>
  <c r="C64" i="6"/>
  <c r="B64" i="6"/>
  <c r="I23" i="6"/>
  <c r="I25" i="6" s="1"/>
  <c r="E23" i="6"/>
  <c r="E25" i="6" s="1"/>
  <c r="B23" i="6"/>
  <c r="B25" i="6" s="1"/>
  <c r="E131" i="5"/>
  <c r="F131" i="5" s="1"/>
  <c r="E130" i="5"/>
  <c r="F130" i="5" s="1"/>
  <c r="E126" i="5"/>
  <c r="E125" i="5"/>
  <c r="F126" i="5"/>
  <c r="F125" i="5"/>
  <c r="C111" i="5"/>
  <c r="E110" i="5"/>
  <c r="D110" i="5"/>
  <c r="C110" i="5"/>
  <c r="F109" i="5"/>
  <c r="E109" i="5"/>
  <c r="D109" i="5"/>
  <c r="C109" i="5"/>
  <c r="B109" i="5"/>
  <c r="F108" i="5"/>
  <c r="E108" i="5"/>
  <c r="D108" i="5"/>
  <c r="C108" i="5"/>
  <c r="B108" i="5"/>
  <c r="C102" i="5"/>
  <c r="D101" i="5"/>
  <c r="C101" i="5"/>
  <c r="F100" i="5"/>
  <c r="E100" i="5"/>
  <c r="D100" i="5"/>
  <c r="C100" i="5"/>
  <c r="B100" i="5"/>
  <c r="F99" i="5"/>
  <c r="E99" i="5"/>
  <c r="D99" i="5"/>
  <c r="C99" i="5"/>
  <c r="B99" i="5"/>
  <c r="F89" i="5"/>
  <c r="E89" i="5"/>
  <c r="D89" i="5"/>
  <c r="C89" i="5"/>
  <c r="B89" i="5"/>
  <c r="F82" i="5"/>
  <c r="E82" i="5"/>
  <c r="D82" i="5"/>
  <c r="C82" i="5"/>
  <c r="B82" i="5"/>
  <c r="B83" i="5" s="1"/>
  <c r="B66" i="5" a="1"/>
  <c r="B66" i="5" s="1"/>
  <c r="F65" i="5"/>
  <c r="E65" i="5"/>
  <c r="D65" i="5"/>
  <c r="C65" i="5"/>
  <c r="B65" i="5"/>
  <c r="B56" i="5" a="1"/>
  <c r="B56" i="5" s="1"/>
  <c r="B48" i="5" a="1"/>
  <c r="B48" i="5" s="1"/>
  <c r="F47" i="5"/>
  <c r="E47" i="5"/>
  <c r="D47" i="5"/>
  <c r="C47" i="5"/>
  <c r="B47" i="5"/>
  <c r="B21" i="5"/>
  <c r="B20" i="5"/>
  <c r="B19" i="5"/>
  <c r="B18" i="5"/>
  <c r="C132" i="5" l="1"/>
  <c r="C127" i="5"/>
  <c r="B90" i="5"/>
  <c r="C67" i="5"/>
  <c r="B55" i="5"/>
  <c r="D55" i="5"/>
  <c r="E55" i="5"/>
  <c r="C49" i="5"/>
  <c r="C55" i="5"/>
  <c r="F55" i="5"/>
  <c r="B24" i="5"/>
  <c r="B27" i="5" s="1"/>
  <c r="C18" i="5"/>
  <c r="F21" i="5"/>
  <c r="E21" i="5"/>
  <c r="D21" i="5"/>
  <c r="C21" i="5"/>
  <c r="F20" i="5"/>
  <c r="E20" i="5"/>
  <c r="D20" i="5"/>
  <c r="C20" i="5"/>
  <c r="F19" i="5"/>
  <c r="E19" i="5"/>
  <c r="D19" i="5"/>
  <c r="D24" i="5" s="1"/>
  <c r="D27" i="5" s="1"/>
  <c r="C19" i="5"/>
  <c r="C24" i="5" s="1"/>
  <c r="C27" i="5" s="1"/>
  <c r="F18" i="5"/>
  <c r="F24" i="5" s="1"/>
  <c r="F27" i="5" s="1"/>
  <c r="E18" i="5"/>
  <c r="E24" i="5" s="1"/>
  <c r="E27" i="5" s="1"/>
  <c r="D18" i="5"/>
  <c r="B3" i="4"/>
  <c r="B17" i="4" s="1"/>
  <c r="E26" i="4"/>
  <c r="D26" i="4"/>
  <c r="C26" i="4"/>
  <c r="B26" i="4"/>
  <c r="E25" i="4"/>
  <c r="D25" i="4"/>
  <c r="C25" i="4"/>
  <c r="B25" i="4"/>
  <c r="E24" i="4"/>
  <c r="D24" i="4"/>
  <c r="C24" i="4"/>
  <c r="B24" i="4"/>
  <c r="E23" i="4"/>
  <c r="D23" i="4"/>
  <c r="C23" i="4"/>
  <c r="B23" i="4"/>
  <c r="E22" i="4"/>
  <c r="D22" i="4"/>
  <c r="C22" i="4"/>
  <c r="B22" i="4"/>
  <c r="E21" i="4"/>
  <c r="D21" i="4"/>
  <c r="C21" i="4"/>
  <c r="B21" i="4"/>
  <c r="E20" i="4"/>
  <c r="D20" i="4"/>
  <c r="C20" i="4"/>
  <c r="B20" i="4"/>
  <c r="E19" i="4"/>
  <c r="D19" i="4"/>
  <c r="C19" i="4"/>
  <c r="B19" i="4"/>
  <c r="E18" i="4"/>
  <c r="D18" i="4"/>
  <c r="C18" i="4"/>
  <c r="B18" i="4"/>
  <c r="E17" i="4"/>
  <c r="D17" i="4"/>
  <c r="C17" i="4"/>
  <c r="Y48" i="3"/>
  <c r="Z48" i="3" s="1"/>
  <c r="Y47" i="3"/>
  <c r="V24" i="3"/>
  <c r="Q24" i="3"/>
  <c r="U23" i="3"/>
  <c r="S21" i="3"/>
  <c r="R21" i="3"/>
  <c r="N21" i="3"/>
  <c r="M21" i="3"/>
  <c r="L21" i="3"/>
  <c r="B21" i="3"/>
  <c r="B23" i="3" s="1"/>
  <c r="N20" i="3"/>
  <c r="M20" i="3"/>
  <c r="T20" i="3" s="1"/>
  <c r="L20" i="3"/>
  <c r="N19" i="3"/>
  <c r="M19" i="3"/>
  <c r="L19" i="3"/>
  <c r="B17" i="3"/>
  <c r="V14" i="3"/>
  <c r="U14" i="3"/>
  <c r="U24" i="3" s="1"/>
  <c r="T14" i="3"/>
  <c r="T24" i="3" s="1"/>
  <c r="T33" i="3" s="1"/>
  <c r="S14" i="3"/>
  <c r="S24" i="3" s="1"/>
  <c r="R14" i="3"/>
  <c r="R24" i="3" s="1"/>
  <c r="R33" i="3" s="1"/>
  <c r="Q14" i="3"/>
  <c r="V13" i="3"/>
  <c r="V23" i="3" s="1"/>
  <c r="U13" i="3"/>
  <c r="T13" i="3"/>
  <c r="T23" i="3" s="1"/>
  <c r="S13" i="3"/>
  <c r="S23" i="3" s="1"/>
  <c r="R13" i="3"/>
  <c r="R23" i="3" s="1"/>
  <c r="Q13" i="3"/>
  <c r="Q23" i="3" s="1"/>
  <c r="T12" i="3"/>
  <c r="T22" i="3" s="1"/>
  <c r="S12" i="3"/>
  <c r="S22" i="3" s="1"/>
  <c r="R12" i="3"/>
  <c r="R22" i="3" s="1"/>
  <c r="Q12" i="3"/>
  <c r="Q22" i="3" s="1"/>
  <c r="Y11" i="3" a="1"/>
  <c r="AB14" i="3" s="1"/>
  <c r="AJ14" i="3" s="1"/>
  <c r="T11" i="3"/>
  <c r="T21" i="3" s="1"/>
  <c r="S11" i="3"/>
  <c r="R11" i="3"/>
  <c r="Q11" i="3"/>
  <c r="Q21" i="3" s="1"/>
  <c r="S10" i="3"/>
  <c r="S20" i="3" s="1"/>
  <c r="R10" i="3"/>
  <c r="R20" i="3" s="1"/>
  <c r="Q10" i="3"/>
  <c r="Q20" i="3" s="1"/>
  <c r="I47" i="2"/>
  <c r="I46" i="2"/>
  <c r="I45" i="2"/>
  <c r="I44" i="2"/>
  <c r="I43" i="2"/>
  <c r="H43" i="2" a="1"/>
  <c r="H44" i="2" s="1"/>
  <c r="K44" i="2" s="1"/>
  <c r="I31" i="2"/>
  <c r="I29" i="2"/>
  <c r="M25" i="2"/>
  <c r="L25" i="2"/>
  <c r="K25" i="2"/>
  <c r="J25" i="2"/>
  <c r="I25" i="2"/>
  <c r="M24" i="2"/>
  <c r="L24" i="2"/>
  <c r="K24" i="2"/>
  <c r="J24" i="2"/>
  <c r="I24" i="2"/>
  <c r="M23" i="2"/>
  <c r="L23" i="2"/>
  <c r="K23" i="2"/>
  <c r="J23" i="2"/>
  <c r="I23" i="2"/>
  <c r="M22" i="2"/>
  <c r="L22" i="2"/>
  <c r="K22" i="2"/>
  <c r="J22" i="2"/>
  <c r="I22" i="2"/>
  <c r="M21" i="2"/>
  <c r="L21" i="2"/>
  <c r="K21" i="2"/>
  <c r="J21" i="2"/>
  <c r="J35" i="2" s="1" a="1"/>
  <c r="I21" i="2"/>
  <c r="M7" i="2"/>
  <c r="N7" i="2" s="1"/>
  <c r="I7" i="2"/>
  <c r="J7" i="2" s="1"/>
  <c r="M6" i="2"/>
  <c r="I6" i="2"/>
  <c r="J6" i="2" s="1"/>
  <c r="M5" i="2"/>
  <c r="N5" i="2" s="1"/>
  <c r="I5" i="2"/>
  <c r="J5" i="2" s="1"/>
  <c r="M4" i="2"/>
  <c r="N4" i="2" s="1"/>
  <c r="I4" i="2"/>
  <c r="J4" i="2" s="1"/>
  <c r="M3" i="2"/>
  <c r="N3" i="2" s="1"/>
  <c r="I3" i="2"/>
  <c r="J3" i="2" s="1"/>
  <c r="K18" i="1" a="1"/>
  <c r="O18" i="1" s="1"/>
  <c r="O17" i="1" s="1"/>
  <c r="O8" i="1"/>
  <c r="N8" i="1"/>
  <c r="M8" i="1"/>
  <c r="L8" i="1"/>
  <c r="K8" i="1"/>
  <c r="O7" i="1"/>
  <c r="O16" i="1" s="1"/>
  <c r="N7" i="1"/>
  <c r="M7" i="1"/>
  <c r="L7" i="1"/>
  <c r="K7" i="1"/>
  <c r="O6" i="1"/>
  <c r="N6" i="1"/>
  <c r="M6" i="1"/>
  <c r="L6" i="1"/>
  <c r="K6" i="1"/>
  <c r="O5" i="1"/>
  <c r="N5" i="1"/>
  <c r="M5" i="1"/>
  <c r="L5" i="1"/>
  <c r="K5" i="1"/>
  <c r="O4" i="1"/>
  <c r="N4" i="1"/>
  <c r="M4" i="1"/>
  <c r="L4" i="1"/>
  <c r="K4" i="1"/>
  <c r="C30" i="5" l="1"/>
  <c r="C37" i="5" s="1"/>
  <c r="C33" i="5"/>
  <c r="C40" i="5" s="1"/>
  <c r="C32" i="5"/>
  <c r="C39" i="5" s="1"/>
  <c r="C31" i="5"/>
  <c r="C38" i="5" s="1"/>
  <c r="E32" i="5"/>
  <c r="E39" i="5" s="1"/>
  <c r="E30" i="5"/>
  <c r="E37" i="5" s="1"/>
  <c r="E33" i="5"/>
  <c r="E40" i="5" s="1"/>
  <c r="E31" i="5"/>
  <c r="E38" i="5" s="1"/>
  <c r="F33" i="5"/>
  <c r="F40" i="5" s="1"/>
  <c r="F31" i="5"/>
  <c r="F38" i="5" s="1"/>
  <c r="F32" i="5"/>
  <c r="F39" i="5" s="1"/>
  <c r="F30" i="5"/>
  <c r="F37" i="5" s="1"/>
  <c r="D30" i="5"/>
  <c r="D37" i="5" s="1"/>
  <c r="D33" i="5"/>
  <c r="D40" i="5" s="1"/>
  <c r="D32" i="5"/>
  <c r="D39" i="5" s="1"/>
  <c r="D31" i="5"/>
  <c r="D38" i="5" s="1"/>
  <c r="B32" i="5"/>
  <c r="B39" i="5" s="1"/>
  <c r="B31" i="5"/>
  <c r="B38" i="5" s="1"/>
  <c r="B30" i="5"/>
  <c r="B37" i="5" s="1"/>
  <c r="B33" i="5"/>
  <c r="B40" i="5" s="1"/>
  <c r="C57" i="5"/>
  <c r="E30" i="4"/>
  <c r="E34" i="4" s="1"/>
  <c r="B30" i="4"/>
  <c r="B34" i="4" s="1"/>
  <c r="B42" i="4" s="1"/>
  <c r="B62" i="4" s="1"/>
  <c r="C30" i="4"/>
  <c r="C34" i="4" s="1"/>
  <c r="C37" i="4" s="1"/>
  <c r="C57" i="4" s="1"/>
  <c r="D30" i="4"/>
  <c r="D34" i="4" s="1"/>
  <c r="D41" i="4" s="1"/>
  <c r="D61" i="4" s="1"/>
  <c r="D37" i="4"/>
  <c r="D57" i="4" s="1"/>
  <c r="C38" i="4"/>
  <c r="C58" i="4" s="1"/>
  <c r="E41" i="4"/>
  <c r="E61" i="4" s="1"/>
  <c r="E42" i="4"/>
  <c r="E62" i="4" s="1"/>
  <c r="E43" i="4"/>
  <c r="E63" i="4" s="1"/>
  <c r="E45" i="4"/>
  <c r="E65" i="4" s="1"/>
  <c r="E38" i="4"/>
  <c r="E58" i="4" s="1"/>
  <c r="E44" i="4"/>
  <c r="E64" i="4" s="1"/>
  <c r="E39" i="4"/>
  <c r="E59" i="4" s="1"/>
  <c r="E40" i="4"/>
  <c r="E60" i="4" s="1"/>
  <c r="E46" i="4"/>
  <c r="E66" i="4" s="1"/>
  <c r="E37" i="4"/>
  <c r="E57" i="4" s="1"/>
  <c r="S33" i="3"/>
  <c r="R30" i="3"/>
  <c r="R28" i="3"/>
  <c r="R29" i="3"/>
  <c r="S30" i="3"/>
  <c r="S28" i="3"/>
  <c r="S29" i="3"/>
  <c r="Q30" i="3"/>
  <c r="M17" i="1"/>
  <c r="T30" i="3"/>
  <c r="Q28" i="3"/>
  <c r="Q29" i="3"/>
  <c r="L13" i="1"/>
  <c r="N13" i="1"/>
  <c r="O13" i="1"/>
  <c r="K14" i="1"/>
  <c r="Q31" i="3"/>
  <c r="R31" i="3"/>
  <c r="U33" i="3"/>
  <c r="U30" i="3"/>
  <c r="U28" i="3"/>
  <c r="U32" i="3"/>
  <c r="S31" i="3"/>
  <c r="T31" i="3"/>
  <c r="Q32" i="3"/>
  <c r="T29" i="3"/>
  <c r="T28" i="3"/>
  <c r="O14" i="1"/>
  <c r="K15" i="1"/>
  <c r="R32" i="3"/>
  <c r="U31" i="3"/>
  <c r="L15" i="1"/>
  <c r="S32" i="3"/>
  <c r="Q33" i="3"/>
  <c r="M15" i="1"/>
  <c r="T32" i="3"/>
  <c r="N17" i="1"/>
  <c r="M13" i="1"/>
  <c r="J37" i="2"/>
  <c r="J36" i="2"/>
  <c r="J35" i="2"/>
  <c r="J39" i="2"/>
  <c r="J38" i="2"/>
  <c r="O15" i="1"/>
  <c r="V31" i="3"/>
  <c r="V29" i="3"/>
  <c r="V33" i="3"/>
  <c r="V28" i="3"/>
  <c r="V30" i="3"/>
  <c r="V32" i="3"/>
  <c r="AC14" i="3"/>
  <c r="AK14" i="3" s="1"/>
  <c r="Y11" i="3"/>
  <c r="AD14" i="3"/>
  <c r="AL14" i="3" s="1"/>
  <c r="Y12" i="3"/>
  <c r="AG12" i="3" s="1"/>
  <c r="Y16" i="3"/>
  <c r="AG16" i="3" s="1"/>
  <c r="Z12" i="3"/>
  <c r="AH12" i="3" s="1"/>
  <c r="Z16" i="3"/>
  <c r="AH16" i="3" s="1"/>
  <c r="AB15" i="3"/>
  <c r="AJ15" i="3" s="1"/>
  <c r="H47" i="2"/>
  <c r="K47" i="2" s="1"/>
  <c r="AD15" i="3"/>
  <c r="AL15" i="3" s="1"/>
  <c r="AA12" i="3"/>
  <c r="AI12" i="3" s="1"/>
  <c r="AA16" i="3"/>
  <c r="AI16" i="3" s="1"/>
  <c r="H45" i="2"/>
  <c r="K45" i="2" s="1"/>
  <c r="AB12" i="3"/>
  <c r="AJ12" i="3" s="1"/>
  <c r="AB16" i="3"/>
  <c r="AJ16" i="3" s="1"/>
  <c r="AD12" i="3"/>
  <c r="AL12" i="3" s="1"/>
  <c r="AD16" i="3"/>
  <c r="AL16" i="3" s="1"/>
  <c r="H46" i="2"/>
  <c r="K46" i="2" s="1"/>
  <c r="AC11" i="3"/>
  <c r="AK11" i="3" s="1"/>
  <c r="AC15" i="3"/>
  <c r="AK15" i="3" s="1"/>
  <c r="AD11" i="3"/>
  <c r="AL11" i="3" s="1"/>
  <c r="N6" i="2"/>
  <c r="K18" i="1"/>
  <c r="AC12" i="3"/>
  <c r="AK12" i="3" s="1"/>
  <c r="AC16" i="3"/>
  <c r="AK16" i="3" s="1"/>
  <c r="L18" i="1"/>
  <c r="L14" i="1" s="1"/>
  <c r="Y13" i="3"/>
  <c r="AG13" i="3" s="1"/>
  <c r="Y15" i="3"/>
  <c r="AG15" i="3" s="1"/>
  <c r="M18" i="1"/>
  <c r="M16" i="1" s="1"/>
  <c r="Z13" i="3"/>
  <c r="AH13" i="3" s="1"/>
  <c r="N18" i="1"/>
  <c r="AA13" i="3"/>
  <c r="AI13" i="3" s="1"/>
  <c r="I27" i="2"/>
  <c r="AB13" i="3"/>
  <c r="AJ13" i="3" s="1"/>
  <c r="AC13" i="3"/>
  <c r="AK13" i="3" s="1"/>
  <c r="U29" i="3"/>
  <c r="H43" i="2"/>
  <c r="K43" i="2" s="1"/>
  <c r="Z15" i="3"/>
  <c r="AH15" i="3" s="1"/>
  <c r="AB11" i="3"/>
  <c r="AJ11" i="3" s="1"/>
  <c r="Z47" i="3"/>
  <c r="Z11" i="3"/>
  <c r="AH11" i="3" s="1"/>
  <c r="AA11" i="3"/>
  <c r="AI11" i="3" s="1"/>
  <c r="AA15" i="3"/>
  <c r="AI15" i="3" s="1"/>
  <c r="AD13" i="3"/>
  <c r="AL13" i="3" s="1"/>
  <c r="Y14" i="3"/>
  <c r="AG14" i="3" s="1"/>
  <c r="Z14" i="3"/>
  <c r="AH14" i="3" s="1"/>
  <c r="AA14" i="3"/>
  <c r="AI14" i="3" s="1"/>
  <c r="D40" i="4" l="1"/>
  <c r="D60" i="4" s="1"/>
  <c r="D39" i="4"/>
  <c r="D59" i="4" s="1"/>
  <c r="D38" i="4"/>
  <c r="D58" i="4" s="1"/>
  <c r="D46" i="4"/>
  <c r="D66" i="4" s="1"/>
  <c r="D45" i="4"/>
  <c r="D65" i="4" s="1"/>
  <c r="D44" i="4"/>
  <c r="D64" i="4" s="1"/>
  <c r="D43" i="4"/>
  <c r="D63" i="4" s="1"/>
  <c r="D42" i="4"/>
  <c r="D62" i="4" s="1"/>
  <c r="B41" i="4"/>
  <c r="B61" i="4" s="1"/>
  <c r="B46" i="4"/>
  <c r="B66" i="4" s="1"/>
  <c r="B45" i="4"/>
  <c r="B65" i="4" s="1"/>
  <c r="C41" i="4"/>
  <c r="C61" i="4" s="1"/>
  <c r="B40" i="4"/>
  <c r="B60" i="4" s="1"/>
  <c r="C40" i="4"/>
  <c r="C60" i="4" s="1"/>
  <c r="B44" i="4"/>
  <c r="B64" i="4" s="1"/>
  <c r="B37" i="4"/>
  <c r="B57" i="4" s="1"/>
  <c r="B39" i="4"/>
  <c r="B59" i="4" s="1"/>
  <c r="C46" i="4"/>
  <c r="C66" i="4" s="1"/>
  <c r="B38" i="4"/>
  <c r="B58" i="4" s="1"/>
  <c r="C44" i="4"/>
  <c r="C64" i="4" s="1"/>
  <c r="B43" i="4"/>
  <c r="B63" i="4" s="1"/>
  <c r="C39" i="4"/>
  <c r="C59" i="4" s="1"/>
  <c r="C45" i="4"/>
  <c r="C65" i="4" s="1"/>
  <c r="C43" i="4"/>
  <c r="C63" i="4" s="1"/>
  <c r="C42" i="4"/>
  <c r="C62" i="4" s="1"/>
  <c r="C75" i="4"/>
  <c r="C118" i="4" s="1"/>
  <c r="C130" i="4" s="1"/>
  <c r="C71" i="4"/>
  <c r="C81" i="4" s="1"/>
  <c r="C93" i="4" s="1"/>
  <c r="E75" i="4"/>
  <c r="E117" i="4" s="1"/>
  <c r="E129" i="4" s="1"/>
  <c r="E71" i="4"/>
  <c r="E83" i="4" s="1"/>
  <c r="E95" i="4" s="1"/>
  <c r="N14" i="1"/>
  <c r="N15" i="1"/>
  <c r="K23" i="1" s="1"/>
  <c r="Y19" i="3" a="1"/>
  <c r="AG11" i="3"/>
  <c r="K13" i="1"/>
  <c r="K21" i="1" s="1"/>
  <c r="K16" i="1"/>
  <c r="L17" i="1"/>
  <c r="K17" i="1"/>
  <c r="K25" i="1" s="1"/>
  <c r="M14" i="1"/>
  <c r="K22" i="1" s="1"/>
  <c r="N16" i="1"/>
  <c r="L16" i="1"/>
  <c r="D71" i="4" l="1"/>
  <c r="D84" i="4" s="1"/>
  <c r="D96" i="4" s="1"/>
  <c r="C122" i="4"/>
  <c r="C134" i="4" s="1"/>
  <c r="C123" i="4"/>
  <c r="C135" i="4" s="1"/>
  <c r="C125" i="4"/>
  <c r="C137" i="4" s="1"/>
  <c r="C119" i="4"/>
  <c r="C131" i="4" s="1"/>
  <c r="C126" i="4"/>
  <c r="C138" i="4" s="1"/>
  <c r="E122" i="4"/>
  <c r="E134" i="4" s="1"/>
  <c r="E124" i="4"/>
  <c r="E136" i="4" s="1"/>
  <c r="C117" i="4"/>
  <c r="C129" i="4" s="1"/>
  <c r="C124" i="4"/>
  <c r="C136" i="4" s="1"/>
  <c r="E121" i="4"/>
  <c r="E133" i="4" s="1"/>
  <c r="E123" i="4"/>
  <c r="E135" i="4" s="1"/>
  <c r="E125" i="4"/>
  <c r="E137" i="4" s="1"/>
  <c r="C120" i="4"/>
  <c r="C132" i="4" s="1"/>
  <c r="E118" i="4"/>
  <c r="E130" i="4" s="1"/>
  <c r="C121" i="4"/>
  <c r="C133" i="4" s="1"/>
  <c r="E119" i="4"/>
  <c r="E131" i="4" s="1"/>
  <c r="E120" i="4"/>
  <c r="E132" i="4" s="1"/>
  <c r="E89" i="4"/>
  <c r="E101" i="4" s="1"/>
  <c r="E126" i="4"/>
  <c r="E138" i="4" s="1"/>
  <c r="C80" i="4"/>
  <c r="C92" i="4" s="1"/>
  <c r="B71" i="4"/>
  <c r="B85" i="4" s="1"/>
  <c r="B97" i="4" s="1"/>
  <c r="B75" i="4"/>
  <c r="B122" i="4" s="1"/>
  <c r="B134" i="4" s="1"/>
  <c r="C88" i="4"/>
  <c r="C100" i="4" s="1"/>
  <c r="B84" i="4"/>
  <c r="B96" i="4" s="1"/>
  <c r="D75" i="4"/>
  <c r="D126" i="4" s="1"/>
  <c r="D138" i="4" s="1"/>
  <c r="C85" i="4"/>
  <c r="C97" i="4" s="1"/>
  <c r="C86" i="4"/>
  <c r="C98" i="4" s="1"/>
  <c r="C82" i="4"/>
  <c r="C94" i="4" s="1"/>
  <c r="C87" i="4"/>
  <c r="C99" i="4" s="1"/>
  <c r="E84" i="4"/>
  <c r="E96" i="4" s="1"/>
  <c r="C89" i="4"/>
  <c r="C101" i="4" s="1"/>
  <c r="E86" i="4"/>
  <c r="E98" i="4" s="1"/>
  <c r="E81" i="4"/>
  <c r="E93" i="4" s="1"/>
  <c r="E87" i="4"/>
  <c r="E99" i="4" s="1"/>
  <c r="C83" i="4"/>
  <c r="C95" i="4" s="1"/>
  <c r="E80" i="4"/>
  <c r="E92" i="4" s="1"/>
  <c r="B83" i="4"/>
  <c r="B95" i="4" s="1"/>
  <c r="E85" i="4"/>
  <c r="E97" i="4" s="1"/>
  <c r="C84" i="4"/>
  <c r="C96" i="4" s="1"/>
  <c r="E88" i="4"/>
  <c r="E100" i="4" s="1"/>
  <c r="E82" i="4"/>
  <c r="E94" i="4" s="1"/>
  <c r="K24" i="1"/>
  <c r="L24" i="1" s="1"/>
  <c r="Y23" i="3"/>
  <c r="AG23" i="3" s="1"/>
  <c r="AD22" i="3"/>
  <c r="AL22" i="3" s="1"/>
  <c r="Y19" i="3"/>
  <c r="AC22" i="3"/>
  <c r="AK22" i="3" s="1"/>
  <c r="AA22" i="3"/>
  <c r="AI22" i="3" s="1"/>
  <c r="AD23" i="3"/>
  <c r="AL23" i="3" s="1"/>
  <c r="AD19" i="3"/>
  <c r="AL19" i="3" s="1"/>
  <c r="AC23" i="3"/>
  <c r="AK23" i="3" s="1"/>
  <c r="AB19" i="3"/>
  <c r="AJ19" i="3" s="1"/>
  <c r="AB22" i="3"/>
  <c r="AJ22" i="3" s="1"/>
  <c r="Z22" i="3"/>
  <c r="AH22" i="3" s="1"/>
  <c r="Y22" i="3"/>
  <c r="AG22" i="3" s="1"/>
  <c r="AD21" i="3"/>
  <c r="AL21" i="3" s="1"/>
  <c r="AC21" i="3"/>
  <c r="AK21" i="3" s="1"/>
  <c r="AB21" i="3"/>
  <c r="AJ21" i="3" s="1"/>
  <c r="Z21" i="3"/>
  <c r="AH21" i="3" s="1"/>
  <c r="Z24" i="3"/>
  <c r="AH24" i="3" s="1"/>
  <c r="Z23" i="3"/>
  <c r="AH23" i="3" s="1"/>
  <c r="AA21" i="3"/>
  <c r="AI21" i="3" s="1"/>
  <c r="Y21" i="3"/>
  <c r="AG21" i="3" s="1"/>
  <c r="AA24" i="3"/>
  <c r="AI24" i="3" s="1"/>
  <c r="Y24" i="3"/>
  <c r="AG24" i="3" s="1"/>
  <c r="Y20" i="3"/>
  <c r="AG20" i="3" s="1"/>
  <c r="AD24" i="3"/>
  <c r="AL24" i="3" s="1"/>
  <c r="AD20" i="3"/>
  <c r="AL20" i="3" s="1"/>
  <c r="AA20" i="3"/>
  <c r="AI20" i="3" s="1"/>
  <c r="AC24" i="3"/>
  <c r="AK24" i="3" s="1"/>
  <c r="AC20" i="3"/>
  <c r="AK20" i="3" s="1"/>
  <c r="AB24" i="3"/>
  <c r="AJ24" i="3" s="1"/>
  <c r="AB20" i="3"/>
  <c r="AJ20" i="3" s="1"/>
  <c r="Z20" i="3"/>
  <c r="AH20" i="3" s="1"/>
  <c r="AC19" i="3"/>
  <c r="AK19" i="3" s="1"/>
  <c r="AB23" i="3"/>
  <c r="AJ23" i="3" s="1"/>
  <c r="AA23" i="3"/>
  <c r="AI23" i="3" s="1"/>
  <c r="AA19" i="3"/>
  <c r="AI19" i="3" s="1"/>
  <c r="Z19" i="3"/>
  <c r="AH19" i="3" s="1"/>
  <c r="D80" i="4" l="1"/>
  <c r="D92" i="4" s="1"/>
  <c r="D82" i="4"/>
  <c r="D94" i="4" s="1"/>
  <c r="D89" i="4"/>
  <c r="D101" i="4" s="1"/>
  <c r="D120" i="4"/>
  <c r="D132" i="4" s="1"/>
  <c r="B82" i="4"/>
  <c r="B94" i="4" s="1"/>
  <c r="B106" i="4" s="1"/>
  <c r="E106" i="4" s="1"/>
  <c r="B81" i="4"/>
  <c r="B93" i="4" s="1"/>
  <c r="B105" i="4" s="1"/>
  <c r="E105" i="4" s="1"/>
  <c r="B86" i="4"/>
  <c r="B98" i="4" s="1"/>
  <c r="D83" i="4"/>
  <c r="D95" i="4" s="1"/>
  <c r="B88" i="4"/>
  <c r="B100" i="4" s="1"/>
  <c r="D87" i="4"/>
  <c r="D99" i="4" s="1"/>
  <c r="D119" i="4"/>
  <c r="D131" i="4" s="1"/>
  <c r="D81" i="4"/>
  <c r="D93" i="4" s="1"/>
  <c r="D86" i="4"/>
  <c r="D98" i="4" s="1"/>
  <c r="B89" i="4"/>
  <c r="B101" i="4" s="1"/>
  <c r="B87" i="4"/>
  <c r="B99" i="4" s="1"/>
  <c r="D85" i="4"/>
  <c r="D97" i="4" s="1"/>
  <c r="B109" i="4" s="1"/>
  <c r="E109" i="4" s="1"/>
  <c r="B80" i="4"/>
  <c r="B92" i="4" s="1"/>
  <c r="D88" i="4"/>
  <c r="D100" i="4" s="1"/>
  <c r="D118" i="4"/>
  <c r="D130" i="4" s="1"/>
  <c r="D125" i="4"/>
  <c r="D137" i="4" s="1"/>
  <c r="D123" i="4"/>
  <c r="D135" i="4" s="1"/>
  <c r="D117" i="4"/>
  <c r="D129" i="4" s="1"/>
  <c r="D121" i="4"/>
  <c r="D133" i="4" s="1"/>
  <c r="D122" i="4"/>
  <c r="D134" i="4" s="1"/>
  <c r="B146" i="4" s="1"/>
  <c r="E146" i="4" s="1"/>
  <c r="D124" i="4"/>
  <c r="D136" i="4" s="1"/>
  <c r="B117" i="4"/>
  <c r="B129" i="4" s="1"/>
  <c r="B126" i="4"/>
  <c r="B138" i="4" s="1"/>
  <c r="B150" i="4" s="1"/>
  <c r="E150" i="4" s="1"/>
  <c r="B119" i="4"/>
  <c r="B131" i="4" s="1"/>
  <c r="B120" i="4"/>
  <c r="B132" i="4" s="1"/>
  <c r="B144" i="4" s="1"/>
  <c r="E144" i="4" s="1"/>
  <c r="B123" i="4"/>
  <c r="B135" i="4" s="1"/>
  <c r="B124" i="4"/>
  <c r="B136" i="4" s="1"/>
  <c r="B148" i="4" s="1"/>
  <c r="E148" i="4" s="1"/>
  <c r="B121" i="4"/>
  <c r="B133" i="4" s="1"/>
  <c r="B125" i="4"/>
  <c r="B137" i="4" s="1"/>
  <c r="B118" i="4"/>
  <c r="B130" i="4" s="1"/>
  <c r="B110" i="4"/>
  <c r="E110" i="4" s="1"/>
  <c r="B107" i="4"/>
  <c r="E107" i="4" s="1"/>
  <c r="B108" i="4"/>
  <c r="E108" i="4" s="1"/>
  <c r="B113" i="4"/>
  <c r="E113" i="4" s="1"/>
  <c r="B111" i="4"/>
  <c r="E111" i="4" s="1"/>
  <c r="B104" i="4"/>
  <c r="E104" i="4" s="1"/>
  <c r="L23" i="1"/>
  <c r="AG19" i="3"/>
  <c r="Y27" i="3" a="1"/>
  <c r="L25" i="1"/>
  <c r="L21" i="1"/>
  <c r="L22" i="1"/>
  <c r="B147" i="4" l="1"/>
  <c r="E147" i="4" s="1"/>
  <c r="B145" i="4"/>
  <c r="E145" i="4" s="1"/>
  <c r="B142" i="4"/>
  <c r="E142" i="4" s="1"/>
  <c r="B155" i="4" s="1"/>
  <c r="B112" i="4"/>
  <c r="E112" i="4" s="1"/>
  <c r="B141" i="4"/>
  <c r="E141" i="4" s="1"/>
  <c r="B143" i="4"/>
  <c r="E143" i="4" s="1"/>
  <c r="B156" i="4" s="1"/>
  <c r="B149" i="4"/>
  <c r="E149" i="4" s="1"/>
  <c r="B162" i="4" s="1"/>
  <c r="B159" i="4"/>
  <c r="B161" i="4"/>
  <c r="B154" i="4"/>
  <c r="B160" i="4"/>
  <c r="B157" i="4"/>
  <c r="B158" i="4"/>
  <c r="B163" i="4"/>
  <c r="C163" i="4" s="1"/>
  <c r="J28" i="1" a="1"/>
  <c r="AB29" i="3"/>
  <c r="AJ29" i="3" s="1"/>
  <c r="AA29" i="3"/>
  <c r="AI29" i="3" s="1"/>
  <c r="Z29" i="3"/>
  <c r="AH29" i="3" s="1"/>
  <c r="AD32" i="3"/>
  <c r="AL32" i="3" s="1"/>
  <c r="AD28" i="3"/>
  <c r="AL28" i="3" s="1"/>
  <c r="Y29" i="3"/>
  <c r="AG29" i="3" s="1"/>
  <c r="AC32" i="3"/>
  <c r="AK32" i="3" s="1"/>
  <c r="AC28" i="3"/>
  <c r="AK28" i="3" s="1"/>
  <c r="AB32" i="3"/>
  <c r="AJ32" i="3" s="1"/>
  <c r="AB28" i="3"/>
  <c r="AJ28" i="3" s="1"/>
  <c r="AA32" i="3"/>
  <c r="AI32" i="3" s="1"/>
  <c r="AA28" i="3"/>
  <c r="AI28" i="3" s="1"/>
  <c r="AC29" i="3"/>
  <c r="AK29" i="3" s="1"/>
  <c r="Z32" i="3"/>
  <c r="AH32" i="3" s="1"/>
  <c r="Z28" i="3"/>
  <c r="AH28" i="3" s="1"/>
  <c r="Y32" i="3"/>
  <c r="AG32" i="3" s="1"/>
  <c r="Y28" i="3"/>
  <c r="AG28" i="3" s="1"/>
  <c r="AC31" i="3"/>
  <c r="AK31" i="3" s="1"/>
  <c r="AC27" i="3"/>
  <c r="AK27" i="3" s="1"/>
  <c r="AD30" i="3"/>
  <c r="AL30" i="3" s="1"/>
  <c r="Y27" i="3"/>
  <c r="AG27" i="3" s="1"/>
  <c r="AC30" i="3"/>
  <c r="AK30" i="3" s="1"/>
  <c r="AB30" i="3"/>
  <c r="AJ30" i="3" s="1"/>
  <c r="AD31" i="3"/>
  <c r="AL31" i="3" s="1"/>
  <c r="AD27" i="3"/>
  <c r="AL27" i="3" s="1"/>
  <c r="Z30" i="3"/>
  <c r="AH30" i="3" s="1"/>
  <c r="AB31" i="3"/>
  <c r="AJ31" i="3" s="1"/>
  <c r="AB27" i="3"/>
  <c r="AJ27" i="3" s="1"/>
  <c r="AA30" i="3"/>
  <c r="AI30" i="3" s="1"/>
  <c r="AA31" i="3"/>
  <c r="AI31" i="3" s="1"/>
  <c r="AA27" i="3"/>
  <c r="AI27" i="3" s="1"/>
  <c r="Z31" i="3"/>
  <c r="AH31" i="3" s="1"/>
  <c r="Z27" i="3"/>
  <c r="AH27" i="3" s="1"/>
  <c r="Y31" i="3"/>
  <c r="AG31" i="3" s="1"/>
  <c r="Y30" i="3"/>
  <c r="AG30" i="3" s="1"/>
  <c r="AD29" i="3"/>
  <c r="AL29" i="3" s="1"/>
  <c r="C154" i="4" l="1"/>
  <c r="C159" i="4"/>
  <c r="C160" i="4"/>
  <c r="C161" i="4"/>
  <c r="C156" i="4"/>
  <c r="C158" i="4"/>
  <c r="C157" i="4"/>
  <c r="C155" i="4"/>
  <c r="C162" i="4"/>
  <c r="L32" i="1"/>
  <c r="J28" i="1"/>
  <c r="J32" i="1"/>
  <c r="K32" i="1"/>
  <c r="L31" i="1"/>
  <c r="K31" i="1"/>
  <c r="J31" i="1"/>
  <c r="K30" i="1"/>
  <c r="K28" i="1"/>
  <c r="L30" i="1"/>
  <c r="J30" i="1"/>
  <c r="L29" i="1"/>
  <c r="J29" i="1"/>
  <c r="L28" i="1"/>
  <c r="K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<sst xmlns="http://schemas.openxmlformats.org/spreadsheetml/2006/main" count="982" uniqueCount="225">
  <si>
    <t>Decision Matrix</t>
  </si>
  <si>
    <t>Normalized Decision Matrix (Min-Max)</t>
  </si>
  <si>
    <t>Criteria</t>
  </si>
  <si>
    <t>Laptop</t>
  </si>
  <si>
    <t>Price ($)</t>
  </si>
  <si>
    <t>Performance Score</t>
  </si>
  <si>
    <t>Battery Life (hrs)</t>
  </si>
  <si>
    <t>Weight (kg)</t>
  </si>
  <si>
    <t>Screen Quality (1-10)</t>
  </si>
  <si>
    <t>Alternatives</t>
  </si>
  <si>
    <t>Laptop A</t>
  </si>
  <si>
    <t>Laptop B</t>
  </si>
  <si>
    <t>Laptop C</t>
  </si>
  <si>
    <t>Laptop D</t>
  </si>
  <si>
    <t>Laptop E</t>
  </si>
  <si>
    <t>Weights</t>
  </si>
  <si>
    <t>Type</t>
  </si>
  <si>
    <t>Weighted Normalized Decision Matrix</t>
  </si>
  <si>
    <t>Cost</t>
  </si>
  <si>
    <t>Benefit</t>
  </si>
  <si>
    <t>Unsorted SAW Scores</t>
  </si>
  <si>
    <t>SAW Score</t>
  </si>
  <si>
    <t>Rank</t>
  </si>
  <si>
    <t>Sorted SAW Scores</t>
  </si>
  <si>
    <t>Pairwise Comparison Matrix (A)</t>
  </si>
  <si>
    <t>Calculate Priority using Geometric Mean (GM)</t>
  </si>
  <si>
    <t>Calculate Priority using Eigenvalue</t>
  </si>
  <si>
    <t>Performance</t>
  </si>
  <si>
    <t>Camera Quality</t>
  </si>
  <si>
    <t>Battery Life</t>
  </si>
  <si>
    <t>Display Quality</t>
  </si>
  <si>
    <t>GM</t>
  </si>
  <si>
    <t>Norm GM</t>
  </si>
  <si>
    <t>EigenVector</t>
  </si>
  <si>
    <t>Norm</t>
  </si>
  <si>
    <t>Alternative Comparison Matrices</t>
  </si>
  <si>
    <t>Identity Matrix</t>
  </si>
  <si>
    <t>Price ($):</t>
  </si>
  <si>
    <t>iPhone 15 Pro</t>
  </si>
  <si>
    <t>Samsung Galaxy S24 Ultra</t>
  </si>
  <si>
    <t>Google Pixel 8 Pro</t>
  </si>
  <si>
    <t>OnePlus 12</t>
  </si>
  <si>
    <t>Performance:</t>
  </si>
  <si>
    <t>Initial lambda</t>
  </si>
  <si>
    <t>A - (lambda * A)</t>
  </si>
  <si>
    <t>Camera Quality:</t>
  </si>
  <si>
    <t>Determinant</t>
  </si>
  <si>
    <t>Consistency Index</t>
  </si>
  <si>
    <t>Random Index</t>
  </si>
  <si>
    <t>Battery Life:</t>
  </si>
  <si>
    <t>Consistency Ratio</t>
  </si>
  <si>
    <t xml:space="preserve">Eigenvectors (v): </t>
  </si>
  <si>
    <t>v</t>
  </si>
  <si>
    <t>RHS</t>
  </si>
  <si>
    <t>Display Quality:</t>
  </si>
  <si>
    <t>Checker: A*v = lambda * v</t>
  </si>
  <si>
    <t>A * v</t>
  </si>
  <si>
    <t>lambda * v</t>
  </si>
  <si>
    <t>Difference</t>
  </si>
  <si>
    <t>Step 1: Define Elements</t>
  </si>
  <si>
    <t>Step 5: Create Alternative Comparison Matrices based on Criteria</t>
  </si>
  <si>
    <t>Step 7: Create Alternative Comparison Matrices based on Alternatives</t>
  </si>
  <si>
    <t>Step 11: Create Unweighted Supermatrix</t>
  </si>
  <si>
    <t xml:space="preserve">Step 13: Calculate Limit Matrix </t>
  </si>
  <si>
    <t>Goal</t>
  </si>
  <si>
    <t>Hire</t>
  </si>
  <si>
    <t>Technical Skills</t>
  </si>
  <si>
    <t>Candidate 1</t>
  </si>
  <si>
    <t>Candidate 2</t>
  </si>
  <si>
    <t>Format</t>
  </si>
  <si>
    <t>Iteration 0</t>
  </si>
  <si>
    <t>Sales Skills</t>
  </si>
  <si>
    <t>Work Experience</t>
  </si>
  <si>
    <t>Step 2: Create Criteria Priority Matrix</t>
  </si>
  <si>
    <t>Step 8: Get Priority Weights based on Alternatives</t>
  </si>
  <si>
    <t>Step 9: Created Cluster Comparison Matrix</t>
  </si>
  <si>
    <t>Iteration 1</t>
  </si>
  <si>
    <t>Iteration 1 vs 0</t>
  </si>
  <si>
    <t>Step 3: Get Criteria Priorities using Eigenvalue method</t>
  </si>
  <si>
    <t>Priority Weights</t>
  </si>
  <si>
    <t>Step 12: Create Weighted Supermatrix</t>
  </si>
  <si>
    <t>Total</t>
  </si>
  <si>
    <t>Step 6: Get Priority Weights based on Criteria</t>
  </si>
  <si>
    <t>Step 10: Create Weighted Comparison Matrix</t>
  </si>
  <si>
    <t>12.a Weight Criteria and Alternative rows based on Step 10</t>
  </si>
  <si>
    <t>Iteration 2</t>
  </si>
  <si>
    <t>Iteration 2 vs 1</t>
  </si>
  <si>
    <t>Step 4: Calculate Consistency Index</t>
  </si>
  <si>
    <t>Candidates</t>
  </si>
  <si>
    <t>Weight</t>
  </si>
  <si>
    <t>Max Eigenvalue</t>
  </si>
  <si>
    <t>12.b Normalize Column Wise</t>
  </si>
  <si>
    <t>Iteration 3</t>
  </si>
  <si>
    <t>Iteration 3 vs 2</t>
  </si>
  <si>
    <t>…</t>
  </si>
  <si>
    <t>Iteration N</t>
  </si>
  <si>
    <t>Step 13: Final Results and Analysis</t>
  </si>
  <si>
    <t>Final Ranking</t>
  </si>
  <si>
    <t>Priority</t>
  </si>
  <si>
    <t>Transportation Cost (M PHP)</t>
  </si>
  <si>
    <t>Market Access (M people)</t>
  </si>
  <si>
    <t>Infrastructure Quality (1-10)</t>
  </si>
  <si>
    <t>Labor Availability (K people)</t>
  </si>
  <si>
    <t>Alternative</t>
  </si>
  <si>
    <t>Metro Manila (QC)</t>
  </si>
  <si>
    <t>Cebu City</t>
  </si>
  <si>
    <t>Davao City</t>
  </si>
  <si>
    <t>Iloilo City</t>
  </si>
  <si>
    <t>Cagayan de Oro</t>
  </si>
  <si>
    <t>Bacolod City</t>
  </si>
  <si>
    <t>General Santos</t>
  </si>
  <si>
    <t>Tacloban City</t>
  </si>
  <si>
    <t>Baguio City</t>
  </si>
  <si>
    <t>Zamboanga City</t>
  </si>
  <si>
    <t>Step 1 : Construct the Decision Matrix</t>
  </si>
  <si>
    <t>Step 2: Normalize the Decision Matrix</t>
  </si>
  <si>
    <t>2.1 Square the values</t>
  </si>
  <si>
    <t>2.2 Get the sum of each criteria column</t>
  </si>
  <si>
    <t>2.3 Get the square root of each column</t>
  </si>
  <si>
    <t>2.3 Divide each value of the Decision Matrix by the corresponding values in step 2.3</t>
  </si>
  <si>
    <t>Step 3: Determine Criteria Weights</t>
  </si>
  <si>
    <t>Step 4: Determine Weighted Normalized Decision Matrix</t>
  </si>
  <si>
    <t>Step 5: Determine positive and negative ideal solutions</t>
  </si>
  <si>
    <t>6.1 Positive Separation</t>
  </si>
  <si>
    <t>Sum of Squares</t>
  </si>
  <si>
    <t>Step 6: Calculate Separation Measures (Get the square root of the sum of squared differences across all criteria for each alternative)</t>
  </si>
  <si>
    <t>Distance to PIS</t>
  </si>
  <si>
    <t>Distance to NIS</t>
  </si>
  <si>
    <t>5.1 Positive Ideal Solution (PIS)</t>
  </si>
  <si>
    <t>5.1 Negative Ideal Solution (NIS)</t>
  </si>
  <si>
    <t>6.2 Negative Separation</t>
  </si>
  <si>
    <t>CC</t>
  </si>
  <si>
    <t>Step 7: Calculate Closeness Coefficient and Rank Alternatives</t>
  </si>
  <si>
    <t>Construction Cost (M PHP)</t>
  </si>
  <si>
    <t>Population Density</t>
  </si>
  <si>
    <t>Transportation Access</t>
  </si>
  <si>
    <t>Medical Infrastructure</t>
  </si>
  <si>
    <t>Regulatory Compliance</t>
  </si>
  <si>
    <t>Metro Manila</t>
  </si>
  <si>
    <t>Cebu</t>
  </si>
  <si>
    <t>Davao</t>
  </si>
  <si>
    <t>Iloilo</t>
  </si>
  <si>
    <t>Step 2: Determine Criteria Weights</t>
  </si>
  <si>
    <t>Step 3: Normalize Decision Matrix (using vector normalization)</t>
  </si>
  <si>
    <t>Step 4: Get Weighted Normalized Matrix</t>
  </si>
  <si>
    <t>Step 5: Calculate Concordance Indices</t>
  </si>
  <si>
    <t>Compare MM vs Cebu (Alt 0 vs Alt 1)</t>
  </si>
  <si>
    <t>Alt 0 &gt;= Alt 1?</t>
  </si>
  <si>
    <t>Concorance Index (0,1)</t>
  </si>
  <si>
    <t>Compare MM vs Cebu (Alt 0 vs Alt 2)</t>
  </si>
  <si>
    <t>Alt 0 &gt;= Alt 2?</t>
  </si>
  <si>
    <t>Concorance Index (0,2)</t>
  </si>
  <si>
    <t>Concorance Index (3,2)</t>
  </si>
  <si>
    <t>Step 6: Create Concordance Matrix</t>
  </si>
  <si>
    <t>Step 7: Create Discordance Matrix</t>
  </si>
  <si>
    <t>7.1 Find overall maximum difference between alternatives</t>
  </si>
  <si>
    <t>Metro Manila vs Cebu (Alt 0 vs 1)</t>
  </si>
  <si>
    <t>Diff</t>
  </si>
  <si>
    <t>Max Diff</t>
  </si>
  <si>
    <t>Compare Iloilo vs Davao (Alt 3 vs Alt 2)</t>
  </si>
  <si>
    <t>Iloilo vs Davao (Alt 3 vs Alt 2)</t>
  </si>
  <si>
    <t>Overall Max Diff</t>
  </si>
  <si>
    <t>(Alt 0 vs 3)</t>
  </si>
  <si>
    <t>7.2 Find Discordance Indices</t>
  </si>
  <si>
    <t>Alt 0 &lt;= Alt 1?</t>
  </si>
  <si>
    <t>Differences</t>
  </si>
  <si>
    <t>Discordant Difference</t>
  </si>
  <si>
    <t>Discordant Index (0,1)</t>
  </si>
  <si>
    <t>7.3 Create Discordance Matrix</t>
  </si>
  <si>
    <t>Step 8: Determine Outranking Relations</t>
  </si>
  <si>
    <t>Concordance threshold</t>
  </si>
  <si>
    <t>Discordance threshold</t>
  </si>
  <si>
    <t>Comparing MM vs Cebu (Alt 0 vs 1)</t>
  </si>
  <si>
    <t>Concordance</t>
  </si>
  <si>
    <t>Discordance</t>
  </si>
  <si>
    <t>CI</t>
  </si>
  <si>
    <t>DI</t>
  </si>
  <si>
    <t>Value</t>
  </si>
  <si>
    <t>Threshold</t>
  </si>
  <si>
    <t>Compare</t>
  </si>
  <si>
    <t>MM OUTRANKS Cebu?</t>
  </si>
  <si>
    <t>Comparing MM vs Davao (Alt 0 vs 2)</t>
  </si>
  <si>
    <t>Create Outranking Matrix (1= outranks, 0 = does not outrank)</t>
  </si>
  <si>
    <t>Step 9: Rank Alternatives</t>
  </si>
  <si>
    <t>Outranks Count</t>
  </si>
  <si>
    <t>Outranked by Count</t>
  </si>
  <si>
    <t>Speed</t>
  </si>
  <si>
    <t>Reliability</t>
  </si>
  <si>
    <t>A1_BasicCNC</t>
  </si>
  <si>
    <t>A2_PrecisionCNC</t>
  </si>
  <si>
    <t>A3_HighSpeedCNC</t>
  </si>
  <si>
    <t>A4_IndustrialCNC</t>
  </si>
  <si>
    <t>Step 1: Decision Matrix</t>
  </si>
  <si>
    <t>Step 2: Criteria Weights</t>
  </si>
  <si>
    <t>Direction</t>
  </si>
  <si>
    <t>Minimize</t>
  </si>
  <si>
    <t>Precision Tolerance</t>
  </si>
  <si>
    <t>Maximize</t>
  </si>
  <si>
    <t>Step 3: Define Preference Thresholds (p) using Linear Preference</t>
  </si>
  <si>
    <t>p</t>
  </si>
  <si>
    <t>Step 4: Compute Pairwise Preference</t>
  </si>
  <si>
    <t>Criteria: Cost</t>
  </si>
  <si>
    <t>d</t>
  </si>
  <si>
    <t>difference</t>
  </si>
  <si>
    <t>A1 vs A2</t>
  </si>
  <si>
    <t>A1 vs A3</t>
  </si>
  <si>
    <t>A4 vs A3</t>
  </si>
  <si>
    <t>Pairwise Preference Matrix: Cost</t>
  </si>
  <si>
    <t>Pairwise Preference Matrix: Precision Tolerance</t>
  </si>
  <si>
    <t>Power Consumption</t>
  </si>
  <si>
    <t>Pairwise Preference Matrix: Speed</t>
  </si>
  <si>
    <t>Pairwise Preference Matrix: Reliability</t>
  </si>
  <si>
    <t>Pairwise Preference Matrix: Power Consumption</t>
  </si>
  <si>
    <t>Step 5: Calculate Overall Preference Matrix π(a,b)</t>
  </si>
  <si>
    <t>Higher values indicate stronger preference</t>
  </si>
  <si>
    <t>Interpretation:</t>
  </si>
  <si>
    <t xml:space="preserve">π(A1,A2) = overall preference degree of A1 over A2 </t>
  </si>
  <si>
    <t>Step 6: Calculate PROMETHEE Flows and Final Ranking</t>
  </si>
  <si>
    <t>Positive Flow φ⁺</t>
  </si>
  <si>
    <t>Negative Flow φ⁻</t>
  </si>
  <si>
    <t>Positive Flow φ⁺ (dominance over others)</t>
  </si>
  <si>
    <t>Net Flow φ (final score)</t>
  </si>
  <si>
    <t>Negative Flow φ⁻ (dominated by others)</t>
  </si>
  <si>
    <t>Net Flow φ</t>
  </si>
  <si>
    <t>Sort the rankings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</si>
</sst>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0"/>
    <numFmt numFmtId="165" formatCode="0.000"/>
  </numFmts>
  <fonts count="3" x14ac:knownFonts="1">
    <font>
      <sz val="11"/>
      <color theme="1"/>
      <name val="Aptos Narrow"/>
      <family val="2"/>
      <charset val="1"/>
    </font>
    <font>
      <b/>
      <sz val="11"/>
      <color theme="1"/>
      <name val="Aptos Narrow"/>
      <family val="2"/>
      <charset val="1"/>
    </font>
    <font>
      <sz val="11"/>
      <color theme="1"/>
      <name val="Aptos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FFDBB6"/>
        <bgColor rgb="FFF7D1D5"/>
      </patternFill>
    </fill>
    <fill>
      <patternFill patternType="solid">
        <fgColor rgb="FFFFFFD7"/>
        <bgColor rgb="FFFFFFFF"/>
      </patternFill>
    </fill>
    <fill>
      <patternFill patternType="solid">
        <fgColor rgb="FFDDE8CB"/>
        <bgColor rgb="FFDEE6EF"/>
      </patternFill>
    </fill>
    <fill>
      <patternFill patternType="solid">
        <fgColor rgb="FFFFFFA6"/>
        <bgColor rgb="FFFFFFD7"/>
      </patternFill>
    </fill>
    <fill>
      <patternFill patternType="solid">
        <fgColor rgb="FFE0C2CD"/>
        <bgColor rgb="FFF7D1D5"/>
      </patternFill>
    </fill>
    <fill>
      <patternFill patternType="solid">
        <fgColor rgb="FFDEE6EF"/>
        <bgColor rgb="FFDDE8CB"/>
      </patternFill>
    </fill>
    <fill>
      <patternFill patternType="solid">
        <fgColor rgb="FFF7D1D5"/>
        <bgColor rgb="FFFFDBB6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64" fontId="0" fillId="4" borderId="0" xfId="0" applyNumberFormat="1" applyFill="1" applyAlignment="1">
      <alignment wrapText="1"/>
    </xf>
    <xf numFmtId="0" fontId="0" fillId="0" borderId="0" xfId="0" applyAlignment="1">
      <alignment wrapText="1"/>
    </xf>
    <xf numFmtId="165" fontId="0" fillId="4" borderId="0" xfId="0" applyNumberFormat="1" applyFill="1"/>
    <xf numFmtId="165" fontId="0" fillId="5" borderId="0" xfId="0" applyNumberFormat="1" applyFill="1"/>
    <xf numFmtId="165" fontId="0" fillId="0" borderId="0" xfId="0" applyNumberFormat="1"/>
    <xf numFmtId="165" fontId="0" fillId="6" borderId="0" xfId="0" applyNumberFormat="1" applyFill="1"/>
    <xf numFmtId="165" fontId="0" fillId="7" borderId="0" xfId="0" applyNumberFormat="1" applyFill="1"/>
    <xf numFmtId="165" fontId="0" fillId="2" borderId="0" xfId="0" applyNumberFormat="1" applyFill="1"/>
    <xf numFmtId="0" fontId="0" fillId="8" borderId="0" xfId="0" applyFill="1"/>
    <xf numFmtId="0" fontId="2" fillId="0" borderId="0" xfId="0" applyFont="1"/>
    <xf numFmtId="164" fontId="0" fillId="0" borderId="1" xfId="0" applyNumberFormat="1" applyBorder="1"/>
    <xf numFmtId="164" fontId="0" fillId="0" borderId="0" xfId="0" applyNumberFormat="1"/>
    <xf numFmtId="0" fontId="0" fillId="9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844AF28-35C2-433E-84C8-184E60008246}"/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F7D1D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A6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64440</xdr:colOff>
      <xdr:row>19</xdr:row>
      <xdr:rowOff>24120</xdr:rowOff>
    </xdr:from>
    <xdr:to>
      <xdr:col>3</xdr:col>
      <xdr:colOff>1169280</xdr:colOff>
      <xdr:row>25</xdr:row>
      <xdr:rowOff>170280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 rot="21589200">
          <a:off x="2496600" y="3435480"/>
          <a:ext cx="1917360" cy="122652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zoomScale="95" zoomScaleNormal="95" workbookViewId="0">
      <selection activeCell="N9" sqref="N9"/>
    </sheetView>
  </sheetViews>
  <sheetFormatPr defaultColWidth="8.61328125" defaultRowHeight="14.25" customHeight="1" x14ac:dyDescent="0.4"/>
  <cols>
    <col min="1" max="1" width="2.921875" customWidth="1"/>
    <col min="2" max="2" width="8" customWidth="1"/>
    <col min="3" max="3" width="7.53515625" customWidth="1"/>
    <col min="4" max="4" width="12.07421875" customWidth="1"/>
    <col min="5" max="5" width="9.07421875" customWidth="1"/>
    <col min="6" max="6" width="6.3046875" customWidth="1"/>
    <col min="7" max="7" width="12" customWidth="1"/>
    <col min="8" max="8" width="1.69140625" customWidth="1"/>
    <col min="12" max="12" width="11.07421875" customWidth="1"/>
    <col min="15" max="15" width="11.921875" customWidth="1"/>
  </cols>
  <sheetData>
    <row r="1" spans="1:15" ht="14.6" x14ac:dyDescent="0.4">
      <c r="A1" t="s">
        <v>0</v>
      </c>
      <c r="I1" t="s">
        <v>1</v>
      </c>
    </row>
    <row r="2" spans="1:15" ht="14.6" x14ac:dyDescent="0.4">
      <c r="C2" s="26" t="s">
        <v>2</v>
      </c>
      <c r="D2" s="26"/>
      <c r="E2" s="26"/>
      <c r="F2" s="26"/>
      <c r="G2" s="26"/>
      <c r="K2" s="26" t="s">
        <v>2</v>
      </c>
      <c r="L2" s="26"/>
      <c r="M2" s="26"/>
      <c r="N2" s="26"/>
      <c r="O2" s="26"/>
    </row>
    <row r="3" spans="1:15" ht="28.5" customHeight="1" x14ac:dyDescent="0.4"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J3" s="3" t="s">
        <v>3</v>
      </c>
      <c r="K3" s="4" t="s">
        <v>4</v>
      </c>
      <c r="L3" s="4" t="s">
        <v>5</v>
      </c>
      <c r="M3" s="4" t="s">
        <v>6</v>
      </c>
      <c r="N3" s="4" t="s">
        <v>7</v>
      </c>
      <c r="O3" s="4" t="s">
        <v>8</v>
      </c>
    </row>
    <row r="4" spans="1:15" ht="14.6" x14ac:dyDescent="0.4">
      <c r="A4" s="27" t="s">
        <v>9</v>
      </c>
      <c r="B4" s="5" t="s">
        <v>10</v>
      </c>
      <c r="C4" s="2">
        <v>800</v>
      </c>
      <c r="D4" s="2">
        <v>75</v>
      </c>
      <c r="E4" s="2">
        <v>8</v>
      </c>
      <c r="F4" s="2">
        <v>2.5</v>
      </c>
      <c r="G4" s="2">
        <v>7</v>
      </c>
      <c r="I4" s="27" t="s">
        <v>9</v>
      </c>
      <c r="J4" s="5" t="s">
        <v>10</v>
      </c>
      <c r="K4" s="2">
        <f>(MAX($C$4:$C$8)-C4)/(MAX($C$4:$C$8)-MIN($C$4:$C$8))</f>
        <v>1</v>
      </c>
      <c r="L4" s="2">
        <f>(D4-MIN($D$4:$D$8))/(MAX($D$4:$D$8)-MIN($D$4:$D$8))</f>
        <v>0</v>
      </c>
      <c r="M4" s="2">
        <f>(E4-MIN($E$4:$E$8))/(MAX($E$4:$E$8)-MIN($E$4:$E$8))</f>
        <v>0.33333333333333331</v>
      </c>
      <c r="N4" s="2">
        <f>(MAX($F$4:$F$8)-F4)/(MAX($F$4:$F$8)-MIN($F$4:$F$8))</f>
        <v>0.29999999999999988</v>
      </c>
      <c r="O4" s="2">
        <f>(G4-MIN($G$4:$G$8))/(MAX($G$4:$G$8)-MIN($G$4:$G$8))</f>
        <v>0.25</v>
      </c>
    </row>
    <row r="5" spans="1:15" ht="14.6" x14ac:dyDescent="0.4">
      <c r="A5" s="27"/>
      <c r="B5" s="5" t="s">
        <v>11</v>
      </c>
      <c r="C5" s="2">
        <v>1200</v>
      </c>
      <c r="D5" s="2">
        <v>90</v>
      </c>
      <c r="E5" s="2">
        <v>6</v>
      </c>
      <c r="F5" s="2">
        <v>1.8</v>
      </c>
      <c r="G5" s="2">
        <v>9</v>
      </c>
      <c r="I5" s="27"/>
      <c r="J5" s="5" t="s">
        <v>11</v>
      </c>
      <c r="K5" s="2">
        <f>(MAX($C$4:$C$8)-C5)/(MAX($C$4:$C$8)-MIN($C$4:$C$8))</f>
        <v>0.42857142857142855</v>
      </c>
      <c r="L5" s="2">
        <f>(D5-MIN($D$4:$D$8))/(MAX($D$4:$D$8)-MIN($D$4:$D$8))</f>
        <v>0.75</v>
      </c>
      <c r="M5" s="2">
        <f>(E5-MIN($E$4:$E$8))/(MAX($E$4:$E$8)-MIN($E$4:$E$8))</f>
        <v>0</v>
      </c>
      <c r="N5" s="2">
        <f>(MAX($F$4:$F$8)-F5)/(MAX($F$4:$F$8)-MIN($F$4:$F$8))</f>
        <v>1</v>
      </c>
      <c r="O5" s="2">
        <f>(G5-MIN($G$4:$G$8))/(MAX($G$4:$G$8)-MIN($G$4:$G$8))</f>
        <v>0.75</v>
      </c>
    </row>
    <row r="6" spans="1:15" ht="14.6" x14ac:dyDescent="0.4">
      <c r="A6" s="27"/>
      <c r="B6" s="5" t="s">
        <v>12</v>
      </c>
      <c r="C6" s="2">
        <v>1000</v>
      </c>
      <c r="D6" s="2">
        <v>85</v>
      </c>
      <c r="E6" s="2">
        <v>10</v>
      </c>
      <c r="F6" s="2">
        <v>2.2000000000000002</v>
      </c>
      <c r="G6" s="2">
        <v>8</v>
      </c>
      <c r="I6" s="27"/>
      <c r="J6" s="5" t="s">
        <v>12</v>
      </c>
      <c r="K6" s="2">
        <f>(MAX($C$4:$C$8)-C6)/(MAX($C$4:$C$8)-MIN($C$4:$C$8))</f>
        <v>0.7142857142857143</v>
      </c>
      <c r="L6" s="2">
        <f>(D6-MIN($D$4:$D$8))/(MAX($D$4:$D$8)-MIN($D$4:$D$8))</f>
        <v>0.5</v>
      </c>
      <c r="M6" s="2">
        <f>(E6-MIN($E$4:$E$8))/(MAX($E$4:$E$8)-MIN($E$4:$E$8))</f>
        <v>0.66666666666666663</v>
      </c>
      <c r="N6" s="2">
        <f>(MAX($F$4:$F$8)-F6)/(MAX($F$4:$F$8)-MIN($F$4:$F$8))</f>
        <v>0.59999999999999976</v>
      </c>
      <c r="O6" s="2">
        <f>(G6-MIN($G$4:$G$8))/(MAX($G$4:$G$8)-MIN($G$4:$G$8))</f>
        <v>0.5</v>
      </c>
    </row>
    <row r="7" spans="1:15" ht="14.6" x14ac:dyDescent="0.4">
      <c r="A7" s="27"/>
      <c r="B7" s="5" t="s">
        <v>13</v>
      </c>
      <c r="C7" s="2">
        <v>1500</v>
      </c>
      <c r="D7" s="2">
        <v>95</v>
      </c>
      <c r="E7" s="2">
        <v>7</v>
      </c>
      <c r="F7" s="2">
        <v>2</v>
      </c>
      <c r="G7" s="2">
        <v>10</v>
      </c>
      <c r="I7" s="27"/>
      <c r="J7" s="5" t="s">
        <v>13</v>
      </c>
      <c r="K7" s="2">
        <f>(MAX($C$4:$C$8)-C7)/(MAX($C$4:$C$8)-MIN($C$4:$C$8))</f>
        <v>0</v>
      </c>
      <c r="L7" s="2">
        <f>(D7-MIN($D$4:$D$8))/(MAX($D$4:$D$8)-MIN($D$4:$D$8))</f>
        <v>1</v>
      </c>
      <c r="M7" s="2">
        <f>(E7-MIN($E$4:$E$8))/(MAX($E$4:$E$8)-MIN($E$4:$E$8))</f>
        <v>0.16666666666666666</v>
      </c>
      <c r="N7" s="2">
        <f>(MAX($F$4:$F$8)-F7)/(MAX($F$4:$F$8)-MIN($F$4:$F$8))</f>
        <v>0.8</v>
      </c>
      <c r="O7" s="2">
        <f>(G7-MIN($G$4:$G$8))/(MAX($G$4:$G$8)-MIN($G$4:$G$8))</f>
        <v>1</v>
      </c>
    </row>
    <row r="8" spans="1:15" ht="14.6" x14ac:dyDescent="0.4">
      <c r="A8" s="27"/>
      <c r="B8" s="5" t="s">
        <v>14</v>
      </c>
      <c r="C8" s="2">
        <v>900</v>
      </c>
      <c r="D8" s="2">
        <v>80</v>
      </c>
      <c r="E8" s="2">
        <v>12</v>
      </c>
      <c r="F8" s="2">
        <v>2.8</v>
      </c>
      <c r="G8" s="2">
        <v>6</v>
      </c>
      <c r="I8" s="27"/>
      <c r="J8" s="5" t="s">
        <v>14</v>
      </c>
      <c r="K8" s="2">
        <f>(MAX($C$4:$C$8)-C8)/(MAX($C$4:$C$8)-MIN($C$4:$C$8))</f>
        <v>0.8571428571428571</v>
      </c>
      <c r="L8" s="2">
        <f>(D8-MIN($D$4:$D$8))/(MAX($D$4:$D$8)-MIN($D$4:$D$8))</f>
        <v>0.25</v>
      </c>
      <c r="M8" s="2">
        <f>(E8-MIN($E$4:$E$8))/(MAX($E$4:$E$8)-MIN($E$4:$E$8))</f>
        <v>1</v>
      </c>
      <c r="N8" s="2">
        <f>(MAX($F$4:$F$8)-F8)/(MAX($F$4:$F$8)-MIN($F$4:$F$8))</f>
        <v>0</v>
      </c>
      <c r="O8" s="2">
        <f>(G8-MIN($G$4:$G$8))/(MAX($G$4:$G$8)-MIN($G$4:$G$8))</f>
        <v>0</v>
      </c>
    </row>
    <row r="10" spans="1:15" ht="14.6" x14ac:dyDescent="0.4">
      <c r="A10" s="28" t="s">
        <v>2</v>
      </c>
      <c r="B10" s="28"/>
      <c r="C10" s="28"/>
      <c r="D10" s="1" t="s">
        <v>15</v>
      </c>
      <c r="E10" s="1" t="s">
        <v>16</v>
      </c>
      <c r="I10" t="s">
        <v>17</v>
      </c>
    </row>
    <row r="11" spans="1:15" ht="14.6" x14ac:dyDescent="0.4">
      <c r="A11" s="28" t="s">
        <v>4</v>
      </c>
      <c r="B11" s="28"/>
      <c r="C11" s="28"/>
      <c r="D11" s="1">
        <v>0.25</v>
      </c>
      <c r="E11" s="1" t="s">
        <v>18</v>
      </c>
      <c r="K11" s="26" t="s">
        <v>2</v>
      </c>
      <c r="L11" s="26"/>
      <c r="M11" s="26"/>
      <c r="N11" s="26"/>
      <c r="O11" s="26"/>
    </row>
    <row r="12" spans="1:15" ht="29.15" x14ac:dyDescent="0.4">
      <c r="A12" s="28" t="s">
        <v>5</v>
      </c>
      <c r="B12" s="28"/>
      <c r="C12" s="28"/>
      <c r="D12" s="1">
        <v>0.3</v>
      </c>
      <c r="E12" s="1" t="s">
        <v>19</v>
      </c>
      <c r="J12" s="3" t="s">
        <v>3</v>
      </c>
      <c r="K12" s="4" t="s">
        <v>4</v>
      </c>
      <c r="L12" s="4" t="s">
        <v>5</v>
      </c>
      <c r="M12" s="4" t="s">
        <v>6</v>
      </c>
      <c r="N12" s="4" t="s">
        <v>7</v>
      </c>
      <c r="O12" s="4" t="s">
        <v>8</v>
      </c>
    </row>
    <row r="13" spans="1:15" ht="14.6" x14ac:dyDescent="0.4">
      <c r="A13" s="28" t="s">
        <v>6</v>
      </c>
      <c r="B13" s="28"/>
      <c r="C13" s="28"/>
      <c r="D13" s="1">
        <v>0.2</v>
      </c>
      <c r="E13" s="1" t="s">
        <v>19</v>
      </c>
      <c r="I13" s="27" t="s">
        <v>9</v>
      </c>
      <c r="J13" s="5" t="s">
        <v>10</v>
      </c>
      <c r="K13" s="2">
        <f>K4*K18</f>
        <v>0.25</v>
      </c>
      <c r="L13" s="2">
        <f>L4*L18</f>
        <v>0</v>
      </c>
      <c r="M13" s="2">
        <f>M4*M18</f>
        <v>6.6666666666666666E-2</v>
      </c>
      <c r="N13" s="2">
        <f>N4*N18</f>
        <v>4.4999999999999978E-2</v>
      </c>
      <c r="O13" s="2">
        <f>O4*O18</f>
        <v>2.5000000000000001E-2</v>
      </c>
    </row>
    <row r="14" spans="1:15" ht="14.6" x14ac:dyDescent="0.4">
      <c r="A14" s="28" t="s">
        <v>7</v>
      </c>
      <c r="B14" s="28"/>
      <c r="C14" s="28"/>
      <c r="D14" s="1">
        <v>0.15</v>
      </c>
      <c r="E14" s="1" t="s">
        <v>18</v>
      </c>
      <c r="I14" s="27"/>
      <c r="J14" s="5" t="s">
        <v>11</v>
      </c>
      <c r="K14" s="2">
        <f>K5*K18</f>
        <v>0.10714285714285714</v>
      </c>
      <c r="L14" s="2">
        <f>L5*L18</f>
        <v>0.22499999999999998</v>
      </c>
      <c r="M14" s="2">
        <f>M5*M18</f>
        <v>0</v>
      </c>
      <c r="N14" s="2">
        <f>N5*N18</f>
        <v>0.15</v>
      </c>
      <c r="O14" s="2">
        <f>O5*O18</f>
        <v>7.5000000000000011E-2</v>
      </c>
    </row>
    <row r="15" spans="1:15" ht="14.6" x14ac:dyDescent="0.4">
      <c r="A15" s="28" t="s">
        <v>8</v>
      </c>
      <c r="B15" s="28"/>
      <c r="C15" s="28"/>
      <c r="D15" s="1">
        <v>0.1</v>
      </c>
      <c r="E15" s="1" t="s">
        <v>19</v>
      </c>
      <c r="I15" s="27"/>
      <c r="J15" s="5" t="s">
        <v>12</v>
      </c>
      <c r="K15" s="2">
        <f>K6*K18</f>
        <v>0.17857142857142858</v>
      </c>
      <c r="L15" s="2">
        <f>L6*L18</f>
        <v>0.15</v>
      </c>
      <c r="M15" s="2">
        <f>M6*M18</f>
        <v>0.13333333333333333</v>
      </c>
      <c r="N15" s="2">
        <f>N6*N18</f>
        <v>8.9999999999999955E-2</v>
      </c>
      <c r="O15" s="2">
        <f>O6*O18</f>
        <v>0.05</v>
      </c>
    </row>
    <row r="16" spans="1:15" ht="14.6" x14ac:dyDescent="0.4">
      <c r="D16" s="1"/>
      <c r="I16" s="27"/>
      <c r="J16" s="5" t="s">
        <v>13</v>
      </c>
      <c r="K16" s="2">
        <f>K7*K18</f>
        <v>0</v>
      </c>
      <c r="L16" s="2">
        <f>L7*L18</f>
        <v>0.3</v>
      </c>
      <c r="M16" s="2">
        <f>M7*M18</f>
        <v>3.3333333333333333E-2</v>
      </c>
      <c r="N16" s="2">
        <f>N7*N18</f>
        <v>0.12</v>
      </c>
      <c r="O16" s="2">
        <f>O7*O18</f>
        <v>0.1</v>
      </c>
    </row>
    <row r="17" spans="9:15" ht="14.6" x14ac:dyDescent="0.4">
      <c r="I17" s="27"/>
      <c r="J17" s="5" t="s">
        <v>14</v>
      </c>
      <c r="K17" s="2">
        <f>K8*K18</f>
        <v>0.21428571428571427</v>
      </c>
      <c r="L17" s="2">
        <f>L8*L18</f>
        <v>7.4999999999999997E-2</v>
      </c>
      <c r="M17" s="2">
        <f>M8*M18</f>
        <v>0.2</v>
      </c>
      <c r="N17" s="2">
        <f>N8*N18</f>
        <v>0</v>
      </c>
      <c r="O17" s="2">
        <f>O8*O18</f>
        <v>0</v>
      </c>
    </row>
    <row r="18" spans="9:15" ht="14.6" x14ac:dyDescent="0.4">
      <c r="K18">
        <f t="array" ref="K18:O18">TRANSPOSE($D$11:$D$15)</f>
        <v>0.25</v>
      </c>
      <c r="L18">
        <v>0.3</v>
      </c>
      <c r="M18">
        <v>0.2</v>
      </c>
      <c r="N18">
        <v>0.15</v>
      </c>
      <c r="O18">
        <v>0.1</v>
      </c>
    </row>
    <row r="19" spans="9:15" ht="14.6" x14ac:dyDescent="0.4">
      <c r="I19" t="s">
        <v>20</v>
      </c>
    </row>
    <row r="20" spans="9:15" ht="14.6" x14ac:dyDescent="0.4">
      <c r="I20" s="5"/>
      <c r="J20" s="3" t="s">
        <v>3</v>
      </c>
      <c r="K20" s="5" t="s">
        <v>21</v>
      </c>
      <c r="L20" s="5" t="s">
        <v>22</v>
      </c>
    </row>
    <row r="21" spans="9:15" ht="14.6" x14ac:dyDescent="0.4">
      <c r="I21" s="27" t="s">
        <v>9</v>
      </c>
      <c r="J21" s="5" t="s">
        <v>10</v>
      </c>
      <c r="K21" s="5">
        <f>SUM(K13:O13)</f>
        <v>0.38666666666666666</v>
      </c>
      <c r="L21" s="5">
        <f>_xlfn.RANK.EQ(K21,$K$21:$K$25)</f>
        <v>5</v>
      </c>
    </row>
    <row r="22" spans="9:15" ht="14.6" x14ac:dyDescent="0.4">
      <c r="I22" s="27"/>
      <c r="J22" s="5" t="s">
        <v>11</v>
      </c>
      <c r="K22" s="5">
        <f>SUM(K14:O14)</f>
        <v>0.55714285714285716</v>
      </c>
      <c r="L22" s="5">
        <f>_xlfn.RANK.EQ(K22,$K$21:$K$25)</f>
        <v>2</v>
      </c>
    </row>
    <row r="23" spans="9:15" ht="14.6" x14ac:dyDescent="0.4">
      <c r="I23" s="27"/>
      <c r="J23" s="5" t="s">
        <v>12</v>
      </c>
      <c r="K23" s="5">
        <f>SUM(K15:O15)</f>
        <v>0.60190476190476194</v>
      </c>
      <c r="L23" s="5">
        <f>_xlfn.RANK.EQ(K23,$K$21:$K$25)</f>
        <v>1</v>
      </c>
    </row>
    <row r="24" spans="9:15" ht="14.6" x14ac:dyDescent="0.4">
      <c r="I24" s="27"/>
      <c r="J24" s="5" t="s">
        <v>13</v>
      </c>
      <c r="K24" s="5">
        <f>SUM(K16:O16)</f>
        <v>0.55333333333333334</v>
      </c>
      <c r="L24" s="5">
        <f>_xlfn.RANK.EQ(K24,$K$21:$K$25)</f>
        <v>3</v>
      </c>
    </row>
    <row r="25" spans="9:15" ht="14.6" x14ac:dyDescent="0.4">
      <c r="I25" s="27"/>
      <c r="J25" s="5" t="s">
        <v>14</v>
      </c>
      <c r="K25" s="5">
        <f>SUM(K17:O17)</f>
        <v>0.48928571428571427</v>
      </c>
      <c r="L25" s="5">
        <f>_xlfn.RANK.EQ(K25,$K$21:$K$25)</f>
        <v>4</v>
      </c>
    </row>
    <row r="26" spans="9:15" ht="14.6" x14ac:dyDescent="0.4">
      <c r="I26" t="s">
        <v>23</v>
      </c>
    </row>
    <row r="27" spans="9:15" ht="14.6" x14ac:dyDescent="0.4">
      <c r="I27" s="5"/>
      <c r="J27" s="3" t="s">
        <v>3</v>
      </c>
      <c r="K27" s="5" t="s">
        <v>21</v>
      </c>
      <c r="L27" s="5" t="s">
        <v>22</v>
      </c>
    </row>
    <row r="28" spans="9:15" ht="14.6" x14ac:dyDescent="0.4">
      <c r="I28" s="27" t="s">
        <v>9</v>
      </c>
      <c r="J28" s="5" t="str">
        <f t="array" ref="J28:L32">_xlfn._xlws.SORT(J21:L25,3)</f>
        <v>Laptop C</v>
      </c>
      <c r="K28" s="5">
        <v>0.60190476190476194</v>
      </c>
      <c r="L28" s="5">
        <v>1</v>
      </c>
    </row>
    <row r="29" spans="9:15" ht="14.6" x14ac:dyDescent="0.4">
      <c r="I29" s="27"/>
      <c r="J29" s="5" t="str">
        <v>Laptop B</v>
      </c>
      <c r="K29" s="5">
        <v>0.55714285714285716</v>
      </c>
      <c r="L29" s="5">
        <v>2</v>
      </c>
    </row>
    <row r="30" spans="9:15" ht="14.6" x14ac:dyDescent="0.4">
      <c r="I30" s="27"/>
      <c r="J30" s="5" t="str">
        <v>Laptop D</v>
      </c>
      <c r="K30" s="5">
        <v>0.55333333333333334</v>
      </c>
      <c r="L30" s="5">
        <v>3</v>
      </c>
    </row>
    <row r="31" spans="9:15" ht="14.6" x14ac:dyDescent="0.4">
      <c r="I31" s="27"/>
      <c r="J31" s="5" t="str">
        <v>Laptop E</v>
      </c>
      <c r="K31" s="5">
        <v>0.48928571428571427</v>
      </c>
      <c r="L31" s="5">
        <v>4</v>
      </c>
    </row>
    <row r="32" spans="9:15" ht="14.6" x14ac:dyDescent="0.4">
      <c r="I32" s="27"/>
      <c r="J32" s="5" t="str">
        <v>Laptop A</v>
      </c>
      <c r="K32" s="5">
        <v>0.38666666666666666</v>
      </c>
      <c r="L32" s="5">
        <v>5</v>
      </c>
    </row>
  </sheetData>
  <mergeCells count="14">
    <mergeCell ref="I21:I25"/>
    <mergeCell ref="I28:I32"/>
    <mergeCell ref="A11:C11"/>
    <mergeCell ref="K11:O11"/>
    <mergeCell ref="A12:C12"/>
    <mergeCell ref="A13:C13"/>
    <mergeCell ref="I13:I17"/>
    <mergeCell ref="A14:C14"/>
    <mergeCell ref="A15:C15"/>
    <mergeCell ref="C2:G2"/>
    <mergeCell ref="K2:O2"/>
    <mergeCell ref="A4:A8"/>
    <mergeCell ref="I4:I8"/>
    <mergeCell ref="A10:C1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7"/>
  <sheetViews>
    <sheetView zoomScale="95" zoomScaleNormal="95" workbookViewId="0">
      <selection activeCell="J17" sqref="J17"/>
    </sheetView>
  </sheetViews>
  <sheetFormatPr defaultColWidth="8.61328125" defaultRowHeight="14.25" customHeight="1" x14ac:dyDescent="0.4"/>
  <cols>
    <col min="1" max="1" width="27.3828125" customWidth="1"/>
    <col min="2" max="2" width="11.84375" customWidth="1"/>
    <col min="3" max="3" width="22.15234375" customWidth="1"/>
    <col min="4" max="4" width="15.3046875" customWidth="1"/>
    <col min="5" max="5" width="10" customWidth="1"/>
    <col min="6" max="6" width="12.921875" customWidth="1"/>
    <col min="8" max="8" width="15.15234375" customWidth="1"/>
    <col min="9" max="9" width="7.4609375" customWidth="1"/>
    <col min="10" max="10" width="8.53515625" customWidth="1"/>
    <col min="11" max="11" width="12.4609375" customWidth="1"/>
    <col min="12" max="12" width="13.3828125" customWidth="1"/>
    <col min="13" max="13" width="10.4609375" customWidth="1"/>
  </cols>
  <sheetData>
    <row r="1" spans="1:14" ht="14.6" x14ac:dyDescent="0.4">
      <c r="A1" s="29" t="s">
        <v>24</v>
      </c>
      <c r="B1" s="29"/>
      <c r="C1" s="29"/>
      <c r="H1" s="6" t="s">
        <v>25</v>
      </c>
      <c r="L1" s="29" t="s">
        <v>26</v>
      </c>
      <c r="M1" s="29"/>
      <c r="N1" s="29"/>
    </row>
    <row r="2" spans="1:14" ht="14.6" x14ac:dyDescent="0.4">
      <c r="A2" s="5"/>
      <c r="B2" s="5" t="s">
        <v>4</v>
      </c>
      <c r="C2" s="5" t="s">
        <v>27</v>
      </c>
      <c r="D2" s="5" t="s">
        <v>28</v>
      </c>
      <c r="E2" s="5" t="s">
        <v>29</v>
      </c>
      <c r="F2" s="5" t="s">
        <v>30</v>
      </c>
      <c r="H2" s="5"/>
      <c r="I2" s="3" t="s">
        <v>31</v>
      </c>
      <c r="J2" s="3" t="s">
        <v>32</v>
      </c>
      <c r="L2" s="5"/>
      <c r="M2" s="3" t="s">
        <v>33</v>
      </c>
      <c r="N2" s="3" t="s">
        <v>34</v>
      </c>
    </row>
    <row r="3" spans="1:14" ht="14.6" x14ac:dyDescent="0.4">
      <c r="A3" s="5" t="s">
        <v>4</v>
      </c>
      <c r="B3" s="5">
        <v>1</v>
      </c>
      <c r="C3" s="5">
        <v>0.33300000000000002</v>
      </c>
      <c r="D3" s="5">
        <v>0.2</v>
      </c>
      <c r="E3" s="5">
        <v>0.33300000000000002</v>
      </c>
      <c r="F3" s="5">
        <v>0.5</v>
      </c>
      <c r="H3" s="5" t="s">
        <v>4</v>
      </c>
      <c r="I3" s="5">
        <f>GEOMEAN(B3:F3)</f>
        <v>0.4064224536181279</v>
      </c>
      <c r="J3" s="5">
        <f>I3/SUM($I$3:$I$7)</f>
        <v>6.6988816293106671E-2</v>
      </c>
      <c r="L3" s="5" t="s">
        <v>4</v>
      </c>
      <c r="M3" s="5">
        <f>I35</f>
        <v>0.51647834196758302</v>
      </c>
      <c r="N3" s="5">
        <f>M3/SUM($M$3:$M$7)</f>
        <v>6.7624857337974562E-2</v>
      </c>
    </row>
    <row r="4" spans="1:14" ht="14.6" x14ac:dyDescent="0.4">
      <c r="A4" s="5" t="s">
        <v>27</v>
      </c>
      <c r="B4" s="5">
        <v>3</v>
      </c>
      <c r="C4" s="5">
        <v>1</v>
      </c>
      <c r="D4" s="5">
        <v>0.5</v>
      </c>
      <c r="E4" s="5">
        <v>2</v>
      </c>
      <c r="F4" s="5">
        <v>2</v>
      </c>
      <c r="H4" s="5" t="s">
        <v>27</v>
      </c>
      <c r="I4" s="5">
        <f>GEOMEAN(B4:F4)</f>
        <v>1.4309690811052556</v>
      </c>
      <c r="J4" s="5">
        <f>I4/SUM($I$3:$I$7)</f>
        <v>0.23586030752460369</v>
      </c>
      <c r="L4" s="5" t="s">
        <v>27</v>
      </c>
      <c r="M4" s="5">
        <f>I36</f>
        <v>1.7906421205409899</v>
      </c>
      <c r="N4" s="5">
        <f>M4/SUM($M$3:$M$7)</f>
        <v>0.23445691349542219</v>
      </c>
    </row>
    <row r="5" spans="1:14" ht="14.6" x14ac:dyDescent="0.4">
      <c r="A5" s="5" t="s">
        <v>28</v>
      </c>
      <c r="B5" s="5">
        <v>5</v>
      </c>
      <c r="C5" s="5">
        <v>2</v>
      </c>
      <c r="D5" s="5">
        <v>1</v>
      </c>
      <c r="E5" s="5">
        <v>4</v>
      </c>
      <c r="F5" s="5">
        <v>3</v>
      </c>
      <c r="H5" s="5" t="s">
        <v>28</v>
      </c>
      <c r="I5" s="5">
        <f>GEOMEAN(B5:F5)</f>
        <v>2.6051710846973521</v>
      </c>
      <c r="J5" s="5">
        <f>I5/SUM($I$3:$I$7)</f>
        <v>0.42939883279401631</v>
      </c>
      <c r="L5" s="5" t="s">
        <v>28</v>
      </c>
      <c r="M5" s="5">
        <f>I37</f>
        <v>3.2821391658305199</v>
      </c>
      <c r="N5" s="5">
        <f>M5/SUM($M$3:$M$7)</f>
        <v>0.42974540230885189</v>
      </c>
    </row>
    <row r="6" spans="1:14" ht="14.6" x14ac:dyDescent="0.4">
      <c r="A6" s="5" t="s">
        <v>29</v>
      </c>
      <c r="B6" s="5">
        <v>3</v>
      </c>
      <c r="C6" s="5">
        <v>0.5</v>
      </c>
      <c r="D6" s="5">
        <v>0.25</v>
      </c>
      <c r="E6" s="5">
        <v>1</v>
      </c>
      <c r="F6" s="5">
        <v>1</v>
      </c>
      <c r="H6" s="5" t="s">
        <v>29</v>
      </c>
      <c r="I6" s="5">
        <f>GEOMEAN(B6:F6)</f>
        <v>0.82187591475861288</v>
      </c>
      <c r="J6" s="5">
        <f>I6/SUM($I$3:$I$7)</f>
        <v>0.1354661736313035</v>
      </c>
      <c r="L6" s="5" t="s">
        <v>29</v>
      </c>
      <c r="M6" s="5">
        <f>I38</f>
        <v>1.0481441651555801</v>
      </c>
      <c r="N6" s="5">
        <f>M6/SUM($M$3:$M$7)</f>
        <v>0.13723828063776855</v>
      </c>
    </row>
    <row r="7" spans="1:14" ht="14.6" x14ac:dyDescent="0.4">
      <c r="A7" s="5" t="s">
        <v>30</v>
      </c>
      <c r="B7" s="5">
        <v>2</v>
      </c>
      <c r="C7" s="5">
        <v>0.5</v>
      </c>
      <c r="D7" s="5">
        <v>0.33300000000000002</v>
      </c>
      <c r="E7" s="5">
        <v>1</v>
      </c>
      <c r="F7" s="5">
        <v>1</v>
      </c>
      <c r="H7" s="5" t="s">
        <v>30</v>
      </c>
      <c r="I7" s="5">
        <f>GEOMEAN(B7:F7)</f>
        <v>0.80258094918999512</v>
      </c>
      <c r="J7" s="5">
        <f>I7/SUM($I$3:$I$7)</f>
        <v>0.13228586975696979</v>
      </c>
      <c r="L7" s="5" t="s">
        <v>30</v>
      </c>
      <c r="M7" s="5">
        <f>I39</f>
        <v>1</v>
      </c>
      <c r="N7" s="5">
        <f>M7/SUM($M$3:$M$7)</f>
        <v>0.13093454621998277</v>
      </c>
    </row>
    <row r="9" spans="1:14" ht="14.6" x14ac:dyDescent="0.4">
      <c r="A9" s="6" t="s">
        <v>35</v>
      </c>
      <c r="H9" s="6" t="s">
        <v>36</v>
      </c>
    </row>
    <row r="10" spans="1:14" ht="14.6" x14ac:dyDescent="0.4">
      <c r="A10" t="s">
        <v>37</v>
      </c>
      <c r="H10" s="5"/>
      <c r="I10" s="5"/>
      <c r="J10" s="5"/>
      <c r="K10" s="5"/>
      <c r="L10" s="5"/>
      <c r="M10" s="5"/>
    </row>
    <row r="11" spans="1:14" ht="14.6" x14ac:dyDescent="0.4">
      <c r="A11" s="5"/>
      <c r="B11" s="5" t="s">
        <v>38</v>
      </c>
      <c r="C11" s="5" t="s">
        <v>39</v>
      </c>
      <c r="D11" s="5" t="s">
        <v>40</v>
      </c>
      <c r="E11" s="5" t="s">
        <v>41</v>
      </c>
      <c r="H11" s="5"/>
      <c r="I11" s="5">
        <v>1</v>
      </c>
      <c r="J11" s="5">
        <v>0</v>
      </c>
      <c r="K11" s="5">
        <v>0</v>
      </c>
      <c r="L11" s="5">
        <v>0</v>
      </c>
      <c r="M11" s="5">
        <v>0</v>
      </c>
    </row>
    <row r="12" spans="1:14" ht="14.6" x14ac:dyDescent="0.4">
      <c r="A12" s="5" t="s">
        <v>38</v>
      </c>
      <c r="B12" s="5">
        <v>1</v>
      </c>
      <c r="C12" s="5">
        <v>0.25</v>
      </c>
      <c r="D12" s="5">
        <v>0.5</v>
      </c>
      <c r="E12" s="5">
        <v>3</v>
      </c>
      <c r="H12" s="5"/>
      <c r="I12" s="5">
        <v>0</v>
      </c>
      <c r="J12" s="5">
        <v>1</v>
      </c>
      <c r="K12" s="5">
        <v>0</v>
      </c>
      <c r="L12" s="5">
        <v>0</v>
      </c>
      <c r="M12" s="5">
        <v>0</v>
      </c>
    </row>
    <row r="13" spans="1:14" ht="14.6" x14ac:dyDescent="0.4">
      <c r="A13" s="5" t="s">
        <v>39</v>
      </c>
      <c r="B13" s="5">
        <v>4</v>
      </c>
      <c r="C13" s="5">
        <v>1</v>
      </c>
      <c r="D13" s="5">
        <v>2</v>
      </c>
      <c r="E13" s="5">
        <v>5</v>
      </c>
      <c r="H13" s="5"/>
      <c r="I13" s="5">
        <v>0</v>
      </c>
      <c r="J13" s="5">
        <v>0</v>
      </c>
      <c r="K13" s="5">
        <v>1</v>
      </c>
      <c r="L13" s="5">
        <v>0</v>
      </c>
      <c r="M13" s="5">
        <v>0</v>
      </c>
    </row>
    <row r="14" spans="1:14" ht="14.6" x14ac:dyDescent="0.4">
      <c r="A14" s="5" t="s">
        <v>40</v>
      </c>
      <c r="B14" s="5">
        <v>2</v>
      </c>
      <c r="C14" s="5">
        <v>0.5</v>
      </c>
      <c r="D14" s="5">
        <v>1</v>
      </c>
      <c r="E14" s="5">
        <v>3</v>
      </c>
      <c r="H14" s="5"/>
      <c r="I14" s="5">
        <v>0</v>
      </c>
      <c r="J14" s="5">
        <v>0</v>
      </c>
      <c r="K14" s="5">
        <v>0</v>
      </c>
      <c r="L14" s="5">
        <v>1</v>
      </c>
      <c r="M14" s="5">
        <v>0</v>
      </c>
    </row>
    <row r="15" spans="1:14" ht="14.6" x14ac:dyDescent="0.4">
      <c r="A15" s="5" t="s">
        <v>41</v>
      </c>
      <c r="B15" s="5">
        <v>0.33300000000000002</v>
      </c>
      <c r="C15" s="5">
        <v>0.2</v>
      </c>
      <c r="D15" s="5">
        <v>0.33300000000000002</v>
      </c>
      <c r="E15" s="5">
        <v>1</v>
      </c>
      <c r="H15" s="5"/>
      <c r="I15" s="5">
        <v>0</v>
      </c>
      <c r="J15" s="5">
        <v>0</v>
      </c>
      <c r="K15" s="5">
        <v>0</v>
      </c>
      <c r="L15" s="5">
        <v>0</v>
      </c>
      <c r="M15" s="5">
        <v>1</v>
      </c>
    </row>
    <row r="17" spans="1:13" ht="14.6" x14ac:dyDescent="0.4">
      <c r="A17" t="s">
        <v>42</v>
      </c>
      <c r="H17" s="6" t="s">
        <v>43</v>
      </c>
      <c r="I17">
        <v>5.0693742517078197</v>
      </c>
    </row>
    <row r="18" spans="1:13" ht="14.6" x14ac:dyDescent="0.4">
      <c r="A18" s="5"/>
      <c r="B18" s="5" t="s">
        <v>38</v>
      </c>
      <c r="C18" s="5" t="s">
        <v>39</v>
      </c>
      <c r="D18" s="5" t="s">
        <v>40</v>
      </c>
      <c r="E18" s="5" t="s">
        <v>41</v>
      </c>
    </row>
    <row r="19" spans="1:13" ht="14.6" x14ac:dyDescent="0.4">
      <c r="A19" s="5" t="s">
        <v>38</v>
      </c>
      <c r="B19" s="5">
        <v>1</v>
      </c>
      <c r="C19" s="5">
        <v>0.5</v>
      </c>
      <c r="D19" s="5">
        <v>0.33300000000000002</v>
      </c>
      <c r="E19" s="5">
        <v>2</v>
      </c>
      <c r="H19" s="6" t="s">
        <v>44</v>
      </c>
    </row>
    <row r="20" spans="1:13" ht="14.6" x14ac:dyDescent="0.4">
      <c r="A20" s="5" t="s">
        <v>39</v>
      </c>
      <c r="B20" s="5">
        <v>2</v>
      </c>
      <c r="C20" s="5">
        <v>1</v>
      </c>
      <c r="D20" s="5">
        <v>0.5</v>
      </c>
      <c r="E20" s="5">
        <v>3</v>
      </c>
      <c r="H20" s="5"/>
      <c r="I20" s="5" t="s">
        <v>4</v>
      </c>
      <c r="J20" s="5" t="s">
        <v>27</v>
      </c>
      <c r="K20" s="5" t="s">
        <v>28</v>
      </c>
      <c r="L20" s="5" t="s">
        <v>29</v>
      </c>
      <c r="M20" s="5" t="s">
        <v>30</v>
      </c>
    </row>
    <row r="21" spans="1:13" ht="14.6" x14ac:dyDescent="0.4">
      <c r="A21" s="5" t="s">
        <v>40</v>
      </c>
      <c r="B21" s="5">
        <v>3</v>
      </c>
      <c r="C21" s="5">
        <v>2</v>
      </c>
      <c r="D21" s="5">
        <v>1</v>
      </c>
      <c r="E21" s="5">
        <v>4</v>
      </c>
      <c r="H21" s="5" t="s">
        <v>4</v>
      </c>
      <c r="I21" s="5">
        <f t="shared" ref="I21:M25" si="0">B3-$I$17*I11</f>
        <v>-4.0693742517078197</v>
      </c>
      <c r="J21" s="5">
        <f t="shared" si="0"/>
        <v>0.33300000000000002</v>
      </c>
      <c r="K21" s="5">
        <f t="shared" si="0"/>
        <v>0.2</v>
      </c>
      <c r="L21" s="5">
        <f t="shared" si="0"/>
        <v>0.33300000000000002</v>
      </c>
      <c r="M21" s="5">
        <f t="shared" si="0"/>
        <v>0.5</v>
      </c>
    </row>
    <row r="22" spans="1:13" ht="14.6" x14ac:dyDescent="0.4">
      <c r="A22" s="5" t="s">
        <v>41</v>
      </c>
      <c r="B22" s="5">
        <v>0.5</v>
      </c>
      <c r="C22" s="5">
        <v>0.33300000000000002</v>
      </c>
      <c r="D22" s="5">
        <v>0.25</v>
      </c>
      <c r="E22" s="5">
        <v>1</v>
      </c>
      <c r="H22" s="5" t="s">
        <v>27</v>
      </c>
      <c r="I22" s="5">
        <f t="shared" si="0"/>
        <v>3</v>
      </c>
      <c r="J22" s="5">
        <f t="shared" si="0"/>
        <v>-4.0693742517078197</v>
      </c>
      <c r="K22" s="5">
        <f t="shared" si="0"/>
        <v>0.5</v>
      </c>
      <c r="L22" s="5">
        <f t="shared" si="0"/>
        <v>2</v>
      </c>
      <c r="M22" s="5">
        <f t="shared" si="0"/>
        <v>2</v>
      </c>
    </row>
    <row r="23" spans="1:13" ht="14.6" x14ac:dyDescent="0.4">
      <c r="H23" s="5" t="s">
        <v>28</v>
      </c>
      <c r="I23" s="5">
        <f t="shared" si="0"/>
        <v>5</v>
      </c>
      <c r="J23" s="5">
        <f t="shared" si="0"/>
        <v>2</v>
      </c>
      <c r="K23" s="5">
        <f t="shared" si="0"/>
        <v>-4.0693742517078197</v>
      </c>
      <c r="L23" s="5">
        <f t="shared" si="0"/>
        <v>4</v>
      </c>
      <c r="M23" s="5">
        <f t="shared" si="0"/>
        <v>3</v>
      </c>
    </row>
    <row r="24" spans="1:13" ht="14.6" x14ac:dyDescent="0.4">
      <c r="A24" t="s">
        <v>45</v>
      </c>
      <c r="H24" s="5" t="s">
        <v>29</v>
      </c>
      <c r="I24" s="5">
        <f t="shared" si="0"/>
        <v>3</v>
      </c>
      <c r="J24" s="5">
        <f t="shared" si="0"/>
        <v>0.5</v>
      </c>
      <c r="K24" s="5">
        <f t="shared" si="0"/>
        <v>0.25</v>
      </c>
      <c r="L24" s="5">
        <f t="shared" si="0"/>
        <v>-4.0693742517078197</v>
      </c>
      <c r="M24" s="5">
        <f t="shared" si="0"/>
        <v>1</v>
      </c>
    </row>
    <row r="25" spans="1:13" ht="14.6" x14ac:dyDescent="0.4">
      <c r="A25" s="5"/>
      <c r="B25" s="5" t="s">
        <v>38</v>
      </c>
      <c r="C25" s="5" t="s">
        <v>39</v>
      </c>
      <c r="D25" s="5" t="s">
        <v>40</v>
      </c>
      <c r="E25" s="5" t="s">
        <v>41</v>
      </c>
      <c r="H25" s="5" t="s">
        <v>30</v>
      </c>
      <c r="I25" s="5">
        <f t="shared" si="0"/>
        <v>2</v>
      </c>
      <c r="J25" s="5">
        <f t="shared" si="0"/>
        <v>0.5</v>
      </c>
      <c r="K25" s="5">
        <f t="shared" si="0"/>
        <v>0.33300000000000002</v>
      </c>
      <c r="L25" s="5">
        <f t="shared" si="0"/>
        <v>1</v>
      </c>
      <c r="M25" s="5">
        <f t="shared" si="0"/>
        <v>-4.0693742517078197</v>
      </c>
    </row>
    <row r="26" spans="1:13" ht="14.6" x14ac:dyDescent="0.4">
      <c r="A26" s="5" t="s">
        <v>38</v>
      </c>
      <c r="B26" s="5">
        <v>1</v>
      </c>
      <c r="C26" s="5">
        <v>0.5</v>
      </c>
      <c r="D26" s="5">
        <v>0.25</v>
      </c>
      <c r="E26" s="5">
        <v>0.5</v>
      </c>
    </row>
    <row r="27" spans="1:13" ht="14.6" x14ac:dyDescent="0.4">
      <c r="A27" s="5" t="s">
        <v>39</v>
      </c>
      <c r="B27" s="5">
        <v>2</v>
      </c>
      <c r="C27" s="5">
        <v>1</v>
      </c>
      <c r="D27" s="5">
        <v>0.33300000000000002</v>
      </c>
      <c r="E27" s="5">
        <v>1</v>
      </c>
      <c r="H27" s="6" t="s">
        <v>46</v>
      </c>
      <c r="I27">
        <f>MDETERM(I21:M25)</f>
        <v>-8.4826643699979899E-8</v>
      </c>
    </row>
    <row r="28" spans="1:13" ht="14.6" x14ac:dyDescent="0.4">
      <c r="A28" s="5" t="s">
        <v>40</v>
      </c>
      <c r="B28" s="5">
        <v>4</v>
      </c>
      <c r="C28" s="5">
        <v>3</v>
      </c>
      <c r="D28" s="5">
        <v>1</v>
      </c>
      <c r="E28" s="5">
        <v>2</v>
      </c>
    </row>
    <row r="29" spans="1:13" ht="14.6" x14ac:dyDescent="0.4">
      <c r="A29" s="5" t="s">
        <v>41</v>
      </c>
      <c r="B29" s="5">
        <v>2</v>
      </c>
      <c r="C29" s="5">
        <v>1</v>
      </c>
      <c r="D29" s="5">
        <v>0.5</v>
      </c>
      <c r="E29" s="5">
        <v>1</v>
      </c>
      <c r="H29" s="6" t="s">
        <v>47</v>
      </c>
      <c r="I29">
        <f>($I$17-COUNTA(H21:H25))/(COUNTA(H21:H25)-1)</f>
        <v>1.7343562926954936E-2</v>
      </c>
    </row>
    <row r="30" spans="1:13" ht="14.6" x14ac:dyDescent="0.4">
      <c r="H30" s="6" t="s">
        <v>48</v>
      </c>
      <c r="I30">
        <v>1.1200000000000001</v>
      </c>
    </row>
    <row r="31" spans="1:13" ht="14.6" x14ac:dyDescent="0.4">
      <c r="A31" t="s">
        <v>49</v>
      </c>
      <c r="H31" s="6" t="s">
        <v>50</v>
      </c>
      <c r="I31">
        <f>I29/I30</f>
        <v>1.5485324041924049E-2</v>
      </c>
    </row>
    <row r="32" spans="1:13" ht="14.6" x14ac:dyDescent="0.4">
      <c r="A32" s="5"/>
      <c r="B32" s="5" t="s">
        <v>38</v>
      </c>
      <c r="C32" s="5" t="s">
        <v>39</v>
      </c>
      <c r="D32" s="5" t="s">
        <v>40</v>
      </c>
      <c r="E32" s="5" t="s">
        <v>41</v>
      </c>
    </row>
    <row r="33" spans="1:11" ht="14.6" x14ac:dyDescent="0.4">
      <c r="A33" s="5" t="s">
        <v>38</v>
      </c>
      <c r="B33" s="5">
        <v>1</v>
      </c>
      <c r="C33" s="5">
        <v>0.33300000000000002</v>
      </c>
      <c r="D33" s="5">
        <v>0.5</v>
      </c>
      <c r="E33" s="5">
        <v>0.5</v>
      </c>
      <c r="H33" s="6" t="s">
        <v>51</v>
      </c>
    </row>
    <row r="34" spans="1:11" ht="14.6" x14ac:dyDescent="0.4">
      <c r="A34" s="5" t="s">
        <v>39</v>
      </c>
      <c r="B34" s="5">
        <v>3</v>
      </c>
      <c r="C34" s="5">
        <v>1</v>
      </c>
      <c r="D34" s="5">
        <v>2</v>
      </c>
      <c r="E34" s="5">
        <v>2</v>
      </c>
      <c r="H34" s="6" t="s">
        <v>2</v>
      </c>
      <c r="I34" t="s">
        <v>52</v>
      </c>
      <c r="J34" t="s">
        <v>53</v>
      </c>
    </row>
    <row r="35" spans="1:11" ht="14.6" x14ac:dyDescent="0.4">
      <c r="A35" s="5" t="s">
        <v>40</v>
      </c>
      <c r="B35" s="5">
        <v>2</v>
      </c>
      <c r="C35" s="5">
        <v>0.5</v>
      </c>
      <c r="D35" s="5">
        <v>1</v>
      </c>
      <c r="E35" s="5">
        <v>1</v>
      </c>
      <c r="H35" s="5" t="s">
        <v>4</v>
      </c>
      <c r="I35">
        <v>0.51647834196758302</v>
      </c>
      <c r="J35">
        <f t="array" ref="J35:J39">MMULT(I21:M25,I35:I39)</f>
        <v>-6.4566574309310454E-11</v>
      </c>
    </row>
    <row r="36" spans="1:11" ht="14.6" x14ac:dyDescent="0.4">
      <c r="A36" s="5" t="s">
        <v>41</v>
      </c>
      <c r="B36" s="5">
        <v>2</v>
      </c>
      <c r="C36" s="5">
        <v>0.5</v>
      </c>
      <c r="D36" s="5">
        <v>1</v>
      </c>
      <c r="E36" s="5">
        <v>1</v>
      </c>
      <c r="H36" s="5" t="s">
        <v>27</v>
      </c>
      <c r="I36">
        <v>1.7906421205409899</v>
      </c>
      <c r="J36">
        <v>-2.2382540265653006E-10</v>
      </c>
    </row>
    <row r="37" spans="1:11" ht="14.6" x14ac:dyDescent="0.4">
      <c r="H37" s="5" t="s">
        <v>28</v>
      </c>
      <c r="I37">
        <v>3.2821391658305199</v>
      </c>
      <c r="J37">
        <v>-4.1028336283943645E-10</v>
      </c>
    </row>
    <row r="38" spans="1:11" ht="14.6" x14ac:dyDescent="0.4">
      <c r="A38" t="s">
        <v>54</v>
      </c>
      <c r="H38" s="5" t="s">
        <v>29</v>
      </c>
      <c r="I38">
        <v>1.0481441651555801</v>
      </c>
      <c r="J38">
        <v>-1.3103207407993978E-10</v>
      </c>
    </row>
    <row r="39" spans="1:11" ht="14.6" x14ac:dyDescent="0.4">
      <c r="A39" s="5"/>
      <c r="B39" s="5" t="s">
        <v>38</v>
      </c>
      <c r="C39" s="5" t="s">
        <v>39</v>
      </c>
      <c r="D39" s="5" t="s">
        <v>40</v>
      </c>
      <c r="E39" s="5" t="s">
        <v>41</v>
      </c>
      <c r="H39" s="5" t="s">
        <v>30</v>
      </c>
      <c r="I39">
        <v>1</v>
      </c>
      <c r="J39">
        <v>-1.2501555346489113E-10</v>
      </c>
    </row>
    <row r="40" spans="1:11" ht="14.6" x14ac:dyDescent="0.4">
      <c r="A40" s="5" t="s">
        <v>38</v>
      </c>
      <c r="B40" s="5">
        <v>1</v>
      </c>
      <c r="C40" s="5">
        <v>0.5</v>
      </c>
      <c r="D40" s="5">
        <v>0.33300000000000002</v>
      </c>
      <c r="E40" s="5">
        <v>2</v>
      </c>
    </row>
    <row r="41" spans="1:11" ht="14.6" x14ac:dyDescent="0.4">
      <c r="A41" s="5" t="s">
        <v>39</v>
      </c>
      <c r="B41" s="5">
        <v>2</v>
      </c>
      <c r="C41" s="5">
        <v>1</v>
      </c>
      <c r="D41" s="5">
        <v>0.5</v>
      </c>
      <c r="E41" s="5">
        <v>3</v>
      </c>
      <c r="H41" t="s">
        <v>55</v>
      </c>
    </row>
    <row r="42" spans="1:11" ht="14.6" x14ac:dyDescent="0.4">
      <c r="A42" s="5" t="s">
        <v>40</v>
      </c>
      <c r="B42" s="5">
        <v>3</v>
      </c>
      <c r="C42" s="5">
        <v>2</v>
      </c>
      <c r="D42" s="5">
        <v>1</v>
      </c>
      <c r="E42" s="5">
        <v>4</v>
      </c>
      <c r="H42" t="s">
        <v>56</v>
      </c>
      <c r="I42" t="s">
        <v>57</v>
      </c>
      <c r="K42" t="s">
        <v>58</v>
      </c>
    </row>
    <row r="43" spans="1:11" ht="14.6" x14ac:dyDescent="0.4">
      <c r="A43" s="5" t="s">
        <v>41</v>
      </c>
      <c r="B43" s="5">
        <v>0.5</v>
      </c>
      <c r="C43" s="5">
        <v>0.33300000000000002</v>
      </c>
      <c r="D43" s="5">
        <v>0.25</v>
      </c>
      <c r="E43" s="5">
        <v>1</v>
      </c>
      <c r="H43">
        <f t="array" ref="H43:H47">MMULT($B$3:$F$7,I35:I39)</f>
        <v>2.6182220082706449</v>
      </c>
      <c r="I43">
        <f>$I$17*I35</f>
        <v>2.6182220083352115</v>
      </c>
      <c r="K43">
        <f>H43-I43</f>
        <v>-6.4566574309310454E-11</v>
      </c>
    </row>
    <row r="44" spans="1:11" ht="14.6" x14ac:dyDescent="0.4">
      <c r="H44">
        <v>9.0774350596701581</v>
      </c>
      <c r="I44">
        <f>$I$17*I36</f>
        <v>9.0774350598939844</v>
      </c>
      <c r="K44">
        <f>H44-I44</f>
        <v>-2.2382629083494976E-10</v>
      </c>
    </row>
    <row r="45" spans="1:11" ht="14.6" x14ac:dyDescent="0.4">
      <c r="H45">
        <v>16.638391777372735</v>
      </c>
      <c r="I45">
        <f>$I$17*I37</f>
        <v>16.638391777783021</v>
      </c>
      <c r="K45">
        <f>H45-I45</f>
        <v>-4.1028513919627585E-10</v>
      </c>
    </row>
    <row r="46" spans="1:11" ht="14.6" x14ac:dyDescent="0.4">
      <c r="H46">
        <v>5.3134350427864536</v>
      </c>
      <c r="I46">
        <f>$I$17*I38</f>
        <v>5.3134350429174857</v>
      </c>
      <c r="K46">
        <f>H46-I46</f>
        <v>-1.3103207407993978E-10</v>
      </c>
    </row>
    <row r="47" spans="1:11" ht="14.6" x14ac:dyDescent="0.4">
      <c r="H47">
        <v>5.0693742515828042</v>
      </c>
      <c r="I47">
        <f>$I$17*I39</f>
        <v>5.0693742517078197</v>
      </c>
      <c r="K47">
        <f>H47-I47</f>
        <v>-1.2501555346489113E-10</v>
      </c>
    </row>
  </sheetData>
  <mergeCells count="2">
    <mergeCell ref="A1:C1"/>
    <mergeCell ref="L1:N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216"/>
  <sheetViews>
    <sheetView zoomScale="95" zoomScaleNormal="95" workbookViewId="0">
      <selection activeCell="J30" sqref="J30"/>
    </sheetView>
  </sheetViews>
  <sheetFormatPr defaultColWidth="10.15234375" defaultRowHeight="12.75" customHeight="1" x14ac:dyDescent="0.4"/>
  <cols>
    <col min="1" max="1" width="15.23046875" customWidth="1"/>
    <col min="2" max="2" width="15.15234375" customWidth="1"/>
    <col min="4" max="4" width="15.3828125" customWidth="1"/>
    <col min="5" max="5" width="2.23046875" customWidth="1"/>
    <col min="6" max="6" width="15.61328125" customWidth="1"/>
    <col min="7" max="7" width="11.53515625" customWidth="1"/>
    <col min="9" max="9" width="18.53515625" customWidth="1"/>
    <col min="10" max="10" width="2.23046875" customWidth="1"/>
    <col min="11" max="11" width="11" customWidth="1"/>
    <col min="12" max="12" width="11.3828125" customWidth="1"/>
    <col min="13" max="13" width="13.921875" customWidth="1"/>
    <col min="14" max="14" width="24.3828125" customWidth="1"/>
    <col min="15" max="15" width="3.3046875" customWidth="1"/>
    <col min="16" max="16" width="15.61328125" customWidth="1"/>
    <col min="17" max="17" width="5.23046875" customWidth="1"/>
    <col min="18" max="18" width="13.921875" customWidth="1"/>
    <col min="19" max="19" width="11.3828125" customWidth="1"/>
    <col min="20" max="20" width="15.61328125" customWidth="1"/>
    <col min="21" max="22" width="11.3828125" customWidth="1"/>
    <col min="24" max="24" width="15.61328125" customWidth="1"/>
    <col min="25" max="28" width="18.84375" customWidth="1"/>
    <col min="29" max="30" width="17.84375" customWidth="1"/>
    <col min="32" max="32" width="15.61328125" customWidth="1"/>
  </cols>
  <sheetData>
    <row r="1" spans="1:38" ht="14.6" x14ac:dyDescent="0.4">
      <c r="A1" s="30" t="s">
        <v>59</v>
      </c>
      <c r="B1" s="30"/>
      <c r="C1" s="30"/>
      <c r="D1" s="30"/>
      <c r="F1" s="30" t="s">
        <v>60</v>
      </c>
      <c r="G1" s="30"/>
      <c r="H1" s="30"/>
      <c r="I1" s="30"/>
      <c r="K1" s="30" t="s">
        <v>61</v>
      </c>
      <c r="L1" s="30"/>
      <c r="M1" s="30"/>
      <c r="N1" s="30"/>
      <c r="P1" s="30" t="s">
        <v>62</v>
      </c>
      <c r="Q1" s="30"/>
      <c r="R1" s="30"/>
      <c r="S1" s="30"/>
      <c r="X1" s="30" t="s">
        <v>63</v>
      </c>
      <c r="Y1" s="30"/>
      <c r="Z1" s="30"/>
      <c r="AA1" s="30"/>
    </row>
    <row r="2" spans="1:38" ht="14.6" x14ac:dyDescent="0.4">
      <c r="A2" t="s">
        <v>64</v>
      </c>
      <c r="B2" t="s">
        <v>65</v>
      </c>
      <c r="F2" t="s">
        <v>66</v>
      </c>
      <c r="L2" t="s">
        <v>67</v>
      </c>
      <c r="M2" t="s">
        <v>68</v>
      </c>
      <c r="P2" t="s">
        <v>69</v>
      </c>
      <c r="X2" t="s">
        <v>70</v>
      </c>
      <c r="Y2" t="s">
        <v>65</v>
      </c>
      <c r="Z2" t="s">
        <v>66</v>
      </c>
      <c r="AA2" t="s">
        <v>71</v>
      </c>
      <c r="AB2" t="s">
        <v>72</v>
      </c>
      <c r="AC2" t="s">
        <v>67</v>
      </c>
      <c r="AD2" t="s">
        <v>68</v>
      </c>
    </row>
    <row r="3" spans="1:38" ht="14.6" x14ac:dyDescent="0.4">
      <c r="A3" t="s">
        <v>2</v>
      </c>
      <c r="B3" t="s">
        <v>66</v>
      </c>
      <c r="C3" t="s">
        <v>71</v>
      </c>
      <c r="D3" t="s">
        <v>72</v>
      </c>
      <c r="G3" t="s">
        <v>67</v>
      </c>
      <c r="H3" t="s">
        <v>68</v>
      </c>
      <c r="K3" t="s">
        <v>67</v>
      </c>
      <c r="L3" s="7">
        <v>1</v>
      </c>
      <c r="M3" s="7">
        <v>0.5</v>
      </c>
      <c r="Q3" t="s">
        <v>64</v>
      </c>
      <c r="R3" t="s">
        <v>2</v>
      </c>
      <c r="S3" t="s">
        <v>9</v>
      </c>
      <c r="X3" t="s">
        <v>65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8" ht="14.6" x14ac:dyDescent="0.4">
      <c r="A4" t="s">
        <v>9</v>
      </c>
      <c r="B4" t="s">
        <v>67</v>
      </c>
      <c r="C4" t="s">
        <v>68</v>
      </c>
      <c r="F4" t="s">
        <v>67</v>
      </c>
      <c r="G4">
        <v>1</v>
      </c>
      <c r="H4">
        <v>3</v>
      </c>
      <c r="K4" t="s">
        <v>68</v>
      </c>
      <c r="L4" s="7">
        <v>2</v>
      </c>
      <c r="M4" s="7">
        <v>1</v>
      </c>
      <c r="P4" t="s">
        <v>64</v>
      </c>
      <c r="X4" t="s">
        <v>66</v>
      </c>
      <c r="Y4">
        <v>0.19873926888570401</v>
      </c>
      <c r="Z4">
        <v>0.18181818181818199</v>
      </c>
      <c r="AA4">
        <v>0.25</v>
      </c>
      <c r="AB4">
        <v>0.12903225806451599</v>
      </c>
      <c r="AC4">
        <v>0</v>
      </c>
      <c r="AD4">
        <v>0</v>
      </c>
    </row>
    <row r="5" spans="1:38" ht="14.6" x14ac:dyDescent="0.4">
      <c r="F5" t="s">
        <v>68</v>
      </c>
      <c r="G5">
        <v>0.33333333333333298</v>
      </c>
      <c r="H5">
        <v>1</v>
      </c>
      <c r="P5" t="s">
        <v>2</v>
      </c>
      <c r="X5" t="s">
        <v>71</v>
      </c>
      <c r="Y5">
        <v>0.113749835824051</v>
      </c>
      <c r="Z5">
        <v>9.0909090909090898E-2</v>
      </c>
      <c r="AA5">
        <v>0.125</v>
      </c>
      <c r="AB5">
        <v>9.6774193548387094E-2</v>
      </c>
      <c r="AC5">
        <v>0</v>
      </c>
      <c r="AD5">
        <v>0</v>
      </c>
    </row>
    <row r="6" spans="1:38" ht="14.6" x14ac:dyDescent="0.4">
      <c r="A6" s="30" t="s">
        <v>73</v>
      </c>
      <c r="B6" s="30"/>
      <c r="C6" s="30"/>
      <c r="D6" s="30"/>
      <c r="K6" s="30" t="s">
        <v>74</v>
      </c>
      <c r="L6" s="30"/>
      <c r="M6" s="30"/>
      <c r="N6" s="30"/>
      <c r="P6" t="s">
        <v>9</v>
      </c>
      <c r="X6" t="s">
        <v>72</v>
      </c>
      <c r="Y6">
        <v>0.52084422862357804</v>
      </c>
      <c r="Z6">
        <v>0.54545454545454497</v>
      </c>
      <c r="AA6">
        <v>0.5</v>
      </c>
      <c r="AB6">
        <v>0.38709677419354799</v>
      </c>
      <c r="AC6">
        <v>0</v>
      </c>
      <c r="AD6">
        <v>0</v>
      </c>
    </row>
    <row r="7" spans="1:38" ht="14.6" x14ac:dyDescent="0.4">
      <c r="B7" t="s">
        <v>66</v>
      </c>
      <c r="C7" t="s">
        <v>71</v>
      </c>
      <c r="D7" t="s">
        <v>72</v>
      </c>
      <c r="F7" t="s">
        <v>71</v>
      </c>
      <c r="K7" t="s">
        <v>67</v>
      </c>
      <c r="L7">
        <v>0.33333333333333298</v>
      </c>
      <c r="X7" t="s">
        <v>67</v>
      </c>
      <c r="Y7">
        <v>8.3333333333333301E-2</v>
      </c>
      <c r="Z7">
        <v>0.13636363636363599</v>
      </c>
      <c r="AA7">
        <v>4.1666666666666699E-2</v>
      </c>
      <c r="AB7">
        <v>0.25806451612903197</v>
      </c>
      <c r="AC7">
        <v>0.33333333333333298</v>
      </c>
      <c r="AD7">
        <v>0.33333333333333298</v>
      </c>
    </row>
    <row r="8" spans="1:38" ht="14.6" x14ac:dyDescent="0.4">
      <c r="A8" t="s">
        <v>66</v>
      </c>
      <c r="B8" s="8">
        <v>1</v>
      </c>
      <c r="C8" s="8">
        <v>2</v>
      </c>
      <c r="D8" s="8">
        <v>0.33333000000000002</v>
      </c>
      <c r="G8" t="s">
        <v>67</v>
      </c>
      <c r="H8" t="s">
        <v>68</v>
      </c>
      <c r="K8" t="s">
        <v>68</v>
      </c>
      <c r="L8">
        <v>0.66666666666666696</v>
      </c>
      <c r="Q8" t="s">
        <v>65</v>
      </c>
      <c r="R8" t="s">
        <v>66</v>
      </c>
      <c r="S8" t="s">
        <v>71</v>
      </c>
      <c r="T8" t="s">
        <v>72</v>
      </c>
      <c r="U8" t="s">
        <v>67</v>
      </c>
      <c r="V8" t="s">
        <v>68</v>
      </c>
      <c r="X8" t="s">
        <v>68</v>
      </c>
      <c r="Y8">
        <v>8.3333333333333301E-2</v>
      </c>
      <c r="Z8">
        <v>4.5454545454545497E-2</v>
      </c>
      <c r="AA8">
        <v>8.3333333333333301E-2</v>
      </c>
      <c r="AB8">
        <v>0.12903225806451599</v>
      </c>
      <c r="AC8">
        <v>0.66666666666666696</v>
      </c>
      <c r="AD8">
        <v>0.66666666666666696</v>
      </c>
    </row>
    <row r="9" spans="1:38" ht="14.6" x14ac:dyDescent="0.4">
      <c r="A9" t="s">
        <v>71</v>
      </c>
      <c r="B9" s="8">
        <v>0.5</v>
      </c>
      <c r="C9" s="8">
        <v>1</v>
      </c>
      <c r="D9" s="8">
        <v>0.25</v>
      </c>
      <c r="F9" t="s">
        <v>67</v>
      </c>
      <c r="G9">
        <v>1</v>
      </c>
      <c r="H9">
        <v>0.5</v>
      </c>
      <c r="P9" t="s">
        <v>65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AF9" t="s">
        <v>58</v>
      </c>
    </row>
    <row r="10" spans="1:38" ht="14.6" x14ac:dyDescent="0.4">
      <c r="A10" t="s">
        <v>72</v>
      </c>
      <c r="B10" s="8">
        <v>3</v>
      </c>
      <c r="C10" s="8">
        <v>4</v>
      </c>
      <c r="D10" s="8">
        <v>1</v>
      </c>
      <c r="F10" t="s">
        <v>68</v>
      </c>
      <c r="G10">
        <v>2</v>
      </c>
      <c r="H10">
        <v>1</v>
      </c>
      <c r="K10" s="30" t="s">
        <v>75</v>
      </c>
      <c r="L10" s="30"/>
      <c r="M10" s="30"/>
      <c r="N10" s="30"/>
      <c r="P10" t="s">
        <v>66</v>
      </c>
      <c r="Q10" s="9">
        <f>B14</f>
        <v>0.238487122662845</v>
      </c>
      <c r="R10" s="10">
        <f t="shared" ref="R10:S12" si="0">B8</f>
        <v>1</v>
      </c>
      <c r="S10" s="10">
        <f t="shared" si="0"/>
        <v>2</v>
      </c>
      <c r="T10" s="10">
        <v>0.33333333333333298</v>
      </c>
      <c r="U10">
        <v>0</v>
      </c>
      <c r="V10">
        <v>0</v>
      </c>
      <c r="X10" t="s">
        <v>76</v>
      </c>
      <c r="Y10" t="s">
        <v>65</v>
      </c>
      <c r="Z10" t="s">
        <v>66</v>
      </c>
      <c r="AA10" t="s">
        <v>71</v>
      </c>
      <c r="AB10" t="s">
        <v>72</v>
      </c>
      <c r="AC10" t="s">
        <v>67</v>
      </c>
      <c r="AD10" t="s">
        <v>68</v>
      </c>
      <c r="AF10" t="s">
        <v>77</v>
      </c>
      <c r="AG10" t="s">
        <v>65</v>
      </c>
      <c r="AH10" t="s">
        <v>66</v>
      </c>
      <c r="AI10" t="s">
        <v>71</v>
      </c>
      <c r="AJ10" t="s">
        <v>72</v>
      </c>
      <c r="AK10" t="s">
        <v>67</v>
      </c>
      <c r="AL10" t="s">
        <v>68</v>
      </c>
    </row>
    <row r="11" spans="1:38" ht="14.6" x14ac:dyDescent="0.4">
      <c r="L11" t="s">
        <v>64</v>
      </c>
      <c r="M11" t="s">
        <v>2</v>
      </c>
      <c r="N11" t="s">
        <v>9</v>
      </c>
      <c r="P11" t="s">
        <v>71</v>
      </c>
      <c r="Q11" s="9">
        <f>B15</f>
        <v>0.136499802988861</v>
      </c>
      <c r="R11" s="10">
        <f t="shared" si="0"/>
        <v>0.5</v>
      </c>
      <c r="S11" s="10">
        <f t="shared" si="0"/>
        <v>1</v>
      </c>
      <c r="T11" s="10">
        <f>D9</f>
        <v>0.25</v>
      </c>
      <c r="U11">
        <v>0</v>
      </c>
      <c r="V11">
        <v>0</v>
      </c>
      <c r="X11" t="s">
        <v>65</v>
      </c>
      <c r="Y11">
        <f t="array" ref="Y11:AD16">MMULT($Y$3:$AD$8,Y3:AD8)</f>
        <v>0</v>
      </c>
      <c r="Z11">
        <v>0</v>
      </c>
      <c r="AA11">
        <v>0</v>
      </c>
      <c r="AB11">
        <v>0</v>
      </c>
      <c r="AC11">
        <v>0</v>
      </c>
      <c r="AD11">
        <v>0</v>
      </c>
      <c r="AF11" t="s">
        <v>65</v>
      </c>
      <c r="AG11">
        <f t="shared" ref="AG11:AL16" si="1">Y11-Y3</f>
        <v>0</v>
      </c>
      <c r="AH11">
        <f t="shared" si="1"/>
        <v>0</v>
      </c>
      <c r="AI11">
        <f t="shared" si="1"/>
        <v>0</v>
      </c>
      <c r="AJ11">
        <f t="shared" si="1"/>
        <v>0</v>
      </c>
      <c r="AK11">
        <f t="shared" si="1"/>
        <v>0</v>
      </c>
      <c r="AL11">
        <f t="shared" si="1"/>
        <v>0</v>
      </c>
    </row>
    <row r="12" spans="1:38" ht="14.6" x14ac:dyDescent="0.4">
      <c r="A12" s="30" t="s">
        <v>78</v>
      </c>
      <c r="B12" s="30"/>
      <c r="C12" s="30"/>
      <c r="D12" s="30"/>
      <c r="F12" t="s">
        <v>72</v>
      </c>
      <c r="K12" t="s">
        <v>64</v>
      </c>
      <c r="L12">
        <v>0</v>
      </c>
      <c r="M12">
        <v>0</v>
      </c>
      <c r="N12">
        <v>0</v>
      </c>
      <c r="P12" t="s">
        <v>72</v>
      </c>
      <c r="Q12" s="9">
        <f>B16</f>
        <v>0.62501307434829401</v>
      </c>
      <c r="R12" s="10">
        <f t="shared" si="0"/>
        <v>3</v>
      </c>
      <c r="S12" s="10">
        <f t="shared" si="0"/>
        <v>4</v>
      </c>
      <c r="T12" s="10">
        <f>D10</f>
        <v>1</v>
      </c>
      <c r="U12">
        <v>0</v>
      </c>
      <c r="V12">
        <v>0</v>
      </c>
      <c r="X12" t="s">
        <v>66</v>
      </c>
      <c r="Y12">
        <v>0.13177757839985754</v>
      </c>
      <c r="Z12">
        <v>0.12616635563849632</v>
      </c>
      <c r="AA12">
        <v>0.14122067448680348</v>
      </c>
      <c r="AB12">
        <v>9.7601929807965088E-2</v>
      </c>
      <c r="AC12">
        <v>0</v>
      </c>
      <c r="AD12">
        <v>0</v>
      </c>
      <c r="AF12" t="s">
        <v>66</v>
      </c>
      <c r="AG12">
        <f t="shared" si="1"/>
        <v>-6.6961690485846465E-2</v>
      </c>
      <c r="AH12">
        <f t="shared" si="1"/>
        <v>-5.5651826179685671E-2</v>
      </c>
      <c r="AI12">
        <f t="shared" si="1"/>
        <v>-0.10877932551319652</v>
      </c>
      <c r="AJ12">
        <f t="shared" si="1"/>
        <v>-3.1430328256550899E-2</v>
      </c>
      <c r="AK12">
        <f t="shared" si="1"/>
        <v>0</v>
      </c>
      <c r="AL12">
        <f t="shared" si="1"/>
        <v>0</v>
      </c>
    </row>
    <row r="13" spans="1:38" ht="14.6" x14ac:dyDescent="0.4">
      <c r="A13" t="s">
        <v>2</v>
      </c>
      <c r="B13" t="s">
        <v>79</v>
      </c>
      <c r="G13" t="s">
        <v>67</v>
      </c>
      <c r="H13" t="s">
        <v>68</v>
      </c>
      <c r="K13" t="s">
        <v>2</v>
      </c>
      <c r="L13">
        <v>1</v>
      </c>
      <c r="M13">
        <v>1</v>
      </c>
      <c r="N13">
        <v>3</v>
      </c>
      <c r="P13" t="s">
        <v>67</v>
      </c>
      <c r="Q13" s="11">
        <f>L14</f>
        <v>0.1</v>
      </c>
      <c r="R13" s="12">
        <f>H20</f>
        <v>0.75</v>
      </c>
      <c r="S13" s="12">
        <f>H22</f>
        <v>0.33333333333333298</v>
      </c>
      <c r="T13" s="12">
        <f>H24</f>
        <v>0.66666666666666696</v>
      </c>
      <c r="U13" s="7">
        <f>L3</f>
        <v>1</v>
      </c>
      <c r="V13" s="7">
        <f>M3</f>
        <v>0.5</v>
      </c>
      <c r="X13" t="s">
        <v>71</v>
      </c>
      <c r="Y13">
        <v>8.2690215929721617E-2</v>
      </c>
      <c r="Z13">
        <v>8.0678485737136735E-2</v>
      </c>
      <c r="AA13">
        <v>8.6739369501466268E-2</v>
      </c>
      <c r="AB13">
        <v>6.1287957619903459E-2</v>
      </c>
      <c r="AC13">
        <v>0</v>
      </c>
      <c r="AD13">
        <v>0</v>
      </c>
      <c r="AF13" t="s">
        <v>71</v>
      </c>
      <c r="AG13">
        <f t="shared" si="1"/>
        <v>-3.1059619894329385E-2</v>
      </c>
      <c r="AH13">
        <f t="shared" si="1"/>
        <v>-1.0230605171954163E-2</v>
      </c>
      <c r="AI13">
        <f t="shared" si="1"/>
        <v>-3.8260630498533732E-2</v>
      </c>
      <c r="AJ13">
        <f t="shared" si="1"/>
        <v>-3.5486235928483635E-2</v>
      </c>
      <c r="AK13">
        <f t="shared" si="1"/>
        <v>0</v>
      </c>
      <c r="AL13">
        <f t="shared" si="1"/>
        <v>0</v>
      </c>
    </row>
    <row r="14" spans="1:38" ht="14.6" x14ac:dyDescent="0.4">
      <c r="A14" t="s">
        <v>66</v>
      </c>
      <c r="B14" s="13">
        <v>0.238487122662845</v>
      </c>
      <c r="F14" t="s">
        <v>67</v>
      </c>
      <c r="G14">
        <v>1</v>
      </c>
      <c r="H14">
        <v>2</v>
      </c>
      <c r="K14" t="s">
        <v>9</v>
      </c>
      <c r="L14" s="11">
        <v>0.1</v>
      </c>
      <c r="M14">
        <v>0.33333333333333298</v>
      </c>
      <c r="N14">
        <v>1</v>
      </c>
      <c r="P14" t="s">
        <v>68</v>
      </c>
      <c r="Q14" s="11">
        <f>L14</f>
        <v>0.1</v>
      </c>
      <c r="R14" s="12">
        <f>H21</f>
        <v>0.25</v>
      </c>
      <c r="S14" s="12">
        <f>H23</f>
        <v>0.66666666666666696</v>
      </c>
      <c r="T14" s="12">
        <f>H25</f>
        <v>0.33333333333333298</v>
      </c>
      <c r="U14" s="7">
        <f>L4</f>
        <v>2</v>
      </c>
      <c r="V14" s="7">
        <f>M4</f>
        <v>1</v>
      </c>
      <c r="X14" t="s">
        <v>72</v>
      </c>
      <c r="Y14">
        <v>0.36689527624355966</v>
      </c>
      <c r="Z14">
        <v>0.35577179418821603</v>
      </c>
      <c r="AA14">
        <v>0.39241202346041026</v>
      </c>
      <c r="AB14">
        <v>0.26861224103679832</v>
      </c>
      <c r="AC14">
        <v>0</v>
      </c>
      <c r="AD14">
        <v>0</v>
      </c>
      <c r="AF14" t="s">
        <v>72</v>
      </c>
      <c r="AG14">
        <f t="shared" si="1"/>
        <v>-0.15394895238001838</v>
      </c>
      <c r="AH14">
        <f t="shared" si="1"/>
        <v>-0.18968275126632894</v>
      </c>
      <c r="AI14">
        <f t="shared" si="1"/>
        <v>-0.10758797653958974</v>
      </c>
      <c r="AJ14">
        <f t="shared" si="1"/>
        <v>-0.11848453315674967</v>
      </c>
      <c r="AK14">
        <f t="shared" si="1"/>
        <v>0</v>
      </c>
      <c r="AL14">
        <f t="shared" si="1"/>
        <v>0</v>
      </c>
    </row>
    <row r="15" spans="1:38" ht="14.6" x14ac:dyDescent="0.4">
      <c r="A15" t="s">
        <v>71</v>
      </c>
      <c r="B15" s="13">
        <v>0.136499802988861</v>
      </c>
      <c r="F15" t="s">
        <v>68</v>
      </c>
      <c r="G15">
        <v>0.5</v>
      </c>
      <c r="H15">
        <v>1</v>
      </c>
      <c r="X15" t="s">
        <v>67</v>
      </c>
      <c r="Y15">
        <v>0.22180735528007184</v>
      </c>
      <c r="Z15">
        <v>0.22994979116679945</v>
      </c>
      <c r="AA15">
        <v>0.20999816715542496</v>
      </c>
      <c r="AB15">
        <v>0.25055576577428762</v>
      </c>
      <c r="AC15">
        <v>0.33333333333333298</v>
      </c>
      <c r="AD15">
        <v>0.33333333333333298</v>
      </c>
      <c r="AF15" t="s">
        <v>67</v>
      </c>
      <c r="AG15">
        <f t="shared" si="1"/>
        <v>0.13847402194673852</v>
      </c>
      <c r="AH15">
        <f t="shared" si="1"/>
        <v>9.3586154803163457E-2</v>
      </c>
      <c r="AI15">
        <f t="shared" si="1"/>
        <v>0.16833150048875828</v>
      </c>
      <c r="AJ15">
        <f t="shared" si="1"/>
        <v>-7.5087503547443535E-3</v>
      </c>
      <c r="AK15">
        <f t="shared" si="1"/>
        <v>0</v>
      </c>
      <c r="AL15">
        <f t="shared" si="1"/>
        <v>0</v>
      </c>
    </row>
    <row r="16" spans="1:38" ht="14.6" x14ac:dyDescent="0.4">
      <c r="A16" t="s">
        <v>72</v>
      </c>
      <c r="B16" s="13">
        <v>0.62501307434829401</v>
      </c>
      <c r="P16" s="30" t="s">
        <v>80</v>
      </c>
      <c r="Q16" s="30"/>
      <c r="R16" s="30"/>
      <c r="S16" s="30"/>
      <c r="X16" t="s">
        <v>68</v>
      </c>
      <c r="Y16">
        <v>0.19682957414678834</v>
      </c>
      <c r="Z16">
        <v>0.20743357326935008</v>
      </c>
      <c r="AA16">
        <v>0.16962976539589439</v>
      </c>
      <c r="AB16">
        <v>0.32194210576104404</v>
      </c>
      <c r="AC16">
        <v>0.66666666666666696</v>
      </c>
      <c r="AD16">
        <v>0.66666666666666696</v>
      </c>
      <c r="AF16" t="s">
        <v>68</v>
      </c>
      <c r="AG16">
        <f t="shared" si="1"/>
        <v>0.11349624081345504</v>
      </c>
      <c r="AH16">
        <f t="shared" si="1"/>
        <v>0.16197902781480458</v>
      </c>
      <c r="AI16">
        <f t="shared" si="1"/>
        <v>8.6296432062561088E-2</v>
      </c>
      <c r="AJ16">
        <f t="shared" si="1"/>
        <v>0.19290984769652805</v>
      </c>
      <c r="AK16">
        <f t="shared" si="1"/>
        <v>0</v>
      </c>
      <c r="AL16">
        <f t="shared" si="1"/>
        <v>0</v>
      </c>
    </row>
    <row r="17" spans="1:38" ht="14.6" x14ac:dyDescent="0.4">
      <c r="A17" t="s">
        <v>81</v>
      </c>
      <c r="B17">
        <f>SUM(B14:B16)</f>
        <v>1</v>
      </c>
      <c r="F17" s="30" t="s">
        <v>82</v>
      </c>
      <c r="G17" s="30"/>
      <c r="H17" s="30"/>
      <c r="I17" s="30"/>
      <c r="K17" s="30" t="s">
        <v>83</v>
      </c>
      <c r="L17" s="30"/>
      <c r="M17" s="30"/>
      <c r="N17" s="30"/>
      <c r="P17" t="s">
        <v>84</v>
      </c>
    </row>
    <row r="18" spans="1:38" ht="14.6" x14ac:dyDescent="0.4">
      <c r="L18" t="s">
        <v>64</v>
      </c>
      <c r="M18" t="s">
        <v>2</v>
      </c>
      <c r="N18" t="s">
        <v>9</v>
      </c>
      <c r="Q18" t="s">
        <v>65</v>
      </c>
      <c r="R18" t="s">
        <v>66</v>
      </c>
      <c r="S18" t="s">
        <v>71</v>
      </c>
      <c r="T18" t="s">
        <v>72</v>
      </c>
      <c r="U18" t="s">
        <v>67</v>
      </c>
      <c r="V18" t="s">
        <v>68</v>
      </c>
      <c r="X18" t="s">
        <v>85</v>
      </c>
      <c r="Y18" t="s">
        <v>65</v>
      </c>
      <c r="Z18" t="s">
        <v>66</v>
      </c>
      <c r="AA18" t="s">
        <v>71</v>
      </c>
      <c r="AB18" t="s">
        <v>72</v>
      </c>
      <c r="AC18" t="s">
        <v>67</v>
      </c>
      <c r="AD18" t="s">
        <v>68</v>
      </c>
      <c r="AF18" t="s">
        <v>86</v>
      </c>
      <c r="AG18" t="s">
        <v>65</v>
      </c>
      <c r="AH18" t="s">
        <v>66</v>
      </c>
      <c r="AI18" t="s">
        <v>71</v>
      </c>
      <c r="AJ18" t="s">
        <v>72</v>
      </c>
      <c r="AK18" t="s">
        <v>67</v>
      </c>
      <c r="AL18" t="s">
        <v>68</v>
      </c>
    </row>
    <row r="19" spans="1:38" ht="14.6" x14ac:dyDescent="0.4">
      <c r="A19" s="30" t="s">
        <v>87</v>
      </c>
      <c r="B19" s="30"/>
      <c r="C19" s="30"/>
      <c r="D19" s="30"/>
      <c r="F19" t="s">
        <v>2</v>
      </c>
      <c r="G19" t="s">
        <v>88</v>
      </c>
      <c r="H19" t="s">
        <v>89</v>
      </c>
      <c r="K19" t="s">
        <v>64</v>
      </c>
      <c r="L19">
        <f>L12/SUM($L$12:$L$14)</f>
        <v>0</v>
      </c>
      <c r="M19">
        <f>M12/SUM($M$12:$M$14)</f>
        <v>0</v>
      </c>
      <c r="N19">
        <f>N12/SUM($N$12:$N$14)</f>
        <v>0</v>
      </c>
      <c r="P19" t="s">
        <v>65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X19" t="s">
        <v>65</v>
      </c>
      <c r="Y19">
        <f t="array" ref="Y19:AD24">MMULT($Y$3:$AD$8,Y11:AD16)</f>
        <v>0</v>
      </c>
      <c r="Z19">
        <v>0</v>
      </c>
      <c r="AA19">
        <v>0</v>
      </c>
      <c r="AB19">
        <v>0</v>
      </c>
      <c r="AC19">
        <v>0</v>
      </c>
      <c r="AD19">
        <v>0</v>
      </c>
      <c r="AF19" t="s">
        <v>65</v>
      </c>
      <c r="AG19">
        <f t="shared" ref="AG19:AL24" si="2">Y19-Y11</f>
        <v>0</v>
      </c>
      <c r="AH19">
        <f t="shared" si="2"/>
        <v>0</v>
      </c>
      <c r="AI19">
        <f t="shared" si="2"/>
        <v>0</v>
      </c>
      <c r="AJ19">
        <f t="shared" si="2"/>
        <v>0</v>
      </c>
      <c r="AK19">
        <f t="shared" si="2"/>
        <v>0</v>
      </c>
      <c r="AL19">
        <f t="shared" si="2"/>
        <v>0</v>
      </c>
    </row>
    <row r="20" spans="1:38" ht="14.6" x14ac:dyDescent="0.4">
      <c r="A20" t="s">
        <v>90</v>
      </c>
      <c r="B20" s="14">
        <v>3.01829470728963</v>
      </c>
      <c r="F20" s="30" t="s">
        <v>66</v>
      </c>
      <c r="G20" t="s">
        <v>67</v>
      </c>
      <c r="H20" s="12">
        <v>0.75</v>
      </c>
      <c r="K20" t="s">
        <v>2</v>
      </c>
      <c r="L20">
        <f>L13/SUM($L$12:$L$14)</f>
        <v>0.90909090909090906</v>
      </c>
      <c r="M20">
        <f>M13/SUM($M$12:$M$14)</f>
        <v>0.75000000000000022</v>
      </c>
      <c r="N20">
        <f>N13/SUM($N$12:$N$14)</f>
        <v>0.75</v>
      </c>
      <c r="P20" t="s">
        <v>66</v>
      </c>
      <c r="Q20" s="9">
        <f>Q10</f>
        <v>0.238487122662845</v>
      </c>
      <c r="R20" s="10">
        <f t="shared" ref="R20:T24" si="3">R10*$M$20</f>
        <v>0.75000000000000022</v>
      </c>
      <c r="S20" s="10">
        <f t="shared" si="3"/>
        <v>1.5000000000000004</v>
      </c>
      <c r="T20" s="10">
        <f t="shared" si="3"/>
        <v>0.24999999999999981</v>
      </c>
      <c r="U20">
        <v>0</v>
      </c>
      <c r="V20">
        <v>0</v>
      </c>
      <c r="X20" t="s">
        <v>66</v>
      </c>
      <c r="Y20">
        <v>9.1973439658406306E-2</v>
      </c>
      <c r="Z20">
        <v>8.9014996782871475E-2</v>
      </c>
      <c r="AA20">
        <v>9.7995138124457051E-2</v>
      </c>
      <c r="AB20">
        <v>6.7727438829354031E-2</v>
      </c>
      <c r="AC20">
        <v>0</v>
      </c>
      <c r="AD20">
        <v>0</v>
      </c>
      <c r="AF20" t="s">
        <v>66</v>
      </c>
      <c r="AG20">
        <f t="shared" si="2"/>
        <v>-3.9804138741451237E-2</v>
      </c>
      <c r="AH20">
        <f t="shared" si="2"/>
        <v>-3.7151358855624844E-2</v>
      </c>
      <c r="AI20">
        <f t="shared" si="2"/>
        <v>-4.3225536362346426E-2</v>
      </c>
      <c r="AJ20">
        <f t="shared" si="2"/>
        <v>-2.9874490978611057E-2</v>
      </c>
      <c r="AK20">
        <f t="shared" si="2"/>
        <v>0</v>
      </c>
      <c r="AL20">
        <f t="shared" si="2"/>
        <v>0</v>
      </c>
    </row>
    <row r="21" spans="1:38" ht="14.6" x14ac:dyDescent="0.4">
      <c r="A21" t="s">
        <v>47</v>
      </c>
      <c r="B21">
        <f>(B20-COUNTA(A8:A10))/(COUNTA(A8:A10)-1)</f>
        <v>9.1473536448150039E-3</v>
      </c>
      <c r="F21" s="30"/>
      <c r="G21" t="s">
        <v>68</v>
      </c>
      <c r="H21" s="12">
        <v>0.25</v>
      </c>
      <c r="K21" t="s">
        <v>9</v>
      </c>
      <c r="L21">
        <f>L14/SUM($L$12:$L$14)</f>
        <v>9.0909090909090912E-2</v>
      </c>
      <c r="M21">
        <f>M14/SUM($M$12:$M$14)</f>
        <v>0.24999999999999978</v>
      </c>
      <c r="N21">
        <f>N14/SUM($N$12:$N$14)</f>
        <v>0.25</v>
      </c>
      <c r="P21" t="s">
        <v>71</v>
      </c>
      <c r="Q21" s="9">
        <f>Q11</f>
        <v>0.136499802988861</v>
      </c>
      <c r="R21" s="10">
        <f t="shared" si="3"/>
        <v>0.37500000000000011</v>
      </c>
      <c r="S21" s="10">
        <f t="shared" si="3"/>
        <v>0.75000000000000022</v>
      </c>
      <c r="T21" s="10">
        <f t="shared" si="3"/>
        <v>0.18750000000000006</v>
      </c>
      <c r="U21">
        <v>0</v>
      </c>
      <c r="V21">
        <v>0</v>
      </c>
      <c r="X21" t="s">
        <v>71</v>
      </c>
      <c r="Y21">
        <v>5.7822051320930892E-2</v>
      </c>
      <c r="Z21">
        <v>5.5984007881378209E-2</v>
      </c>
      <c r="AA21">
        <v>6.1656021431919193E-2</v>
      </c>
      <c r="AB21">
        <v>4.2528630415864063E-2</v>
      </c>
      <c r="AC21">
        <v>0</v>
      </c>
      <c r="AD21">
        <v>0</v>
      </c>
      <c r="AF21" t="s">
        <v>71</v>
      </c>
      <c r="AG21">
        <f t="shared" si="2"/>
        <v>-2.4868164608790724E-2</v>
      </c>
      <c r="AH21">
        <f t="shared" si="2"/>
        <v>-2.4694477855758526E-2</v>
      </c>
      <c r="AI21">
        <f t="shared" si="2"/>
        <v>-2.5083348069547075E-2</v>
      </c>
      <c r="AJ21">
        <f t="shared" si="2"/>
        <v>-1.8759327204039396E-2</v>
      </c>
      <c r="AK21">
        <f t="shared" si="2"/>
        <v>0</v>
      </c>
      <c r="AL21">
        <f t="shared" si="2"/>
        <v>0</v>
      </c>
    </row>
    <row r="22" spans="1:38" ht="14.6" x14ac:dyDescent="0.4">
      <c r="A22" t="s">
        <v>48</v>
      </c>
      <c r="B22">
        <v>0.57999999999999996</v>
      </c>
      <c r="F22" s="30" t="s">
        <v>71</v>
      </c>
      <c r="G22" t="s">
        <v>67</v>
      </c>
      <c r="H22" s="12">
        <v>0.33333333333333298</v>
      </c>
      <c r="P22" t="s">
        <v>72</v>
      </c>
      <c r="Q22" s="9">
        <f>Q12</f>
        <v>0.62501307434829401</v>
      </c>
      <c r="R22" s="10">
        <f t="shared" si="3"/>
        <v>2.2500000000000009</v>
      </c>
      <c r="S22" s="10">
        <f t="shared" si="3"/>
        <v>3.0000000000000009</v>
      </c>
      <c r="T22" s="10">
        <f t="shared" si="3"/>
        <v>0.75000000000000022</v>
      </c>
      <c r="U22">
        <v>0</v>
      </c>
      <c r="V22">
        <v>0</v>
      </c>
      <c r="X22" t="s">
        <v>72</v>
      </c>
      <c r="Y22">
        <v>0.2552477649927884</v>
      </c>
      <c r="Z22">
        <v>0.24687536891433015</v>
      </c>
      <c r="AA22">
        <v>0.27230057199800445</v>
      </c>
      <c r="AB22">
        <v>0.18786032708308614</v>
      </c>
      <c r="AC22">
        <v>0</v>
      </c>
      <c r="AD22">
        <v>0</v>
      </c>
      <c r="AF22" t="s">
        <v>72</v>
      </c>
      <c r="AG22">
        <f t="shared" si="2"/>
        <v>-0.11164751125077127</v>
      </c>
      <c r="AH22">
        <f t="shared" si="2"/>
        <v>-0.10889642527388588</v>
      </c>
      <c r="AI22">
        <f t="shared" si="2"/>
        <v>-0.12011145146240582</v>
      </c>
      <c r="AJ22">
        <f t="shared" si="2"/>
        <v>-8.0751913953712173E-2</v>
      </c>
      <c r="AK22">
        <f t="shared" si="2"/>
        <v>0</v>
      </c>
      <c r="AL22">
        <f t="shared" si="2"/>
        <v>0</v>
      </c>
    </row>
    <row r="23" spans="1:38" ht="14.6" x14ac:dyDescent="0.4">
      <c r="A23" t="s">
        <v>50</v>
      </c>
      <c r="B23">
        <f>B21/B22</f>
        <v>1.5771299387612077E-2</v>
      </c>
      <c r="F23" s="30"/>
      <c r="G23" t="s">
        <v>68</v>
      </c>
      <c r="H23" s="12">
        <v>0.66666666666666696</v>
      </c>
      <c r="P23" t="s">
        <v>67</v>
      </c>
      <c r="Q23" s="11">
        <f>Q13</f>
        <v>0.1</v>
      </c>
      <c r="R23" s="12">
        <f t="shared" si="3"/>
        <v>0.56250000000000022</v>
      </c>
      <c r="S23" s="12">
        <f t="shared" si="3"/>
        <v>0.24999999999999981</v>
      </c>
      <c r="T23" s="12">
        <f t="shared" si="3"/>
        <v>0.50000000000000033</v>
      </c>
      <c r="U23" s="7">
        <f>U13*$N$21</f>
        <v>0.25</v>
      </c>
      <c r="V23" s="7">
        <f>V13*$N$21</f>
        <v>0.125</v>
      </c>
      <c r="X23" t="s">
        <v>67</v>
      </c>
      <c r="Y23">
        <v>0.25564339052164542</v>
      </c>
      <c r="Z23">
        <v>0.25817263734558299</v>
      </c>
      <c r="AA23">
        <v>0.25068176823993843</v>
      </c>
      <c r="AB23">
        <v>0.27601493082015838</v>
      </c>
      <c r="AC23">
        <v>0.33333333333333298</v>
      </c>
      <c r="AD23">
        <v>0.33333333333333298</v>
      </c>
      <c r="AF23" t="s">
        <v>67</v>
      </c>
      <c r="AG23">
        <f t="shared" si="2"/>
        <v>3.3836035241573581E-2</v>
      </c>
      <c r="AH23">
        <f t="shared" si="2"/>
        <v>2.8222846178783539E-2</v>
      </c>
      <c r="AI23">
        <f t="shared" si="2"/>
        <v>4.0683601084513465E-2</v>
      </c>
      <c r="AJ23">
        <f t="shared" si="2"/>
        <v>2.5459165045870757E-2</v>
      </c>
      <c r="AK23">
        <f t="shared" si="2"/>
        <v>0</v>
      </c>
      <c r="AL23">
        <f t="shared" si="2"/>
        <v>0</v>
      </c>
    </row>
    <row r="24" spans="1:38" ht="14.6" x14ac:dyDescent="0.4">
      <c r="F24" s="30" t="s">
        <v>72</v>
      </c>
      <c r="G24" t="s">
        <v>67</v>
      </c>
      <c r="H24" s="12">
        <v>0.66666666666666696</v>
      </c>
      <c r="P24" t="s">
        <v>68</v>
      </c>
      <c r="Q24" s="11">
        <f>Q14</f>
        <v>0.1</v>
      </c>
      <c r="R24" s="12">
        <f t="shared" si="3"/>
        <v>0.18750000000000006</v>
      </c>
      <c r="S24" s="12">
        <f t="shared" si="3"/>
        <v>0.50000000000000033</v>
      </c>
      <c r="T24" s="12">
        <f t="shared" si="3"/>
        <v>0.24999999999999981</v>
      </c>
      <c r="U24" s="7">
        <f>U14*$N$21</f>
        <v>0.5</v>
      </c>
      <c r="V24" s="7">
        <f>V14*$N$21</f>
        <v>0.25</v>
      </c>
      <c r="X24" t="s">
        <v>68</v>
      </c>
      <c r="Y24">
        <v>0.33931335350622749</v>
      </c>
      <c r="Z24">
        <v>0.34995298907583533</v>
      </c>
      <c r="AA24">
        <v>0.31736650020567975</v>
      </c>
      <c r="AB24">
        <v>0.42586867285153551</v>
      </c>
      <c r="AC24">
        <v>0.66666666666666696</v>
      </c>
      <c r="AD24">
        <v>0.66666666666666696</v>
      </c>
      <c r="AF24" t="s">
        <v>68</v>
      </c>
      <c r="AG24">
        <f t="shared" si="2"/>
        <v>0.14248377935943915</v>
      </c>
      <c r="AH24">
        <f t="shared" si="2"/>
        <v>0.14251941580648525</v>
      </c>
      <c r="AI24">
        <f t="shared" si="2"/>
        <v>0.14773673480978536</v>
      </c>
      <c r="AJ24">
        <f t="shared" si="2"/>
        <v>0.10392656709049147</v>
      </c>
      <c r="AK24">
        <f t="shared" si="2"/>
        <v>0</v>
      </c>
      <c r="AL24">
        <f t="shared" si="2"/>
        <v>0</v>
      </c>
    </row>
    <row r="25" spans="1:38" ht="14.6" x14ac:dyDescent="0.4">
      <c r="F25" s="30"/>
      <c r="G25" t="s">
        <v>68</v>
      </c>
      <c r="H25" s="12">
        <v>0.33333333333333298</v>
      </c>
    </row>
    <row r="26" spans="1:38" ht="14.6" x14ac:dyDescent="0.4">
      <c r="P26" t="s">
        <v>91</v>
      </c>
      <c r="X26" t="s">
        <v>92</v>
      </c>
      <c r="Y26" t="s">
        <v>65</v>
      </c>
      <c r="Z26" t="s">
        <v>66</v>
      </c>
      <c r="AA26" t="s">
        <v>71</v>
      </c>
      <c r="AB26" t="s">
        <v>72</v>
      </c>
      <c r="AC26" t="s">
        <v>67</v>
      </c>
      <c r="AD26" t="s">
        <v>68</v>
      </c>
      <c r="AF26" t="s">
        <v>93</v>
      </c>
      <c r="AG26" t="s">
        <v>65</v>
      </c>
      <c r="AH26" t="s">
        <v>66</v>
      </c>
      <c r="AI26" t="s">
        <v>71</v>
      </c>
      <c r="AJ26" t="s">
        <v>72</v>
      </c>
      <c r="AK26" t="s">
        <v>67</v>
      </c>
      <c r="AL26" t="s">
        <v>68</v>
      </c>
    </row>
    <row r="27" spans="1:38" ht="14.6" x14ac:dyDescent="0.4">
      <c r="Q27" t="s">
        <v>65</v>
      </c>
      <c r="R27" t="s">
        <v>66</v>
      </c>
      <c r="S27" t="s">
        <v>71</v>
      </c>
      <c r="T27" t="s">
        <v>72</v>
      </c>
      <c r="U27" t="s">
        <v>67</v>
      </c>
      <c r="V27" t="s">
        <v>68</v>
      </c>
      <c r="X27" t="s">
        <v>65</v>
      </c>
      <c r="Y27">
        <f t="array" ref="Y27:AD32">MMULT($Y$3:$AD$8,Y19:AD24)</f>
        <v>0</v>
      </c>
      <c r="Z27">
        <v>0</v>
      </c>
      <c r="AA27">
        <v>0</v>
      </c>
      <c r="AB27">
        <v>0</v>
      </c>
      <c r="AC27">
        <v>0</v>
      </c>
      <c r="AD27">
        <v>0</v>
      </c>
      <c r="AF27" t="s">
        <v>65</v>
      </c>
      <c r="AG27">
        <f t="shared" ref="AG27:AL32" si="4">Y27-Y19</f>
        <v>0</v>
      </c>
      <c r="AH27">
        <f t="shared" si="4"/>
        <v>0</v>
      </c>
      <c r="AI27">
        <f t="shared" si="4"/>
        <v>0</v>
      </c>
      <c r="AJ27">
        <f t="shared" si="4"/>
        <v>0</v>
      </c>
      <c r="AK27">
        <f t="shared" si="4"/>
        <v>0</v>
      </c>
      <c r="AL27">
        <f t="shared" si="4"/>
        <v>0</v>
      </c>
    </row>
    <row r="28" spans="1:38" ht="14.6" x14ac:dyDescent="0.4">
      <c r="P28" t="s">
        <v>65</v>
      </c>
      <c r="Q28">
        <f t="shared" ref="Q28:Q33" si="5">Q19/SUM($Q$19:$Q$24)</f>
        <v>0</v>
      </c>
      <c r="R28">
        <f t="shared" ref="R28:R33" si="6">R19/SUM($R$19:$R$24)</f>
        <v>0</v>
      </c>
      <c r="S28">
        <f t="shared" ref="S28:S33" si="7">S19/SUM($S$19:$S$24)</f>
        <v>0</v>
      </c>
      <c r="T28">
        <f t="shared" ref="T28:T33" si="8">T19/SUM($T$19:$T$24)</f>
        <v>0</v>
      </c>
      <c r="U28">
        <f t="shared" ref="U28:U33" si="9">U19/SUM($U$19:$U$24)</f>
        <v>0</v>
      </c>
      <c r="V28">
        <f t="shared" ref="V28:V33" si="10">V19/SUM($V$19:$V$24)</f>
        <v>0</v>
      </c>
      <c r="X28" t="s">
        <v>66</v>
      </c>
      <c r="Y28">
        <v>6.4113151887428832E-2</v>
      </c>
      <c r="Z28">
        <v>6.2035433151484E-2</v>
      </c>
      <c r="AA28">
        <v>6.8366860875952007E-2</v>
      </c>
      <c r="AB28">
        <v>4.7186279595390457E-2</v>
      </c>
      <c r="AC28">
        <v>0</v>
      </c>
      <c r="AD28">
        <v>0</v>
      </c>
      <c r="AF28" t="s">
        <v>66</v>
      </c>
      <c r="AG28">
        <f t="shared" si="4"/>
        <v>-2.7860287770977474E-2</v>
      </c>
      <c r="AH28">
        <f t="shared" si="4"/>
        <v>-2.6979563631387475E-2</v>
      </c>
      <c r="AI28">
        <f t="shared" si="4"/>
        <v>-2.9628277248505044E-2</v>
      </c>
      <c r="AJ28">
        <f t="shared" si="4"/>
        <v>-2.0541159233963574E-2</v>
      </c>
      <c r="AK28">
        <f t="shared" si="4"/>
        <v>0</v>
      </c>
      <c r="AL28">
        <f t="shared" si="4"/>
        <v>0</v>
      </c>
    </row>
    <row r="29" spans="1:38" ht="14.6" x14ac:dyDescent="0.4">
      <c r="P29" t="s">
        <v>66</v>
      </c>
      <c r="Q29" s="15">
        <f t="shared" si="5"/>
        <v>0.19873926888570415</v>
      </c>
      <c r="R29" s="16">
        <f t="shared" si="6"/>
        <v>0.1818181818181818</v>
      </c>
      <c r="S29" s="16">
        <f t="shared" si="7"/>
        <v>0.25</v>
      </c>
      <c r="T29" s="16">
        <f t="shared" si="8"/>
        <v>0.12903225806451601</v>
      </c>
      <c r="U29" s="17">
        <f t="shared" si="9"/>
        <v>0</v>
      </c>
      <c r="V29" s="17">
        <f t="shared" si="10"/>
        <v>0</v>
      </c>
      <c r="X29" t="s">
        <v>71</v>
      </c>
      <c r="Y29">
        <v>4.0290374814449532E-2</v>
      </c>
      <c r="Z29">
        <v>3.8981438153623628E-2</v>
      </c>
      <c r="AA29">
        <v>4.2967319857266484E-2</v>
      </c>
      <c r="AB29">
        <v>2.9653150348762529E-2</v>
      </c>
      <c r="AC29">
        <v>0</v>
      </c>
      <c r="AD29">
        <v>0</v>
      </c>
      <c r="AF29" t="s">
        <v>71</v>
      </c>
      <c r="AG29">
        <f t="shared" si="4"/>
        <v>-1.753167650648136E-2</v>
      </c>
      <c r="AH29">
        <f t="shared" si="4"/>
        <v>-1.7002569727754581E-2</v>
      </c>
      <c r="AI29">
        <f t="shared" si="4"/>
        <v>-1.8688701574652709E-2</v>
      </c>
      <c r="AJ29">
        <f t="shared" si="4"/>
        <v>-1.2875480067101534E-2</v>
      </c>
      <c r="AK29">
        <f t="shared" si="4"/>
        <v>0</v>
      </c>
      <c r="AL29">
        <f t="shared" si="4"/>
        <v>0</v>
      </c>
    </row>
    <row r="30" spans="1:38" ht="14.6" x14ac:dyDescent="0.4">
      <c r="P30" t="s">
        <v>71</v>
      </c>
      <c r="Q30" s="15">
        <f t="shared" si="5"/>
        <v>0.11374983582405081</v>
      </c>
      <c r="R30" s="16">
        <f t="shared" si="6"/>
        <v>9.0909090909090898E-2</v>
      </c>
      <c r="S30" s="16">
        <f t="shared" si="7"/>
        <v>0.125</v>
      </c>
      <c r="T30" s="16">
        <f t="shared" si="8"/>
        <v>9.6774193548387108E-2</v>
      </c>
      <c r="U30" s="17">
        <f t="shared" si="9"/>
        <v>0</v>
      </c>
      <c r="V30" s="17">
        <f t="shared" si="10"/>
        <v>0</v>
      </c>
      <c r="X30" t="s">
        <v>72</v>
      </c>
      <c r="Y30">
        <v>0.17788394283205369</v>
      </c>
      <c r="Z30">
        <v>0.17211029748410736</v>
      </c>
      <c r="AA30">
        <v>0.18968657726987614</v>
      </c>
      <c r="AB30">
        <v>0.1309266811822053</v>
      </c>
      <c r="AC30">
        <v>0</v>
      </c>
      <c r="AD30">
        <v>0</v>
      </c>
      <c r="AF30" t="s">
        <v>72</v>
      </c>
      <c r="AG30">
        <f t="shared" si="4"/>
        <v>-7.7363822160734702E-2</v>
      </c>
      <c r="AH30">
        <f t="shared" si="4"/>
        <v>-7.476507143022279E-2</v>
      </c>
      <c r="AI30">
        <f t="shared" si="4"/>
        <v>-8.2613994728128304E-2</v>
      </c>
      <c r="AJ30">
        <f t="shared" si="4"/>
        <v>-5.6933645900880847E-2</v>
      </c>
      <c r="AK30">
        <f t="shared" si="4"/>
        <v>0</v>
      </c>
      <c r="AL30">
        <f t="shared" si="4"/>
        <v>0</v>
      </c>
    </row>
    <row r="31" spans="1:38" ht="14.6" x14ac:dyDescent="0.4">
      <c r="P31" t="s">
        <v>72</v>
      </c>
      <c r="Q31" s="15">
        <f t="shared" si="5"/>
        <v>0.52084422862357826</v>
      </c>
      <c r="R31" s="16">
        <f t="shared" si="6"/>
        <v>0.54545454545454541</v>
      </c>
      <c r="S31" s="16">
        <f t="shared" si="7"/>
        <v>0.5</v>
      </c>
      <c r="T31" s="16">
        <f t="shared" si="8"/>
        <v>0.38709677419354843</v>
      </c>
      <c r="U31" s="17">
        <f t="shared" si="9"/>
        <v>0</v>
      </c>
      <c r="V31" s="17">
        <f t="shared" si="10"/>
        <v>0</v>
      </c>
      <c r="X31" t="s">
        <v>67</v>
      </c>
      <c r="Y31">
        <v>0.27914039046090211</v>
      </c>
      <c r="Z31">
        <v>0.28088939041079258</v>
      </c>
      <c r="AA31">
        <v>0.27555251244313389</v>
      </c>
      <c r="AB31">
        <v>0.29344887174013012</v>
      </c>
      <c r="AC31">
        <v>0.33333333333333298</v>
      </c>
      <c r="AD31">
        <v>0.33333333333333298</v>
      </c>
      <c r="AF31" t="s">
        <v>67</v>
      </c>
      <c r="AG31">
        <f t="shared" si="4"/>
        <v>2.3496999939256691E-2</v>
      </c>
      <c r="AH31">
        <f t="shared" si="4"/>
        <v>2.2716753065209594E-2</v>
      </c>
      <c r="AI31">
        <f t="shared" si="4"/>
        <v>2.4870744203195461E-2</v>
      </c>
      <c r="AJ31">
        <f t="shared" si="4"/>
        <v>1.7433940919971747E-2</v>
      </c>
      <c r="AK31">
        <f t="shared" si="4"/>
        <v>0</v>
      </c>
      <c r="AL31">
        <f t="shared" si="4"/>
        <v>0</v>
      </c>
    </row>
    <row r="32" spans="1:38" ht="14.6" x14ac:dyDescent="0.4">
      <c r="P32" t="s">
        <v>67</v>
      </c>
      <c r="Q32" s="18">
        <f t="shared" si="5"/>
        <v>8.3333333333333329E-2</v>
      </c>
      <c r="R32" s="19">
        <f t="shared" si="6"/>
        <v>0.13636363636363635</v>
      </c>
      <c r="S32" s="19">
        <f t="shared" si="7"/>
        <v>4.1666666666666623E-2</v>
      </c>
      <c r="T32" s="19">
        <f t="shared" si="8"/>
        <v>0.25806451612903242</v>
      </c>
      <c r="U32" s="20">
        <f t="shared" si="9"/>
        <v>0.33333333333333331</v>
      </c>
      <c r="V32" s="20">
        <f t="shared" si="10"/>
        <v>0.33333333333333331</v>
      </c>
      <c r="X32" t="s">
        <v>68</v>
      </c>
      <c r="Y32">
        <v>0.43857214000516398</v>
      </c>
      <c r="Z32">
        <v>0.4459834407999903</v>
      </c>
      <c r="AA32">
        <v>0.42342672955376998</v>
      </c>
      <c r="AB32">
        <v>0.49878501713350942</v>
      </c>
      <c r="AC32">
        <v>0.66666666666666696</v>
      </c>
      <c r="AD32">
        <v>0.66666666666666696</v>
      </c>
      <c r="AF32" t="s">
        <v>68</v>
      </c>
      <c r="AG32">
        <f t="shared" si="4"/>
        <v>9.9258786498936491E-2</v>
      </c>
      <c r="AH32">
        <f t="shared" si="4"/>
        <v>9.6030451724154975E-2</v>
      </c>
      <c r="AI32">
        <f t="shared" si="4"/>
        <v>0.10606022934809023</v>
      </c>
      <c r="AJ32">
        <f t="shared" si="4"/>
        <v>7.291634428197391E-2</v>
      </c>
      <c r="AK32">
        <f t="shared" si="4"/>
        <v>0</v>
      </c>
      <c r="AL32">
        <f t="shared" si="4"/>
        <v>0</v>
      </c>
    </row>
    <row r="33" spans="16:30" ht="14.6" x14ac:dyDescent="0.4">
      <c r="P33" t="s">
        <v>68</v>
      </c>
      <c r="Q33" s="18">
        <f t="shared" si="5"/>
        <v>8.3333333333333329E-2</v>
      </c>
      <c r="R33" s="19">
        <f t="shared" si="6"/>
        <v>4.5454545454545449E-2</v>
      </c>
      <c r="S33" s="19">
        <f t="shared" si="7"/>
        <v>8.333333333333337E-2</v>
      </c>
      <c r="T33" s="19">
        <f t="shared" si="8"/>
        <v>0.12903225806451601</v>
      </c>
      <c r="U33" s="20">
        <f t="shared" si="9"/>
        <v>0.66666666666666663</v>
      </c>
      <c r="V33" s="20">
        <f t="shared" si="10"/>
        <v>0.66666666666666663</v>
      </c>
    </row>
    <row r="34" spans="16:30" ht="14.6" x14ac:dyDescent="0.4">
      <c r="X34" t="s">
        <v>94</v>
      </c>
    </row>
    <row r="35" spans="16:30" ht="14.6" x14ac:dyDescent="0.4"/>
    <row r="36" spans="16:30" ht="14.6" x14ac:dyDescent="0.4">
      <c r="X36" t="s">
        <v>95</v>
      </c>
      <c r="Y36" t="s">
        <v>65</v>
      </c>
      <c r="Z36" t="s">
        <v>66</v>
      </c>
      <c r="AA36" t="s">
        <v>71</v>
      </c>
      <c r="AB36" t="s">
        <v>72</v>
      </c>
      <c r="AC36" t="s">
        <v>67</v>
      </c>
      <c r="AD36" t="s">
        <v>68</v>
      </c>
    </row>
    <row r="37" spans="16:30" ht="14.6" x14ac:dyDescent="0.4">
      <c r="X37" t="s">
        <v>65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6:30" ht="14.6" x14ac:dyDescent="0.4">
      <c r="X38" t="s">
        <v>66</v>
      </c>
      <c r="Y38">
        <v>1.5861635290363599E-5</v>
      </c>
      <c r="Z38">
        <v>1.5346930874833401E-5</v>
      </c>
      <c r="AA38">
        <v>1.6914307335866101E-5</v>
      </c>
      <c r="AB38">
        <v>1.16742608123794E-5</v>
      </c>
      <c r="AC38">
        <v>0</v>
      </c>
      <c r="AD38">
        <v>0</v>
      </c>
    </row>
    <row r="39" spans="16:30" ht="14.6" x14ac:dyDescent="0.4">
      <c r="X39" t="s">
        <v>71</v>
      </c>
      <c r="Y39">
        <v>9.9678191672824493E-6</v>
      </c>
      <c r="Z39">
        <v>9.6443669856701203E-6</v>
      </c>
      <c r="AA39">
        <v>1.0629342673525E-5</v>
      </c>
      <c r="AB39">
        <v>7.3363760141544804E-6</v>
      </c>
      <c r="AC39">
        <v>0</v>
      </c>
      <c r="AD39">
        <v>0</v>
      </c>
    </row>
    <row r="40" spans="16:30" ht="14.6" x14ac:dyDescent="0.4">
      <c r="X40" t="s">
        <v>72</v>
      </c>
      <c r="Y40">
        <v>4.40093080289536E-5</v>
      </c>
      <c r="Z40">
        <v>4.2581221658773697E-5</v>
      </c>
      <c r="AA40">
        <v>4.6930026319086802E-5</v>
      </c>
      <c r="AB40">
        <v>3.2391120505366802E-5</v>
      </c>
      <c r="AC40">
        <v>0</v>
      </c>
      <c r="AD40">
        <v>0</v>
      </c>
    </row>
    <row r="41" spans="16:30" ht="14.6" x14ac:dyDescent="0.4">
      <c r="X41" t="s">
        <v>67</v>
      </c>
      <c r="Y41" s="21">
        <v>0.33331992593165899</v>
      </c>
      <c r="Z41">
        <v>0.33332036099706802</v>
      </c>
      <c r="AA41">
        <v>0.33331903613709002</v>
      </c>
      <c r="AB41">
        <v>0.33332346540350799</v>
      </c>
      <c r="AC41">
        <v>0.33333333333333298</v>
      </c>
      <c r="AD41">
        <v>0.33333333333333298</v>
      </c>
    </row>
    <row r="42" spans="16:30" ht="14.6" x14ac:dyDescent="0.4">
      <c r="X42" t="s">
        <v>68</v>
      </c>
      <c r="Y42" s="21">
        <v>0.66661023530585295</v>
      </c>
      <c r="Z42">
        <v>0.66661206648341198</v>
      </c>
      <c r="AA42">
        <v>0.66660649018658102</v>
      </c>
      <c r="AB42">
        <v>0.66662513283915903</v>
      </c>
      <c r="AC42">
        <v>0.66666666666666696</v>
      </c>
      <c r="AD42">
        <v>0.66666666666666696</v>
      </c>
    </row>
    <row r="43" spans="16:30" ht="14.6" x14ac:dyDescent="0.4"/>
    <row r="44" spans="16:30" ht="14.6" x14ac:dyDescent="0.4">
      <c r="X44" s="30" t="s">
        <v>96</v>
      </c>
      <c r="Y44" s="30"/>
      <c r="Z44" s="30"/>
      <c r="AA44" s="30"/>
    </row>
    <row r="45" spans="16:30" ht="14.6" x14ac:dyDescent="0.4">
      <c r="X45" t="s">
        <v>97</v>
      </c>
    </row>
    <row r="46" spans="16:30" ht="14.6" x14ac:dyDescent="0.4">
      <c r="Y46" t="s">
        <v>98</v>
      </c>
      <c r="Z46" t="s">
        <v>22</v>
      </c>
    </row>
    <row r="47" spans="16:30" ht="14.6" x14ac:dyDescent="0.4">
      <c r="X47" t="s">
        <v>67</v>
      </c>
      <c r="Y47" s="21">
        <f>Y41</f>
        <v>0.33331992593165899</v>
      </c>
      <c r="Z47">
        <f>_xlfn.RANK.EQ(Y47,$Y$47:$Y$48)</f>
        <v>2</v>
      </c>
    </row>
    <row r="48" spans="16:30" ht="14.6" x14ac:dyDescent="0.4">
      <c r="X48" t="s">
        <v>68</v>
      </c>
      <c r="Y48" s="21">
        <f>Y42</f>
        <v>0.66661023530585295</v>
      </c>
      <c r="Z48">
        <f>_xlfn.RANK.EQ(Y48,$Y$47:$Y$48)</f>
        <v>1</v>
      </c>
    </row>
    <row r="49" ht="14.6" x14ac:dyDescent="0.4"/>
    <row r="50" ht="14.6" x14ac:dyDescent="0.4"/>
    <row r="51" ht="14.6" x14ac:dyDescent="0.4"/>
    <row r="52" ht="14.6" x14ac:dyDescent="0.4"/>
    <row r="53" ht="14.6" x14ac:dyDescent="0.4"/>
    <row r="54" ht="14.6" x14ac:dyDescent="0.4"/>
    <row r="55" ht="14.6" x14ac:dyDescent="0.4"/>
    <row r="56" ht="14.6" x14ac:dyDescent="0.4"/>
    <row r="57" ht="14.6" x14ac:dyDescent="0.4"/>
    <row r="58" ht="14.6" x14ac:dyDescent="0.4"/>
    <row r="59" ht="14.6" x14ac:dyDescent="0.4"/>
    <row r="60" ht="14.6" x14ac:dyDescent="0.4"/>
    <row r="61" ht="14.6" x14ac:dyDescent="0.4"/>
    <row r="62" ht="14.6" x14ac:dyDescent="0.4"/>
    <row r="63" ht="14.6" x14ac:dyDescent="0.4"/>
    <row r="64" ht="14.6" x14ac:dyDescent="0.4"/>
    <row r="65" ht="14.6" x14ac:dyDescent="0.4"/>
    <row r="66" ht="14.6" x14ac:dyDescent="0.4"/>
    <row r="67" ht="14.6" x14ac:dyDescent="0.4"/>
    <row r="68" ht="14.6" x14ac:dyDescent="0.4"/>
    <row r="69" ht="14.6" x14ac:dyDescent="0.4"/>
    <row r="70" ht="14.6" x14ac:dyDescent="0.4"/>
    <row r="71" ht="14.6" x14ac:dyDescent="0.4"/>
    <row r="72" ht="14.6" x14ac:dyDescent="0.4"/>
    <row r="73" ht="14.6" x14ac:dyDescent="0.4"/>
    <row r="74" ht="14.6" x14ac:dyDescent="0.4"/>
    <row r="75" ht="14.6" x14ac:dyDescent="0.4"/>
    <row r="76" ht="14.6" x14ac:dyDescent="0.4"/>
    <row r="77" ht="14.6" x14ac:dyDescent="0.4"/>
    <row r="78" ht="14.6" x14ac:dyDescent="0.4"/>
    <row r="79" ht="14.6" x14ac:dyDescent="0.4"/>
    <row r="80" ht="14.6" x14ac:dyDescent="0.4"/>
    <row r="81" ht="14.6" x14ac:dyDescent="0.4"/>
    <row r="82" ht="14.6" x14ac:dyDescent="0.4"/>
    <row r="83" ht="14.6" x14ac:dyDescent="0.4"/>
    <row r="84" ht="14.6" x14ac:dyDescent="0.4"/>
    <row r="85" ht="14.6" x14ac:dyDescent="0.4"/>
    <row r="86" ht="14.6" x14ac:dyDescent="0.4"/>
    <row r="87" ht="14.6" x14ac:dyDescent="0.4"/>
    <row r="88" ht="14.6" x14ac:dyDescent="0.4"/>
    <row r="89" ht="14.6" x14ac:dyDescent="0.4"/>
    <row r="90" ht="14.6" x14ac:dyDescent="0.4"/>
    <row r="91" ht="14.6" x14ac:dyDescent="0.4"/>
    <row r="92" ht="14.6" x14ac:dyDescent="0.4"/>
    <row r="93" ht="14.6" x14ac:dyDescent="0.4"/>
    <row r="94" ht="14.6" x14ac:dyDescent="0.4"/>
    <row r="95" ht="14.6" x14ac:dyDescent="0.4"/>
    <row r="96" ht="14.6" x14ac:dyDescent="0.4"/>
    <row r="97" ht="14.6" x14ac:dyDescent="0.4"/>
    <row r="98" ht="14.6" x14ac:dyDescent="0.4"/>
    <row r="99" ht="14.6" x14ac:dyDescent="0.4"/>
    <row r="100" ht="14.6" x14ac:dyDescent="0.4"/>
    <row r="101" ht="14.6" x14ac:dyDescent="0.4"/>
    <row r="102" ht="14.6" x14ac:dyDescent="0.4"/>
    <row r="103" ht="14.6" x14ac:dyDescent="0.4"/>
    <row r="104" ht="14.6" x14ac:dyDescent="0.4"/>
    <row r="105" ht="14.6" x14ac:dyDescent="0.4"/>
    <row r="106" ht="14.6" x14ac:dyDescent="0.4"/>
    <row r="107" ht="14.6" x14ac:dyDescent="0.4"/>
    <row r="108" ht="14.6" x14ac:dyDescent="0.4"/>
    <row r="109" ht="14.6" x14ac:dyDescent="0.4"/>
    <row r="110" ht="14.6" x14ac:dyDescent="0.4"/>
    <row r="111" ht="14.6" x14ac:dyDescent="0.4"/>
    <row r="112" ht="14.6" x14ac:dyDescent="0.4"/>
    <row r="113" ht="14.6" x14ac:dyDescent="0.4"/>
    <row r="114" ht="14.6" x14ac:dyDescent="0.4"/>
    <row r="115" ht="14.6" x14ac:dyDescent="0.4"/>
    <row r="116" ht="14.6" x14ac:dyDescent="0.4"/>
    <row r="117" ht="14.6" x14ac:dyDescent="0.4"/>
    <row r="118" ht="14.6" x14ac:dyDescent="0.4"/>
    <row r="119" ht="14.6" x14ac:dyDescent="0.4"/>
    <row r="120" ht="14.6" x14ac:dyDescent="0.4"/>
    <row r="121" ht="14.6" x14ac:dyDescent="0.4"/>
    <row r="122" ht="14.6" x14ac:dyDescent="0.4"/>
    <row r="123" ht="14.6" x14ac:dyDescent="0.4"/>
    <row r="124" ht="14.6" x14ac:dyDescent="0.4"/>
    <row r="125" ht="14.6" x14ac:dyDescent="0.4"/>
    <row r="126" ht="14.6" x14ac:dyDescent="0.4"/>
    <row r="127" ht="14.6" x14ac:dyDescent="0.4"/>
    <row r="128" ht="14.6" x14ac:dyDescent="0.4"/>
    <row r="129" ht="14.6" x14ac:dyDescent="0.4"/>
    <row r="130" ht="14.6" x14ac:dyDescent="0.4"/>
    <row r="131" ht="14.6" x14ac:dyDescent="0.4"/>
    <row r="132" ht="14.6" x14ac:dyDescent="0.4"/>
    <row r="133" ht="14.6" x14ac:dyDescent="0.4"/>
    <row r="134" ht="14.6" x14ac:dyDescent="0.4"/>
    <row r="135" ht="14.6" x14ac:dyDescent="0.4"/>
    <row r="136" ht="14.6" x14ac:dyDescent="0.4"/>
    <row r="137" ht="14.6" x14ac:dyDescent="0.4"/>
    <row r="138" ht="14.6" x14ac:dyDescent="0.4"/>
    <row r="139" ht="14.6" x14ac:dyDescent="0.4"/>
    <row r="140" ht="14.6" x14ac:dyDescent="0.4"/>
    <row r="141" ht="14.6" x14ac:dyDescent="0.4"/>
    <row r="142" ht="14.6" x14ac:dyDescent="0.4"/>
    <row r="143" ht="14.6" x14ac:dyDescent="0.4"/>
    <row r="144" ht="14.6" x14ac:dyDescent="0.4"/>
    <row r="145" ht="14.6" x14ac:dyDescent="0.4"/>
    <row r="146" ht="14.6" x14ac:dyDescent="0.4"/>
    <row r="147" ht="14.6" x14ac:dyDescent="0.4"/>
    <row r="148" ht="14.6" x14ac:dyDescent="0.4"/>
    <row r="149" ht="14.6" x14ac:dyDescent="0.4"/>
    <row r="150" ht="14.6" x14ac:dyDescent="0.4"/>
    <row r="151" ht="14.6" x14ac:dyDescent="0.4"/>
    <row r="152" ht="14.6" x14ac:dyDescent="0.4"/>
    <row r="153" ht="14.6" x14ac:dyDescent="0.4"/>
    <row r="154" ht="14.6" x14ac:dyDescent="0.4"/>
    <row r="155" ht="14.6" x14ac:dyDescent="0.4"/>
    <row r="156" ht="14.6" x14ac:dyDescent="0.4"/>
    <row r="157" ht="14.6" x14ac:dyDescent="0.4"/>
    <row r="158" ht="14.6" x14ac:dyDescent="0.4"/>
    <row r="159" ht="14.6" x14ac:dyDescent="0.4"/>
    <row r="160" ht="14.6" x14ac:dyDescent="0.4"/>
    <row r="161" ht="14.6" x14ac:dyDescent="0.4"/>
    <row r="162" ht="14.6" x14ac:dyDescent="0.4"/>
    <row r="163" ht="14.6" x14ac:dyDescent="0.4"/>
    <row r="164" ht="14.6" x14ac:dyDescent="0.4"/>
    <row r="165" ht="14.6" x14ac:dyDescent="0.4"/>
    <row r="166" ht="14.6" x14ac:dyDescent="0.4"/>
    <row r="167" ht="14.6" x14ac:dyDescent="0.4"/>
    <row r="168" ht="14.6" x14ac:dyDescent="0.4"/>
    <row r="169" ht="14.6" x14ac:dyDescent="0.4"/>
    <row r="170" ht="14.6" x14ac:dyDescent="0.4"/>
    <row r="171" ht="14.6" x14ac:dyDescent="0.4"/>
    <row r="172" ht="14.6" x14ac:dyDescent="0.4"/>
    <row r="173" ht="14.6" x14ac:dyDescent="0.4"/>
    <row r="174" ht="14.6" x14ac:dyDescent="0.4"/>
    <row r="175" ht="14.6" x14ac:dyDescent="0.4"/>
    <row r="176" ht="14.6" x14ac:dyDescent="0.4"/>
    <row r="177" ht="14.6" x14ac:dyDescent="0.4"/>
    <row r="178" ht="14.6" x14ac:dyDescent="0.4"/>
    <row r="179" ht="14.6" x14ac:dyDescent="0.4"/>
    <row r="180" ht="14.6" x14ac:dyDescent="0.4"/>
    <row r="181" ht="14.6" x14ac:dyDescent="0.4"/>
    <row r="182" ht="14.6" x14ac:dyDescent="0.4"/>
    <row r="183" ht="14.6" x14ac:dyDescent="0.4"/>
    <row r="184" ht="14.6" x14ac:dyDescent="0.4"/>
    <row r="185" ht="14.6" x14ac:dyDescent="0.4"/>
    <row r="186" ht="14.6" x14ac:dyDescent="0.4"/>
    <row r="187" ht="14.6" x14ac:dyDescent="0.4"/>
    <row r="188" ht="14.6" x14ac:dyDescent="0.4"/>
    <row r="189" ht="14.6" x14ac:dyDescent="0.4"/>
    <row r="190" ht="14.6" x14ac:dyDescent="0.4"/>
    <row r="191" ht="14.6" x14ac:dyDescent="0.4"/>
    <row r="192" ht="14.6" x14ac:dyDescent="0.4"/>
    <row r="193" ht="14.6" x14ac:dyDescent="0.4"/>
    <row r="194" ht="14.6" x14ac:dyDescent="0.4"/>
    <row r="195" ht="14.6" x14ac:dyDescent="0.4"/>
    <row r="196" ht="14.6" x14ac:dyDescent="0.4"/>
    <row r="197" ht="14.6" x14ac:dyDescent="0.4"/>
    <row r="198" ht="14.6" x14ac:dyDescent="0.4"/>
    <row r="199" ht="14.6" x14ac:dyDescent="0.4"/>
    <row r="200" ht="14.6" x14ac:dyDescent="0.4"/>
    <row r="201" ht="14.6" x14ac:dyDescent="0.4"/>
    <row r="202" ht="14.6" x14ac:dyDescent="0.4"/>
    <row r="203" ht="14.6" x14ac:dyDescent="0.4"/>
    <row r="204" ht="14.6" x14ac:dyDescent="0.4"/>
    <row r="205" ht="14.6" x14ac:dyDescent="0.4"/>
    <row r="206" ht="14.6" x14ac:dyDescent="0.4"/>
    <row r="207" ht="16.2" customHeight="1" x14ac:dyDescent="0.4"/>
    <row r="208" ht="14.6" x14ac:dyDescent="0.4"/>
    <row r="209" ht="14.6" x14ac:dyDescent="0.4"/>
    <row r="210" ht="14.6" x14ac:dyDescent="0.4"/>
    <row r="211" ht="14.6" x14ac:dyDescent="0.4"/>
    <row r="212" ht="14.6" x14ac:dyDescent="0.4"/>
    <row r="213" ht="14.6" x14ac:dyDescent="0.4"/>
    <row r="214" ht="14.6" x14ac:dyDescent="0.4"/>
    <row r="215" ht="14.6" x14ac:dyDescent="0.4"/>
    <row r="216" ht="14.6" x14ac:dyDescent="0.4"/>
  </sheetData>
  <mergeCells count="17">
    <mergeCell ref="F24:F25"/>
    <mergeCell ref="X44:AA44"/>
    <mergeCell ref="F17:I17"/>
    <mergeCell ref="K17:N17"/>
    <mergeCell ref="A19:D19"/>
    <mergeCell ref="F20:F21"/>
    <mergeCell ref="F22:F23"/>
    <mergeCell ref="A6:D6"/>
    <mergeCell ref="K6:N6"/>
    <mergeCell ref="K10:N10"/>
    <mergeCell ref="A12:D12"/>
    <mergeCell ref="P16:S16"/>
    <mergeCell ref="A1:D1"/>
    <mergeCell ref="F1:I1"/>
    <mergeCell ref="K1:N1"/>
    <mergeCell ref="P1:S1"/>
    <mergeCell ref="X1:AA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9CA89-FCAC-4A20-B593-18B9A6B2E6BE}">
  <dimension ref="A1:G163"/>
  <sheetViews>
    <sheetView topLeftCell="A10" zoomScale="190" zoomScaleNormal="190" workbookViewId="0">
      <selection activeCell="B30" sqref="B30"/>
    </sheetView>
  </sheetViews>
  <sheetFormatPr defaultRowHeight="14.6" x14ac:dyDescent="0.4"/>
  <cols>
    <col min="1" max="1" width="15.53515625" bestFit="1" customWidth="1"/>
    <col min="2" max="2" width="23.84375" bestFit="1" customWidth="1"/>
    <col min="3" max="3" width="21.765625" bestFit="1" customWidth="1"/>
    <col min="4" max="4" width="23.3046875" bestFit="1" customWidth="1"/>
    <col min="5" max="5" width="23.23046875" bestFit="1" customWidth="1"/>
  </cols>
  <sheetData>
    <row r="1" spans="1:5" x14ac:dyDescent="0.4">
      <c r="A1" t="s">
        <v>114</v>
      </c>
    </row>
    <row r="2" spans="1:5" x14ac:dyDescent="0.4">
      <c r="A2" s="5" t="s">
        <v>103</v>
      </c>
      <c r="B2" s="5" t="s">
        <v>99</v>
      </c>
      <c r="C2" s="5" t="s">
        <v>100</v>
      </c>
      <c r="D2" s="5" t="s">
        <v>101</v>
      </c>
      <c r="E2" s="5" t="s">
        <v>102</v>
      </c>
    </row>
    <row r="3" spans="1:5" x14ac:dyDescent="0.4">
      <c r="A3" s="5" t="s">
        <v>104</v>
      </c>
      <c r="B3" s="5">
        <f>45.2</f>
        <v>45.2</v>
      </c>
      <c r="C3" s="5">
        <v>25.5</v>
      </c>
      <c r="D3" s="5">
        <v>9.1999999999999993</v>
      </c>
      <c r="E3" s="5">
        <v>850</v>
      </c>
    </row>
    <row r="4" spans="1:5" x14ac:dyDescent="0.4">
      <c r="A4" s="5" t="s">
        <v>105</v>
      </c>
      <c r="B4" s="5">
        <v>28.5</v>
      </c>
      <c r="C4" s="5">
        <v>8.1999999999999993</v>
      </c>
      <c r="D4" s="5">
        <v>8.5</v>
      </c>
      <c r="E4" s="5">
        <v>420</v>
      </c>
    </row>
    <row r="5" spans="1:5" x14ac:dyDescent="0.4">
      <c r="A5" s="5" t="s">
        <v>106</v>
      </c>
      <c r="B5" s="5">
        <v>32.1</v>
      </c>
      <c r="C5" s="5">
        <v>4.8</v>
      </c>
      <c r="D5" s="5">
        <v>7.8</v>
      </c>
      <c r="E5" s="5">
        <v>280</v>
      </c>
    </row>
    <row r="6" spans="1:5" x14ac:dyDescent="0.4">
      <c r="A6" s="5" t="s">
        <v>107</v>
      </c>
      <c r="B6" s="5">
        <v>24.3</v>
      </c>
      <c r="C6" s="5">
        <v>2.1</v>
      </c>
      <c r="D6" s="5">
        <v>7.2</v>
      </c>
      <c r="E6" s="5">
        <v>180</v>
      </c>
    </row>
    <row r="7" spans="1:5" x14ac:dyDescent="0.4">
      <c r="A7" s="5" t="s">
        <v>108</v>
      </c>
      <c r="B7" s="5">
        <v>26.8</v>
      </c>
      <c r="C7" s="5">
        <v>1.8</v>
      </c>
      <c r="D7" s="5">
        <v>6.8</v>
      </c>
      <c r="E7" s="5">
        <v>160</v>
      </c>
    </row>
    <row r="8" spans="1:5" x14ac:dyDescent="0.4">
      <c r="A8" s="5" t="s">
        <v>109</v>
      </c>
      <c r="B8" s="5">
        <v>22.9</v>
      </c>
      <c r="C8" s="5">
        <v>1.5</v>
      </c>
      <c r="D8" s="5">
        <v>6.5</v>
      </c>
      <c r="E8" s="5">
        <v>140</v>
      </c>
    </row>
    <row r="9" spans="1:5" x14ac:dyDescent="0.4">
      <c r="A9" s="5" t="s">
        <v>110</v>
      </c>
      <c r="B9" s="5">
        <v>30.4</v>
      </c>
      <c r="C9" s="5">
        <v>1.2</v>
      </c>
      <c r="D9" s="5">
        <v>6.2</v>
      </c>
      <c r="E9" s="5">
        <v>120</v>
      </c>
    </row>
    <row r="10" spans="1:5" x14ac:dyDescent="0.4">
      <c r="A10" s="5" t="s">
        <v>111</v>
      </c>
      <c r="B10" s="5">
        <v>35.700000000000003</v>
      </c>
      <c r="C10" s="5">
        <v>0.8</v>
      </c>
      <c r="D10" s="5">
        <v>5.8</v>
      </c>
      <c r="E10" s="5">
        <v>95</v>
      </c>
    </row>
    <row r="11" spans="1:5" x14ac:dyDescent="0.4">
      <c r="A11" s="5" t="s">
        <v>112</v>
      </c>
      <c r="B11" s="5">
        <v>38.6</v>
      </c>
      <c r="C11" s="5">
        <v>1.1000000000000001</v>
      </c>
      <c r="D11" s="5">
        <v>6.9</v>
      </c>
      <c r="E11" s="5">
        <v>110</v>
      </c>
    </row>
    <row r="12" spans="1:5" x14ac:dyDescent="0.4">
      <c r="A12" s="5" t="s">
        <v>113</v>
      </c>
      <c r="B12" s="5">
        <v>41.2</v>
      </c>
      <c r="C12" s="5">
        <v>1.4</v>
      </c>
      <c r="D12" s="5">
        <v>5.5</v>
      </c>
      <c r="E12" s="5">
        <v>125</v>
      </c>
    </row>
    <row r="14" spans="1:5" x14ac:dyDescent="0.4">
      <c r="A14" t="s">
        <v>115</v>
      </c>
    </row>
    <row r="15" spans="1:5" x14ac:dyDescent="0.4">
      <c r="A15" t="s">
        <v>116</v>
      </c>
    </row>
    <row r="16" spans="1:5" x14ac:dyDescent="0.4">
      <c r="A16" s="5" t="s">
        <v>103</v>
      </c>
      <c r="B16" s="5" t="s">
        <v>99</v>
      </c>
      <c r="C16" s="5" t="s">
        <v>100</v>
      </c>
      <c r="D16" s="5" t="s">
        <v>101</v>
      </c>
      <c r="E16" s="5" t="s">
        <v>102</v>
      </c>
    </row>
    <row r="17" spans="1:5" x14ac:dyDescent="0.4">
      <c r="A17" s="5" t="s">
        <v>104</v>
      </c>
      <c r="B17" s="5">
        <f>B3^2</f>
        <v>2043.0400000000002</v>
      </c>
      <c r="C17" s="5">
        <f t="shared" ref="C17:E17" si="0">C3^2</f>
        <v>650.25</v>
      </c>
      <c r="D17" s="5">
        <f t="shared" si="0"/>
        <v>84.639999999999986</v>
      </c>
      <c r="E17" s="5">
        <f t="shared" si="0"/>
        <v>722500</v>
      </c>
    </row>
    <row r="18" spans="1:5" x14ac:dyDescent="0.4">
      <c r="A18" s="5" t="s">
        <v>105</v>
      </c>
      <c r="B18" s="5">
        <f t="shared" ref="B18:E18" si="1">B4^2</f>
        <v>812.25</v>
      </c>
      <c r="C18" s="5">
        <f t="shared" si="1"/>
        <v>67.239999999999995</v>
      </c>
      <c r="D18" s="5">
        <f t="shared" si="1"/>
        <v>72.25</v>
      </c>
      <c r="E18" s="5">
        <f t="shared" si="1"/>
        <v>176400</v>
      </c>
    </row>
    <row r="19" spans="1:5" x14ac:dyDescent="0.4">
      <c r="A19" s="5" t="s">
        <v>106</v>
      </c>
      <c r="B19" s="5">
        <f t="shared" ref="B19:E19" si="2">B5^2</f>
        <v>1030.4100000000001</v>
      </c>
      <c r="C19" s="5">
        <f t="shared" si="2"/>
        <v>23.04</v>
      </c>
      <c r="D19" s="5">
        <f t="shared" si="2"/>
        <v>60.839999999999996</v>
      </c>
      <c r="E19" s="5">
        <f t="shared" si="2"/>
        <v>78400</v>
      </c>
    </row>
    <row r="20" spans="1:5" x14ac:dyDescent="0.4">
      <c r="A20" s="5" t="s">
        <v>107</v>
      </c>
      <c r="B20" s="5">
        <f t="shared" ref="B20:E20" si="3">B6^2</f>
        <v>590.49</v>
      </c>
      <c r="C20" s="5">
        <f t="shared" si="3"/>
        <v>4.41</v>
      </c>
      <c r="D20" s="5">
        <f t="shared" si="3"/>
        <v>51.84</v>
      </c>
      <c r="E20" s="5">
        <f t="shared" si="3"/>
        <v>32400</v>
      </c>
    </row>
    <row r="21" spans="1:5" x14ac:dyDescent="0.4">
      <c r="A21" s="5" t="s">
        <v>108</v>
      </c>
      <c r="B21" s="5">
        <f t="shared" ref="B21:E21" si="4">B7^2</f>
        <v>718.24</v>
      </c>
      <c r="C21" s="5">
        <f t="shared" si="4"/>
        <v>3.24</v>
      </c>
      <c r="D21" s="5">
        <f t="shared" si="4"/>
        <v>46.239999999999995</v>
      </c>
      <c r="E21" s="5">
        <f t="shared" si="4"/>
        <v>25600</v>
      </c>
    </row>
    <row r="22" spans="1:5" x14ac:dyDescent="0.4">
      <c r="A22" s="5" t="s">
        <v>109</v>
      </c>
      <c r="B22" s="5">
        <f t="shared" ref="B22:E22" si="5">B8^2</f>
        <v>524.41</v>
      </c>
      <c r="C22" s="5">
        <f t="shared" si="5"/>
        <v>2.25</v>
      </c>
      <c r="D22" s="5">
        <f t="shared" si="5"/>
        <v>42.25</v>
      </c>
      <c r="E22" s="5">
        <f t="shared" si="5"/>
        <v>19600</v>
      </c>
    </row>
    <row r="23" spans="1:5" x14ac:dyDescent="0.4">
      <c r="A23" s="5" t="s">
        <v>110</v>
      </c>
      <c r="B23" s="5">
        <f t="shared" ref="B23:E23" si="6">B9^2</f>
        <v>924.16</v>
      </c>
      <c r="C23" s="5">
        <f t="shared" si="6"/>
        <v>1.44</v>
      </c>
      <c r="D23" s="5">
        <f t="shared" si="6"/>
        <v>38.440000000000005</v>
      </c>
      <c r="E23" s="5">
        <f t="shared" si="6"/>
        <v>14400</v>
      </c>
    </row>
    <row r="24" spans="1:5" x14ac:dyDescent="0.4">
      <c r="A24" s="5" t="s">
        <v>111</v>
      </c>
      <c r="B24" s="5">
        <f t="shared" ref="B24:E24" si="7">B10^2</f>
        <v>1274.4900000000002</v>
      </c>
      <c r="C24" s="5">
        <f t="shared" si="7"/>
        <v>0.64000000000000012</v>
      </c>
      <c r="D24" s="5">
        <f t="shared" si="7"/>
        <v>33.64</v>
      </c>
      <c r="E24" s="5">
        <f t="shared" si="7"/>
        <v>9025</v>
      </c>
    </row>
    <row r="25" spans="1:5" x14ac:dyDescent="0.4">
      <c r="A25" s="5" t="s">
        <v>112</v>
      </c>
      <c r="B25" s="5">
        <f t="shared" ref="B25:E25" si="8">B11^2</f>
        <v>1489.96</v>
      </c>
      <c r="C25" s="5">
        <f t="shared" si="8"/>
        <v>1.2100000000000002</v>
      </c>
      <c r="D25" s="5">
        <f t="shared" si="8"/>
        <v>47.610000000000007</v>
      </c>
      <c r="E25" s="5">
        <f t="shared" si="8"/>
        <v>12100</v>
      </c>
    </row>
    <row r="26" spans="1:5" x14ac:dyDescent="0.4">
      <c r="A26" s="5" t="s">
        <v>113</v>
      </c>
      <c r="B26" s="5">
        <f t="shared" ref="B26:E26" si="9">B12^2</f>
        <v>1697.4400000000003</v>
      </c>
      <c r="C26" s="5">
        <f t="shared" si="9"/>
        <v>1.9599999999999997</v>
      </c>
      <c r="D26" s="5">
        <f t="shared" si="9"/>
        <v>30.25</v>
      </c>
      <c r="E26" s="5">
        <f t="shared" si="9"/>
        <v>15625</v>
      </c>
    </row>
    <row r="28" spans="1:5" x14ac:dyDescent="0.4">
      <c r="A28" t="s">
        <v>117</v>
      </c>
    </row>
    <row r="29" spans="1:5" x14ac:dyDescent="0.4">
      <c r="B29" s="5" t="s">
        <v>99</v>
      </c>
      <c r="C29" s="5" t="s">
        <v>100</v>
      </c>
      <c r="D29" s="5" t="s">
        <v>101</v>
      </c>
      <c r="E29" s="5" t="s">
        <v>102</v>
      </c>
    </row>
    <row r="30" spans="1:5" x14ac:dyDescent="0.4">
      <c r="B30">
        <f>SUM(B17:B26)</f>
        <v>11104.890000000001</v>
      </c>
      <c r="C30">
        <f t="shared" ref="C30:E30" si="10">SUM(C17:C26)</f>
        <v>755.68000000000006</v>
      </c>
      <c r="D30">
        <f t="shared" si="10"/>
        <v>508</v>
      </c>
      <c r="E30">
        <f t="shared" si="10"/>
        <v>1106050</v>
      </c>
    </row>
    <row r="32" spans="1:5" x14ac:dyDescent="0.4">
      <c r="A32" t="s">
        <v>118</v>
      </c>
    </row>
    <row r="33" spans="1:5" x14ac:dyDescent="0.4">
      <c r="B33" s="5" t="s">
        <v>99</v>
      </c>
      <c r="C33" s="5" t="s">
        <v>100</v>
      </c>
      <c r="D33" s="5" t="s">
        <v>101</v>
      </c>
      <c r="E33" s="5" t="s">
        <v>102</v>
      </c>
    </row>
    <row r="34" spans="1:5" x14ac:dyDescent="0.4">
      <c r="B34">
        <f>SQRT(B30)</f>
        <v>105.37974188618988</v>
      </c>
      <c r="C34">
        <f t="shared" ref="C34:E34" si="11">SQRT(C30)</f>
        <v>27.489634410082651</v>
      </c>
      <c r="D34">
        <f t="shared" si="11"/>
        <v>22.538855339169288</v>
      </c>
      <c r="E34">
        <f t="shared" si="11"/>
        <v>1051.68911756279</v>
      </c>
    </row>
    <row r="35" spans="1:5" x14ac:dyDescent="0.4">
      <c r="A35" t="s">
        <v>119</v>
      </c>
    </row>
    <row r="36" spans="1:5" x14ac:dyDescent="0.4">
      <c r="A36" s="5" t="s">
        <v>103</v>
      </c>
      <c r="B36" s="5" t="s">
        <v>99</v>
      </c>
      <c r="C36" s="5" t="s">
        <v>100</v>
      </c>
      <c r="D36" s="5" t="s">
        <v>101</v>
      </c>
      <c r="E36" s="5" t="s">
        <v>102</v>
      </c>
    </row>
    <row r="37" spans="1:5" x14ac:dyDescent="0.4">
      <c r="A37" s="5" t="s">
        <v>104</v>
      </c>
      <c r="B37" s="5">
        <f>B3/$B$34</f>
        <v>0.42892494506976497</v>
      </c>
      <c r="C37" s="5">
        <f>C3/$C$34</f>
        <v>0.92762237647828116</v>
      </c>
      <c r="D37" s="5">
        <f>D3/$D$34</f>
        <v>0.40818399433141234</v>
      </c>
      <c r="E37" s="5">
        <f>E3/$E$34</f>
        <v>0.80822363358652105</v>
      </c>
    </row>
    <row r="38" spans="1:5" x14ac:dyDescent="0.4">
      <c r="A38" s="5" t="s">
        <v>105</v>
      </c>
      <c r="B38" s="5">
        <f t="shared" ref="B38:B46" si="12">B4/$B$34</f>
        <v>0.27045046315239601</v>
      </c>
      <c r="C38" s="5">
        <f t="shared" ref="C38:C46" si="13">C4/$C$34</f>
        <v>0.29829425439693741</v>
      </c>
      <c r="D38" s="5">
        <f t="shared" ref="D38:D46" si="14">D4/$D$34</f>
        <v>0.37712651650184836</v>
      </c>
      <c r="E38" s="5">
        <f t="shared" ref="E38:E46" si="15">E4/$E$34</f>
        <v>0.39935756012510448</v>
      </c>
    </row>
    <row r="39" spans="1:5" x14ac:dyDescent="0.4">
      <c r="A39" s="5" t="s">
        <v>106</v>
      </c>
      <c r="B39" s="5">
        <f t="shared" si="12"/>
        <v>0.30461262691901447</v>
      </c>
      <c r="C39" s="5">
        <f t="shared" si="13"/>
        <v>0.17461127086649997</v>
      </c>
      <c r="D39" s="5">
        <f t="shared" si="14"/>
        <v>0.34606903867228439</v>
      </c>
      <c r="E39" s="5">
        <f t="shared" si="15"/>
        <v>0.26623837341673634</v>
      </c>
    </row>
    <row r="40" spans="1:5" x14ac:dyDescent="0.4">
      <c r="A40" s="5" t="s">
        <v>107</v>
      </c>
      <c r="B40" s="5">
        <f t="shared" si="12"/>
        <v>0.23059460542467453</v>
      </c>
      <c r="C40" s="5">
        <f t="shared" si="13"/>
        <v>7.6392431004093736E-2</v>
      </c>
      <c r="D40" s="5">
        <f t="shared" si="14"/>
        <v>0.31944834338980099</v>
      </c>
      <c r="E40" s="5">
        <f t="shared" si="15"/>
        <v>0.17115324005361621</v>
      </c>
    </row>
    <row r="41" spans="1:5" x14ac:dyDescent="0.4">
      <c r="A41" s="5" t="s">
        <v>108</v>
      </c>
      <c r="B41" s="5">
        <f t="shared" si="12"/>
        <v>0.25431833026260398</v>
      </c>
      <c r="C41" s="5">
        <f t="shared" si="13"/>
        <v>6.5479226574937488E-2</v>
      </c>
      <c r="D41" s="5">
        <f t="shared" si="14"/>
        <v>0.30170121320147869</v>
      </c>
      <c r="E41" s="5">
        <f t="shared" si="15"/>
        <v>0.1521362133809922</v>
      </c>
    </row>
    <row r="42" spans="1:5" x14ac:dyDescent="0.4">
      <c r="A42" s="5" t="s">
        <v>109</v>
      </c>
      <c r="B42" s="5">
        <f t="shared" si="12"/>
        <v>0.217309319515434</v>
      </c>
      <c r="C42" s="5">
        <f t="shared" si="13"/>
        <v>5.456602214578124E-2</v>
      </c>
      <c r="D42" s="5">
        <f t="shared" si="14"/>
        <v>0.28839086556023702</v>
      </c>
      <c r="E42" s="5">
        <f t="shared" si="15"/>
        <v>0.13311918670836817</v>
      </c>
    </row>
    <row r="43" spans="1:5" x14ac:dyDescent="0.4">
      <c r="A43" s="5" t="s">
        <v>110</v>
      </c>
      <c r="B43" s="5">
        <f t="shared" si="12"/>
        <v>0.28848049402922243</v>
      </c>
      <c r="C43" s="5">
        <f t="shared" si="13"/>
        <v>4.3652817716624992E-2</v>
      </c>
      <c r="D43" s="5">
        <f t="shared" si="14"/>
        <v>0.27508051791899529</v>
      </c>
      <c r="E43" s="5">
        <f t="shared" si="15"/>
        <v>0.11410216003574414</v>
      </c>
    </row>
    <row r="44" spans="1:5" x14ac:dyDescent="0.4">
      <c r="A44" s="5" t="s">
        <v>111</v>
      </c>
      <c r="B44" s="5">
        <f t="shared" si="12"/>
        <v>0.33877479068563293</v>
      </c>
      <c r="C44" s="5">
        <f t="shared" si="13"/>
        <v>2.9101878477749997E-2</v>
      </c>
      <c r="D44" s="5">
        <f t="shared" si="14"/>
        <v>0.25733338773067299</v>
      </c>
      <c r="E44" s="5">
        <f t="shared" si="15"/>
        <v>9.0330876694964118E-2</v>
      </c>
    </row>
    <row r="45" spans="1:5" x14ac:dyDescent="0.4">
      <c r="A45" s="5" t="s">
        <v>112</v>
      </c>
      <c r="B45" s="5">
        <f t="shared" si="12"/>
        <v>0.36629431149763114</v>
      </c>
      <c r="C45" s="5">
        <f t="shared" si="13"/>
        <v>4.0015082906906245E-2</v>
      </c>
      <c r="D45" s="5">
        <f t="shared" si="14"/>
        <v>0.30613799574855927</v>
      </c>
      <c r="E45" s="5">
        <f t="shared" si="15"/>
        <v>0.10459364669943214</v>
      </c>
    </row>
    <row r="46" spans="1:5" x14ac:dyDescent="0.4">
      <c r="A46" s="5" t="s">
        <v>113</v>
      </c>
      <c r="B46" s="5">
        <f t="shared" si="12"/>
        <v>0.39096698532907781</v>
      </c>
      <c r="C46" s="5">
        <f t="shared" si="13"/>
        <v>5.0928287336062486E-2</v>
      </c>
      <c r="D46" s="5">
        <f t="shared" si="14"/>
        <v>0.24402304008943129</v>
      </c>
      <c r="E46" s="5">
        <f t="shared" si="15"/>
        <v>0.11885641670390015</v>
      </c>
    </row>
    <row r="48" spans="1:5" x14ac:dyDescent="0.4">
      <c r="A48" t="s">
        <v>120</v>
      </c>
    </row>
    <row r="49" spans="1:7" x14ac:dyDescent="0.4">
      <c r="A49" t="s">
        <v>2</v>
      </c>
      <c r="C49" t="s">
        <v>15</v>
      </c>
      <c r="D49" t="s">
        <v>16</v>
      </c>
    </row>
    <row r="50" spans="1:7" x14ac:dyDescent="0.4">
      <c r="A50" t="s">
        <v>99</v>
      </c>
      <c r="C50" s="22">
        <v>0.35</v>
      </c>
      <c r="D50" t="s">
        <v>18</v>
      </c>
      <c r="G50" s="22"/>
    </row>
    <row r="51" spans="1:7" x14ac:dyDescent="0.4">
      <c r="A51" t="s">
        <v>100</v>
      </c>
      <c r="C51" s="22">
        <v>0.3</v>
      </c>
      <c r="D51" t="s">
        <v>19</v>
      </c>
      <c r="G51" s="22"/>
    </row>
    <row r="52" spans="1:7" x14ac:dyDescent="0.4">
      <c r="A52" t="s">
        <v>101</v>
      </c>
      <c r="C52" s="22">
        <v>0.2</v>
      </c>
      <c r="D52" t="s">
        <v>19</v>
      </c>
      <c r="G52" s="22"/>
    </row>
    <row r="53" spans="1:7" x14ac:dyDescent="0.4">
      <c r="A53" t="s">
        <v>102</v>
      </c>
      <c r="C53" s="22">
        <v>0.15</v>
      </c>
      <c r="D53" t="s">
        <v>19</v>
      </c>
      <c r="G53" s="22"/>
    </row>
    <row r="55" spans="1:7" x14ac:dyDescent="0.4">
      <c r="A55" t="s">
        <v>121</v>
      </c>
    </row>
    <row r="56" spans="1:7" x14ac:dyDescent="0.4">
      <c r="A56" s="5" t="s">
        <v>103</v>
      </c>
      <c r="B56" s="5" t="s">
        <v>99</v>
      </c>
      <c r="C56" s="5" t="s">
        <v>100</v>
      </c>
      <c r="D56" s="5" t="s">
        <v>101</v>
      </c>
      <c r="E56" s="5" t="s">
        <v>102</v>
      </c>
    </row>
    <row r="57" spans="1:7" x14ac:dyDescent="0.4">
      <c r="A57" s="5" t="s">
        <v>104</v>
      </c>
      <c r="B57" s="5">
        <f>B37*$C$50</f>
        <v>0.15012373077441774</v>
      </c>
      <c r="C57" s="5">
        <f>C37*$C$51</f>
        <v>0.27828671294348434</v>
      </c>
      <c r="D57" s="5">
        <f>D37*$C$52</f>
        <v>8.1636798866282473E-2</v>
      </c>
      <c r="E57" s="5">
        <f>E37*$C$53</f>
        <v>0.12123354503797815</v>
      </c>
    </row>
    <row r="58" spans="1:7" x14ac:dyDescent="0.4">
      <c r="A58" s="5" t="s">
        <v>105</v>
      </c>
      <c r="B58" s="5">
        <f t="shared" ref="B58:B66" si="16">B38*$C$50</f>
        <v>9.4657662103338605E-2</v>
      </c>
      <c r="C58" s="5">
        <f t="shared" ref="C58:C66" si="17">C38*$C$51</f>
        <v>8.9488276319081225E-2</v>
      </c>
      <c r="D58" s="5">
        <f t="shared" ref="D58:D66" si="18">D38*$C$52</f>
        <v>7.5425303300369673E-2</v>
      </c>
      <c r="E58" s="5">
        <f t="shared" ref="E58:E66" si="19">E38*$C$53</f>
        <v>5.9903634018765667E-2</v>
      </c>
    </row>
    <row r="59" spans="1:7" x14ac:dyDescent="0.4">
      <c r="A59" s="5" t="s">
        <v>106</v>
      </c>
      <c r="B59" s="5">
        <f t="shared" si="16"/>
        <v>0.10661441942165506</v>
      </c>
      <c r="C59" s="5">
        <f t="shared" si="17"/>
        <v>5.2383381259949992E-2</v>
      </c>
      <c r="D59" s="5">
        <f t="shared" si="18"/>
        <v>6.9213807734456886E-2</v>
      </c>
      <c r="E59" s="5">
        <f t="shared" si="19"/>
        <v>3.9935756012510447E-2</v>
      </c>
    </row>
    <row r="60" spans="1:7" x14ac:dyDescent="0.4">
      <c r="A60" s="5" t="s">
        <v>107</v>
      </c>
      <c r="B60" s="5">
        <f t="shared" si="16"/>
        <v>8.0708111898636081E-2</v>
      </c>
      <c r="C60" s="5">
        <f t="shared" si="17"/>
        <v>2.291772930122812E-2</v>
      </c>
      <c r="D60" s="5">
        <f t="shared" si="18"/>
        <v>6.3889668677960199E-2</v>
      </c>
      <c r="E60" s="5">
        <f t="shared" si="19"/>
        <v>2.567298600804243E-2</v>
      </c>
    </row>
    <row r="61" spans="1:7" x14ac:dyDescent="0.4">
      <c r="A61" s="5" t="s">
        <v>108</v>
      </c>
      <c r="B61" s="5">
        <f t="shared" si="16"/>
        <v>8.9011415591911391E-2</v>
      </c>
      <c r="C61" s="5">
        <f t="shared" si="17"/>
        <v>1.9643767972481244E-2</v>
      </c>
      <c r="D61" s="5">
        <f t="shared" si="18"/>
        <v>6.0340242640295742E-2</v>
      </c>
      <c r="E61" s="5">
        <f t="shared" si="19"/>
        <v>2.2820432007148828E-2</v>
      </c>
    </row>
    <row r="62" spans="1:7" x14ac:dyDescent="0.4">
      <c r="A62" s="5" t="s">
        <v>109</v>
      </c>
      <c r="B62" s="5">
        <f t="shared" si="16"/>
        <v>7.6058261830401902E-2</v>
      </c>
      <c r="C62" s="5">
        <f t="shared" si="17"/>
        <v>1.6369806643734372E-2</v>
      </c>
      <c r="D62" s="5">
        <f t="shared" si="18"/>
        <v>5.7678173112047405E-2</v>
      </c>
      <c r="E62" s="5">
        <f t="shared" si="19"/>
        <v>1.9967878006255223E-2</v>
      </c>
    </row>
    <row r="63" spans="1:7" x14ac:dyDescent="0.4">
      <c r="A63" s="5" t="s">
        <v>110</v>
      </c>
      <c r="B63" s="5">
        <f t="shared" si="16"/>
        <v>0.10096817291022785</v>
      </c>
      <c r="C63" s="5">
        <f t="shared" si="17"/>
        <v>1.3095845314987498E-2</v>
      </c>
      <c r="D63" s="5">
        <f t="shared" si="18"/>
        <v>5.5016103583799061E-2</v>
      </c>
      <c r="E63" s="5">
        <f t="shared" si="19"/>
        <v>1.7115324005361619E-2</v>
      </c>
    </row>
    <row r="64" spans="1:7" x14ac:dyDescent="0.4">
      <c r="A64" s="5" t="s">
        <v>111</v>
      </c>
      <c r="B64" s="5">
        <f t="shared" si="16"/>
        <v>0.11857117673997151</v>
      </c>
      <c r="C64" s="5">
        <f t="shared" si="17"/>
        <v>8.7305635433249981E-3</v>
      </c>
      <c r="D64" s="5">
        <f t="shared" si="18"/>
        <v>5.1466677546134598E-2</v>
      </c>
      <c r="E64" s="5">
        <f t="shared" si="19"/>
        <v>1.3549631504244618E-2</v>
      </c>
    </row>
    <row r="65" spans="1:5" x14ac:dyDescent="0.4">
      <c r="A65" s="5" t="s">
        <v>112</v>
      </c>
      <c r="B65" s="5">
        <f t="shared" si="16"/>
        <v>0.12820300902417089</v>
      </c>
      <c r="C65" s="5">
        <f t="shared" si="17"/>
        <v>1.2004524872071874E-2</v>
      </c>
      <c r="D65" s="5">
        <f t="shared" si="18"/>
        <v>6.1227599149711855E-2</v>
      </c>
      <c r="E65" s="5">
        <f t="shared" si="19"/>
        <v>1.568904700491482E-2</v>
      </c>
    </row>
    <row r="66" spans="1:5" x14ac:dyDescent="0.4">
      <c r="A66" s="5" t="s">
        <v>113</v>
      </c>
      <c r="B66" s="5">
        <f t="shared" si="16"/>
        <v>0.13683844486517721</v>
      </c>
      <c r="C66" s="5">
        <f t="shared" si="17"/>
        <v>1.5278486200818744E-2</v>
      </c>
      <c r="D66" s="5">
        <f t="shared" si="18"/>
        <v>4.8804608017886261E-2</v>
      </c>
      <c r="E66" s="5">
        <f t="shared" si="19"/>
        <v>1.7828462505585022E-2</v>
      </c>
    </row>
    <row r="68" spans="1:5" x14ac:dyDescent="0.4">
      <c r="A68" t="s">
        <v>122</v>
      </c>
    </row>
    <row r="69" spans="1:5" x14ac:dyDescent="0.4">
      <c r="A69" t="s">
        <v>128</v>
      </c>
    </row>
    <row r="70" spans="1:5" x14ac:dyDescent="0.4">
      <c r="B70" s="5" t="s">
        <v>99</v>
      </c>
      <c r="C70" s="5" t="s">
        <v>100</v>
      </c>
      <c r="D70" s="5" t="s">
        <v>101</v>
      </c>
      <c r="E70" s="5" t="s">
        <v>102</v>
      </c>
    </row>
    <row r="71" spans="1:5" x14ac:dyDescent="0.4">
      <c r="B71" s="5">
        <f>MIN(B57:B66)</f>
        <v>7.6058261830401902E-2</v>
      </c>
      <c r="C71" s="5">
        <f>MAX(C57:C66)</f>
        <v>0.27828671294348434</v>
      </c>
      <c r="D71" s="5">
        <f t="shared" ref="D71:E71" si="20">MAX(D57:D66)</f>
        <v>8.1636798866282473E-2</v>
      </c>
      <c r="E71" s="5">
        <f t="shared" si="20"/>
        <v>0.12123354503797815</v>
      </c>
    </row>
    <row r="73" spans="1:5" x14ac:dyDescent="0.4">
      <c r="A73" t="s">
        <v>129</v>
      </c>
    </row>
    <row r="74" spans="1:5" x14ac:dyDescent="0.4">
      <c r="B74" s="5" t="s">
        <v>99</v>
      </c>
      <c r="C74" s="5" t="s">
        <v>100</v>
      </c>
      <c r="D74" s="5" t="s">
        <v>101</v>
      </c>
      <c r="E74" s="5" t="s">
        <v>102</v>
      </c>
    </row>
    <row r="75" spans="1:5" x14ac:dyDescent="0.4">
      <c r="B75" s="5">
        <f>MAX(B57:B66)</f>
        <v>0.15012373077441774</v>
      </c>
      <c r="C75" s="5">
        <f>MIN(C57:C66)</f>
        <v>8.7305635433249981E-3</v>
      </c>
      <c r="D75" s="5">
        <f t="shared" ref="D75:E75" si="21">MIN(D57:D66)</f>
        <v>4.8804608017886261E-2</v>
      </c>
      <c r="E75" s="5">
        <f t="shared" si="21"/>
        <v>1.3549631504244618E-2</v>
      </c>
    </row>
    <row r="77" spans="1:5" x14ac:dyDescent="0.4">
      <c r="A77" t="s">
        <v>125</v>
      </c>
    </row>
    <row r="78" spans="1:5" x14ac:dyDescent="0.4">
      <c r="A78" t="s">
        <v>123</v>
      </c>
    </row>
    <row r="79" spans="1:5" x14ac:dyDescent="0.4">
      <c r="A79" s="5" t="s">
        <v>103</v>
      </c>
      <c r="B79" s="5" t="s">
        <v>99</v>
      </c>
      <c r="C79" s="5" t="s">
        <v>100</v>
      </c>
      <c r="D79" s="5" t="s">
        <v>101</v>
      </c>
      <c r="E79" s="5" t="s">
        <v>102</v>
      </c>
    </row>
    <row r="80" spans="1:5" x14ac:dyDescent="0.4">
      <c r="A80" s="5" t="s">
        <v>104</v>
      </c>
      <c r="B80" s="5">
        <f t="shared" ref="B80:B89" si="22">B57-$B$71</f>
        <v>7.4065468944015833E-2</v>
      </c>
      <c r="C80" s="5">
        <f t="shared" ref="C80:C89" si="23">C57-$C$71</f>
        <v>0</v>
      </c>
      <c r="D80" s="5">
        <f t="shared" ref="D80:D89" si="24">D57-$D$71</f>
        <v>0</v>
      </c>
      <c r="E80" s="5">
        <f t="shared" ref="E80:E89" si="25">E57-$E$71</f>
        <v>0</v>
      </c>
    </row>
    <row r="81" spans="1:5" x14ac:dyDescent="0.4">
      <c r="A81" s="5" t="s">
        <v>105</v>
      </c>
      <c r="B81" s="5">
        <f t="shared" si="22"/>
        <v>1.8599400272936703E-2</v>
      </c>
      <c r="C81" s="5">
        <f t="shared" si="23"/>
        <v>-0.1887984366244031</v>
      </c>
      <c r="D81" s="5">
        <f t="shared" si="24"/>
        <v>-6.2114955659128002E-3</v>
      </c>
      <c r="E81" s="5">
        <f t="shared" si="25"/>
        <v>-6.132991101921248E-2</v>
      </c>
    </row>
    <row r="82" spans="1:5" x14ac:dyDescent="0.4">
      <c r="A82" s="5" t="s">
        <v>106</v>
      </c>
      <c r="B82" s="5">
        <f t="shared" si="22"/>
        <v>3.0556157591253158E-2</v>
      </c>
      <c r="C82" s="5">
        <f t="shared" si="23"/>
        <v>-0.22590333168353435</v>
      </c>
      <c r="D82" s="5">
        <f t="shared" si="24"/>
        <v>-1.2422991131825586E-2</v>
      </c>
      <c r="E82" s="5">
        <f t="shared" si="25"/>
        <v>-8.1297789025467693E-2</v>
      </c>
    </row>
    <row r="83" spans="1:5" x14ac:dyDescent="0.4">
      <c r="A83" s="5" t="s">
        <v>107</v>
      </c>
      <c r="B83" s="5">
        <f t="shared" si="22"/>
        <v>4.6498500682341792E-3</v>
      </c>
      <c r="C83" s="5">
        <f t="shared" si="23"/>
        <v>-0.25536898364225624</v>
      </c>
      <c r="D83" s="5">
        <f t="shared" si="24"/>
        <v>-1.7747130188322274E-2</v>
      </c>
      <c r="E83" s="5">
        <f t="shared" si="25"/>
        <v>-9.556055902993571E-2</v>
      </c>
    </row>
    <row r="84" spans="1:5" x14ac:dyDescent="0.4">
      <c r="A84" s="5" t="s">
        <v>108</v>
      </c>
      <c r="B84" s="5">
        <f t="shared" si="22"/>
        <v>1.2953153761509489E-2</v>
      </c>
      <c r="C84" s="5">
        <f t="shared" si="23"/>
        <v>-0.2586429449710031</v>
      </c>
      <c r="D84" s="5">
        <f t="shared" si="24"/>
        <v>-2.1296556225986731E-2</v>
      </c>
      <c r="E84" s="5">
        <f t="shared" si="25"/>
        <v>-9.8413113030829322E-2</v>
      </c>
    </row>
    <row r="85" spans="1:5" x14ac:dyDescent="0.4">
      <c r="A85" s="5" t="s">
        <v>109</v>
      </c>
      <c r="B85" s="5">
        <f t="shared" si="22"/>
        <v>0</v>
      </c>
      <c r="C85" s="5">
        <f t="shared" si="23"/>
        <v>-0.26191690629974995</v>
      </c>
      <c r="D85" s="5">
        <f t="shared" si="24"/>
        <v>-2.3958625754235068E-2</v>
      </c>
      <c r="E85" s="5">
        <f t="shared" si="25"/>
        <v>-0.10126566703172292</v>
      </c>
    </row>
    <row r="86" spans="1:5" x14ac:dyDescent="0.4">
      <c r="A86" s="5" t="s">
        <v>110</v>
      </c>
      <c r="B86" s="5">
        <f t="shared" si="22"/>
        <v>2.4909911079825944E-2</v>
      </c>
      <c r="C86" s="5">
        <f t="shared" si="23"/>
        <v>-0.26519086762849686</v>
      </c>
      <c r="D86" s="5">
        <f t="shared" si="24"/>
        <v>-2.6620695282483411E-2</v>
      </c>
      <c r="E86" s="5">
        <f t="shared" si="25"/>
        <v>-0.10411822103261653</v>
      </c>
    </row>
    <row r="87" spans="1:5" x14ac:dyDescent="0.4">
      <c r="A87" s="5" t="s">
        <v>111</v>
      </c>
      <c r="B87" s="5">
        <f t="shared" si="22"/>
        <v>4.2512914909569613E-2</v>
      </c>
      <c r="C87" s="5">
        <f t="shared" si="23"/>
        <v>-0.26955614940015932</v>
      </c>
      <c r="D87" s="5">
        <f t="shared" si="24"/>
        <v>-3.0170121320147875E-2</v>
      </c>
      <c r="E87" s="5">
        <f t="shared" si="25"/>
        <v>-0.10768391353373352</v>
      </c>
    </row>
    <row r="88" spans="1:5" x14ac:dyDescent="0.4">
      <c r="A88" s="5" t="s">
        <v>112</v>
      </c>
      <c r="B88" s="5">
        <f t="shared" si="22"/>
        <v>5.2144747193768992E-2</v>
      </c>
      <c r="C88" s="5">
        <f t="shared" si="23"/>
        <v>-0.26628218807141246</v>
      </c>
      <c r="D88" s="5">
        <f t="shared" si="24"/>
        <v>-2.0409199716570618E-2</v>
      </c>
      <c r="E88" s="5">
        <f t="shared" si="25"/>
        <v>-0.10554449803306333</v>
      </c>
    </row>
    <row r="89" spans="1:5" x14ac:dyDescent="0.4">
      <c r="A89" s="5" t="s">
        <v>113</v>
      </c>
      <c r="B89" s="5">
        <f t="shared" si="22"/>
        <v>6.0780183034775309E-2</v>
      </c>
      <c r="C89" s="5">
        <f t="shared" si="23"/>
        <v>-0.26300822674266561</v>
      </c>
      <c r="D89" s="5">
        <f t="shared" si="24"/>
        <v>-3.2832190848396212E-2</v>
      </c>
      <c r="E89" s="5">
        <f t="shared" si="25"/>
        <v>-0.10340508253239312</v>
      </c>
    </row>
    <row r="91" spans="1:5" x14ac:dyDescent="0.4">
      <c r="A91" s="5" t="s">
        <v>103</v>
      </c>
      <c r="B91" s="5" t="s">
        <v>99</v>
      </c>
      <c r="C91" s="5" t="s">
        <v>100</v>
      </c>
      <c r="D91" s="5" t="s">
        <v>101</v>
      </c>
      <c r="E91" s="5" t="s">
        <v>102</v>
      </c>
    </row>
    <row r="92" spans="1:5" x14ac:dyDescent="0.4">
      <c r="A92" s="5" t="s">
        <v>104</v>
      </c>
      <c r="B92" s="5">
        <f>B80^2</f>
        <v>5.4856936898969736E-3</v>
      </c>
      <c r="C92" s="5">
        <f t="shared" ref="C92:E92" si="26">C80^2</f>
        <v>0</v>
      </c>
      <c r="D92" s="5">
        <f t="shared" si="26"/>
        <v>0</v>
      </c>
      <c r="E92" s="5">
        <f t="shared" si="26"/>
        <v>0</v>
      </c>
    </row>
    <row r="93" spans="1:5" x14ac:dyDescent="0.4">
      <c r="A93" s="5" t="s">
        <v>105</v>
      </c>
      <c r="B93" s="5">
        <f t="shared" ref="B93:E93" si="27">B81^2</f>
        <v>3.4593769051291789E-4</v>
      </c>
      <c r="C93" s="5">
        <f t="shared" si="27"/>
        <v>3.5644849671818753E-2</v>
      </c>
      <c r="D93" s="5">
        <f t="shared" si="27"/>
        <v>3.858267716535438E-5</v>
      </c>
      <c r="E93" s="5">
        <f t="shared" si="27"/>
        <v>3.7613579856245203E-3</v>
      </c>
    </row>
    <row r="94" spans="1:5" x14ac:dyDescent="0.4">
      <c r="A94" s="5" t="s">
        <v>106</v>
      </c>
      <c r="B94" s="5">
        <f t="shared" ref="B94:E94" si="28">B82^2</f>
        <v>9.3367876674149794E-4</v>
      </c>
      <c r="C94" s="5">
        <f t="shared" si="28"/>
        <v>5.1032315265720933E-2</v>
      </c>
      <c r="D94" s="5">
        <f t="shared" si="28"/>
        <v>1.5433070866141717E-4</v>
      </c>
      <c r="E94" s="5">
        <f t="shared" si="28"/>
        <v>6.6093305004294549E-3</v>
      </c>
    </row>
    <row r="95" spans="1:5" x14ac:dyDescent="0.4">
      <c r="A95" s="5" t="s">
        <v>107</v>
      </c>
      <c r="B95" s="5">
        <f t="shared" ref="B95:E95" si="29">B83^2</f>
        <v>2.1621105657057402E-5</v>
      </c>
      <c r="C95" s="5">
        <f t="shared" si="29"/>
        <v>6.5213317806478932E-2</v>
      </c>
      <c r="D95" s="5">
        <f t="shared" si="29"/>
        <v>3.1496062992125983E-4</v>
      </c>
      <c r="E95" s="5">
        <f t="shared" si="29"/>
        <v>9.131820442113827E-3</v>
      </c>
    </row>
    <row r="96" spans="1:5" x14ac:dyDescent="0.4">
      <c r="A96" s="5" t="s">
        <v>108</v>
      </c>
      <c r="B96" s="5">
        <f t="shared" ref="B96:E96" si="30">B84^2</f>
        <v>1.6778419236930745E-4</v>
      </c>
      <c r="C96" s="5">
        <f t="shared" si="30"/>
        <v>6.6896172983273341E-2</v>
      </c>
      <c r="D96" s="5">
        <f t="shared" si="30"/>
        <v>4.5354330708661416E-4</v>
      </c>
      <c r="E96" s="5">
        <f t="shared" si="30"/>
        <v>9.6851408164187885E-3</v>
      </c>
    </row>
    <row r="97" spans="1:5" x14ac:dyDescent="0.4">
      <c r="A97" s="5" t="s">
        <v>109</v>
      </c>
      <c r="B97" s="5">
        <f t="shared" ref="B97:E97" si="31">B85^2</f>
        <v>0</v>
      </c>
      <c r="C97" s="5">
        <f t="shared" si="31"/>
        <v>6.8600465805631991E-2</v>
      </c>
      <c r="D97" s="5">
        <f t="shared" si="31"/>
        <v>5.7401574803149589E-4</v>
      </c>
      <c r="E97" s="5">
        <f t="shared" si="31"/>
        <v>1.0254735319379774E-2</v>
      </c>
    </row>
    <row r="98" spans="1:5" x14ac:dyDescent="0.4">
      <c r="A98" s="5" t="s">
        <v>110</v>
      </c>
      <c r="B98" s="5">
        <f t="shared" ref="B98:E98" si="32">B86^2</f>
        <v>6.2050367000483536E-4</v>
      </c>
      <c r="C98" s="5">
        <f t="shared" si="32"/>
        <v>7.032619627355495E-2</v>
      </c>
      <c r="D98" s="5">
        <f t="shared" si="32"/>
        <v>7.0866141732283457E-4</v>
      </c>
      <c r="E98" s="5">
        <f t="shared" si="32"/>
        <v>1.0840603950996791E-2</v>
      </c>
    </row>
    <row r="99" spans="1:5" x14ac:dyDescent="0.4">
      <c r="A99" s="5" t="s">
        <v>111</v>
      </c>
      <c r="B99" s="5">
        <f t="shared" ref="B99:E99" si="33">B87^2</f>
        <v>1.8073479341083063E-3</v>
      </c>
      <c r="C99" s="5">
        <f t="shared" si="33"/>
        <v>7.2660517679441011E-2</v>
      </c>
      <c r="D99" s="5">
        <f t="shared" si="33"/>
        <v>9.1023622047244133E-4</v>
      </c>
      <c r="E99" s="5">
        <f t="shared" si="33"/>
        <v>1.1595825233940598E-2</v>
      </c>
    </row>
    <row r="100" spans="1:5" x14ac:dyDescent="0.4">
      <c r="A100" s="5" t="s">
        <v>112</v>
      </c>
      <c r="B100" s="5">
        <f t="shared" ref="B100:E100" si="34">B88^2</f>
        <v>2.7190746599020793E-3</v>
      </c>
      <c r="C100" s="5">
        <f t="shared" si="34"/>
        <v>7.0906203684099084E-2</v>
      </c>
      <c r="D100" s="5">
        <f t="shared" si="34"/>
        <v>4.1653543307086622E-4</v>
      </c>
      <c r="E100" s="5">
        <f t="shared" si="34"/>
        <v>1.1139641065051309E-2</v>
      </c>
    </row>
    <row r="101" spans="1:5" x14ac:dyDescent="0.4">
      <c r="A101" s="5" t="s">
        <v>113</v>
      </c>
      <c r="B101" s="5">
        <f t="shared" ref="B101:E101" si="35">B89^2</f>
        <v>3.6942306497407883E-3</v>
      </c>
      <c r="C101" s="5">
        <f t="shared" si="35"/>
        <v>6.9173327334321411E-2</v>
      </c>
      <c r="D101" s="5">
        <f t="shared" si="35"/>
        <v>1.0779527559055119E-3</v>
      </c>
      <c r="E101" s="5">
        <f t="shared" si="35"/>
        <v>1.0692611093531033E-2</v>
      </c>
    </row>
    <row r="103" spans="1:5" x14ac:dyDescent="0.4">
      <c r="A103" s="5" t="s">
        <v>103</v>
      </c>
      <c r="B103" s="5" t="s">
        <v>124</v>
      </c>
      <c r="D103" s="5" t="s">
        <v>103</v>
      </c>
      <c r="E103" s="5" t="s">
        <v>126</v>
      </c>
    </row>
    <row r="104" spans="1:5" x14ac:dyDescent="0.4">
      <c r="A104" s="5" t="s">
        <v>104</v>
      </c>
      <c r="B104" s="5">
        <f>SUM(B92:E92)</f>
        <v>5.4856936898969736E-3</v>
      </c>
      <c r="D104" s="5" t="s">
        <v>104</v>
      </c>
      <c r="E104" s="5">
        <f>SQRT(B104)</f>
        <v>7.4065468944015833E-2</v>
      </c>
    </row>
    <row r="105" spans="1:5" x14ac:dyDescent="0.4">
      <c r="A105" s="5" t="s">
        <v>105</v>
      </c>
      <c r="B105" s="5">
        <f t="shared" ref="B105:B113" si="36">SUM(B93:E93)</f>
        <v>3.9790728025121541E-2</v>
      </c>
      <c r="D105" s="5" t="s">
        <v>105</v>
      </c>
      <c r="E105" s="5">
        <f t="shared" ref="E105:E113" si="37">SQRT(B105)</f>
        <v>0.19947613397377026</v>
      </c>
    </row>
    <row r="106" spans="1:5" x14ac:dyDescent="0.4">
      <c r="A106" s="5" t="s">
        <v>106</v>
      </c>
      <c r="B106" s="5">
        <f t="shared" si="36"/>
        <v>5.8729655241553297E-2</v>
      </c>
      <c r="D106" s="5" t="s">
        <v>106</v>
      </c>
      <c r="E106" s="5">
        <f t="shared" si="37"/>
        <v>0.24234202120464643</v>
      </c>
    </row>
    <row r="107" spans="1:5" x14ac:dyDescent="0.4">
      <c r="A107" s="5" t="s">
        <v>107</v>
      </c>
      <c r="B107" s="5">
        <f t="shared" si="36"/>
        <v>7.4681719984171072E-2</v>
      </c>
      <c r="D107" s="5" t="s">
        <v>107</v>
      </c>
      <c r="E107" s="5">
        <f t="shared" si="37"/>
        <v>0.27327956378802104</v>
      </c>
    </row>
    <row r="108" spans="1:5" x14ac:dyDescent="0.4">
      <c r="A108" s="5" t="s">
        <v>108</v>
      </c>
      <c r="B108" s="5">
        <f t="shared" si="36"/>
        <v>7.7202641299148056E-2</v>
      </c>
      <c r="D108" s="5" t="s">
        <v>108</v>
      </c>
      <c r="E108" s="5">
        <f t="shared" si="37"/>
        <v>0.27785363287016429</v>
      </c>
    </row>
    <row r="109" spans="1:5" x14ac:dyDescent="0.4">
      <c r="A109" s="5" t="s">
        <v>109</v>
      </c>
      <c r="B109" s="5">
        <f t="shared" si="36"/>
        <v>7.942921687304326E-2</v>
      </c>
      <c r="D109" s="5" t="s">
        <v>109</v>
      </c>
      <c r="E109" s="5">
        <f t="shared" si="37"/>
        <v>0.28183189470505865</v>
      </c>
    </row>
    <row r="110" spans="1:5" x14ac:dyDescent="0.4">
      <c r="A110" s="5" t="s">
        <v>110</v>
      </c>
      <c r="B110" s="5">
        <f t="shared" si="36"/>
        <v>8.2495965311879402E-2</v>
      </c>
      <c r="D110" s="5" t="s">
        <v>110</v>
      </c>
      <c r="E110" s="5">
        <f t="shared" si="37"/>
        <v>0.28722110875052237</v>
      </c>
    </row>
    <row r="111" spans="1:5" x14ac:dyDescent="0.4">
      <c r="A111" s="5" t="s">
        <v>111</v>
      </c>
      <c r="B111" s="5">
        <f t="shared" si="36"/>
        <v>8.6973927067962351E-2</v>
      </c>
      <c r="D111" s="5" t="s">
        <v>111</v>
      </c>
      <c r="E111" s="5">
        <f t="shared" si="37"/>
        <v>0.29491342300404427</v>
      </c>
    </row>
    <row r="112" spans="1:5" x14ac:dyDescent="0.4">
      <c r="A112" s="5" t="s">
        <v>112</v>
      </c>
      <c r="B112" s="5">
        <f t="shared" si="36"/>
        <v>8.5181454842123333E-2</v>
      </c>
      <c r="D112" s="5" t="s">
        <v>112</v>
      </c>
      <c r="E112" s="5">
        <f t="shared" si="37"/>
        <v>0.29185862132567431</v>
      </c>
    </row>
    <row r="113" spans="1:5" x14ac:dyDescent="0.4">
      <c r="A113" s="5" t="s">
        <v>113</v>
      </c>
      <c r="B113" s="5">
        <f t="shared" si="36"/>
        <v>8.4638121833498739E-2</v>
      </c>
      <c r="D113" s="5" t="s">
        <v>113</v>
      </c>
      <c r="E113" s="5">
        <f t="shared" si="37"/>
        <v>0.29092631684586173</v>
      </c>
    </row>
    <row r="115" spans="1:5" x14ac:dyDescent="0.4">
      <c r="A115" t="s">
        <v>130</v>
      </c>
    </row>
    <row r="116" spans="1:5" x14ac:dyDescent="0.4">
      <c r="A116" s="5" t="s">
        <v>103</v>
      </c>
      <c r="B116" s="5" t="s">
        <v>99</v>
      </c>
      <c r="C116" s="5" t="s">
        <v>100</v>
      </c>
      <c r="D116" s="5" t="s">
        <v>101</v>
      </c>
      <c r="E116" s="5" t="s">
        <v>102</v>
      </c>
    </row>
    <row r="117" spans="1:5" x14ac:dyDescent="0.4">
      <c r="A117" s="5" t="s">
        <v>104</v>
      </c>
      <c r="B117" s="5">
        <f>B57-$B$75</f>
        <v>0</v>
      </c>
      <c r="C117" s="5">
        <f>C57-$C$75</f>
        <v>0.26955614940015932</v>
      </c>
      <c r="D117" s="5">
        <f>D57-$D$75</f>
        <v>3.2832190848396212E-2</v>
      </c>
      <c r="E117" s="5">
        <f>E57-$E$75</f>
        <v>0.10768391353373352</v>
      </c>
    </row>
    <row r="118" spans="1:5" x14ac:dyDescent="0.4">
      <c r="A118" s="5" t="s">
        <v>105</v>
      </c>
      <c r="B118" s="5">
        <f t="shared" ref="B118:B126" si="38">B58-$B$75</f>
        <v>-5.546606867107913E-2</v>
      </c>
      <c r="C118" s="5">
        <f t="shared" ref="C118:C126" si="39">C58-$C$75</f>
        <v>8.0757712775756232E-2</v>
      </c>
      <c r="D118" s="5">
        <f t="shared" ref="D118:D126" si="40">D58-$D$75</f>
        <v>2.6620695282483411E-2</v>
      </c>
      <c r="E118" s="5">
        <f t="shared" ref="E118:E126" si="41">E58-$E$75</f>
        <v>4.6354002514521049E-2</v>
      </c>
    </row>
    <row r="119" spans="1:5" x14ac:dyDescent="0.4">
      <c r="A119" s="5" t="s">
        <v>106</v>
      </c>
      <c r="B119" s="5">
        <f t="shared" si="38"/>
        <v>-4.3509311352762675E-2</v>
      </c>
      <c r="C119" s="5">
        <f t="shared" si="39"/>
        <v>4.3652817716624992E-2</v>
      </c>
      <c r="D119" s="5">
        <f t="shared" si="40"/>
        <v>2.0409199716570625E-2</v>
      </c>
      <c r="E119" s="5">
        <f t="shared" si="41"/>
        <v>2.6386124508265829E-2</v>
      </c>
    </row>
    <row r="120" spans="1:5" x14ac:dyDescent="0.4">
      <c r="A120" s="5" t="s">
        <v>107</v>
      </c>
      <c r="B120" s="5">
        <f t="shared" si="38"/>
        <v>-6.9415618875781654E-2</v>
      </c>
      <c r="C120" s="5">
        <f t="shared" si="39"/>
        <v>1.4187165757903122E-2</v>
      </c>
      <c r="D120" s="5">
        <f t="shared" si="40"/>
        <v>1.5085060660073937E-2</v>
      </c>
      <c r="E120" s="5">
        <f t="shared" si="41"/>
        <v>1.2123354503797812E-2</v>
      </c>
    </row>
    <row r="121" spans="1:5" x14ac:dyDescent="0.4">
      <c r="A121" s="5" t="s">
        <v>108</v>
      </c>
      <c r="B121" s="5">
        <f t="shared" si="38"/>
        <v>-6.1112315182506344E-2</v>
      </c>
      <c r="C121" s="5">
        <f t="shared" si="39"/>
        <v>1.0913204429156246E-2</v>
      </c>
      <c r="D121" s="5">
        <f t="shared" si="40"/>
        <v>1.1535634622409481E-2</v>
      </c>
      <c r="E121" s="5">
        <f t="shared" si="41"/>
        <v>9.2708005029042105E-3</v>
      </c>
    </row>
    <row r="122" spans="1:5" x14ac:dyDescent="0.4">
      <c r="A122" s="5" t="s">
        <v>109</v>
      </c>
      <c r="B122" s="5">
        <f t="shared" si="38"/>
        <v>-7.4065468944015833E-2</v>
      </c>
      <c r="C122" s="5">
        <f t="shared" si="39"/>
        <v>7.6392431004093739E-3</v>
      </c>
      <c r="D122" s="5">
        <f t="shared" si="40"/>
        <v>8.8735650941611441E-3</v>
      </c>
      <c r="E122" s="5">
        <f t="shared" si="41"/>
        <v>6.4182465020106057E-3</v>
      </c>
    </row>
    <row r="123" spans="1:5" x14ac:dyDescent="0.4">
      <c r="A123" s="5" t="s">
        <v>110</v>
      </c>
      <c r="B123" s="5">
        <f t="shared" si="38"/>
        <v>-4.9155557864189889E-2</v>
      </c>
      <c r="C123" s="5">
        <f t="shared" si="39"/>
        <v>4.3652817716624999E-3</v>
      </c>
      <c r="D123" s="5">
        <f t="shared" si="40"/>
        <v>6.2114955659128002E-3</v>
      </c>
      <c r="E123" s="5">
        <f t="shared" si="41"/>
        <v>3.5656925011170008E-3</v>
      </c>
    </row>
    <row r="124" spans="1:5" x14ac:dyDescent="0.4">
      <c r="A124" s="5" t="s">
        <v>111</v>
      </c>
      <c r="B124" s="5">
        <f t="shared" si="38"/>
        <v>-3.155255403444622E-2</v>
      </c>
      <c r="C124" s="5">
        <f t="shared" si="39"/>
        <v>0</v>
      </c>
      <c r="D124" s="5">
        <f t="shared" si="40"/>
        <v>2.662069528248337E-3</v>
      </c>
      <c r="E124" s="5">
        <f t="shared" si="41"/>
        <v>0</v>
      </c>
    </row>
    <row r="125" spans="1:5" x14ac:dyDescent="0.4">
      <c r="A125" s="5" t="s">
        <v>112</v>
      </c>
      <c r="B125" s="5">
        <f t="shared" si="38"/>
        <v>-2.1920721750246841E-2</v>
      </c>
      <c r="C125" s="5">
        <f t="shared" si="39"/>
        <v>3.2739613287468758E-3</v>
      </c>
      <c r="D125" s="5">
        <f t="shared" si="40"/>
        <v>1.2422991131825593E-2</v>
      </c>
      <c r="E125" s="5">
        <f t="shared" si="41"/>
        <v>2.1394155006702019E-3</v>
      </c>
    </row>
    <row r="126" spans="1:5" x14ac:dyDescent="0.4">
      <c r="A126" s="5" t="s">
        <v>113</v>
      </c>
      <c r="B126" s="5">
        <f t="shared" si="38"/>
        <v>-1.3285285909240524E-2</v>
      </c>
      <c r="C126" s="5">
        <f t="shared" si="39"/>
        <v>6.5479226574937464E-3</v>
      </c>
      <c r="D126" s="5">
        <f t="shared" si="40"/>
        <v>0</v>
      </c>
      <c r="E126" s="5">
        <f t="shared" si="41"/>
        <v>4.2788310013404038E-3</v>
      </c>
    </row>
    <row r="128" spans="1:5" x14ac:dyDescent="0.4">
      <c r="A128" s="5" t="s">
        <v>103</v>
      </c>
      <c r="B128" s="5" t="s">
        <v>99</v>
      </c>
      <c r="C128" s="5" t="s">
        <v>100</v>
      </c>
      <c r="D128" s="5" t="s">
        <v>101</v>
      </c>
      <c r="E128" s="5" t="s">
        <v>102</v>
      </c>
    </row>
    <row r="129" spans="1:5" x14ac:dyDescent="0.4">
      <c r="A129" s="5" t="s">
        <v>104</v>
      </c>
      <c r="B129" s="5">
        <f>B117^2</f>
        <v>0</v>
      </c>
      <c r="C129" s="5">
        <f t="shared" ref="C129:E129" si="42">C117^2</f>
        <v>7.2660517679441011E-2</v>
      </c>
      <c r="D129" s="5">
        <f t="shared" si="42"/>
        <v>1.0779527559055119E-3</v>
      </c>
      <c r="E129" s="5">
        <f t="shared" si="42"/>
        <v>1.1595825233940598E-2</v>
      </c>
    </row>
    <row r="130" spans="1:5" x14ac:dyDescent="0.4">
      <c r="A130" s="5" t="s">
        <v>105</v>
      </c>
      <c r="B130" s="5">
        <f t="shared" ref="B130:E130" si="43">B118^2</f>
        <v>3.0764847738248657E-3</v>
      </c>
      <c r="C130" s="5">
        <f t="shared" si="43"/>
        <v>6.5218081727715415E-3</v>
      </c>
      <c r="D130" s="5">
        <f t="shared" si="43"/>
        <v>7.0866141732283457E-4</v>
      </c>
      <c r="E130" s="5">
        <f t="shared" si="43"/>
        <v>2.1486935491162235E-3</v>
      </c>
    </row>
    <row r="131" spans="1:5" x14ac:dyDescent="0.4">
      <c r="A131" s="5" t="s">
        <v>106</v>
      </c>
      <c r="B131" s="5">
        <f t="shared" ref="B131:E131" si="44">B119^2</f>
        <v>1.8930601743916431E-3</v>
      </c>
      <c r="C131" s="5">
        <f t="shared" si="44"/>
        <v>1.9055684946008887E-3</v>
      </c>
      <c r="D131" s="5">
        <f t="shared" si="44"/>
        <v>4.1653543307086649E-4</v>
      </c>
      <c r="E131" s="5">
        <f t="shared" si="44"/>
        <v>6.9622756656570668E-4</v>
      </c>
    </row>
    <row r="132" spans="1:5" x14ac:dyDescent="0.4">
      <c r="A132" s="5" t="s">
        <v>107</v>
      </c>
      <c r="B132" s="5">
        <f t="shared" ref="B132:E132" si="45">B120^2</f>
        <v>4.8185281439077745E-3</v>
      </c>
      <c r="C132" s="5">
        <f t="shared" si="45"/>
        <v>2.0127567224221887E-4</v>
      </c>
      <c r="D132" s="5">
        <f t="shared" si="45"/>
        <v>2.2755905511811033E-4</v>
      </c>
      <c r="E132" s="5">
        <f t="shared" si="45"/>
        <v>1.469757244247547E-4</v>
      </c>
    </row>
    <row r="133" spans="1:5" x14ac:dyDescent="0.4">
      <c r="A133" s="5" t="s">
        <v>108</v>
      </c>
      <c r="B133" s="5">
        <f t="shared" ref="B133:E133" si="46">B121^2</f>
        <v>3.7347150669659952E-3</v>
      </c>
      <c r="C133" s="5">
        <f t="shared" si="46"/>
        <v>1.1909803091255551E-4</v>
      </c>
      <c r="D133" s="5">
        <f t="shared" si="46"/>
        <v>1.3307086614173234E-4</v>
      </c>
      <c r="E133" s="5">
        <f t="shared" si="46"/>
        <v>8.5947741964648963E-5</v>
      </c>
    </row>
    <row r="134" spans="1:5" x14ac:dyDescent="0.4">
      <c r="A134" s="5" t="s">
        <v>109</v>
      </c>
      <c r="B134" s="5">
        <f t="shared" ref="B134:E134" si="47">B122^2</f>
        <v>5.4856936898969736E-3</v>
      </c>
      <c r="C134" s="5">
        <f t="shared" si="47"/>
        <v>5.8358035147152224E-5</v>
      </c>
      <c r="D134" s="5">
        <f t="shared" si="47"/>
        <v>7.8740157480315079E-5</v>
      </c>
      <c r="E134" s="5">
        <f t="shared" si="47"/>
        <v>4.1193888160571378E-5</v>
      </c>
    </row>
    <row r="135" spans="1:5" x14ac:dyDescent="0.4">
      <c r="A135" s="5" t="s">
        <v>110</v>
      </c>
      <c r="B135" s="5">
        <f t="shared" ref="B135:E135" si="48">B123^2</f>
        <v>2.4162688689397206E-3</v>
      </c>
      <c r="C135" s="5">
        <f t="shared" si="48"/>
        <v>1.9055684946008894E-5</v>
      </c>
      <c r="D135" s="5">
        <f t="shared" si="48"/>
        <v>3.858267716535438E-5</v>
      </c>
      <c r="E135" s="5">
        <f t="shared" si="48"/>
        <v>1.2714163012522013E-5</v>
      </c>
    </row>
    <row r="136" spans="1:5" x14ac:dyDescent="0.4">
      <c r="A136" s="5" t="s">
        <v>111</v>
      </c>
      <c r="B136" s="5">
        <f t="shared" ref="B136:E136" si="49">B124^2</f>
        <v>9.9556366609664841E-4</v>
      </c>
      <c r="C136" s="5">
        <f t="shared" si="49"/>
        <v>0</v>
      </c>
      <c r="D136" s="5">
        <f t="shared" si="49"/>
        <v>7.0866141732283233E-6</v>
      </c>
      <c r="E136" s="5">
        <f t="shared" si="49"/>
        <v>0</v>
      </c>
    </row>
    <row r="137" spans="1:5" x14ac:dyDescent="0.4">
      <c r="A137" s="5" t="s">
        <v>112</v>
      </c>
      <c r="B137" s="5">
        <f t="shared" ref="B137:E137" si="50">B125^2</f>
        <v>4.8051804205174494E-4</v>
      </c>
      <c r="C137" s="5">
        <f t="shared" si="50"/>
        <v>1.0718822782130008E-5</v>
      </c>
      <c r="D137" s="5">
        <f t="shared" si="50"/>
        <v>1.5433070866141733E-4</v>
      </c>
      <c r="E137" s="5">
        <f t="shared" si="50"/>
        <v>4.5770986845079306E-6</v>
      </c>
    </row>
    <row r="138" spans="1:5" x14ac:dyDescent="0.4">
      <c r="A138" s="5" t="s">
        <v>113</v>
      </c>
      <c r="B138" s="5">
        <f t="shared" ref="B138:E138" si="51">B126^2</f>
        <v>1.7649882169026482E-4</v>
      </c>
      <c r="C138" s="5">
        <f t="shared" si="51"/>
        <v>4.2875291128519965E-5</v>
      </c>
      <c r="D138" s="5">
        <f t="shared" si="51"/>
        <v>0</v>
      </c>
      <c r="E138" s="5">
        <f t="shared" si="51"/>
        <v>1.8308394738031722E-5</v>
      </c>
    </row>
    <row r="140" spans="1:5" x14ac:dyDescent="0.4">
      <c r="A140" s="5" t="s">
        <v>103</v>
      </c>
      <c r="B140" s="5" t="s">
        <v>124</v>
      </c>
      <c r="D140" s="5" t="s">
        <v>103</v>
      </c>
      <c r="E140" s="5" t="s">
        <v>127</v>
      </c>
    </row>
    <row r="141" spans="1:5" x14ac:dyDescent="0.4">
      <c r="A141" s="5" t="s">
        <v>104</v>
      </c>
      <c r="B141" s="5">
        <f>SUM(B129:E129)</f>
        <v>8.5334295669287116E-2</v>
      </c>
      <c r="D141" s="5" t="s">
        <v>104</v>
      </c>
      <c r="E141" s="5">
        <f>SQRT(B141)</f>
        <v>0.29212034449741275</v>
      </c>
    </row>
    <row r="142" spans="1:5" x14ac:dyDescent="0.4">
      <c r="A142" s="5" t="s">
        <v>105</v>
      </c>
      <c r="B142" s="5">
        <f t="shared" ref="B142:B150" si="52">SUM(B130:E130)</f>
        <v>1.2455647913035465E-2</v>
      </c>
      <c r="D142" s="5" t="s">
        <v>105</v>
      </c>
      <c r="E142" s="5">
        <f t="shared" ref="E142:E150" si="53">SQRT(B142)</f>
        <v>0.1116048740559097</v>
      </c>
    </row>
    <row r="143" spans="1:5" x14ac:dyDescent="0.4">
      <c r="A143" s="5" t="s">
        <v>106</v>
      </c>
      <c r="B143" s="5">
        <f t="shared" si="52"/>
        <v>4.9113916686291045E-3</v>
      </c>
      <c r="D143" s="5" t="s">
        <v>106</v>
      </c>
      <c r="E143" s="5">
        <f t="shared" si="53"/>
        <v>7.0081321824214365E-2</v>
      </c>
    </row>
    <row r="144" spans="1:5" x14ac:dyDescent="0.4">
      <c r="A144" s="5" t="s">
        <v>107</v>
      </c>
      <c r="B144" s="5">
        <f t="shared" si="52"/>
        <v>5.3943385956928581E-3</v>
      </c>
      <c r="D144" s="5" t="s">
        <v>107</v>
      </c>
      <c r="E144" s="5">
        <f t="shared" si="53"/>
        <v>7.3446161204605231E-2</v>
      </c>
    </row>
    <row r="145" spans="1:5" x14ac:dyDescent="0.4">
      <c r="A145" s="5" t="s">
        <v>108</v>
      </c>
      <c r="B145" s="5">
        <f t="shared" si="52"/>
        <v>4.0728317059849318E-3</v>
      </c>
      <c r="D145" s="5" t="s">
        <v>108</v>
      </c>
      <c r="E145" s="5">
        <f t="shared" si="53"/>
        <v>6.3818741024756445E-2</v>
      </c>
    </row>
    <row r="146" spans="1:5" x14ac:dyDescent="0.4">
      <c r="A146" s="5" t="s">
        <v>109</v>
      </c>
      <c r="B146" s="5">
        <f t="shared" si="52"/>
        <v>5.6639857706850122E-3</v>
      </c>
      <c r="D146" s="5" t="s">
        <v>109</v>
      </c>
      <c r="E146" s="5">
        <f t="shared" si="53"/>
        <v>7.5259456353902882E-2</v>
      </c>
    </row>
    <row r="147" spans="1:5" x14ac:dyDescent="0.4">
      <c r="A147" s="5" t="s">
        <v>110</v>
      </c>
      <c r="B147" s="5">
        <f t="shared" si="52"/>
        <v>2.4866213940636056E-3</v>
      </c>
      <c r="D147" s="5" t="s">
        <v>110</v>
      </c>
      <c r="E147" s="5">
        <f t="shared" si="53"/>
        <v>4.9866034473011842E-2</v>
      </c>
    </row>
    <row r="148" spans="1:5" x14ac:dyDescent="0.4">
      <c r="A148" s="5" t="s">
        <v>111</v>
      </c>
      <c r="B148" s="5">
        <f t="shared" si="52"/>
        <v>1.0026502802698766E-3</v>
      </c>
      <c r="D148" s="5" t="s">
        <v>111</v>
      </c>
      <c r="E148" s="5">
        <f t="shared" si="53"/>
        <v>3.1664653484127642E-2</v>
      </c>
    </row>
    <row r="149" spans="1:5" x14ac:dyDescent="0.4">
      <c r="A149" s="5" t="s">
        <v>112</v>
      </c>
      <c r="B149" s="5">
        <f t="shared" si="52"/>
        <v>6.5014467217980017E-4</v>
      </c>
      <c r="D149" s="5" t="s">
        <v>112</v>
      </c>
      <c r="E149" s="5">
        <f t="shared" si="53"/>
        <v>2.5497934664984147E-2</v>
      </c>
    </row>
    <row r="150" spans="1:5" x14ac:dyDescent="0.4">
      <c r="A150" s="5" t="s">
        <v>113</v>
      </c>
      <c r="B150" s="5">
        <f t="shared" si="52"/>
        <v>2.3768250755681653E-4</v>
      </c>
      <c r="D150" s="5" t="s">
        <v>113</v>
      </c>
      <c r="E150" s="5">
        <f t="shared" si="53"/>
        <v>1.5416955197340898E-2</v>
      </c>
    </row>
    <row r="152" spans="1:5" x14ac:dyDescent="0.4">
      <c r="A152" t="s">
        <v>132</v>
      </c>
    </row>
    <row r="153" spans="1:5" x14ac:dyDescent="0.4">
      <c r="A153" s="5" t="s">
        <v>103</v>
      </c>
      <c r="B153" s="5" t="s">
        <v>131</v>
      </c>
      <c r="C153" s="5" t="s">
        <v>22</v>
      </c>
    </row>
    <row r="154" spans="1:5" x14ac:dyDescent="0.4">
      <c r="A154" s="5" t="s">
        <v>104</v>
      </c>
      <c r="B154" s="5">
        <f>E141/(E104+E141)</f>
        <v>0.79773801653333953</v>
      </c>
      <c r="C154" s="5">
        <f>_xlfn.RANK.EQ(B154,$B$154:$B$163)</f>
        <v>1</v>
      </c>
    </row>
    <row r="155" spans="1:5" x14ac:dyDescent="0.4">
      <c r="A155" s="5" t="s">
        <v>105</v>
      </c>
      <c r="B155" s="5">
        <f t="shared" ref="B155:B163" si="54">E142/(E105+E142)</f>
        <v>0.35876466635745752</v>
      </c>
      <c r="C155" s="5">
        <f t="shared" ref="C155:C163" si="55">_xlfn.RANK.EQ(B155,$B$154:$B$163)</f>
        <v>2</v>
      </c>
    </row>
    <row r="156" spans="1:5" x14ac:dyDescent="0.4">
      <c r="A156" s="5" t="s">
        <v>106</v>
      </c>
      <c r="B156" s="5">
        <f t="shared" si="54"/>
        <v>0.22431525488714987</v>
      </c>
      <c r="C156" s="5">
        <f t="shared" si="55"/>
        <v>3</v>
      </c>
    </row>
    <row r="157" spans="1:5" x14ac:dyDescent="0.4">
      <c r="A157" s="5" t="s">
        <v>107</v>
      </c>
      <c r="B157" s="5">
        <f t="shared" si="54"/>
        <v>0.2118278394433156</v>
      </c>
      <c r="C157" s="5">
        <f t="shared" si="55"/>
        <v>4</v>
      </c>
    </row>
    <row r="158" spans="1:5" x14ac:dyDescent="0.4">
      <c r="A158" s="5" t="s">
        <v>108</v>
      </c>
      <c r="B158" s="5">
        <f t="shared" si="54"/>
        <v>0.18678343905083622</v>
      </c>
      <c r="C158" s="5">
        <f t="shared" si="55"/>
        <v>6</v>
      </c>
    </row>
    <row r="159" spans="1:5" x14ac:dyDescent="0.4">
      <c r="A159" s="5" t="s">
        <v>109</v>
      </c>
      <c r="B159" s="5">
        <f t="shared" si="54"/>
        <v>0.21075687252216965</v>
      </c>
      <c r="C159" s="5">
        <f t="shared" si="55"/>
        <v>5</v>
      </c>
    </row>
    <row r="160" spans="1:5" x14ac:dyDescent="0.4">
      <c r="A160" s="5" t="s">
        <v>110</v>
      </c>
      <c r="B160" s="5">
        <f t="shared" si="54"/>
        <v>0.14793217562719069</v>
      </c>
      <c r="C160" s="5">
        <f t="shared" si="55"/>
        <v>7</v>
      </c>
    </row>
    <row r="161" spans="1:3" x14ac:dyDescent="0.4">
      <c r="A161" s="5" t="s">
        <v>111</v>
      </c>
      <c r="B161" s="5">
        <f t="shared" si="54"/>
        <v>9.6958907421559506E-2</v>
      </c>
      <c r="C161" s="5">
        <f t="shared" si="55"/>
        <v>8</v>
      </c>
    </row>
    <row r="162" spans="1:3" x14ac:dyDescent="0.4">
      <c r="A162" s="5" t="s">
        <v>112</v>
      </c>
      <c r="B162" s="5">
        <f t="shared" si="54"/>
        <v>8.034475476767744E-2</v>
      </c>
      <c r="C162" s="5">
        <f t="shared" si="55"/>
        <v>9</v>
      </c>
    </row>
    <row r="163" spans="1:3" x14ac:dyDescent="0.4">
      <c r="A163" s="5" t="s">
        <v>113</v>
      </c>
      <c r="B163" s="5">
        <f t="shared" si="54"/>
        <v>5.0325750895442202E-2</v>
      </c>
      <c r="C163" s="5">
        <f t="shared" si="55"/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14023-8504-4C6E-827A-566A60E05094}">
  <dimension ref="A1:F147"/>
  <sheetViews>
    <sheetView topLeftCell="A59" zoomScale="205" zoomScaleNormal="205" workbookViewId="0">
      <selection activeCell="C49" sqref="C49"/>
    </sheetView>
  </sheetViews>
  <sheetFormatPr defaultRowHeight="14.6" x14ac:dyDescent="0.4"/>
  <cols>
    <col min="1" max="1" width="12.3828125" customWidth="1"/>
    <col min="2" max="2" width="22.53515625" bestFit="1" customWidth="1"/>
    <col min="3" max="3" width="16" bestFit="1" customWidth="1"/>
    <col min="4" max="4" width="18.84375" bestFit="1" customWidth="1"/>
    <col min="5" max="5" width="18.61328125" bestFit="1" customWidth="1"/>
    <col min="6" max="6" width="19.53515625" bestFit="1" customWidth="1"/>
  </cols>
  <sheetData>
    <row r="1" spans="1:6" x14ac:dyDescent="0.4">
      <c r="A1" t="s">
        <v>114</v>
      </c>
    </row>
    <row r="2" spans="1:6" x14ac:dyDescent="0.4">
      <c r="A2" s="5"/>
      <c r="B2" s="5" t="s">
        <v>133</v>
      </c>
      <c r="C2" s="5" t="s">
        <v>134</v>
      </c>
      <c r="D2" s="5" t="s">
        <v>135</v>
      </c>
      <c r="E2" s="5" t="s">
        <v>136</v>
      </c>
      <c r="F2" s="5" t="s">
        <v>137</v>
      </c>
    </row>
    <row r="3" spans="1:6" x14ac:dyDescent="0.4">
      <c r="A3" s="5" t="s">
        <v>138</v>
      </c>
      <c r="B3" s="5">
        <v>2500</v>
      </c>
      <c r="C3" s="5">
        <v>9.8000000000000007</v>
      </c>
      <c r="D3" s="5">
        <v>9.5</v>
      </c>
      <c r="E3" s="5">
        <v>9.1999999999999993</v>
      </c>
      <c r="F3" s="5">
        <v>7.5</v>
      </c>
    </row>
    <row r="4" spans="1:6" x14ac:dyDescent="0.4">
      <c r="A4" s="5" t="s">
        <v>139</v>
      </c>
      <c r="B4" s="5">
        <v>1800</v>
      </c>
      <c r="C4" s="5">
        <v>8.1999999999999993</v>
      </c>
      <c r="D4" s="5">
        <v>8.8000000000000007</v>
      </c>
      <c r="E4" s="5">
        <v>8</v>
      </c>
      <c r="F4" s="5">
        <v>8.5</v>
      </c>
    </row>
    <row r="5" spans="1:6" x14ac:dyDescent="0.4">
      <c r="A5" s="5" t="s">
        <v>140</v>
      </c>
      <c r="B5" s="5">
        <v>1600</v>
      </c>
      <c r="C5" s="5">
        <v>7.5</v>
      </c>
      <c r="D5" s="5">
        <v>7.8</v>
      </c>
      <c r="E5" s="5">
        <v>7.2</v>
      </c>
      <c r="F5" s="5">
        <v>8.8000000000000007</v>
      </c>
    </row>
    <row r="6" spans="1:6" x14ac:dyDescent="0.4">
      <c r="A6" s="5" t="s">
        <v>141</v>
      </c>
      <c r="B6" s="5">
        <v>1400</v>
      </c>
      <c r="C6" s="5">
        <v>6.8</v>
      </c>
      <c r="D6" s="5">
        <v>7.2</v>
      </c>
      <c r="E6" s="5">
        <v>6.5</v>
      </c>
      <c r="F6" s="5">
        <v>9.1999999999999993</v>
      </c>
    </row>
    <row r="8" spans="1:6" x14ac:dyDescent="0.4">
      <c r="A8" t="s">
        <v>142</v>
      </c>
    </row>
    <row r="9" spans="1:6" x14ac:dyDescent="0.4">
      <c r="C9" t="s">
        <v>15</v>
      </c>
      <c r="D9" t="s">
        <v>16</v>
      </c>
    </row>
    <row r="10" spans="1:6" x14ac:dyDescent="0.4">
      <c r="A10" t="s">
        <v>133</v>
      </c>
      <c r="C10">
        <v>0.3</v>
      </c>
      <c r="D10" t="s">
        <v>18</v>
      </c>
    </row>
    <row r="11" spans="1:6" x14ac:dyDescent="0.4">
      <c r="A11" t="s">
        <v>134</v>
      </c>
      <c r="C11">
        <v>0.25</v>
      </c>
      <c r="D11" t="s">
        <v>19</v>
      </c>
    </row>
    <row r="12" spans="1:6" x14ac:dyDescent="0.4">
      <c r="A12" t="s">
        <v>135</v>
      </c>
      <c r="C12">
        <v>0.2</v>
      </c>
      <c r="D12" t="s">
        <v>19</v>
      </c>
    </row>
    <row r="13" spans="1:6" x14ac:dyDescent="0.4">
      <c r="A13" t="s">
        <v>136</v>
      </c>
      <c r="C13">
        <v>0.15</v>
      </c>
      <c r="D13" t="s">
        <v>19</v>
      </c>
    </row>
    <row r="14" spans="1:6" x14ac:dyDescent="0.4">
      <c r="A14" t="s">
        <v>137</v>
      </c>
      <c r="C14">
        <v>0.1</v>
      </c>
      <c r="D14" t="s">
        <v>19</v>
      </c>
    </row>
    <row r="16" spans="1:6" x14ac:dyDescent="0.4">
      <c r="A16" t="s">
        <v>143</v>
      </c>
    </row>
    <row r="17" spans="1:6" x14ac:dyDescent="0.4">
      <c r="A17" s="5"/>
      <c r="B17" s="5" t="s">
        <v>133</v>
      </c>
      <c r="C17" s="5" t="s">
        <v>134</v>
      </c>
      <c r="D17" s="5" t="s">
        <v>135</v>
      </c>
      <c r="E17" s="5" t="s">
        <v>136</v>
      </c>
      <c r="F17" s="5" t="s">
        <v>137</v>
      </c>
    </row>
    <row r="18" spans="1:6" x14ac:dyDescent="0.4">
      <c r="A18" s="5" t="s">
        <v>138</v>
      </c>
      <c r="B18" s="5">
        <f>1/B3^2</f>
        <v>1.6E-7</v>
      </c>
      <c r="C18" s="5">
        <f>C3^2</f>
        <v>96.04000000000002</v>
      </c>
      <c r="D18" s="5">
        <f t="shared" ref="D18:F18" si="0">D3^2</f>
        <v>90.25</v>
      </c>
      <c r="E18" s="5">
        <f t="shared" si="0"/>
        <v>84.639999999999986</v>
      </c>
      <c r="F18" s="5">
        <f t="shared" si="0"/>
        <v>56.25</v>
      </c>
    </row>
    <row r="19" spans="1:6" x14ac:dyDescent="0.4">
      <c r="A19" s="5" t="s">
        <v>139</v>
      </c>
      <c r="B19" s="5">
        <f t="shared" ref="B19:B21" si="1">1/B4^2</f>
        <v>3.0864197530864198E-7</v>
      </c>
      <c r="C19" s="5">
        <f t="shared" ref="C19:F19" si="2">C4^2</f>
        <v>67.239999999999995</v>
      </c>
      <c r="D19" s="5">
        <f t="shared" si="2"/>
        <v>77.440000000000012</v>
      </c>
      <c r="E19" s="5">
        <f t="shared" si="2"/>
        <v>64</v>
      </c>
      <c r="F19" s="5">
        <f t="shared" si="2"/>
        <v>72.25</v>
      </c>
    </row>
    <row r="20" spans="1:6" x14ac:dyDescent="0.4">
      <c r="A20" s="5" t="s">
        <v>140</v>
      </c>
      <c r="B20" s="5">
        <f t="shared" si="1"/>
        <v>3.9062500000000002E-7</v>
      </c>
      <c r="C20" s="5">
        <f t="shared" ref="C20:F20" si="3">C5^2</f>
        <v>56.25</v>
      </c>
      <c r="D20" s="5">
        <f t="shared" si="3"/>
        <v>60.839999999999996</v>
      </c>
      <c r="E20" s="5">
        <f t="shared" si="3"/>
        <v>51.84</v>
      </c>
      <c r="F20" s="5">
        <f t="shared" si="3"/>
        <v>77.440000000000012</v>
      </c>
    </row>
    <row r="21" spans="1:6" x14ac:dyDescent="0.4">
      <c r="A21" s="5" t="s">
        <v>141</v>
      </c>
      <c r="B21" s="5">
        <f t="shared" si="1"/>
        <v>5.1020408163265302E-7</v>
      </c>
      <c r="C21" s="5">
        <f t="shared" ref="C21:F21" si="4">C6^2</f>
        <v>46.239999999999995</v>
      </c>
      <c r="D21" s="5">
        <f t="shared" si="4"/>
        <v>51.84</v>
      </c>
      <c r="E21" s="5">
        <f t="shared" si="4"/>
        <v>42.25</v>
      </c>
      <c r="F21" s="5">
        <f t="shared" si="4"/>
        <v>84.639999999999986</v>
      </c>
    </row>
    <row r="23" spans="1:6" x14ac:dyDescent="0.4">
      <c r="B23" s="5" t="s">
        <v>133</v>
      </c>
      <c r="C23" s="5" t="s">
        <v>134</v>
      </c>
      <c r="D23" s="5" t="s">
        <v>135</v>
      </c>
      <c r="E23" s="5" t="s">
        <v>136</v>
      </c>
      <c r="F23" s="5" t="s">
        <v>137</v>
      </c>
    </row>
    <row r="24" spans="1:6" x14ac:dyDescent="0.4">
      <c r="B24" s="5">
        <f>SUM(B18:B21)</f>
        <v>1.369471056941295E-6</v>
      </c>
      <c r="C24" s="23">
        <f t="shared" ref="C24:F24" si="5">SUM(C18:C21)</f>
        <v>265.77000000000004</v>
      </c>
      <c r="D24" s="23">
        <f t="shared" si="5"/>
        <v>280.37</v>
      </c>
      <c r="E24" s="23">
        <f t="shared" si="5"/>
        <v>242.73</v>
      </c>
      <c r="F24" s="23">
        <f t="shared" si="5"/>
        <v>290.58</v>
      </c>
    </row>
    <row r="25" spans="1:6" x14ac:dyDescent="0.4">
      <c r="C25" s="24"/>
      <c r="D25" s="24"/>
      <c r="E25" s="24"/>
      <c r="F25" s="24"/>
    </row>
    <row r="26" spans="1:6" x14ac:dyDescent="0.4">
      <c r="B26" s="5" t="s">
        <v>133</v>
      </c>
      <c r="C26" s="23" t="s">
        <v>134</v>
      </c>
      <c r="D26" s="23" t="s">
        <v>135</v>
      </c>
      <c r="E26" s="23" t="s">
        <v>136</v>
      </c>
      <c r="F26" s="23" t="s">
        <v>137</v>
      </c>
    </row>
    <row r="27" spans="1:6" x14ac:dyDescent="0.4">
      <c r="B27" s="23">
        <f>SQRT(B24)</f>
        <v>1.1702440159818358E-3</v>
      </c>
      <c r="C27" s="23">
        <f t="shared" ref="C27:F27" si="6">SQRT(C24)</f>
        <v>16.302453803032229</v>
      </c>
      <c r="D27" s="23">
        <f t="shared" si="6"/>
        <v>16.744252745345193</v>
      </c>
      <c r="E27" s="23">
        <f t="shared" si="6"/>
        <v>15.579794607118542</v>
      </c>
      <c r="F27" s="23">
        <f t="shared" si="6"/>
        <v>17.046407246103207</v>
      </c>
    </row>
    <row r="29" spans="1:6" x14ac:dyDescent="0.4">
      <c r="A29" s="5"/>
      <c r="B29" s="5" t="s">
        <v>133</v>
      </c>
      <c r="C29" s="5" t="s">
        <v>134</v>
      </c>
      <c r="D29" s="5" t="s">
        <v>135</v>
      </c>
      <c r="E29" s="5" t="s">
        <v>136</v>
      </c>
      <c r="F29" s="5" t="s">
        <v>137</v>
      </c>
    </row>
    <row r="30" spans="1:6" x14ac:dyDescent="0.4">
      <c r="A30" s="5" t="s">
        <v>138</v>
      </c>
      <c r="B30" s="23">
        <f>(1/B3)/$B$27</f>
        <v>0.34180905395563987</v>
      </c>
      <c r="C30" s="23">
        <f>C3/$C$27</f>
        <v>0.60113649873844255</v>
      </c>
      <c r="D30" s="23">
        <f>D3/$D$27</f>
        <v>0.56735885109241113</v>
      </c>
      <c r="E30" s="23">
        <f>E3/$E$27</f>
        <v>0.59050842658711566</v>
      </c>
      <c r="F30" s="23">
        <f>F3/$F$27</f>
        <v>0.43997540899502402</v>
      </c>
    </row>
    <row r="31" spans="1:6" x14ac:dyDescent="0.4">
      <c r="A31" s="5" t="s">
        <v>139</v>
      </c>
      <c r="B31" s="23">
        <f t="shared" ref="B31:B33" si="7">(1/B4)/$B$27</f>
        <v>0.4747347971606109</v>
      </c>
      <c r="C31" s="23">
        <f t="shared" ref="C31:C33" si="8">C4/$C$27</f>
        <v>0.50299176425053349</v>
      </c>
      <c r="D31" s="23">
        <f t="shared" ref="D31:D33" si="9">D4/$D$27</f>
        <v>0.52555346206454934</v>
      </c>
      <c r="E31" s="23">
        <f t="shared" ref="E31:E33" si="10">E4/$E$27</f>
        <v>0.51348558833662228</v>
      </c>
      <c r="F31" s="23">
        <f t="shared" ref="F31:F33" si="11">F4/$F$27</f>
        <v>0.49863879686102724</v>
      </c>
    </row>
    <row r="32" spans="1:6" x14ac:dyDescent="0.4">
      <c r="A32" s="5" t="s">
        <v>140</v>
      </c>
      <c r="B32" s="23">
        <f t="shared" si="7"/>
        <v>0.53407664680568734</v>
      </c>
      <c r="C32" s="23">
        <f t="shared" si="8"/>
        <v>0.46005344291207328</v>
      </c>
      <c r="D32" s="23">
        <f t="shared" si="9"/>
        <v>0.46583147773903233</v>
      </c>
      <c r="E32" s="23">
        <f t="shared" si="10"/>
        <v>0.46213702950296009</v>
      </c>
      <c r="F32" s="23">
        <f t="shared" si="11"/>
        <v>0.51623781322082829</v>
      </c>
    </row>
    <row r="33" spans="1:6" x14ac:dyDescent="0.4">
      <c r="A33" s="5" t="s">
        <v>141</v>
      </c>
      <c r="B33" s="23">
        <f t="shared" si="7"/>
        <v>0.61037331063507116</v>
      </c>
      <c r="C33" s="23">
        <f t="shared" si="8"/>
        <v>0.41711512157361313</v>
      </c>
      <c r="D33" s="23">
        <f t="shared" si="9"/>
        <v>0.42999828714372212</v>
      </c>
      <c r="E33" s="23">
        <f t="shared" si="10"/>
        <v>0.41720704052350566</v>
      </c>
      <c r="F33" s="23">
        <f t="shared" si="11"/>
        <v>0.53970316836722942</v>
      </c>
    </row>
    <row r="34" spans="1:6" x14ac:dyDescent="0.4">
      <c r="B34" s="24"/>
      <c r="C34" s="24"/>
      <c r="D34" s="24"/>
      <c r="E34" s="24"/>
      <c r="F34" s="24"/>
    </row>
    <row r="35" spans="1:6" x14ac:dyDescent="0.4">
      <c r="A35" t="s">
        <v>144</v>
      </c>
      <c r="B35" s="24"/>
      <c r="C35" s="24"/>
      <c r="D35" s="24"/>
      <c r="E35" s="24"/>
      <c r="F35" s="24"/>
    </row>
    <row r="36" spans="1:6" x14ac:dyDescent="0.4">
      <c r="A36" s="5"/>
      <c r="B36" s="23" t="s">
        <v>133</v>
      </c>
      <c r="C36" s="23" t="s">
        <v>134</v>
      </c>
      <c r="D36" s="23" t="s">
        <v>135</v>
      </c>
      <c r="E36" s="23" t="s">
        <v>136</v>
      </c>
      <c r="F36" s="23" t="s">
        <v>137</v>
      </c>
    </row>
    <row r="37" spans="1:6" x14ac:dyDescent="0.4">
      <c r="A37" s="5" t="s">
        <v>138</v>
      </c>
      <c r="B37" s="23">
        <f>B30*$C$10</f>
        <v>0.10254271618669196</v>
      </c>
      <c r="C37" s="23">
        <f>C30*$C$11</f>
        <v>0.15028412468461064</v>
      </c>
      <c r="D37" s="23">
        <f>D30*$C$12</f>
        <v>0.11347177021848223</v>
      </c>
      <c r="E37" s="23">
        <f>E30*$C$13</f>
        <v>8.8576263988067352E-2</v>
      </c>
      <c r="F37" s="23">
        <f>F30*$C$14</f>
        <v>4.3997540899502405E-2</v>
      </c>
    </row>
    <row r="38" spans="1:6" x14ac:dyDescent="0.4">
      <c r="A38" s="5" t="s">
        <v>139</v>
      </c>
      <c r="B38" s="23">
        <f t="shared" ref="B38:B40" si="12">B31*$C$10</f>
        <v>0.14242043914818325</v>
      </c>
      <c r="C38" s="23">
        <f t="shared" ref="C38:C40" si="13">C31*$C$11</f>
        <v>0.12574794106263337</v>
      </c>
      <c r="D38" s="23">
        <f t="shared" ref="D38:D40" si="14">D31*$C$12</f>
        <v>0.10511069241290988</v>
      </c>
      <c r="E38" s="23">
        <f t="shared" ref="E38:E40" si="15">E31*$C$13</f>
        <v>7.7022838250493345E-2</v>
      </c>
      <c r="F38" s="23">
        <f t="shared" ref="F38:F40" si="16">F31*$C$14</f>
        <v>4.986387968610273E-2</v>
      </c>
    </row>
    <row r="39" spans="1:6" x14ac:dyDescent="0.4">
      <c r="A39" s="5" t="s">
        <v>140</v>
      </c>
      <c r="B39" s="23">
        <f t="shared" si="12"/>
        <v>0.1602229940417062</v>
      </c>
      <c r="C39" s="23">
        <f t="shared" si="13"/>
        <v>0.11501336072801832</v>
      </c>
      <c r="D39" s="23">
        <f t="shared" si="14"/>
        <v>9.3166295547806477E-2</v>
      </c>
      <c r="E39" s="23">
        <f t="shared" si="15"/>
        <v>6.9320554425444006E-2</v>
      </c>
      <c r="F39" s="23">
        <f t="shared" si="16"/>
        <v>5.1623781322082833E-2</v>
      </c>
    </row>
    <row r="40" spans="1:6" x14ac:dyDescent="0.4">
      <c r="A40" s="5" t="s">
        <v>141</v>
      </c>
      <c r="B40" s="23">
        <f t="shared" si="12"/>
        <v>0.18311199319052135</v>
      </c>
      <c r="C40" s="23">
        <f t="shared" si="13"/>
        <v>0.10427878039340328</v>
      </c>
      <c r="D40" s="23">
        <f t="shared" si="14"/>
        <v>8.5999657428744436E-2</v>
      </c>
      <c r="E40" s="23">
        <f t="shared" si="15"/>
        <v>6.2581056078525849E-2</v>
      </c>
      <c r="F40" s="23">
        <f t="shared" si="16"/>
        <v>5.3970316836722945E-2</v>
      </c>
    </row>
    <row r="42" spans="1:6" x14ac:dyDescent="0.4">
      <c r="A42" t="s">
        <v>145</v>
      </c>
    </row>
    <row r="43" spans="1:6" x14ac:dyDescent="0.4">
      <c r="A43" t="s">
        <v>146</v>
      </c>
    </row>
    <row r="44" spans="1:6" x14ac:dyDescent="0.4">
      <c r="A44" s="5"/>
      <c r="B44" s="23" t="s">
        <v>133</v>
      </c>
      <c r="C44" s="23" t="s">
        <v>134</v>
      </c>
      <c r="D44" s="23" t="s">
        <v>135</v>
      </c>
      <c r="E44" s="23" t="s">
        <v>136</v>
      </c>
      <c r="F44" s="23" t="s">
        <v>137</v>
      </c>
    </row>
    <row r="45" spans="1:6" x14ac:dyDescent="0.4">
      <c r="A45" s="5" t="s">
        <v>138</v>
      </c>
      <c r="B45" s="23">
        <v>0.10254271618669196</v>
      </c>
      <c r="C45" s="23">
        <v>0.15028412468461064</v>
      </c>
      <c r="D45" s="23">
        <v>0.11347177021848223</v>
      </c>
      <c r="E45" s="23">
        <v>8.8576263988067352E-2</v>
      </c>
      <c r="F45" s="23">
        <v>4.3997540899502405E-2</v>
      </c>
    </row>
    <row r="46" spans="1:6" x14ac:dyDescent="0.4">
      <c r="A46" s="5" t="s">
        <v>139</v>
      </c>
      <c r="B46" s="23">
        <v>0.14242043914818325</v>
      </c>
      <c r="C46" s="23">
        <v>0.12574794106263337</v>
      </c>
      <c r="D46" s="23">
        <v>0.10511069241290988</v>
      </c>
      <c r="E46" s="23">
        <v>7.7022838250493345E-2</v>
      </c>
      <c r="F46" s="23">
        <v>4.986387968610273E-2</v>
      </c>
    </row>
    <row r="47" spans="1:6" x14ac:dyDescent="0.4">
      <c r="A47" t="s">
        <v>147</v>
      </c>
      <c r="B47">
        <f>IF(B45&gt;=B46,1,0)</f>
        <v>0</v>
      </c>
      <c r="C47">
        <f t="shared" ref="C47:F47" si="17">IF(C45&gt;=C46,1,0)</f>
        <v>1</v>
      </c>
      <c r="D47">
        <f t="shared" si="17"/>
        <v>1</v>
      </c>
      <c r="E47">
        <f t="shared" si="17"/>
        <v>1</v>
      </c>
      <c r="F47">
        <f t="shared" si="17"/>
        <v>0</v>
      </c>
    </row>
    <row r="48" spans="1:6" x14ac:dyDescent="0.4">
      <c r="A48" t="s">
        <v>15</v>
      </c>
      <c r="B48" cm="1">
        <f t="array" ref="B48:F48">TRANSPOSE($C$10:$C$14)</f>
        <v>0.3</v>
      </c>
      <c r="C48">
        <v>0.25</v>
      </c>
      <c r="D48">
        <v>0.2</v>
      </c>
      <c r="E48">
        <v>0.15</v>
      </c>
      <c r="F48">
        <v>0.1</v>
      </c>
    </row>
    <row r="49" spans="1:6" x14ac:dyDescent="0.4">
      <c r="A49" t="s">
        <v>148</v>
      </c>
      <c r="C49">
        <f>SUMPRODUCT(B47:F47,_xlfn.ANCHORARRAY(B48))</f>
        <v>0.6</v>
      </c>
    </row>
    <row r="51" spans="1:6" x14ac:dyDescent="0.4">
      <c r="A51" t="s">
        <v>149</v>
      </c>
    </row>
    <row r="52" spans="1:6" x14ac:dyDescent="0.4">
      <c r="A52" s="5"/>
      <c r="B52" s="23" t="s">
        <v>133</v>
      </c>
      <c r="C52" s="23" t="s">
        <v>134</v>
      </c>
      <c r="D52" s="23" t="s">
        <v>135</v>
      </c>
      <c r="E52" s="23" t="s">
        <v>136</v>
      </c>
      <c r="F52" s="23" t="s">
        <v>137</v>
      </c>
    </row>
    <row r="53" spans="1:6" x14ac:dyDescent="0.4">
      <c r="A53" s="5" t="s">
        <v>138</v>
      </c>
      <c r="B53" s="23">
        <v>0.10254271618669196</v>
      </c>
      <c r="C53" s="23">
        <v>0.15028412468461064</v>
      </c>
      <c r="D53" s="23">
        <v>0.11347177021848223</v>
      </c>
      <c r="E53" s="23">
        <v>8.8576263988067352E-2</v>
      </c>
      <c r="F53" s="23">
        <v>4.3997540899502405E-2</v>
      </c>
    </row>
    <row r="54" spans="1:6" x14ac:dyDescent="0.4">
      <c r="A54" s="5" t="s">
        <v>140</v>
      </c>
      <c r="B54" s="23">
        <v>0.1602229940417062</v>
      </c>
      <c r="C54" s="23">
        <v>0.11501336072801832</v>
      </c>
      <c r="D54" s="23">
        <v>9.3166295547806477E-2</v>
      </c>
      <c r="E54" s="23">
        <v>6.9320554425444006E-2</v>
      </c>
      <c r="F54" s="23">
        <v>5.1623781322082833E-2</v>
      </c>
    </row>
    <row r="55" spans="1:6" x14ac:dyDescent="0.4">
      <c r="A55" t="s">
        <v>150</v>
      </c>
      <c r="B55">
        <f>IF(B53&gt;=B54,1,0)</f>
        <v>0</v>
      </c>
      <c r="C55">
        <f t="shared" ref="C55" si="18">IF(C53&gt;=C54,1,0)</f>
        <v>1</v>
      </c>
      <c r="D55">
        <f t="shared" ref="D55" si="19">IF(D53&gt;=D54,1,0)</f>
        <v>1</v>
      </c>
      <c r="E55">
        <f t="shared" ref="E55" si="20">IF(E53&gt;=E54,1,0)</f>
        <v>1</v>
      </c>
      <c r="F55">
        <f t="shared" ref="F55" si="21">IF(F53&gt;=F54,1,0)</f>
        <v>0</v>
      </c>
    </row>
    <row r="56" spans="1:6" x14ac:dyDescent="0.4">
      <c r="A56" t="s">
        <v>15</v>
      </c>
      <c r="B56" cm="1">
        <f t="array" ref="B56:F56">TRANSPOSE($C$10:$C$14)</f>
        <v>0.3</v>
      </c>
      <c r="C56">
        <v>0.25</v>
      </c>
      <c r="D56">
        <v>0.2</v>
      </c>
      <c r="E56">
        <v>0.15</v>
      </c>
      <c r="F56">
        <v>0.1</v>
      </c>
    </row>
    <row r="57" spans="1:6" x14ac:dyDescent="0.4">
      <c r="A57" t="s">
        <v>151</v>
      </c>
      <c r="C57">
        <f>SUMPRODUCT(B55:F55,_xlfn.ANCHORARRAY(B56))</f>
        <v>0.6</v>
      </c>
    </row>
    <row r="59" spans="1:6" x14ac:dyDescent="0.4">
      <c r="A59" t="s">
        <v>94</v>
      </c>
    </row>
    <row r="61" spans="1:6" x14ac:dyDescent="0.4">
      <c r="A61" t="s">
        <v>159</v>
      </c>
    </row>
    <row r="62" spans="1:6" x14ac:dyDescent="0.4">
      <c r="A62" s="5"/>
      <c r="B62" s="23" t="s">
        <v>133</v>
      </c>
      <c r="C62" s="23" t="s">
        <v>134</v>
      </c>
      <c r="D62" s="23" t="s">
        <v>135</v>
      </c>
      <c r="E62" s="23" t="s">
        <v>136</v>
      </c>
      <c r="F62" s="23" t="s">
        <v>137</v>
      </c>
    </row>
    <row r="63" spans="1:6" x14ac:dyDescent="0.4">
      <c r="A63" s="5" t="s">
        <v>141</v>
      </c>
      <c r="B63" s="23">
        <v>0.18311199319052135</v>
      </c>
      <c r="C63" s="23">
        <v>0.10427878039340328</v>
      </c>
      <c r="D63" s="23">
        <v>8.5999657428744436E-2</v>
      </c>
      <c r="E63" s="23">
        <v>6.2581056078525849E-2</v>
      </c>
      <c r="F63" s="23">
        <v>5.3970316836722945E-2</v>
      </c>
    </row>
    <row r="64" spans="1:6" x14ac:dyDescent="0.4">
      <c r="A64" s="5" t="s">
        <v>140</v>
      </c>
      <c r="B64" s="23">
        <v>0.1602229940417062</v>
      </c>
      <c r="C64" s="23">
        <v>0.11501336072801832</v>
      </c>
      <c r="D64" s="23">
        <v>9.3166295547806477E-2</v>
      </c>
      <c r="E64" s="23">
        <v>6.9320554425444006E-2</v>
      </c>
      <c r="F64" s="23">
        <v>5.1623781322082833E-2</v>
      </c>
    </row>
    <row r="65" spans="1:6" x14ac:dyDescent="0.4">
      <c r="A65" t="s">
        <v>147</v>
      </c>
      <c r="B65">
        <f>IF(B63&gt;=B64,1,0)</f>
        <v>1</v>
      </c>
      <c r="C65">
        <f t="shared" ref="C65" si="22">IF(C63&gt;=C64,1,0)</f>
        <v>0</v>
      </c>
      <c r="D65">
        <f t="shared" ref="D65" si="23">IF(D63&gt;=D64,1,0)</f>
        <v>0</v>
      </c>
      <c r="E65">
        <f t="shared" ref="E65" si="24">IF(E63&gt;=E64,1,0)</f>
        <v>0</v>
      </c>
      <c r="F65">
        <f t="shared" ref="F65" si="25">IF(F63&gt;=F64,1,0)</f>
        <v>1</v>
      </c>
    </row>
    <row r="66" spans="1:6" x14ac:dyDescent="0.4">
      <c r="A66" t="s">
        <v>15</v>
      </c>
      <c r="B66" cm="1">
        <f t="array" ref="B66:F66">TRANSPOSE($C$10:$C$14)</f>
        <v>0.3</v>
      </c>
      <c r="C66">
        <v>0.25</v>
      </c>
      <c r="D66">
        <v>0.2</v>
      </c>
      <c r="E66">
        <v>0.15</v>
      </c>
      <c r="F66">
        <v>0.1</v>
      </c>
    </row>
    <row r="67" spans="1:6" x14ac:dyDescent="0.4">
      <c r="A67" t="s">
        <v>152</v>
      </c>
      <c r="C67">
        <f>SUMPRODUCT(B65:F65,_xlfn.ANCHORARRAY(B66))</f>
        <v>0.4</v>
      </c>
    </row>
    <row r="69" spans="1:6" x14ac:dyDescent="0.4">
      <c r="A69" t="s">
        <v>153</v>
      </c>
    </row>
    <row r="70" spans="1:6" x14ac:dyDescent="0.4">
      <c r="A70" s="5"/>
      <c r="B70" s="5" t="s">
        <v>138</v>
      </c>
      <c r="C70" s="5" t="s">
        <v>139</v>
      </c>
      <c r="D70" s="5" t="s">
        <v>140</v>
      </c>
      <c r="E70" s="5" t="s">
        <v>141</v>
      </c>
    </row>
    <row r="71" spans="1:6" x14ac:dyDescent="0.4">
      <c r="A71" s="5" t="s">
        <v>138</v>
      </c>
      <c r="B71" s="5">
        <v>0</v>
      </c>
      <c r="C71" s="5">
        <v>0.6</v>
      </c>
      <c r="D71" s="5">
        <v>0.6</v>
      </c>
      <c r="E71" s="5">
        <v>0.6</v>
      </c>
    </row>
    <row r="72" spans="1:6" x14ac:dyDescent="0.4">
      <c r="A72" s="5" t="s">
        <v>139</v>
      </c>
      <c r="B72" s="5">
        <v>0.4</v>
      </c>
      <c r="C72" s="5">
        <v>0</v>
      </c>
      <c r="D72" s="5">
        <v>0.6</v>
      </c>
      <c r="E72" s="5">
        <v>0.6</v>
      </c>
    </row>
    <row r="73" spans="1:6" x14ac:dyDescent="0.4">
      <c r="A73" s="5" t="s">
        <v>140</v>
      </c>
      <c r="B73" s="5">
        <v>0.4</v>
      </c>
      <c r="C73" s="5">
        <v>0.4</v>
      </c>
      <c r="D73" s="5">
        <v>0</v>
      </c>
      <c r="E73" s="5">
        <v>0.6</v>
      </c>
    </row>
    <row r="74" spans="1:6" x14ac:dyDescent="0.4">
      <c r="A74" s="5" t="s">
        <v>141</v>
      </c>
      <c r="B74" s="5">
        <v>0.4</v>
      </c>
      <c r="C74" s="5">
        <v>0.4</v>
      </c>
      <c r="D74" s="5">
        <v>0.4</v>
      </c>
      <c r="E74" s="5">
        <v>0</v>
      </c>
    </row>
    <row r="76" spans="1:6" x14ac:dyDescent="0.4">
      <c r="A76" t="s">
        <v>154</v>
      </c>
    </row>
    <row r="77" spans="1:6" x14ac:dyDescent="0.4">
      <c r="A77" t="s">
        <v>155</v>
      </c>
    </row>
    <row r="78" spans="1:6" x14ac:dyDescent="0.4">
      <c r="A78" t="s">
        <v>156</v>
      </c>
    </row>
    <row r="79" spans="1:6" x14ac:dyDescent="0.4">
      <c r="A79" s="5"/>
      <c r="B79" s="23" t="s">
        <v>133</v>
      </c>
      <c r="C79" s="23" t="s">
        <v>134</v>
      </c>
      <c r="D79" s="23" t="s">
        <v>135</v>
      </c>
      <c r="E79" s="23" t="s">
        <v>136</v>
      </c>
      <c r="F79" s="23" t="s">
        <v>137</v>
      </c>
    </row>
    <row r="80" spans="1:6" x14ac:dyDescent="0.4">
      <c r="A80" s="5" t="s">
        <v>138</v>
      </c>
      <c r="B80" s="23">
        <v>0.10254271618669196</v>
      </c>
      <c r="C80" s="23">
        <v>0.15028412468461064</v>
      </c>
      <c r="D80" s="23">
        <v>0.11347177021848223</v>
      </c>
      <c r="E80" s="23">
        <v>8.8576263988067352E-2</v>
      </c>
      <c r="F80" s="23">
        <v>4.3997540899502405E-2</v>
      </c>
    </row>
    <row r="81" spans="1:6" x14ac:dyDescent="0.4">
      <c r="A81" s="5" t="s">
        <v>139</v>
      </c>
      <c r="B81" s="23">
        <v>0.14242043914818325</v>
      </c>
      <c r="C81" s="23">
        <v>0.12574794106263337</v>
      </c>
      <c r="D81" s="23">
        <v>0.10511069241290988</v>
      </c>
      <c r="E81" s="23">
        <v>7.7022838250493345E-2</v>
      </c>
      <c r="F81" s="23">
        <v>4.986387968610273E-2</v>
      </c>
    </row>
    <row r="82" spans="1:6" x14ac:dyDescent="0.4">
      <c r="A82" t="s">
        <v>157</v>
      </c>
      <c r="B82" s="24">
        <f>MAX(B80:B81)-MIN(B80:B81)</f>
        <v>3.9877722961491294E-2</v>
      </c>
      <c r="C82" s="24">
        <f t="shared" ref="C82:F82" si="26">MAX(C80:C81)-MIN(C80:C81)</f>
        <v>2.4536183621977264E-2</v>
      </c>
      <c r="D82" s="24">
        <f t="shared" si="26"/>
        <v>8.3610778055723534E-3</v>
      </c>
      <c r="E82" s="24">
        <f t="shared" si="26"/>
        <v>1.1553425737574008E-2</v>
      </c>
      <c r="F82" s="24">
        <f t="shared" si="26"/>
        <v>5.8663387866003253E-3</v>
      </c>
    </row>
    <row r="83" spans="1:6" x14ac:dyDescent="0.4">
      <c r="A83" t="s">
        <v>158</v>
      </c>
      <c r="B83" s="24">
        <f>MAX(B82:F82)</f>
        <v>3.9877722961491294E-2</v>
      </c>
    </row>
    <row r="84" spans="1:6" x14ac:dyDescent="0.4">
      <c r="A84" t="s">
        <v>94</v>
      </c>
    </row>
    <row r="85" spans="1:6" x14ac:dyDescent="0.4">
      <c r="A85" t="s">
        <v>160</v>
      </c>
    </row>
    <row r="86" spans="1:6" x14ac:dyDescent="0.4">
      <c r="A86" s="5"/>
      <c r="B86" s="23" t="s">
        <v>133</v>
      </c>
      <c r="C86" s="23" t="s">
        <v>134</v>
      </c>
      <c r="D86" s="23" t="s">
        <v>135</v>
      </c>
      <c r="E86" s="23" t="s">
        <v>136</v>
      </c>
      <c r="F86" s="23" t="s">
        <v>137</v>
      </c>
    </row>
    <row r="87" spans="1:6" x14ac:dyDescent="0.4">
      <c r="A87" s="5" t="s">
        <v>141</v>
      </c>
      <c r="B87" s="23">
        <v>0.18311199319052135</v>
      </c>
      <c r="C87" s="23">
        <v>0.10427878039340328</v>
      </c>
      <c r="D87" s="23">
        <v>8.5999657428744436E-2</v>
      </c>
      <c r="E87" s="23">
        <v>6.2581056078525849E-2</v>
      </c>
      <c r="F87" s="23">
        <v>5.3970316836722945E-2</v>
      </c>
    </row>
    <row r="88" spans="1:6" x14ac:dyDescent="0.4">
      <c r="A88" s="5" t="s">
        <v>140</v>
      </c>
      <c r="B88" s="23">
        <v>0.1602229940417062</v>
      </c>
      <c r="C88" s="23">
        <v>0.11501336072801832</v>
      </c>
      <c r="D88" s="23">
        <v>9.3166295547806477E-2</v>
      </c>
      <c r="E88" s="23">
        <v>6.9320554425444006E-2</v>
      </c>
      <c r="F88" s="23">
        <v>5.1623781322082833E-2</v>
      </c>
    </row>
    <row r="89" spans="1:6" x14ac:dyDescent="0.4">
      <c r="A89" t="s">
        <v>157</v>
      </c>
      <c r="B89" s="24">
        <f>MAX(B87:B88)-MIN(B87:B88)</f>
        <v>2.2888999148815148E-2</v>
      </c>
      <c r="C89" s="24">
        <f t="shared" ref="C89" si="27">MAX(C87:C88)-MIN(C87:C88)</f>
        <v>1.0734580334615038E-2</v>
      </c>
      <c r="D89" s="24">
        <f t="shared" ref="D89" si="28">MAX(D87:D88)-MIN(D87:D88)</f>
        <v>7.166638119062041E-3</v>
      </c>
      <c r="E89" s="24">
        <f t="shared" ref="E89" si="29">MAX(E87:E88)-MIN(E87:E88)</f>
        <v>6.7394983469181574E-3</v>
      </c>
      <c r="F89" s="24">
        <f t="shared" ref="F89" si="30">MAX(F87:F88)-MIN(F87:F88)</f>
        <v>2.3465355146401121E-3</v>
      </c>
    </row>
    <row r="90" spans="1:6" x14ac:dyDescent="0.4">
      <c r="A90" t="s">
        <v>158</v>
      </c>
      <c r="B90" s="24">
        <f>MAX(B89:F89)</f>
        <v>2.2888999148815148E-2</v>
      </c>
    </row>
    <row r="92" spans="1:6" x14ac:dyDescent="0.4">
      <c r="A92" t="s">
        <v>161</v>
      </c>
      <c r="B92">
        <v>8.056927700382939E-2</v>
      </c>
      <c r="C92" t="s">
        <v>162</v>
      </c>
    </row>
    <row r="94" spans="1:6" x14ac:dyDescent="0.4">
      <c r="A94" t="s">
        <v>163</v>
      </c>
    </row>
    <row r="95" spans="1:6" x14ac:dyDescent="0.4">
      <c r="A95" t="s">
        <v>146</v>
      </c>
    </row>
    <row r="96" spans="1:6" x14ac:dyDescent="0.4">
      <c r="A96" s="5"/>
      <c r="B96" s="23" t="s">
        <v>133</v>
      </c>
      <c r="C96" s="23" t="s">
        <v>134</v>
      </c>
      <c r="D96" s="23" t="s">
        <v>135</v>
      </c>
      <c r="E96" s="23" t="s">
        <v>136</v>
      </c>
      <c r="F96" s="23" t="s">
        <v>137</v>
      </c>
    </row>
    <row r="97" spans="1:6" x14ac:dyDescent="0.4">
      <c r="A97" s="5" t="s">
        <v>138</v>
      </c>
      <c r="B97" s="23">
        <v>0.10254271618669196</v>
      </c>
      <c r="C97" s="23">
        <v>0.15028412468461064</v>
      </c>
      <c r="D97" s="23">
        <v>0.11347177021848223</v>
      </c>
      <c r="E97" s="23">
        <v>8.8576263988067352E-2</v>
      </c>
      <c r="F97" s="23">
        <v>4.3997540899502405E-2</v>
      </c>
    </row>
    <row r="98" spans="1:6" x14ac:dyDescent="0.4">
      <c r="A98" s="5" t="s">
        <v>139</v>
      </c>
      <c r="B98" s="23">
        <v>0.14242043914818325</v>
      </c>
      <c r="C98" s="23">
        <v>0.12574794106263337</v>
      </c>
      <c r="D98" s="23">
        <v>0.10511069241290988</v>
      </c>
      <c r="E98" s="23">
        <v>7.7022838250493345E-2</v>
      </c>
      <c r="F98" s="23">
        <v>4.986387968610273E-2</v>
      </c>
    </row>
    <row r="99" spans="1:6" x14ac:dyDescent="0.4">
      <c r="A99" t="s">
        <v>164</v>
      </c>
      <c r="B99">
        <f>IF(B97&lt;=B98,1,0)</f>
        <v>1</v>
      </c>
      <c r="C99">
        <f t="shared" ref="C99:F99" si="31">IF(C97&lt;=C98,1,0)</f>
        <v>0</v>
      </c>
      <c r="D99">
        <f t="shared" si="31"/>
        <v>0</v>
      </c>
      <c r="E99">
        <f t="shared" si="31"/>
        <v>0</v>
      </c>
      <c r="F99">
        <f t="shared" si="31"/>
        <v>1</v>
      </c>
    </row>
    <row r="100" spans="1:6" x14ac:dyDescent="0.4">
      <c r="A100" t="s">
        <v>165</v>
      </c>
      <c r="B100" s="24">
        <f>MAX(B97:B98)-MIN(B97:B98)</f>
        <v>3.9877722961491294E-2</v>
      </c>
      <c r="C100" s="24">
        <f t="shared" ref="C100:F100" si="32">MAX(C97:C98)-MIN(C97:C98)</f>
        <v>2.4536183621977264E-2</v>
      </c>
      <c r="D100" s="24">
        <f t="shared" si="32"/>
        <v>8.3610778055723534E-3</v>
      </c>
      <c r="E100" s="24">
        <f t="shared" si="32"/>
        <v>1.1553425737574008E-2</v>
      </c>
      <c r="F100" s="24">
        <f t="shared" si="32"/>
        <v>5.8663387866003253E-3</v>
      </c>
    </row>
    <row r="101" spans="1:6" x14ac:dyDescent="0.4">
      <c r="A101" t="s">
        <v>166</v>
      </c>
      <c r="C101" s="24">
        <f>B100</f>
        <v>3.9877722961491294E-2</v>
      </c>
      <c r="D101" s="24">
        <f>F100</f>
        <v>5.8663387866003253E-3</v>
      </c>
    </row>
    <row r="102" spans="1:6" x14ac:dyDescent="0.4">
      <c r="A102" t="s">
        <v>167</v>
      </c>
      <c r="C102">
        <f>MAX(C101:D101)/$B$92</f>
        <v>0.49494949494949469</v>
      </c>
    </row>
    <row r="103" spans="1:6" x14ac:dyDescent="0.4">
      <c r="A103" t="s">
        <v>94</v>
      </c>
    </row>
    <row r="104" spans="1:6" x14ac:dyDescent="0.4">
      <c r="A104" t="s">
        <v>159</v>
      </c>
    </row>
    <row r="105" spans="1:6" x14ac:dyDescent="0.4">
      <c r="A105" s="5"/>
      <c r="B105" s="23" t="s">
        <v>133</v>
      </c>
      <c r="C105" s="23" t="s">
        <v>134</v>
      </c>
      <c r="D105" s="23" t="s">
        <v>135</v>
      </c>
      <c r="E105" s="23" t="s">
        <v>136</v>
      </c>
      <c r="F105" s="23" t="s">
        <v>137</v>
      </c>
    </row>
    <row r="106" spans="1:6" x14ac:dyDescent="0.4">
      <c r="A106" s="5" t="s">
        <v>141</v>
      </c>
      <c r="B106" s="23">
        <v>0.18311199319052135</v>
      </c>
      <c r="C106" s="23">
        <v>0.10427878039340328</v>
      </c>
      <c r="D106" s="23">
        <v>8.5999657428744436E-2</v>
      </c>
      <c r="E106" s="23">
        <v>6.2581056078525849E-2</v>
      </c>
      <c r="F106" s="23">
        <v>5.3970316836722945E-2</v>
      </c>
    </row>
    <row r="107" spans="1:6" x14ac:dyDescent="0.4">
      <c r="A107" s="5" t="s">
        <v>140</v>
      </c>
      <c r="B107" s="23">
        <v>0.1602229940417062</v>
      </c>
      <c r="C107" s="23">
        <v>0.11501336072801832</v>
      </c>
      <c r="D107" s="23">
        <v>9.3166295547806477E-2</v>
      </c>
      <c r="E107" s="23">
        <v>6.9320554425444006E-2</v>
      </c>
      <c r="F107" s="23">
        <v>5.1623781322082833E-2</v>
      </c>
    </row>
    <row r="108" spans="1:6" x14ac:dyDescent="0.4">
      <c r="A108" t="s">
        <v>164</v>
      </c>
      <c r="B108">
        <f>IF(B106&lt;=B107,1,0)</f>
        <v>0</v>
      </c>
      <c r="C108">
        <f t="shared" ref="C108" si="33">IF(C106&lt;=C107,1,0)</f>
        <v>1</v>
      </c>
      <c r="D108">
        <f t="shared" ref="D108" si="34">IF(D106&lt;=D107,1,0)</f>
        <v>1</v>
      </c>
      <c r="E108">
        <f t="shared" ref="E108" si="35">IF(E106&lt;=E107,1,0)</f>
        <v>1</v>
      </c>
      <c r="F108">
        <f t="shared" ref="F108" si="36">IF(F106&lt;=F107,1,0)</f>
        <v>0</v>
      </c>
    </row>
    <row r="109" spans="1:6" x14ac:dyDescent="0.4">
      <c r="A109" t="s">
        <v>165</v>
      </c>
      <c r="B109" s="24">
        <f>MAX(B106:B107)-MIN(B106:B107)</f>
        <v>2.2888999148815148E-2</v>
      </c>
      <c r="C109" s="24">
        <f t="shared" ref="C109:F109" si="37">MAX(C106:C107)-MIN(C106:C107)</f>
        <v>1.0734580334615038E-2</v>
      </c>
      <c r="D109" s="24">
        <f t="shared" si="37"/>
        <v>7.166638119062041E-3</v>
      </c>
      <c r="E109" s="24">
        <f t="shared" si="37"/>
        <v>6.7394983469181574E-3</v>
      </c>
      <c r="F109" s="24">
        <f t="shared" si="37"/>
        <v>2.3465355146401121E-3</v>
      </c>
    </row>
    <row r="110" spans="1:6" x14ac:dyDescent="0.4">
      <c r="A110" t="s">
        <v>166</v>
      </c>
      <c r="C110" s="24">
        <f>C109</f>
        <v>1.0734580334615038E-2</v>
      </c>
      <c r="D110" s="24">
        <f>D109</f>
        <v>7.166638119062041E-3</v>
      </c>
      <c r="E110" s="24">
        <f>E109</f>
        <v>6.7394983469181574E-3</v>
      </c>
    </row>
    <row r="111" spans="1:6" x14ac:dyDescent="0.4">
      <c r="A111" t="s">
        <v>167</v>
      </c>
      <c r="C111">
        <f>MAX(C110:E110)/$B$92</f>
        <v>0.13323416485547998</v>
      </c>
    </row>
    <row r="113" spans="1:6" x14ac:dyDescent="0.4">
      <c r="A113" t="s">
        <v>168</v>
      </c>
    </row>
    <row r="114" spans="1:6" x14ac:dyDescent="0.4">
      <c r="A114" s="5"/>
      <c r="B114" s="5" t="s">
        <v>138</v>
      </c>
      <c r="C114" s="5" t="s">
        <v>139</v>
      </c>
      <c r="D114" s="5" t="s">
        <v>140</v>
      </c>
      <c r="E114" s="5" t="s">
        <v>141</v>
      </c>
    </row>
    <row r="115" spans="1:6" x14ac:dyDescent="0.4">
      <c r="A115" s="5" t="s">
        <v>138</v>
      </c>
      <c r="B115" s="5">
        <v>0</v>
      </c>
      <c r="C115" s="5">
        <v>0.49494949494949397</v>
      </c>
      <c r="D115" s="5">
        <v>0.71590909090909105</v>
      </c>
      <c r="E115" s="5">
        <v>1</v>
      </c>
    </row>
    <row r="116" spans="1:6" x14ac:dyDescent="0.4">
      <c r="A116" s="5" t="s">
        <v>139</v>
      </c>
      <c r="B116" s="5">
        <v>0.30453523395538301</v>
      </c>
      <c r="C116" s="5">
        <v>0</v>
      </c>
      <c r="D116" s="5">
        <v>0.22095959595959599</v>
      </c>
      <c r="E116" s="5">
        <v>0.50505050505050497</v>
      </c>
    </row>
    <row r="117" spans="1:6" x14ac:dyDescent="0.4">
      <c r="A117" s="5" t="s">
        <v>140</v>
      </c>
      <c r="B117" s="5">
        <v>0.43776939881086302</v>
      </c>
      <c r="C117" s="5">
        <v>0.148250019229236</v>
      </c>
      <c r="D117" s="5">
        <v>0</v>
      </c>
      <c r="E117" s="5">
        <v>0.28409090909090801</v>
      </c>
    </row>
    <row r="118" spans="1:6" x14ac:dyDescent="0.4">
      <c r="A118" s="5" t="s">
        <v>141</v>
      </c>
      <c r="B118" s="5">
        <v>0.57100356366634297</v>
      </c>
      <c r="C118" s="5">
        <v>0.26646832971096002</v>
      </c>
      <c r="D118" s="5">
        <v>0.13323416485547901</v>
      </c>
      <c r="E118" s="5">
        <v>0</v>
      </c>
    </row>
    <row r="120" spans="1:6" x14ac:dyDescent="0.4">
      <c r="A120" t="s">
        <v>169</v>
      </c>
    </row>
    <row r="121" spans="1:6" x14ac:dyDescent="0.4">
      <c r="A121" t="s">
        <v>170</v>
      </c>
      <c r="C121">
        <v>0.5</v>
      </c>
    </row>
    <row r="122" spans="1:6" x14ac:dyDescent="0.4">
      <c r="A122" t="s">
        <v>171</v>
      </c>
      <c r="C122">
        <v>0.5</v>
      </c>
    </row>
    <row r="124" spans="1:6" x14ac:dyDescent="0.4">
      <c r="A124" t="s">
        <v>172</v>
      </c>
      <c r="D124" t="s">
        <v>177</v>
      </c>
      <c r="E124" t="s">
        <v>178</v>
      </c>
      <c r="F124" t="s">
        <v>179</v>
      </c>
    </row>
    <row r="125" spans="1:6" x14ac:dyDescent="0.4">
      <c r="A125" t="s">
        <v>173</v>
      </c>
      <c r="C125" t="s">
        <v>175</v>
      </c>
      <c r="D125">
        <v>0.6</v>
      </c>
      <c r="E125">
        <f>$C$121</f>
        <v>0.5</v>
      </c>
      <c r="F125" t="b">
        <f>D125&gt;=E125</f>
        <v>1</v>
      </c>
    </row>
    <row r="126" spans="1:6" x14ac:dyDescent="0.4">
      <c r="A126" t="s">
        <v>174</v>
      </c>
      <c r="C126" t="s">
        <v>176</v>
      </c>
      <c r="D126">
        <v>0.49490000000000001</v>
      </c>
      <c r="E126">
        <f>$C$122</f>
        <v>0.5</v>
      </c>
      <c r="F126" t="b">
        <f>D126&lt;=E126</f>
        <v>1</v>
      </c>
    </row>
    <row r="127" spans="1:6" x14ac:dyDescent="0.4">
      <c r="A127" t="s">
        <v>180</v>
      </c>
      <c r="C127" t="str">
        <f>IF(AND(F125=TRUE,F126=TRUE),"Yes","No")</f>
        <v>Yes</v>
      </c>
    </row>
    <row r="129" spans="1:6" x14ac:dyDescent="0.4">
      <c r="A129" t="s">
        <v>181</v>
      </c>
      <c r="D129" t="s">
        <v>177</v>
      </c>
      <c r="E129" t="s">
        <v>178</v>
      </c>
      <c r="F129" t="s">
        <v>179</v>
      </c>
    </row>
    <row r="130" spans="1:6" x14ac:dyDescent="0.4">
      <c r="A130" t="s">
        <v>173</v>
      </c>
      <c r="C130" t="s">
        <v>175</v>
      </c>
      <c r="D130">
        <v>0.6</v>
      </c>
      <c r="E130">
        <f>$C$121</f>
        <v>0.5</v>
      </c>
      <c r="F130" t="b">
        <f>D130&gt;=E130</f>
        <v>1</v>
      </c>
    </row>
    <row r="131" spans="1:6" x14ac:dyDescent="0.4">
      <c r="A131" t="s">
        <v>174</v>
      </c>
      <c r="C131" t="s">
        <v>176</v>
      </c>
      <c r="D131">
        <v>0.71589999999999998</v>
      </c>
      <c r="E131">
        <f>$C$122</f>
        <v>0.5</v>
      </c>
      <c r="F131" t="b">
        <f>D131&lt;=E131</f>
        <v>0</v>
      </c>
    </row>
    <row r="132" spans="1:6" x14ac:dyDescent="0.4">
      <c r="A132" t="s">
        <v>180</v>
      </c>
      <c r="C132" t="str">
        <f>IF(AND(F130=TRUE,F131=TRUE),"Yes","No")</f>
        <v>No</v>
      </c>
    </row>
    <row r="134" spans="1:6" x14ac:dyDescent="0.4">
      <c r="A134" t="s">
        <v>94</v>
      </c>
    </row>
    <row r="135" spans="1:6" x14ac:dyDescent="0.4">
      <c r="A135" t="s">
        <v>182</v>
      </c>
    </row>
    <row r="136" spans="1:6" x14ac:dyDescent="0.4">
      <c r="A136" s="5"/>
      <c r="B136" s="5" t="s">
        <v>138</v>
      </c>
      <c r="C136" s="5" t="s">
        <v>139</v>
      </c>
      <c r="D136" s="5" t="s">
        <v>140</v>
      </c>
      <c r="E136" s="5" t="s">
        <v>141</v>
      </c>
    </row>
    <row r="137" spans="1:6" x14ac:dyDescent="0.4">
      <c r="A137" s="5" t="s">
        <v>138</v>
      </c>
      <c r="B137" s="5">
        <v>0</v>
      </c>
      <c r="C137" s="5">
        <v>1</v>
      </c>
      <c r="D137" s="5">
        <v>0</v>
      </c>
      <c r="E137" s="5">
        <v>0</v>
      </c>
    </row>
    <row r="138" spans="1:6" x14ac:dyDescent="0.4">
      <c r="A138" s="5" t="s">
        <v>139</v>
      </c>
      <c r="B138" s="5">
        <v>0</v>
      </c>
      <c r="C138" s="5">
        <v>0</v>
      </c>
      <c r="D138" s="5">
        <v>1</v>
      </c>
      <c r="E138" s="5">
        <v>0</v>
      </c>
    </row>
    <row r="139" spans="1:6" x14ac:dyDescent="0.4">
      <c r="A139" s="5" t="s">
        <v>140</v>
      </c>
      <c r="B139" s="5">
        <v>0</v>
      </c>
      <c r="C139" s="5">
        <v>0</v>
      </c>
      <c r="D139" s="5">
        <v>0</v>
      </c>
      <c r="E139" s="5">
        <v>1</v>
      </c>
    </row>
    <row r="140" spans="1:6" x14ac:dyDescent="0.4">
      <c r="A140" s="5" t="s">
        <v>141</v>
      </c>
      <c r="B140" s="5">
        <v>0</v>
      </c>
      <c r="C140" s="5">
        <v>0</v>
      </c>
      <c r="D140" s="5">
        <v>0</v>
      </c>
      <c r="E140" s="5">
        <v>0</v>
      </c>
    </row>
    <row r="142" spans="1:6" x14ac:dyDescent="0.4">
      <c r="A142" t="s">
        <v>183</v>
      </c>
    </row>
    <row r="143" spans="1:6" x14ac:dyDescent="0.4">
      <c r="B143" t="s">
        <v>184</v>
      </c>
      <c r="C143" t="s">
        <v>185</v>
      </c>
    </row>
    <row r="144" spans="1:6" x14ac:dyDescent="0.4">
      <c r="A144" s="25" t="s">
        <v>138</v>
      </c>
      <c r="B144" s="25">
        <v>1</v>
      </c>
      <c r="C144" s="25">
        <v>0</v>
      </c>
    </row>
    <row r="145" spans="1:3" x14ac:dyDescent="0.4">
      <c r="A145" t="s">
        <v>139</v>
      </c>
      <c r="B145">
        <v>1</v>
      </c>
      <c r="C145">
        <v>1</v>
      </c>
    </row>
    <row r="146" spans="1:3" x14ac:dyDescent="0.4">
      <c r="A146" t="s">
        <v>140</v>
      </c>
      <c r="B146">
        <v>1</v>
      </c>
      <c r="C146">
        <v>1</v>
      </c>
    </row>
    <row r="147" spans="1:3" x14ac:dyDescent="0.4">
      <c r="A147" t="s">
        <v>141</v>
      </c>
      <c r="B147">
        <v>0</v>
      </c>
      <c r="C147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DF42-47F8-4493-8404-E9FD3A364E31}">
  <dimension ref="A1:I87"/>
  <sheetViews>
    <sheetView tabSelected="1" topLeftCell="A49" zoomScaleNormal="100" workbookViewId="0">
      <selection activeCell="J30" sqref="J30"/>
    </sheetView>
  </sheetViews>
  <sheetFormatPr defaultRowHeight="14.6" x14ac:dyDescent="0.4"/>
  <cols>
    <col min="1" max="1" width="19.3828125" bestFit="1" customWidth="1"/>
    <col min="2" max="2" width="13.84375" bestFit="1" customWidth="1"/>
    <col min="3" max="3" width="16.61328125" bestFit="1" customWidth="1"/>
    <col min="4" max="4" width="16.3828125" bestFit="1" customWidth="1"/>
    <col min="5" max="5" width="15.15234375" bestFit="1" customWidth="1"/>
    <col min="6" max="6" width="17.61328125" bestFit="1" customWidth="1"/>
    <col min="8" max="9" width="16.3828125" bestFit="1" customWidth="1"/>
    <col min="11" max="11" width="16.3828125" bestFit="1" customWidth="1"/>
  </cols>
  <sheetData>
    <row r="1" spans="1:6" x14ac:dyDescent="0.4">
      <c r="A1" t="s">
        <v>192</v>
      </c>
    </row>
    <row r="2" spans="1:6" x14ac:dyDescent="0.4">
      <c r="A2" s="5" t="s">
        <v>103</v>
      </c>
      <c r="B2" s="5" t="s">
        <v>18</v>
      </c>
      <c r="C2" s="5" t="s">
        <v>196</v>
      </c>
      <c r="D2" s="5" t="s">
        <v>186</v>
      </c>
      <c r="E2" s="5" t="s">
        <v>187</v>
      </c>
      <c r="F2" s="5" t="s">
        <v>209</v>
      </c>
    </row>
    <row r="3" spans="1:6" x14ac:dyDescent="0.4">
      <c r="A3" s="5" t="s">
        <v>188</v>
      </c>
      <c r="B3" s="5">
        <v>120</v>
      </c>
      <c r="C3" s="5">
        <v>10</v>
      </c>
      <c r="D3" s="5">
        <v>25</v>
      </c>
      <c r="E3" s="5">
        <v>2000</v>
      </c>
      <c r="F3" s="5">
        <v>15</v>
      </c>
    </row>
    <row r="4" spans="1:6" x14ac:dyDescent="0.4">
      <c r="A4" s="5" t="s">
        <v>189</v>
      </c>
      <c r="B4" s="5">
        <v>180</v>
      </c>
      <c r="C4" s="5">
        <v>5</v>
      </c>
      <c r="D4" s="5">
        <v>20</v>
      </c>
      <c r="E4" s="5">
        <v>3500</v>
      </c>
      <c r="F4" s="5">
        <v>12</v>
      </c>
    </row>
    <row r="5" spans="1:6" x14ac:dyDescent="0.4">
      <c r="A5" s="5" t="s">
        <v>190</v>
      </c>
      <c r="B5" s="5">
        <v>150</v>
      </c>
      <c r="C5" s="5">
        <v>8</v>
      </c>
      <c r="D5" s="5">
        <v>40</v>
      </c>
      <c r="E5" s="5">
        <v>2800</v>
      </c>
      <c r="F5" s="5">
        <v>18</v>
      </c>
    </row>
    <row r="6" spans="1:6" x14ac:dyDescent="0.4">
      <c r="A6" s="5" t="s">
        <v>191</v>
      </c>
      <c r="B6" s="5">
        <v>200</v>
      </c>
      <c r="C6" s="5">
        <v>3</v>
      </c>
      <c r="D6" s="5">
        <v>35</v>
      </c>
      <c r="E6" s="5">
        <v>4200</v>
      </c>
      <c r="F6" s="5">
        <v>10</v>
      </c>
    </row>
    <row r="8" spans="1:6" x14ac:dyDescent="0.4">
      <c r="A8" t="s">
        <v>193</v>
      </c>
      <c r="F8" t="s">
        <v>198</v>
      </c>
    </row>
    <row r="9" spans="1:6" x14ac:dyDescent="0.4">
      <c r="A9" t="s">
        <v>2</v>
      </c>
      <c r="B9" t="s">
        <v>89</v>
      </c>
      <c r="D9" t="s">
        <v>16</v>
      </c>
      <c r="E9" t="s">
        <v>194</v>
      </c>
      <c r="F9" t="s">
        <v>199</v>
      </c>
    </row>
    <row r="10" spans="1:6" x14ac:dyDescent="0.4">
      <c r="A10" t="s">
        <v>18</v>
      </c>
      <c r="B10">
        <v>0.25</v>
      </c>
      <c r="D10" t="s">
        <v>18</v>
      </c>
      <c r="E10" t="s">
        <v>195</v>
      </c>
      <c r="F10">
        <v>50</v>
      </c>
    </row>
    <row r="11" spans="1:6" x14ac:dyDescent="0.4">
      <c r="A11" t="s">
        <v>196</v>
      </c>
      <c r="B11">
        <v>0.3</v>
      </c>
      <c r="D11" t="s">
        <v>18</v>
      </c>
      <c r="E11" t="s">
        <v>195</v>
      </c>
      <c r="F11">
        <v>5</v>
      </c>
    </row>
    <row r="12" spans="1:6" x14ac:dyDescent="0.4">
      <c r="A12" t="s">
        <v>186</v>
      </c>
      <c r="B12">
        <v>0.2</v>
      </c>
      <c r="D12" t="s">
        <v>19</v>
      </c>
      <c r="E12" t="s">
        <v>197</v>
      </c>
      <c r="F12">
        <v>20</v>
      </c>
    </row>
    <row r="13" spans="1:6" x14ac:dyDescent="0.4">
      <c r="A13" t="s">
        <v>187</v>
      </c>
      <c r="B13">
        <v>0.2</v>
      </c>
      <c r="D13" t="s">
        <v>19</v>
      </c>
      <c r="E13" t="s">
        <v>197</v>
      </c>
      <c r="F13">
        <v>1500</v>
      </c>
    </row>
    <row r="14" spans="1:6" x14ac:dyDescent="0.4">
      <c r="A14" t="s">
        <v>209</v>
      </c>
      <c r="B14">
        <v>0.05</v>
      </c>
      <c r="D14" t="s">
        <v>18</v>
      </c>
      <c r="E14" t="s">
        <v>195</v>
      </c>
      <c r="F14">
        <v>8</v>
      </c>
    </row>
    <row r="16" spans="1:6" x14ac:dyDescent="0.4">
      <c r="A16" t="s">
        <v>200</v>
      </c>
    </row>
    <row r="17" spans="1:9" x14ac:dyDescent="0.4">
      <c r="A17" t="s">
        <v>201</v>
      </c>
    </row>
    <row r="18" spans="1:9" x14ac:dyDescent="0.4">
      <c r="A18" t="s">
        <v>204</v>
      </c>
      <c r="D18" t="s">
        <v>205</v>
      </c>
      <c r="G18" t="s">
        <v>94</v>
      </c>
      <c r="H18" t="s">
        <v>206</v>
      </c>
    </row>
    <row r="19" spans="1:9" x14ac:dyDescent="0.4">
      <c r="A19" s="5" t="s">
        <v>103</v>
      </c>
      <c r="B19" s="5" t="s">
        <v>18</v>
      </c>
      <c r="D19" s="5" t="s">
        <v>103</v>
      </c>
      <c r="E19" s="5" t="s">
        <v>18</v>
      </c>
      <c r="H19" s="5" t="s">
        <v>103</v>
      </c>
      <c r="I19" s="5" t="s">
        <v>18</v>
      </c>
    </row>
    <row r="20" spans="1:9" x14ac:dyDescent="0.4">
      <c r="A20" s="5" t="s">
        <v>188</v>
      </c>
      <c r="B20" s="5">
        <v>120</v>
      </c>
      <c r="D20" s="5" t="s">
        <v>188</v>
      </c>
      <c r="E20" s="5">
        <v>120</v>
      </c>
      <c r="H20" s="5" t="s">
        <v>191</v>
      </c>
      <c r="I20" s="5">
        <v>200</v>
      </c>
    </row>
    <row r="21" spans="1:9" x14ac:dyDescent="0.4">
      <c r="A21" s="5" t="s">
        <v>189</v>
      </c>
      <c r="B21" s="5">
        <v>180</v>
      </c>
      <c r="D21" s="5" t="s">
        <v>190</v>
      </c>
      <c r="E21" s="5">
        <v>150</v>
      </c>
      <c r="H21" s="5" t="s">
        <v>190</v>
      </c>
      <c r="I21" s="5">
        <v>150</v>
      </c>
    </row>
    <row r="22" spans="1:9" x14ac:dyDescent="0.4">
      <c r="A22" t="s">
        <v>194</v>
      </c>
      <c r="B22" t="s">
        <v>195</v>
      </c>
      <c r="D22" t="s">
        <v>194</v>
      </c>
      <c r="E22" t="s">
        <v>195</v>
      </c>
      <c r="H22" t="s">
        <v>194</v>
      </c>
      <c r="I22" t="s">
        <v>195</v>
      </c>
    </row>
    <row r="23" spans="1:9" x14ac:dyDescent="0.4">
      <c r="A23" t="s">
        <v>203</v>
      </c>
      <c r="B23">
        <f>IF(B22="Maximize",B20-B21,B21-B20)</f>
        <v>60</v>
      </c>
      <c r="D23" t="s">
        <v>203</v>
      </c>
      <c r="E23">
        <f>IF(E22="Maximize",E20-E21,E21-E20)</f>
        <v>30</v>
      </c>
      <c r="H23" t="s">
        <v>203</v>
      </c>
      <c r="I23">
        <f>IF(I22="Maximize",I20-I21,I21-I20)</f>
        <v>-50</v>
      </c>
    </row>
    <row r="24" spans="1:9" x14ac:dyDescent="0.4">
      <c r="A24" t="s">
        <v>199</v>
      </c>
      <c r="B24">
        <v>50</v>
      </c>
      <c r="D24" t="s">
        <v>199</v>
      </c>
      <c r="E24">
        <v>50</v>
      </c>
      <c r="H24" t="s">
        <v>199</v>
      </c>
      <c r="I24">
        <v>50</v>
      </c>
    </row>
    <row r="25" spans="1:9" x14ac:dyDescent="0.4">
      <c r="A25" t="s">
        <v>202</v>
      </c>
      <c r="B25">
        <f>IF(B23&lt;=0,0,IF(B23&gt;=B24,1,B23/B24))</f>
        <v>1</v>
      </c>
      <c r="D25" t="s">
        <v>202</v>
      </c>
      <c r="E25">
        <f>IF(E23&lt;=0,0,IF(E23&gt;=E24,1,E23/E24))</f>
        <v>0.6</v>
      </c>
      <c r="H25" t="s">
        <v>202</v>
      </c>
      <c r="I25">
        <f>IF(I23&lt;=0,0,IF(I23&gt;=I24,1,I23/I24))</f>
        <v>0</v>
      </c>
    </row>
    <row r="27" spans="1:9" x14ac:dyDescent="0.4">
      <c r="A27" t="s">
        <v>207</v>
      </c>
    </row>
    <row r="28" spans="1:9" x14ac:dyDescent="0.4">
      <c r="A28" s="5"/>
      <c r="B28" s="5" t="s">
        <v>188</v>
      </c>
      <c r="C28" s="5" t="s">
        <v>189</v>
      </c>
      <c r="D28" s="5" t="s">
        <v>190</v>
      </c>
      <c r="E28" s="5" t="s">
        <v>191</v>
      </c>
    </row>
    <row r="29" spans="1:9" x14ac:dyDescent="0.4">
      <c r="A29" s="5" t="s">
        <v>188</v>
      </c>
      <c r="B29" s="5">
        <v>0</v>
      </c>
      <c r="C29" s="5">
        <v>1</v>
      </c>
      <c r="D29" s="5">
        <v>0.6</v>
      </c>
      <c r="E29" s="5">
        <v>1</v>
      </c>
    </row>
    <row r="30" spans="1:9" x14ac:dyDescent="0.4">
      <c r="A30" s="5" t="s">
        <v>189</v>
      </c>
      <c r="B30" s="5">
        <v>0</v>
      </c>
      <c r="C30" s="5">
        <v>0</v>
      </c>
      <c r="D30" s="5">
        <v>0</v>
      </c>
      <c r="E30" s="5">
        <v>0.4</v>
      </c>
    </row>
    <row r="31" spans="1:9" x14ac:dyDescent="0.4">
      <c r="A31" s="5" t="s">
        <v>190</v>
      </c>
      <c r="B31" s="5">
        <v>0</v>
      </c>
      <c r="C31" s="5">
        <v>0.6</v>
      </c>
      <c r="D31" s="5">
        <v>0</v>
      </c>
      <c r="E31" s="5">
        <v>1</v>
      </c>
    </row>
    <row r="32" spans="1:9" x14ac:dyDescent="0.4">
      <c r="A32" s="5" t="s">
        <v>191</v>
      </c>
      <c r="B32" s="5">
        <v>0</v>
      </c>
      <c r="C32" s="5">
        <v>0</v>
      </c>
      <c r="D32" s="5">
        <v>0</v>
      </c>
      <c r="E32" s="5">
        <v>0</v>
      </c>
    </row>
    <row r="34" spans="1:5" x14ac:dyDescent="0.4">
      <c r="A34" t="s">
        <v>208</v>
      </c>
    </row>
    <row r="35" spans="1:5" x14ac:dyDescent="0.4">
      <c r="A35" s="5"/>
      <c r="B35" s="5" t="s">
        <v>188</v>
      </c>
      <c r="C35" s="5" t="s">
        <v>189</v>
      </c>
      <c r="D35" s="5" t="s">
        <v>190</v>
      </c>
      <c r="E35" s="5" t="s">
        <v>191</v>
      </c>
    </row>
    <row r="36" spans="1:5" x14ac:dyDescent="0.4">
      <c r="A36" s="5" t="s">
        <v>188</v>
      </c>
      <c r="B36" s="5">
        <v>0</v>
      </c>
      <c r="C36" s="5">
        <v>0</v>
      </c>
      <c r="D36" s="5">
        <v>0</v>
      </c>
      <c r="E36" s="5">
        <v>0</v>
      </c>
    </row>
    <row r="37" spans="1:5" x14ac:dyDescent="0.4">
      <c r="A37" s="5" t="s">
        <v>189</v>
      </c>
      <c r="B37" s="5">
        <v>1</v>
      </c>
      <c r="C37" s="5">
        <v>0</v>
      </c>
      <c r="D37" s="5">
        <v>0.6</v>
      </c>
      <c r="E37" s="5">
        <v>0</v>
      </c>
    </row>
    <row r="38" spans="1:5" x14ac:dyDescent="0.4">
      <c r="A38" s="5" t="s">
        <v>190</v>
      </c>
      <c r="B38" s="5">
        <v>0.4</v>
      </c>
      <c r="C38" s="5">
        <v>0</v>
      </c>
      <c r="D38" s="5">
        <v>0</v>
      </c>
      <c r="E38" s="5">
        <v>0</v>
      </c>
    </row>
    <row r="39" spans="1:5" x14ac:dyDescent="0.4">
      <c r="A39" s="5" t="s">
        <v>191</v>
      </c>
      <c r="B39" s="5">
        <v>1</v>
      </c>
      <c r="C39" s="5">
        <v>0.4</v>
      </c>
      <c r="D39" s="5">
        <v>1</v>
      </c>
      <c r="E39" s="5">
        <v>0</v>
      </c>
    </row>
    <row r="41" spans="1:5" x14ac:dyDescent="0.4">
      <c r="A41" t="s">
        <v>210</v>
      </c>
    </row>
    <row r="42" spans="1:5" x14ac:dyDescent="0.4">
      <c r="A42" s="5"/>
      <c r="B42" s="5" t="s">
        <v>188</v>
      </c>
      <c r="C42" s="5" t="s">
        <v>189</v>
      </c>
      <c r="D42" s="5" t="s">
        <v>190</v>
      </c>
      <c r="E42" s="5" t="s">
        <v>191</v>
      </c>
    </row>
    <row r="43" spans="1:5" x14ac:dyDescent="0.4">
      <c r="A43" s="5" t="s">
        <v>188</v>
      </c>
      <c r="B43" s="5">
        <v>0</v>
      </c>
      <c r="C43" s="5">
        <v>0.25</v>
      </c>
      <c r="D43" s="5">
        <v>0</v>
      </c>
      <c r="E43" s="5">
        <v>0</v>
      </c>
    </row>
    <row r="44" spans="1:5" x14ac:dyDescent="0.4">
      <c r="A44" s="5" t="s">
        <v>189</v>
      </c>
      <c r="B44" s="5">
        <v>0</v>
      </c>
      <c r="C44" s="5">
        <v>0</v>
      </c>
      <c r="D44" s="5">
        <v>0</v>
      </c>
      <c r="E44" s="5">
        <v>0</v>
      </c>
    </row>
    <row r="45" spans="1:5" x14ac:dyDescent="0.4">
      <c r="A45" s="5" t="s">
        <v>190</v>
      </c>
      <c r="B45" s="5">
        <v>0.75</v>
      </c>
      <c r="C45" s="5">
        <v>1</v>
      </c>
      <c r="D45" s="5">
        <v>0</v>
      </c>
      <c r="E45" s="5">
        <v>0.25</v>
      </c>
    </row>
    <row r="46" spans="1:5" x14ac:dyDescent="0.4">
      <c r="A46" s="5" t="s">
        <v>191</v>
      </c>
      <c r="B46" s="5">
        <v>0.5</v>
      </c>
      <c r="C46" s="5">
        <v>0.75</v>
      </c>
      <c r="D46" s="5">
        <v>0</v>
      </c>
      <c r="E46" s="5">
        <v>0</v>
      </c>
    </row>
    <row r="48" spans="1:5" x14ac:dyDescent="0.4">
      <c r="A48" t="s">
        <v>211</v>
      </c>
    </row>
    <row r="49" spans="1:5" x14ac:dyDescent="0.4">
      <c r="A49" s="5"/>
      <c r="B49" s="5" t="s">
        <v>188</v>
      </c>
      <c r="C49" s="5" t="s">
        <v>189</v>
      </c>
      <c r="D49" s="5" t="s">
        <v>190</v>
      </c>
      <c r="E49" s="5" t="s">
        <v>191</v>
      </c>
    </row>
    <row r="50" spans="1:5" x14ac:dyDescent="0.4">
      <c r="A50" s="5" t="s">
        <v>188</v>
      </c>
      <c r="B50" s="5">
        <v>0</v>
      </c>
      <c r="C50" s="5">
        <v>0</v>
      </c>
      <c r="D50" s="5">
        <v>0</v>
      </c>
      <c r="E50" s="5">
        <v>0</v>
      </c>
    </row>
    <row r="51" spans="1:5" x14ac:dyDescent="0.4">
      <c r="A51" s="5" t="s">
        <v>189</v>
      </c>
      <c r="B51" s="5">
        <v>1</v>
      </c>
      <c r="C51" s="5">
        <v>0</v>
      </c>
      <c r="D51" s="5">
        <v>0.46700000000000003</v>
      </c>
      <c r="E51" s="5">
        <v>0</v>
      </c>
    </row>
    <row r="52" spans="1:5" x14ac:dyDescent="0.4">
      <c r="A52" s="5" t="s">
        <v>190</v>
      </c>
      <c r="B52" s="5">
        <v>0.53300000000000003</v>
      </c>
      <c r="C52" s="5">
        <v>0</v>
      </c>
      <c r="D52" s="5">
        <v>0</v>
      </c>
      <c r="E52" s="5">
        <v>0</v>
      </c>
    </row>
    <row r="53" spans="1:5" x14ac:dyDescent="0.4">
      <c r="A53" s="5" t="s">
        <v>191</v>
      </c>
      <c r="B53" s="5">
        <v>1</v>
      </c>
      <c r="C53" s="5">
        <v>0.46700000000000003</v>
      </c>
      <c r="D53" s="5">
        <v>0.93300000000000005</v>
      </c>
      <c r="E53" s="5">
        <v>0</v>
      </c>
    </row>
    <row r="55" spans="1:5" x14ac:dyDescent="0.4">
      <c r="A55" t="s">
        <v>212</v>
      </c>
    </row>
    <row r="56" spans="1:5" x14ac:dyDescent="0.4">
      <c r="A56" s="5"/>
      <c r="B56" s="5" t="s">
        <v>188</v>
      </c>
      <c r="C56" s="5" t="s">
        <v>189</v>
      </c>
      <c r="D56" s="5" t="s">
        <v>190</v>
      </c>
      <c r="E56" s="5" t="s">
        <v>191</v>
      </c>
    </row>
    <row r="57" spans="1:5" x14ac:dyDescent="0.4">
      <c r="A57" s="5" t="s">
        <v>188</v>
      </c>
      <c r="B57" s="5">
        <v>0</v>
      </c>
      <c r="C57" s="5">
        <v>0</v>
      </c>
      <c r="D57" s="5">
        <v>0.375</v>
      </c>
      <c r="E57" s="5">
        <v>0</v>
      </c>
    </row>
    <row r="58" spans="1:5" x14ac:dyDescent="0.4">
      <c r="A58" s="5" t="s">
        <v>189</v>
      </c>
      <c r="B58" s="5">
        <v>0.375</v>
      </c>
      <c r="C58" s="5">
        <v>0</v>
      </c>
      <c r="D58" s="5">
        <v>0.75</v>
      </c>
      <c r="E58" s="5">
        <v>0</v>
      </c>
    </row>
    <row r="59" spans="1:5" x14ac:dyDescent="0.4">
      <c r="A59" s="5" t="s">
        <v>190</v>
      </c>
      <c r="B59" s="5">
        <v>0</v>
      </c>
      <c r="C59" s="5">
        <v>0</v>
      </c>
      <c r="D59" s="5">
        <v>0</v>
      </c>
      <c r="E59" s="5">
        <v>0</v>
      </c>
    </row>
    <row r="60" spans="1:5" x14ac:dyDescent="0.4">
      <c r="A60" s="5" t="s">
        <v>191</v>
      </c>
      <c r="B60" s="5">
        <v>0.625</v>
      </c>
      <c r="C60" s="5">
        <v>0.25</v>
      </c>
      <c r="D60" s="5">
        <v>1</v>
      </c>
      <c r="E60" s="5">
        <v>0</v>
      </c>
    </row>
    <row r="62" spans="1:5" x14ac:dyDescent="0.4">
      <c r="A62" t="s">
        <v>213</v>
      </c>
    </row>
    <row r="63" spans="1:5" x14ac:dyDescent="0.4">
      <c r="A63" s="5"/>
      <c r="B63" s="5" t="s">
        <v>188</v>
      </c>
      <c r="C63" s="5" t="s">
        <v>189</v>
      </c>
      <c r="D63" s="5" t="s">
        <v>190</v>
      </c>
      <c r="E63" s="5" t="s">
        <v>191</v>
      </c>
    </row>
    <row r="64" spans="1:5" x14ac:dyDescent="0.4">
      <c r="A64" s="5" t="s">
        <v>188</v>
      </c>
      <c r="B64" s="23">
        <f>B29*$B$10+B36*$B$11+B43*$B$12+B50*$B$13+B57*$B$14</f>
        <v>0</v>
      </c>
      <c r="C64" s="23">
        <f t="shared" ref="C64:E64" si="0">C29*$B$10+C36*$B$11+C43*$B$12+C50*$B$13+C57*$B$14</f>
        <v>0.3</v>
      </c>
      <c r="D64" s="23">
        <f t="shared" si="0"/>
        <v>0.16875000000000001</v>
      </c>
      <c r="E64" s="23">
        <f t="shared" si="0"/>
        <v>0.25</v>
      </c>
    </row>
    <row r="65" spans="1:5" x14ac:dyDescent="0.4">
      <c r="A65" s="5" t="s">
        <v>189</v>
      </c>
      <c r="B65" s="23">
        <f t="shared" ref="B65:E66" si="1">B30*$B$10+B37*$B$11+B44*$B$12+B51*$B$13+B58*$B$14</f>
        <v>0.51875000000000004</v>
      </c>
      <c r="C65" s="23">
        <f t="shared" si="1"/>
        <v>0</v>
      </c>
      <c r="D65" s="23">
        <f t="shared" si="1"/>
        <v>0.31089999999999995</v>
      </c>
      <c r="E65" s="23">
        <f t="shared" si="1"/>
        <v>0.1</v>
      </c>
    </row>
    <row r="66" spans="1:5" x14ac:dyDescent="0.4">
      <c r="A66" s="5" t="s">
        <v>190</v>
      </c>
      <c r="B66" s="23">
        <f t="shared" ref="B66:E66" si="2">B31*$B$10+B38*$B$11+B45*$B$12+B52*$B$13+B59*$B$14</f>
        <v>0.37660000000000005</v>
      </c>
      <c r="C66" s="23">
        <f>C31*$B$10+C38*$B$11+C45*$B$12+C52*$B$13+C59*$B$14</f>
        <v>0.35</v>
      </c>
      <c r="D66" s="23">
        <f t="shared" si="2"/>
        <v>0</v>
      </c>
      <c r="E66" s="23">
        <f t="shared" si="2"/>
        <v>0.3</v>
      </c>
    </row>
    <row r="67" spans="1:5" x14ac:dyDescent="0.4">
      <c r="A67" s="5" t="s">
        <v>191</v>
      </c>
      <c r="B67" s="23">
        <f t="shared" ref="B67:E67" si="3">B32*$B$10+B39*$B$11+B46*$B$12+B53*$B$13+B60*$B$14</f>
        <v>0.63125000000000009</v>
      </c>
      <c r="C67" s="23">
        <f t="shared" si="3"/>
        <v>0.37590000000000007</v>
      </c>
      <c r="D67" s="23">
        <f t="shared" si="3"/>
        <v>0.53660000000000008</v>
      </c>
      <c r="E67" s="23">
        <f t="shared" si="3"/>
        <v>0</v>
      </c>
    </row>
    <row r="68" spans="1:5" x14ac:dyDescent="0.4">
      <c r="A68" t="s">
        <v>215</v>
      </c>
    </row>
    <row r="69" spans="1:5" x14ac:dyDescent="0.4">
      <c r="A69" t="s">
        <v>216</v>
      </c>
    </row>
    <row r="70" spans="1:5" x14ac:dyDescent="0.4">
      <c r="A70" t="s">
        <v>214</v>
      </c>
    </row>
    <row r="72" spans="1:5" x14ac:dyDescent="0.4">
      <c r="A72" t="s">
        <v>217</v>
      </c>
    </row>
    <row r="73" spans="1:5" x14ac:dyDescent="0.4">
      <c r="A73" t="s">
        <v>103</v>
      </c>
      <c r="B73" t="s">
        <v>218</v>
      </c>
      <c r="C73" t="s">
        <v>219</v>
      </c>
      <c r="D73" t="s">
        <v>223</v>
      </c>
      <c r="E73" t="s">
        <v>22</v>
      </c>
    </row>
    <row r="74" spans="1:5" x14ac:dyDescent="0.4">
      <c r="A74" s="5" t="s">
        <v>188</v>
      </c>
      <c r="B74" s="23">
        <f>SUM(B64:E64)/3</f>
        <v>0.23958333333333334</v>
      </c>
      <c r="C74" s="23">
        <f>SUM(B64:B67)/3</f>
        <v>0.50886666666666669</v>
      </c>
      <c r="D74" s="23">
        <f>B74-C74</f>
        <v>-0.26928333333333332</v>
      </c>
      <c r="E74" s="5">
        <f>_xlfn.RANK.EQ(D74,$D$74:$D$77)</f>
        <v>4</v>
      </c>
    </row>
    <row r="75" spans="1:5" x14ac:dyDescent="0.4">
      <c r="A75" s="5" t="s">
        <v>189</v>
      </c>
      <c r="B75" s="23">
        <f t="shared" ref="B75:B77" si="4">SUM(B65:E65)/3</f>
        <v>0.30988333333333334</v>
      </c>
      <c r="C75" s="23">
        <f>SUM(C64:C67)/3</f>
        <v>0.3419666666666667</v>
      </c>
      <c r="D75" s="23">
        <f t="shared" ref="D75:D77" si="5">B75-C75</f>
        <v>-3.2083333333333353E-2</v>
      </c>
      <c r="E75" s="5">
        <f t="shared" ref="E75:E77" si="6">_xlfn.RANK.EQ(D75,$D$74:$D$77)</f>
        <v>3</v>
      </c>
    </row>
    <row r="76" spans="1:5" x14ac:dyDescent="0.4">
      <c r="A76" s="5" t="s">
        <v>190</v>
      </c>
      <c r="B76" s="23">
        <f t="shared" si="4"/>
        <v>0.3422</v>
      </c>
      <c r="C76" s="23">
        <f>SUM(D64:D67)/3</f>
        <v>0.33875000000000005</v>
      </c>
      <c r="D76" s="23">
        <f t="shared" si="5"/>
        <v>3.4499999999999531E-3</v>
      </c>
      <c r="E76" s="5">
        <f t="shared" si="6"/>
        <v>2</v>
      </c>
    </row>
    <row r="77" spans="1:5" x14ac:dyDescent="0.4">
      <c r="A77" s="5" t="s">
        <v>191</v>
      </c>
      <c r="B77" s="23">
        <f t="shared" si="4"/>
        <v>0.51458333333333339</v>
      </c>
      <c r="C77" s="23">
        <f>SUM(E64:E67)/3</f>
        <v>0.21666666666666665</v>
      </c>
      <c r="D77" s="23">
        <f t="shared" si="5"/>
        <v>0.29791666666666672</v>
      </c>
      <c r="E77" s="5">
        <f t="shared" si="6"/>
        <v>1</v>
      </c>
    </row>
    <row r="78" spans="1:5" x14ac:dyDescent="0.4">
      <c r="A78" t="s">
        <v>220</v>
      </c>
    </row>
    <row r="79" spans="1:5" x14ac:dyDescent="0.4">
      <c r="A79" t="s">
        <v>222</v>
      </c>
    </row>
    <row r="80" spans="1:5" x14ac:dyDescent="0.4">
      <c r="A80" t="s">
        <v>221</v>
      </c>
    </row>
    <row r="82" spans="1:5" x14ac:dyDescent="0.4">
      <c r="A82" t="s">
        <v>224</v>
      </c>
    </row>
    <row r="83" spans="1:5" x14ac:dyDescent="0.4">
      <c r="A83" t="s">
        <v>103</v>
      </c>
      <c r="B83" t="s">
        <v>218</v>
      </c>
      <c r="C83" t="s">
        <v>219</v>
      </c>
      <c r="D83" t="s">
        <v>223</v>
      </c>
      <c r="E83" t="s">
        <v>22</v>
      </c>
    </row>
    <row r="84" spans="1:5" x14ac:dyDescent="0.4">
      <c r="A84" s="5" t="str" cm="1">
        <f t="array" ref="A84:E87">_xlfn._xlws.SORT($A$74:$E$77,5)</f>
        <v>A4_IndustrialCNC</v>
      </c>
      <c r="B84" s="23">
        <v>0.51458333333333339</v>
      </c>
      <c r="C84" s="23">
        <v>0.21666666666666665</v>
      </c>
      <c r="D84" s="23">
        <v>0.29791666666666672</v>
      </c>
      <c r="E84" s="5">
        <v>1</v>
      </c>
    </row>
    <row r="85" spans="1:5" x14ac:dyDescent="0.4">
      <c r="A85" s="5" t="str">
        <v>A3_HighSpeedCNC</v>
      </c>
      <c r="B85" s="23">
        <v>0.3422</v>
      </c>
      <c r="C85" s="23">
        <v>0.33875000000000005</v>
      </c>
      <c r="D85" s="23">
        <v>3.4499999999999531E-3</v>
      </c>
      <c r="E85" s="5">
        <v>2</v>
      </c>
    </row>
    <row r="86" spans="1:5" x14ac:dyDescent="0.4">
      <c r="A86" s="5" t="str">
        <v>A2_PrecisionCNC</v>
      </c>
      <c r="B86" s="23">
        <v>0.30988333333333334</v>
      </c>
      <c r="C86" s="23">
        <v>0.3419666666666667</v>
      </c>
      <c r="D86" s="23">
        <v>-3.2083333333333353E-2</v>
      </c>
      <c r="E86" s="5">
        <v>3</v>
      </c>
    </row>
    <row r="87" spans="1:5" x14ac:dyDescent="0.4">
      <c r="A87" s="5" t="str">
        <v>A1_BasicCNC</v>
      </c>
      <c r="B87" s="23">
        <v>0.23958333333333334</v>
      </c>
      <c r="C87" s="23">
        <v>0.50886666666666669</v>
      </c>
      <c r="D87" s="23">
        <v>-0.26928333333333332</v>
      </c>
      <c r="E87" s="5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CA92D7-DC12-4794-952B-4BD66D8616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SAW</vt:lpstr>
      <vt:lpstr>AHP</vt:lpstr>
      <vt:lpstr>ANP</vt:lpstr>
      <vt:lpstr>TOPSIS</vt:lpstr>
      <vt:lpstr>ELECTRE I</vt:lpstr>
      <vt:lpstr>PROMETHEE 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Hector Louis O. Banda</dc:creator>
  <dc:description/>
  <cp:lastModifiedBy>Hector Louis O. Banda</cp:lastModifiedBy>
  <cp:revision>2</cp:revision>
  <dcterms:created xsi:type="dcterms:W3CDTF">2025-08-26T05:16:31Z</dcterms:created>
  <dcterms:modified xsi:type="dcterms:W3CDTF">2025-10-01T03:07:18Z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0x010100D7C522DBBF92214ABCD260F9D47A50AB</vt:lpwstr>
  </property>
</Properties>
</file>