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workbookProtection workbookPassword="C7D3" lockStructure="1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Главная" sheetId="1" state="visible" r:id="rId1"/>
    <sheet xmlns:r="http://schemas.openxmlformats.org/officeDocument/2006/relationships" name="Расчет" sheetId="2" state="hidden" r:id="rId2"/>
    <sheet xmlns:r="http://schemas.openxmlformats.org/officeDocument/2006/relationships" name="Материалы" sheetId="3" state="hidden" r:id="rId3"/>
    <sheet xmlns:r="http://schemas.openxmlformats.org/officeDocument/2006/relationships" name="Цена" sheetId="4" state="hidden" r:id="rId4"/>
    <sheet xmlns:r="http://schemas.openxmlformats.org/officeDocument/2006/relationships" name="Общее" sheetId="5" state="hidden" r:id="rId5"/>
    <sheet xmlns:r="http://schemas.openxmlformats.org/officeDocument/2006/relationships" name="Спецификация" sheetId="6" state="hidden" r:id="rId6"/>
  </sheets>
  <definedNames>
    <definedName name="_xlnm.Criteria" localSheetId="4">Общее!$F:$F</definedName>
    <definedName name="Ф100">Расчет!$J$28:$J$35</definedName>
    <definedName name="Ф101">Расчет!$K$28:$K$35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35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4"/>
    </font>
    <font>
      <name val="Calibri"/>
      <charset val="204"/>
      <family val="2"/>
      <i val="1"/>
      <color theme="1"/>
      <sz val="11"/>
      <u val="single"/>
      <scheme val="minor"/>
    </font>
    <font>
      <name val="Segoe UI"/>
      <charset val="204"/>
      <family val="2"/>
      <color rgb="FF393939"/>
      <sz val="12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i val="1"/>
      <color theme="1"/>
      <sz val="12"/>
      <scheme val="minor"/>
    </font>
    <font>
      <name val="Calibri"/>
      <charset val="204"/>
      <family val="2"/>
      <b val="1"/>
      <sz val="11"/>
      <scheme val="minor"/>
    </font>
    <font>
      <name val="Calibri"/>
      <charset val="204"/>
      <family val="2"/>
      <b val="1"/>
      <color theme="1"/>
      <sz val="14"/>
      <scheme val="minor"/>
    </font>
    <font>
      <name val="Times New Roman"/>
      <charset val="204"/>
      <family val="1"/>
      <b val="1"/>
      <color theme="1"/>
      <sz val="12"/>
    </font>
    <font>
      <name val="Calibri"/>
      <charset val="204"/>
      <family val="2"/>
      <b val="1"/>
      <color rgb="FFFF0000"/>
      <sz val="11"/>
      <scheme val="minor"/>
    </font>
    <font>
      <name val="Calibri"/>
      <charset val="204"/>
      <family val="2"/>
      <b val="1"/>
      <color theme="1"/>
      <sz val="11"/>
      <u val="single"/>
      <scheme val="minor"/>
    </font>
    <font>
      <name val="Calibri"/>
      <charset val="204"/>
      <family val="2"/>
      <color theme="1"/>
      <sz val="14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Arial Narrow"/>
      <charset val="204"/>
      <family val="2"/>
      <color rgb="FF000000"/>
      <sz val="11"/>
    </font>
    <font>
      <name val="Times New Roman"/>
      <charset val="204"/>
      <family val="1"/>
      <color theme="1"/>
      <sz val="8"/>
    </font>
    <font>
      <name val="Calibri"/>
      <charset val="204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14"/>
      <scheme val="minor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i val="1"/>
      <color theme="1"/>
      <sz val="14"/>
      <u val="single"/>
      <scheme val="minor"/>
    </font>
    <font>
      <name val="Calibri"/>
      <charset val="204"/>
      <family val="2"/>
      <b val="1"/>
      <color theme="1"/>
      <sz val="14"/>
      <u val="single"/>
      <scheme val="minor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sz val="11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b val="1"/>
      <i val="1"/>
      <color theme="1"/>
      <sz val="11"/>
      <u val="single"/>
      <scheme val="minor"/>
    </font>
    <font>
      <name val="Calibri"/>
      <charset val="204"/>
      <family val="2"/>
      <color theme="0"/>
      <sz val="11"/>
      <scheme val="minor"/>
    </font>
    <font>
      <name val="Times New Roman"/>
      <charset val="204"/>
      <family val="1"/>
      <b val="1"/>
      <color theme="1"/>
      <sz val="8"/>
    </font>
    <font>
      <name val="Calibri"/>
      <charset val="204"/>
      <family val="2"/>
      <color theme="1"/>
      <sz val="10"/>
      <scheme val="minor"/>
    </font>
  </fonts>
  <fills count="20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5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2" pivotButton="0" quotePrefix="0" xfId="0"/>
    <xf numFmtId="0" fontId="1" fillId="0" borderId="0" applyAlignment="1" pivotButton="0" quotePrefix="0" xfId="0">
      <alignment vertical="top" wrapText="1"/>
    </xf>
    <xf numFmtId="0" fontId="1" fillId="0" borderId="3" applyAlignment="1" pivotButton="0" quotePrefix="0" xfId="0">
      <alignment vertical="top" wrapText="1"/>
    </xf>
    <xf numFmtId="0" fontId="1" fillId="0" borderId="4" applyAlignment="1" pivotButton="0" quotePrefix="0" xfId="0">
      <alignment horizontal="center" vertical="top" wrapText="1"/>
    </xf>
    <xf numFmtId="0" fontId="1" fillId="0" borderId="5" applyAlignment="1" pivotButton="0" quotePrefix="0" xfId="0">
      <alignment horizontal="center" vertical="top" wrapText="1"/>
    </xf>
    <xf numFmtId="0" fontId="2" fillId="6" borderId="0" applyAlignment="1" pivotButton="0" quotePrefix="0" xfId="0">
      <alignment horizontal="center"/>
    </xf>
    <xf numFmtId="0" fontId="0" fillId="0" borderId="12" pivotButton="0" quotePrefix="0" xfId="0"/>
    <xf numFmtId="0" fontId="0" fillId="0" borderId="2" applyAlignment="1" pivotButton="0" quotePrefix="0" xfId="0">
      <alignment horizontal="center"/>
    </xf>
    <xf numFmtId="0" fontId="5" fillId="0" borderId="0" pivotButton="0" quotePrefix="0" xfId="0"/>
    <xf numFmtId="0" fontId="0" fillId="5" borderId="2" applyAlignment="1" pivotButton="0" quotePrefix="0" xfId="0">
      <alignment horizontal="center"/>
    </xf>
    <xf numFmtId="0" fontId="2" fillId="6" borderId="18" applyAlignment="1" pivotButton="0" quotePrefix="0" xfId="0">
      <alignment horizontal="center"/>
    </xf>
    <xf numFmtId="0" fontId="2" fillId="6" borderId="1" applyAlignment="1" pivotButton="0" quotePrefix="0" xfId="0">
      <alignment horizontal="center"/>
    </xf>
    <xf numFmtId="0" fontId="1" fillId="0" borderId="0" applyAlignment="1" pivotButton="0" quotePrefix="0" xfId="0">
      <alignment vertical="top"/>
    </xf>
    <xf numFmtId="0" fontId="0" fillId="6" borderId="0" pivotButton="0" quotePrefix="0" xfId="0"/>
    <xf numFmtId="0" fontId="0" fillId="5" borderId="19" applyAlignment="1" pivotButton="0" quotePrefix="0" xfId="0">
      <alignment horizontal="center"/>
    </xf>
    <xf numFmtId="0" fontId="0" fillId="5" borderId="20" applyAlignment="1" pivotButton="0" quotePrefix="0" xfId="0">
      <alignment horizontal="center"/>
    </xf>
    <xf numFmtId="0" fontId="0" fillId="5" borderId="6" applyAlignment="1" pivotButton="0" quotePrefix="0" xfId="0">
      <alignment horizontal="center"/>
    </xf>
    <xf numFmtId="0" fontId="0" fillId="5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21" pivotButton="0" quotePrefix="0" xfId="0"/>
    <xf numFmtId="0" fontId="0" fillId="0" borderId="1" pivotButton="0" quotePrefix="0" xfId="0"/>
    <xf numFmtId="0" fontId="0" fillId="0" borderId="23" applyAlignment="1" pivotButton="0" quotePrefix="0" xfId="0">
      <alignment horizontal="center" vertical="top" wrapText="1"/>
    </xf>
    <xf numFmtId="0" fontId="0" fillId="0" borderId="18" applyAlignment="1" pivotButton="0" quotePrefix="0" xfId="0">
      <alignment horizontal="left" vertical="top"/>
    </xf>
    <xf numFmtId="0" fontId="1" fillId="2" borderId="6" applyAlignment="1" pivotButton="0" quotePrefix="0" xfId="0">
      <alignment vertical="top" wrapText="1"/>
    </xf>
    <xf numFmtId="0" fontId="0" fillId="2" borderId="19" applyAlignment="1" pivotButton="0" quotePrefix="0" xfId="0">
      <alignment horizontal="center"/>
    </xf>
    <xf numFmtId="0" fontId="0" fillId="2" borderId="19" pivotButton="0" quotePrefix="0" xfId="0"/>
    <xf numFmtId="0" fontId="0" fillId="2" borderId="18" applyAlignment="1" pivotButton="0" quotePrefix="0" xfId="0">
      <alignment horizontal="left" vertical="center"/>
    </xf>
    <xf numFmtId="0" fontId="0" fillId="2" borderId="21" pivotButton="0" quotePrefix="0" xfId="0"/>
    <xf numFmtId="0" fontId="0" fillId="2" borderId="1" pivotButton="0" quotePrefix="0" xfId="0"/>
    <xf numFmtId="0" fontId="0" fillId="0" borderId="0" applyAlignment="1" pivotButton="0" quotePrefix="0" xfId="0">
      <alignment horizontal="center" vertical="top" wrapText="1"/>
    </xf>
    <xf numFmtId="0" fontId="0" fillId="6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3" borderId="26" applyAlignment="1" pivotButton="0" quotePrefix="0" xfId="0">
      <alignment horizontal="center"/>
    </xf>
    <xf numFmtId="0" fontId="2" fillId="3" borderId="25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6" fillId="7" borderId="11" applyAlignment="1" pivotButton="0" quotePrefix="0" xfId="0">
      <alignment vertical="top" wrapText="1"/>
    </xf>
    <xf numFmtId="0" fontId="0" fillId="0" borderId="29" applyAlignment="1" pivotButton="0" quotePrefix="0" xfId="0">
      <alignment horizontal="center"/>
    </xf>
    <xf numFmtId="0" fontId="0" fillId="3" borderId="19" pivotButton="0" quotePrefix="0" xfId="0"/>
    <xf numFmtId="0" fontId="0" fillId="3" borderId="2" applyAlignment="1" pivotButton="0" quotePrefix="0" xfId="0">
      <alignment horizontal="center"/>
    </xf>
    <xf numFmtId="0" fontId="0" fillId="3" borderId="2" pivotButton="0" quotePrefix="0" xfId="0"/>
    <xf numFmtId="0" fontId="0" fillId="3" borderId="19" applyAlignment="1" pivotButton="0" quotePrefix="0" xfId="0">
      <alignment horizontal="center"/>
    </xf>
    <xf numFmtId="0" fontId="0" fillId="3" borderId="9" pivotButton="0" quotePrefix="0" xfId="0"/>
    <xf numFmtId="0" fontId="0" fillId="3" borderId="28" pivotButton="0" quotePrefix="0" xfId="0"/>
    <xf numFmtId="0" fontId="0" fillId="3" borderId="29" applyAlignment="1" pivotButton="0" quotePrefix="0" xfId="0">
      <alignment horizontal="center"/>
    </xf>
    <xf numFmtId="0" fontId="0" fillId="3" borderId="30" applyAlignment="1" pivotButton="0" quotePrefix="0" xfId="0">
      <alignment horizontal="center"/>
    </xf>
    <xf numFmtId="0" fontId="0" fillId="2" borderId="28" applyAlignment="1" pivotButton="0" quotePrefix="0" xfId="0">
      <alignment horizontal="center"/>
    </xf>
    <xf numFmtId="0" fontId="0" fillId="0" borderId="31" pivotButton="0" quotePrefix="0" xfId="0"/>
    <xf numFmtId="0" fontId="0" fillId="0" borderId="29" pivotButton="0" quotePrefix="0" xfId="0"/>
    <xf numFmtId="0" fontId="0" fillId="0" borderId="32" pivotButton="0" quotePrefix="0" xfId="0"/>
    <xf numFmtId="0" fontId="0" fillId="0" borderId="15" pivotButton="0" quotePrefix="0" xfId="0"/>
    <xf numFmtId="0" fontId="10" fillId="9" borderId="16" applyAlignment="1" pivotButton="0" quotePrefix="0" xfId="0">
      <alignment horizontal="center"/>
    </xf>
    <xf numFmtId="0" fontId="2" fillId="0" borderId="0" pivotButton="0" quotePrefix="0" xfId="0"/>
    <xf numFmtId="0" fontId="0" fillId="0" borderId="19" applyAlignment="1" pivotButton="0" quotePrefix="0" xfId="0">
      <alignment horizontal="center"/>
    </xf>
    <xf numFmtId="0" fontId="0" fillId="4" borderId="19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pivotButton="0" quotePrefix="0" xfId="0"/>
    <xf numFmtId="0" fontId="0" fillId="2" borderId="2" pivotButton="0" quotePrefix="0" xfId="0"/>
    <xf numFmtId="0" fontId="8" fillId="3" borderId="26" pivotButton="0" quotePrefix="0" xfId="0"/>
    <xf numFmtId="0" fontId="8" fillId="3" borderId="22" pivotButton="0" quotePrefix="0" xfId="0"/>
    <xf numFmtId="0" fontId="8" fillId="3" borderId="26" applyAlignment="1" pivotButton="0" quotePrefix="0" xfId="0">
      <alignment horizontal="center"/>
    </xf>
    <xf numFmtId="0" fontId="8" fillId="3" borderId="22" applyAlignment="1" pivotButton="0" quotePrefix="0" xfId="0">
      <alignment horizontal="center"/>
    </xf>
    <xf numFmtId="0" fontId="9" fillId="0" borderId="2" pivotButton="0" quotePrefix="0" xfId="0"/>
    <xf numFmtId="0" fontId="9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0" fillId="0" borderId="19" pivotButton="0" quotePrefix="0" xfId="0"/>
    <xf numFmtId="0" fontId="9" fillId="8" borderId="18" pivotButton="0" quotePrefix="0" xfId="0"/>
    <xf numFmtId="0" fontId="9" fillId="8" borderId="21" pivotButton="0" quotePrefix="0" xfId="0"/>
    <xf numFmtId="0" fontId="9" fillId="8" borderId="21" applyAlignment="1" pivotButton="0" quotePrefix="0" xfId="0">
      <alignment horizontal="center"/>
    </xf>
    <xf numFmtId="0" fontId="0" fillId="8" borderId="21" pivotButton="0" quotePrefix="0" xfId="0"/>
    <xf numFmtId="0" fontId="9" fillId="0" borderId="19" pivotButton="0" quotePrefix="0" xfId="0"/>
    <xf numFmtId="0" fontId="0" fillId="6" borderId="2" applyAlignment="1" pivotButton="0" quotePrefix="0" xfId="0">
      <alignment horizontal="center"/>
    </xf>
    <xf numFmtId="0" fontId="0" fillId="8" borderId="2" pivotButton="0" quotePrefix="0" xfId="0"/>
    <xf numFmtId="0" fontId="0" fillId="8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/>
    </xf>
    <xf numFmtId="0" fontId="2" fillId="6" borderId="2" pivotButton="0" quotePrefix="0" xfId="0"/>
    <xf numFmtId="0" fontId="6" fillId="7" borderId="16" applyAlignment="1" pivotButton="0" quotePrefix="0" xfId="0">
      <alignment horizontal="center" vertical="top" wrapText="1"/>
    </xf>
    <xf numFmtId="0" fontId="6" fillId="5" borderId="17" applyAlignment="1" pivotButton="0" quotePrefix="0" xfId="0">
      <alignment vertical="top" wrapText="1"/>
    </xf>
    <xf numFmtId="0" fontId="6" fillId="5" borderId="11" applyAlignment="1" pivotButton="0" quotePrefix="0" xfId="0">
      <alignment vertical="top" wrapText="1"/>
    </xf>
    <xf numFmtId="0" fontId="2" fillId="5" borderId="15" applyAlignment="1" pivotButton="0" quotePrefix="0" xfId="0">
      <alignment horizontal="center"/>
    </xf>
    <xf numFmtId="0" fontId="6" fillId="2" borderId="3" applyAlignment="1" pivotButton="0" quotePrefix="0" xfId="0">
      <alignment horizontal="center" vertical="top" wrapText="1"/>
    </xf>
    <xf numFmtId="0" fontId="2" fillId="2" borderId="6" applyAlignment="1" pivotButton="0" quotePrefix="0" xfId="0">
      <alignment horizontal="center"/>
    </xf>
    <xf numFmtId="0" fontId="6" fillId="2" borderId="6" applyAlignment="1" pivotButton="0" quotePrefix="0" xfId="0">
      <alignment horizontal="center" vertical="top" wrapText="1"/>
    </xf>
    <xf numFmtId="0" fontId="2" fillId="2" borderId="14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2" fillId="2" borderId="2" pivotButton="0" quotePrefix="0" xfId="0"/>
    <xf numFmtId="0" fontId="0" fillId="3" borderId="22" pivotButton="0" quotePrefix="0" xfId="0"/>
    <xf numFmtId="0" fontId="2" fillId="3" borderId="23" applyAlignment="1" pivotButton="0" quotePrefix="0" xfId="0">
      <alignment horizontal="center"/>
    </xf>
    <xf numFmtId="0" fontId="2" fillId="3" borderId="22" applyAlignment="1" pivotButton="0" quotePrefix="0" xfId="0">
      <alignment horizontal="center"/>
    </xf>
    <xf numFmtId="0" fontId="2" fillId="8" borderId="2" pivotButton="0" quotePrefix="0" xfId="0"/>
    <xf numFmtId="0" fontId="0" fillId="3" borderId="28" applyAlignment="1" pivotButton="0" quotePrefix="0" xfId="0">
      <alignment horizontal="center"/>
    </xf>
    <xf numFmtId="0" fontId="2" fillId="2" borderId="11" applyAlignment="1" pivotButton="0" quotePrefix="0" xfId="0">
      <alignment horizontal="center"/>
    </xf>
    <xf numFmtId="0" fontId="2" fillId="2" borderId="1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6" borderId="4" pivotButton="0" quotePrefix="0" xfId="0"/>
    <xf numFmtId="0" fontId="0" fillId="0" borderId="0" applyAlignment="1" pivotButton="0" quotePrefix="0" xfId="0">
      <alignment horizontal="left"/>
    </xf>
    <xf numFmtId="0" fontId="8" fillId="3" borderId="34" applyAlignment="1" pivotButton="0" quotePrefix="0" xfId="0">
      <alignment horizontal="left"/>
    </xf>
    <xf numFmtId="0" fontId="8" fillId="3" borderId="34" applyAlignment="1" pivotButton="0" quotePrefix="0" xfId="0">
      <alignment horizontal="center"/>
    </xf>
    <xf numFmtId="0" fontId="0" fillId="0" borderId="20" applyAlignment="1" pivotButton="0" quotePrefix="0" xfId="0">
      <alignment horizontal="left"/>
    </xf>
    <xf numFmtId="0" fontId="0" fillId="0" borderId="6" applyAlignment="1" pivotButton="0" quotePrefix="0" xfId="0">
      <alignment horizontal="left"/>
    </xf>
    <xf numFmtId="0" fontId="0" fillId="0" borderId="8" applyAlignment="1" pivotButton="0" quotePrefix="0" xfId="0">
      <alignment horizontal="left"/>
    </xf>
    <xf numFmtId="0" fontId="9" fillId="6" borderId="19" pivotButton="0" quotePrefix="0" xfId="0"/>
    <xf numFmtId="0" fontId="0" fillId="6" borderId="19" pivotButton="0" quotePrefix="0" xfId="0"/>
    <xf numFmtId="0" fontId="0" fillId="6" borderId="19" applyAlignment="1" pivotButton="0" quotePrefix="0" xfId="0">
      <alignment horizontal="center"/>
    </xf>
    <xf numFmtId="0" fontId="9" fillId="6" borderId="19" applyAlignment="1" pivotButton="0" quotePrefix="0" xfId="0">
      <alignment horizontal="center"/>
    </xf>
    <xf numFmtId="0" fontId="2" fillId="6" borderId="19" pivotButton="0" quotePrefix="0" xfId="0"/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0" fontId="2" fillId="7" borderId="34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/>
    </xf>
    <xf numFmtId="0" fontId="2" fillId="7" borderId="18" applyAlignment="1" pivotButton="0" quotePrefix="0" xfId="0">
      <alignment horizontal="center"/>
    </xf>
    <xf numFmtId="0" fontId="16" fillId="0" borderId="19" applyAlignment="1" pivotButton="0" quotePrefix="0" xfId="0">
      <alignment horizontal="center"/>
    </xf>
    <xf numFmtId="0" fontId="0" fillId="9" borderId="0" pivotButton="0" quotePrefix="0" xfId="0"/>
    <xf numFmtId="0" fontId="2" fillId="6" borderId="37" applyAlignment="1" pivotButton="0" quotePrefix="0" xfId="0">
      <alignment horizontal="left"/>
    </xf>
    <xf numFmtId="0" fontId="2" fillId="6" borderId="38" applyAlignment="1" pivotButton="0" quotePrefix="0" xfId="0">
      <alignment horizontal="left"/>
    </xf>
    <xf numFmtId="0" fontId="2" fillId="6" borderId="38" applyAlignment="1" pivotButton="0" quotePrefix="0" xfId="0">
      <alignment horizontal="center"/>
    </xf>
    <xf numFmtId="0" fontId="2" fillId="6" borderId="39" applyAlignment="1" pivotButton="0" quotePrefix="0" xfId="0">
      <alignment horizontal="center"/>
    </xf>
    <xf numFmtId="0" fontId="0" fillId="0" borderId="40" applyAlignment="1" pivotButton="0" quotePrefix="0" xfId="0">
      <alignment horizontal="left" vertical="top"/>
    </xf>
    <xf numFmtId="0" fontId="0" fillId="11" borderId="23" applyAlignment="1" pivotButton="0" quotePrefix="0" xfId="0">
      <alignment horizontal="center" vertical="top" wrapText="1"/>
    </xf>
    <xf numFmtId="0" fontId="0" fillId="0" borderId="41" pivotButton="0" quotePrefix="0" xfId="0"/>
    <xf numFmtId="0" fontId="0" fillId="0" borderId="24" pivotButton="0" quotePrefix="0" xfId="0"/>
    <xf numFmtId="0" fontId="0" fillId="0" borderId="18" pivotButton="0" quotePrefix="0" xfId="0"/>
    <xf numFmtId="0" fontId="17" fillId="0" borderId="2" pivotButton="0" quotePrefix="0" xfId="0"/>
    <xf numFmtId="0" fontId="17" fillId="0" borderId="2" applyAlignment="1" pivotButton="0" quotePrefix="0" xfId="0">
      <alignment horizontal="center"/>
    </xf>
    <xf numFmtId="2" fontId="0" fillId="0" borderId="19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7" fillId="0" borderId="0" pivotButton="0" quotePrefix="0" xfId="0"/>
    <xf numFmtId="2" fontId="0" fillId="0" borderId="0" applyAlignment="1" pivotButton="0" quotePrefix="0" xfId="0">
      <alignment horizontal="center"/>
    </xf>
    <xf numFmtId="2" fontId="0" fillId="0" borderId="2" applyAlignment="1" pivotButton="0" quotePrefix="0" xfId="0">
      <alignment horizontal="center"/>
    </xf>
    <xf numFmtId="2" fontId="0" fillId="6" borderId="2" applyAlignment="1" pivotButton="0" quotePrefix="0" xfId="0">
      <alignment horizontal="center"/>
    </xf>
    <xf numFmtId="2" fontId="17" fillId="0" borderId="2" applyAlignment="1" pivotButton="0" quotePrefix="0" xfId="0">
      <alignment horizontal="center"/>
    </xf>
    <xf numFmtId="0" fontId="11" fillId="6" borderId="2" pivotButton="0" quotePrefix="0" xfId="0"/>
    <xf numFmtId="0" fontId="15" fillId="6" borderId="2" pivotButton="0" quotePrefix="0" xfId="0"/>
    <xf numFmtId="0" fontId="15" fillId="6" borderId="2" applyAlignment="1" pivotButton="0" quotePrefix="0" xfId="0">
      <alignment horizontal="center"/>
    </xf>
    <xf numFmtId="0" fontId="11" fillId="0" borderId="2" pivotButton="0" quotePrefix="0" xfId="0"/>
    <xf numFmtId="0" fontId="15" fillId="0" borderId="2" pivotButton="0" quotePrefix="0" xfId="0"/>
    <xf numFmtId="0" fontId="15" fillId="0" borderId="2" applyAlignment="1" pivotButton="0" quotePrefix="0" xfId="0">
      <alignment horizontal="center"/>
    </xf>
    <xf numFmtId="2" fontId="15" fillId="0" borderId="2" applyAlignment="1" pivotButton="0" quotePrefix="0" xfId="0">
      <alignment horizontal="center"/>
    </xf>
    <xf numFmtId="2" fontId="11" fillId="6" borderId="2" applyAlignment="1" pivotButton="0" quotePrefix="0" xfId="0">
      <alignment horizontal="center"/>
    </xf>
    <xf numFmtId="2" fontId="11" fillId="8" borderId="2" applyAlignment="1" pivotButton="0" quotePrefix="0" xfId="0">
      <alignment horizontal="center"/>
    </xf>
    <xf numFmtId="0" fontId="11" fillId="6" borderId="29" pivotButton="0" quotePrefix="0" xfId="0"/>
    <xf numFmtId="0" fontId="15" fillId="6" borderId="42" pivotButton="0" quotePrefix="0" xfId="0"/>
    <xf numFmtId="0" fontId="15" fillId="6" borderId="42" applyAlignment="1" pivotButton="0" quotePrefix="0" xfId="0">
      <alignment horizontal="center"/>
    </xf>
    <xf numFmtId="0" fontId="15" fillId="6" borderId="43" applyAlignment="1" pivotButton="0" quotePrefix="0" xfId="0">
      <alignment horizontal="center"/>
    </xf>
    <xf numFmtId="0" fontId="11" fillId="8" borderId="29" pivotButton="0" quotePrefix="0" xfId="0"/>
    <xf numFmtId="0" fontId="15" fillId="8" borderId="42" pivotButton="0" quotePrefix="0" xfId="0"/>
    <xf numFmtId="0" fontId="15" fillId="8" borderId="42" applyAlignment="1" pivotButton="0" quotePrefix="0" xfId="0">
      <alignment horizontal="center"/>
    </xf>
    <xf numFmtId="0" fontId="15" fillId="8" borderId="43" applyAlignment="1" pivotButton="0" quotePrefix="0" xfId="0">
      <alignment horizontal="center"/>
    </xf>
    <xf numFmtId="0" fontId="11" fillId="12" borderId="29" pivotButton="0" quotePrefix="0" xfId="0"/>
    <xf numFmtId="0" fontId="0" fillId="12" borderId="42" pivotButton="0" quotePrefix="0" xfId="0"/>
    <xf numFmtId="0" fontId="0" fillId="12" borderId="42" applyAlignment="1" pivotButton="0" quotePrefix="0" xfId="0">
      <alignment horizontal="center"/>
    </xf>
    <xf numFmtId="0" fontId="0" fillId="12" borderId="43" applyAlignment="1" pivotButton="0" quotePrefix="0" xfId="0">
      <alignment horizontal="center"/>
    </xf>
    <xf numFmtId="2" fontId="0" fillId="6" borderId="19" applyAlignment="1" pivotButton="0" quotePrefix="0" xfId="0">
      <alignment horizontal="center"/>
    </xf>
    <xf numFmtId="2" fontId="8" fillId="3" borderId="34" applyAlignment="1" pivotButton="0" quotePrefix="0" xfId="0">
      <alignment horizontal="center"/>
    </xf>
    <xf numFmtId="2" fontId="0" fillId="0" borderId="9" applyAlignment="1" pivotButton="0" quotePrefix="0" xfId="0">
      <alignment horizontal="center"/>
    </xf>
    <xf numFmtId="2" fontId="0" fillId="0" borderId="35" applyAlignment="1" pivotButton="0" quotePrefix="0" xfId="0">
      <alignment horizontal="center"/>
    </xf>
    <xf numFmtId="2" fontId="0" fillId="0" borderId="7" applyAlignment="1" pivotButton="0" quotePrefix="0" xfId="0">
      <alignment horizontal="center"/>
    </xf>
    <xf numFmtId="2" fontId="0" fillId="0" borderId="10" applyAlignment="1" pivotButton="0" quotePrefix="0" xfId="0">
      <alignment horizontal="center"/>
    </xf>
    <xf numFmtId="2" fontId="0" fillId="0" borderId="36" applyAlignment="1" pivotButton="0" quotePrefix="0" xfId="0">
      <alignment horizontal="center"/>
    </xf>
    <xf numFmtId="0" fontId="11" fillId="6" borderId="18" applyAlignment="1" pivotButton="0" quotePrefix="0" xfId="0">
      <alignment horizontal="left"/>
    </xf>
    <xf numFmtId="0" fontId="15" fillId="6" borderId="21" applyAlignment="1" pivotButton="0" quotePrefix="0" xfId="0">
      <alignment horizontal="center"/>
    </xf>
    <xf numFmtId="2" fontId="11" fillId="6" borderId="1" applyAlignment="1" pivotButton="0" quotePrefix="0" xfId="0">
      <alignment horizontal="center"/>
    </xf>
    <xf numFmtId="0" fontId="11" fillId="8" borderId="18" applyAlignment="1" pivotButton="0" quotePrefix="0" xfId="0">
      <alignment horizontal="left"/>
    </xf>
    <xf numFmtId="0" fontId="0" fillId="8" borderId="21" applyAlignment="1" pivotButton="0" quotePrefix="0" xfId="0">
      <alignment horizontal="center"/>
    </xf>
    <xf numFmtId="2" fontId="11" fillId="8" borderId="1" applyAlignment="1" pivotButton="0" quotePrefix="0" xfId="0">
      <alignment horizontal="center"/>
    </xf>
    <xf numFmtId="0" fontId="11" fillId="12" borderId="18" applyAlignment="1" pivotButton="0" quotePrefix="0" xfId="0">
      <alignment horizontal="left"/>
    </xf>
    <xf numFmtId="0" fontId="0" fillId="12" borderId="21" applyAlignment="1" pivotButton="0" quotePrefix="0" xfId="0">
      <alignment horizontal="center"/>
    </xf>
    <xf numFmtId="0" fontId="0" fillId="12" borderId="21" pivotButton="0" quotePrefix="0" xfId="0"/>
    <xf numFmtId="2" fontId="11" fillId="12" borderId="1" applyAlignment="1" pivotButton="0" quotePrefix="0" xfId="0">
      <alignment horizontal="center"/>
    </xf>
    <xf numFmtId="0" fontId="0" fillId="9" borderId="2" pivotButton="0" quotePrefix="0" xfId="0"/>
    <xf numFmtId="0" fontId="0" fillId="9" borderId="2" applyAlignment="1" pivotButton="0" quotePrefix="0" xfId="0">
      <alignment horizontal="center"/>
    </xf>
    <xf numFmtId="0" fontId="0" fillId="9" borderId="19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2" fillId="3" borderId="44" applyAlignment="1" pivotButton="0" quotePrefix="0" xfId="0">
      <alignment horizontal="center"/>
    </xf>
    <xf numFmtId="0" fontId="2" fillId="6" borderId="2" applyAlignment="1" pivotButton="0" quotePrefix="0" xfId="0">
      <alignment horizontal="center"/>
    </xf>
    <xf numFmtId="0" fontId="8" fillId="3" borderId="25" applyAlignment="1" pivotButton="0" quotePrefix="0" xfId="0">
      <alignment horizontal="center"/>
    </xf>
    <xf numFmtId="0" fontId="8" fillId="3" borderId="23" applyAlignment="1" pivotButton="0" quotePrefix="0" xfId="0">
      <alignment horizontal="center"/>
    </xf>
    <xf numFmtId="2" fontId="0" fillId="0" borderId="28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2" fontId="0" fillId="9" borderId="28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0" fontId="8" fillId="3" borderId="2" applyAlignment="1" pivotButton="0" quotePrefix="0" xfId="0">
      <alignment horizontal="center"/>
    </xf>
    <xf numFmtId="0" fontId="0" fillId="0" borderId="28" applyAlignment="1" pivotButton="0" quotePrefix="0" xfId="0">
      <alignment horizontal="center"/>
    </xf>
    <xf numFmtId="0" fontId="0" fillId="4" borderId="2" pivotButton="0" quotePrefix="0" xfId="0"/>
    <xf numFmtId="2" fontId="0" fillId="4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13" borderId="2" pivotButton="0" quotePrefix="0" xfId="0"/>
    <xf numFmtId="2" fontId="0" fillId="13" borderId="2" applyAlignment="1" pivotButton="0" quotePrefix="0" xfId="0">
      <alignment horizontal="center"/>
    </xf>
    <xf numFmtId="0" fontId="0" fillId="13" borderId="2" applyAlignment="1" pivotButton="0" quotePrefix="0" xfId="0">
      <alignment horizontal="left"/>
    </xf>
    <xf numFmtId="0" fontId="2" fillId="6" borderId="12" pivotButton="0" quotePrefix="0" xfId="0"/>
    <xf numFmtId="0" fontId="0" fillId="6" borderId="12" pivotButton="0" quotePrefix="0" xfId="0"/>
    <xf numFmtId="0" fontId="0" fillId="6" borderId="12" applyAlignment="1" pivotButton="0" quotePrefix="0" xfId="0">
      <alignment horizontal="center"/>
    </xf>
    <xf numFmtId="2" fontId="0" fillId="6" borderId="12" applyAlignment="1" pivotButton="0" quotePrefix="0" xfId="0">
      <alignment horizontal="center"/>
    </xf>
    <xf numFmtId="0" fontId="2" fillId="6" borderId="38" pivotButton="0" quotePrefix="0" xfId="0"/>
    <xf numFmtId="0" fontId="0" fillId="6" borderId="38" pivotButton="0" quotePrefix="0" xfId="0"/>
    <xf numFmtId="0" fontId="0" fillId="6" borderId="38" applyAlignment="1" pivotButton="0" quotePrefix="0" xfId="0">
      <alignment horizontal="center"/>
    </xf>
    <xf numFmtId="2" fontId="0" fillId="6" borderId="38" applyAlignment="1" pivotButton="0" quotePrefix="0" xfId="0">
      <alignment horizontal="center"/>
    </xf>
    <xf numFmtId="0" fontId="0" fillId="0" borderId="12" applyAlignment="1" pivotButton="0" quotePrefix="0" xfId="0">
      <alignment horizontal="left"/>
    </xf>
    <xf numFmtId="2" fontId="0" fillId="0" borderId="12" applyAlignment="1" pivotButton="0" quotePrefix="0" xfId="0">
      <alignment horizontal="center"/>
    </xf>
    <xf numFmtId="2" fontId="0" fillId="0" borderId="0" pivotButton="0" quotePrefix="0" xfId="0"/>
    <xf numFmtId="0" fontId="0" fillId="4" borderId="19" pivotButton="0" quotePrefix="0" xfId="0"/>
    <xf numFmtId="2" fontId="0" fillId="4" borderId="19" applyAlignment="1" pivotButton="0" quotePrefix="0" xfId="0">
      <alignment horizontal="center"/>
    </xf>
    <xf numFmtId="0" fontId="0" fillId="13" borderId="12" pivotButton="0" quotePrefix="0" xfId="0"/>
    <xf numFmtId="0" fontId="0" fillId="13" borderId="19" applyAlignment="1" pivotButton="0" quotePrefix="0" xfId="0">
      <alignment horizontal="center"/>
    </xf>
    <xf numFmtId="2" fontId="0" fillId="13" borderId="19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49" fontId="2" fillId="2" borderId="2" applyAlignment="1" pivotButton="0" quotePrefix="0" xfId="0">
      <alignment horizontal="center"/>
    </xf>
    <xf numFmtId="0" fontId="2" fillId="4" borderId="2" pivotButton="0" quotePrefix="0" xfId="0"/>
    <xf numFmtId="0" fontId="2" fillId="4" borderId="2" applyAlignment="1" pivotButton="0" quotePrefix="0" xfId="0">
      <alignment horizontal="center"/>
    </xf>
    <xf numFmtId="0" fontId="10" fillId="4" borderId="2" applyAlignment="1" pivotButton="0" quotePrefix="0" xfId="0">
      <alignment horizontal="center"/>
    </xf>
    <xf numFmtId="1" fontId="10" fillId="4" borderId="2" applyAlignment="1" pivotButton="0" quotePrefix="0" xfId="0">
      <alignment horizontal="center"/>
    </xf>
    <xf numFmtId="0" fontId="0" fillId="5" borderId="2" pivotButton="0" quotePrefix="0" xfId="0"/>
    <xf numFmtId="0" fontId="2" fillId="5" borderId="2" pivotButton="0" quotePrefix="0" xfId="0"/>
    <xf numFmtId="1" fontId="0" fillId="0" borderId="0" pivotButton="0" quotePrefix="0" xfId="0"/>
    <xf numFmtId="0" fontId="17" fillId="4" borderId="2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" fontId="2" fillId="5" borderId="2" applyAlignment="1" pivotButton="0" quotePrefix="0" xfId="0">
      <alignment horizontal="center"/>
    </xf>
    <xf numFmtId="0" fontId="2" fillId="5" borderId="2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0" fillId="5" borderId="29" pivotButton="0" quotePrefix="0" xfId="0"/>
    <xf numFmtId="0" fontId="0" fillId="5" borderId="43" pivotButton="0" quotePrefix="0" xfId="0"/>
    <xf numFmtId="0" fontId="20" fillId="10" borderId="2" applyAlignment="1" pivotButton="0" quotePrefix="0" xfId="0">
      <alignment horizontal="center"/>
    </xf>
    <xf numFmtId="0" fontId="0" fillId="10" borderId="2" applyAlignment="1" pivotButton="0" quotePrefix="0" xfId="0">
      <alignment horizontal="center"/>
    </xf>
    <xf numFmtId="0" fontId="1" fillId="4" borderId="2" applyAlignment="1" pivotButton="0" quotePrefix="0" xfId="0">
      <alignment horizontal="center" vertical="top" wrapText="1"/>
    </xf>
    <xf numFmtId="0" fontId="1" fillId="13" borderId="2" applyAlignment="1" pivotButton="0" quotePrefix="0" xfId="0">
      <alignment horizontal="center" vertical="top" wrapText="1"/>
    </xf>
    <xf numFmtId="0" fontId="21" fillId="0" borderId="0" pivotButton="0" quotePrefix="0" xfId="0"/>
    <xf numFmtId="2" fontId="0" fillId="0" borderId="2" applyAlignment="1" pivotButton="0" quotePrefix="0" xfId="0">
      <alignment horizontal="center" vertical="center"/>
    </xf>
    <xf numFmtId="2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9" applyAlignment="1" pivotButton="0" quotePrefix="0" xfId="0">
      <alignment vertical="top" wrapText="1"/>
    </xf>
    <xf numFmtId="0" fontId="0" fillId="0" borderId="19" applyAlignment="1" pivotButton="0" quotePrefix="0" xfId="0">
      <alignment horizontal="center" vertical="center"/>
    </xf>
    <xf numFmtId="2" fontId="0" fillId="0" borderId="19" applyAlignment="1" pivotButton="0" quotePrefix="0" xfId="0">
      <alignment horizontal="center" vertical="center"/>
    </xf>
    <xf numFmtId="0" fontId="0" fillId="8" borderId="16" pivotButton="0" quotePrefix="0" xfId="0"/>
    <xf numFmtId="0" fontId="0" fillId="0" borderId="2" applyAlignment="1" pivotButton="0" quotePrefix="0" xfId="0">
      <alignment horizontal="center" vertical="top" wrapText="1"/>
    </xf>
    <xf numFmtId="0" fontId="19" fillId="0" borderId="2" applyAlignment="1" pivotButton="0" quotePrefix="0" xfId="0">
      <alignment horizontal="center"/>
    </xf>
    <xf numFmtId="0" fontId="2" fillId="12" borderId="2" applyAlignment="1" pivotButton="0" quotePrefix="0" xfId="0">
      <alignment horizontal="center"/>
    </xf>
    <xf numFmtId="0" fontId="2" fillId="11" borderId="2" applyAlignment="1" pivotButton="0" quotePrefix="0" xfId="0">
      <alignment horizontal="center"/>
    </xf>
    <xf numFmtId="0" fontId="0" fillId="12" borderId="2" applyAlignment="1" pivotButton="0" quotePrefix="0" xfId="0">
      <alignment horizontal="center"/>
    </xf>
    <xf numFmtId="0" fontId="0" fillId="11" borderId="2" applyAlignment="1" pivotButton="0" quotePrefix="0" xfId="0">
      <alignment horizontal="center"/>
    </xf>
    <xf numFmtId="0" fontId="0" fillId="0" borderId="2" applyAlignment="1" pivotButton="0" quotePrefix="0" xfId="0">
      <alignment wrapText="1"/>
    </xf>
    <xf numFmtId="0" fontId="2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6" borderId="2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5" borderId="0" pivotButton="0" quotePrefix="0" xfId="0"/>
    <xf numFmtId="1" fontId="0" fillId="0" borderId="0" applyAlignment="1" pivotButton="0" quotePrefix="0" xfId="0">
      <alignment horizontal="center"/>
    </xf>
    <xf numFmtId="1" fontId="0" fillId="0" borderId="2" applyAlignment="1" pivotButton="0" quotePrefix="0" xfId="0">
      <alignment horizontal="center" vertical="center"/>
    </xf>
    <xf numFmtId="1" fontId="0" fillId="11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11" borderId="2" pivotButton="0" quotePrefix="0" xfId="0"/>
    <xf numFmtId="0" fontId="0" fillId="4" borderId="2" applyAlignment="1" pivotButton="0" quotePrefix="0" xfId="0">
      <alignment horizontal="center" vertical="top" wrapText="1"/>
    </xf>
    <xf numFmtId="0" fontId="0" fillId="0" borderId="43" pivotButton="0" quotePrefix="0" xfId="0"/>
    <xf numFmtId="0" fontId="2" fillId="6" borderId="2" applyAlignment="1" pivotButton="0" quotePrefix="0" xfId="0">
      <alignment horizontal="center" vertical="top" wrapText="1"/>
    </xf>
    <xf numFmtId="0" fontId="0" fillId="5" borderId="12" pivotButton="0" quotePrefix="0" xfId="0"/>
    <xf numFmtId="0" fontId="2" fillId="0" borderId="2" pivotButton="0" quotePrefix="0" xfId="0"/>
    <xf numFmtId="1" fontId="2" fillId="0" borderId="2" applyAlignment="1" pivotButton="0" quotePrefix="0" xfId="0">
      <alignment horizontal="center"/>
    </xf>
    <xf numFmtId="0" fontId="10" fillId="4" borderId="29" applyAlignment="1" pivotButton="0" quotePrefix="0" xfId="0">
      <alignment horizontal="center"/>
    </xf>
    <xf numFmtId="0" fontId="10" fillId="4" borderId="43" applyAlignment="1" pivotButton="0" quotePrefix="0" xfId="0">
      <alignment horizontal="center"/>
    </xf>
    <xf numFmtId="1" fontId="2" fillId="9" borderId="0" applyAlignment="1" pivotButton="0" quotePrefix="0" xfId="0">
      <alignment horizontal="center"/>
    </xf>
    <xf numFmtId="0" fontId="2" fillId="9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top" wrapText="1"/>
    </xf>
    <xf numFmtId="0" fontId="2" fillId="3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2" fontId="11" fillId="6" borderId="0" applyAlignment="1" pivotButton="0" quotePrefix="0" xfId="0">
      <alignment horizontal="center"/>
    </xf>
    <xf numFmtId="0" fontId="0" fillId="6" borderId="2" applyAlignment="1" pivotButton="0" quotePrefix="0" xfId="0">
      <alignment horizontal="center" vertical="top" wrapText="1"/>
    </xf>
    <xf numFmtId="0" fontId="2" fillId="7" borderId="45" applyAlignment="1" pivotButton="0" quotePrefix="0" xfId="0">
      <alignment horizontal="center"/>
    </xf>
    <xf numFmtId="0" fontId="2" fillId="7" borderId="46" applyAlignment="1" pivotButton="0" quotePrefix="0" xfId="0">
      <alignment horizontal="center"/>
    </xf>
    <xf numFmtId="0" fontId="2" fillId="7" borderId="36" applyAlignment="1" pivotButton="0" quotePrefix="0" xfId="0">
      <alignment horizontal="center"/>
    </xf>
    <xf numFmtId="0" fontId="2" fillId="7" borderId="45" pivotButton="0" quotePrefix="0" xfId="0"/>
    <xf numFmtId="0" fontId="2" fillId="7" borderId="15" applyAlignment="1" pivotButton="0" quotePrefix="0" xfId="0">
      <alignment horizontal="center" vertical="center"/>
    </xf>
    <xf numFmtId="0" fontId="2" fillId="7" borderId="27" applyAlignment="1" pivotButton="0" quotePrefix="0" xfId="0">
      <alignment horizontal="center" vertical="center"/>
    </xf>
    <xf numFmtId="0" fontId="2" fillId="7" borderId="16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8" applyAlignment="1" pivotButton="0" quotePrefix="0" xfId="0">
      <alignment horizontal="center" vertical="center"/>
    </xf>
    <xf numFmtId="0" fontId="0" fillId="0" borderId="47" applyAlignment="1" pivotButton="0" quotePrefix="0" xfId="0">
      <alignment horizontal="center" vertical="center"/>
    </xf>
    <xf numFmtId="0" fontId="0" fillId="0" borderId="43" applyAlignment="1" pivotButton="0" quotePrefix="0" xfId="0">
      <alignment horizontal="center" vertical="center"/>
    </xf>
    <xf numFmtId="0" fontId="0" fillId="0" borderId="42" pivotButton="0" quotePrefix="0" xfId="0"/>
    <xf numFmtId="0" fontId="18" fillId="9" borderId="2" pivotButton="0" quotePrefix="0" xfId="0"/>
    <xf numFmtId="0" fontId="18" fillId="9" borderId="42" pivotButton="0" quotePrefix="0" xfId="0"/>
    <xf numFmtId="0" fontId="18" fillId="9" borderId="43" pivotButton="0" quotePrefix="0" xfId="0"/>
    <xf numFmtId="0" fontId="0" fillId="2" borderId="28" applyAlignment="1" pivotButton="0" quotePrefix="0" xfId="0">
      <alignment horizontal="center" vertical="center"/>
    </xf>
    <xf numFmtId="2" fontId="2" fillId="6" borderId="2" applyAlignment="1" pivotButton="0" quotePrefix="0" xfId="0">
      <alignment horizontal="center" vertical="center"/>
    </xf>
    <xf numFmtId="0" fontId="0" fillId="6" borderId="43" pivotButton="0" quotePrefix="0" xfId="0"/>
    <xf numFmtId="0" fontId="0" fillId="12" borderId="2" pivotButton="0" quotePrefix="0" xfId="0"/>
    <xf numFmtId="0" fontId="0" fillId="12" borderId="2" applyAlignment="1" pivotButton="0" quotePrefix="0" xfId="0">
      <alignment horizontal="center" vertical="center"/>
    </xf>
    <xf numFmtId="0" fontId="14" fillId="0" borderId="0" pivotButton="0" quotePrefix="0" xfId="0"/>
    <xf numFmtId="0" fontId="0" fillId="6" borderId="4" applyAlignment="1" pivotButton="0" quotePrefix="0" xfId="0">
      <alignment horizontal="center"/>
    </xf>
    <xf numFmtId="0" fontId="2" fillId="11" borderId="47" applyAlignment="1" pivotButton="0" quotePrefix="0" xfId="0">
      <alignment horizontal="center"/>
    </xf>
    <xf numFmtId="0" fontId="14" fillId="8" borderId="2" applyAlignment="1" pivotButton="0" quotePrefix="0" xfId="0">
      <alignment horizontal="center"/>
    </xf>
    <xf numFmtId="0" fontId="2" fillId="8" borderId="0" pivotButton="0" quotePrefix="0" xfId="0"/>
    <xf numFmtId="0" fontId="0" fillId="6" borderId="31" applyAlignment="1" pivotButton="0" quotePrefix="0" xfId="0">
      <alignment horizontal="center"/>
    </xf>
    <xf numFmtId="0" fontId="0" fillId="13" borderId="29" pivotButton="0" quotePrefix="0" xfId="0"/>
    <xf numFmtId="0" fontId="0" fillId="14" borderId="2" applyAlignment="1" pivotButton="0" quotePrefix="0" xfId="0">
      <alignment horizontal="center"/>
    </xf>
    <xf numFmtId="0" fontId="0" fillId="14" borderId="2" pivotButton="0" quotePrefix="0" xfId="0"/>
    <xf numFmtId="0" fontId="0" fillId="14" borderId="29" pivotButton="0" quotePrefix="0" xfId="0"/>
    <xf numFmtId="0" fontId="2" fillId="8" borderId="12" applyAlignment="1" pivotButton="0" quotePrefix="0" xfId="0">
      <alignment horizontal="center"/>
    </xf>
    <xf numFmtId="0" fontId="8" fillId="6" borderId="2" applyAlignment="1" pivotButton="0" quotePrefix="0" xfId="0">
      <alignment horizontal="center"/>
    </xf>
    <xf numFmtId="0" fontId="8" fillId="6" borderId="2" pivotButton="0" quotePrefix="0" xfId="0"/>
    <xf numFmtId="0" fontId="23" fillId="0" borderId="0" applyAlignment="1" pivotButton="0" quotePrefix="0" xfId="0">
      <alignment horizontal="right" vertical="center"/>
    </xf>
    <xf numFmtId="0" fontId="12" fillId="10" borderId="2" applyAlignment="1" pivotButton="0" quotePrefix="0" xfId="0">
      <alignment horizontal="center"/>
    </xf>
    <xf numFmtId="0" fontId="0" fillId="13" borderId="2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0" fontId="0" fillId="3" borderId="12" applyAlignment="1" pivotButton="0" quotePrefix="0" xfId="0">
      <alignment horizontal="center"/>
    </xf>
    <xf numFmtId="0" fontId="0" fillId="3" borderId="9" applyAlignment="1" pivotButton="0" quotePrefix="0" xfId="0">
      <alignment horizontal="center"/>
    </xf>
    <xf numFmtId="0" fontId="12" fillId="4" borderId="2" applyAlignment="1" pivotButton="0" quotePrefix="0" xfId="0">
      <alignment horizontal="center" vertical="center"/>
    </xf>
    <xf numFmtId="0" fontId="0" fillId="11" borderId="12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2" fillId="6" borderId="2" applyAlignment="1" pivotButton="0" quotePrefix="0" xfId="0">
      <alignment horizontal="center"/>
    </xf>
    <xf numFmtId="0" fontId="11" fillId="15" borderId="29" pivotButton="0" quotePrefix="0" xfId="0"/>
    <xf numFmtId="0" fontId="15" fillId="15" borderId="42" pivotButton="0" quotePrefix="0" xfId="0"/>
    <xf numFmtId="0" fontId="15" fillId="15" borderId="42" applyAlignment="1" pivotButton="0" quotePrefix="0" xfId="0">
      <alignment horizontal="center"/>
    </xf>
    <xf numFmtId="0" fontId="15" fillId="15" borderId="43" applyAlignment="1" pivotButton="0" quotePrefix="0" xfId="0">
      <alignment horizontal="center"/>
    </xf>
    <xf numFmtId="2" fontId="11" fillId="15" borderId="2" applyAlignment="1" pivotButton="0" quotePrefix="0" xfId="0">
      <alignment horizontal="center"/>
    </xf>
    <xf numFmtId="0" fontId="11" fillId="4" borderId="29" pivotButton="0" quotePrefix="0" xfId="0"/>
    <xf numFmtId="0" fontId="15" fillId="4" borderId="42" pivotButton="0" quotePrefix="0" xfId="0"/>
    <xf numFmtId="0" fontId="15" fillId="4" borderId="42" applyAlignment="1" pivotButton="0" quotePrefix="0" xfId="0">
      <alignment horizontal="center"/>
    </xf>
    <xf numFmtId="0" fontId="15" fillId="4" borderId="43" applyAlignment="1" pivotButton="0" quotePrefix="0" xfId="0">
      <alignment horizontal="center"/>
    </xf>
    <xf numFmtId="2" fontId="11" fillId="4" borderId="2" applyAlignment="1" pivotButton="0" quotePrefix="0" xfId="0">
      <alignment horizontal="center"/>
    </xf>
    <xf numFmtId="0" fontId="11" fillId="16" borderId="29" pivotButton="0" quotePrefix="0" xfId="0"/>
    <xf numFmtId="0" fontId="15" fillId="16" borderId="42" pivotButton="0" quotePrefix="0" xfId="0"/>
    <xf numFmtId="0" fontId="15" fillId="16" borderId="42" applyAlignment="1" pivotButton="0" quotePrefix="0" xfId="0">
      <alignment horizontal="center"/>
    </xf>
    <xf numFmtId="0" fontId="15" fillId="16" borderId="43" applyAlignment="1" pivotButton="0" quotePrefix="0" xfId="0">
      <alignment horizontal="center"/>
    </xf>
    <xf numFmtId="0" fontId="24" fillId="8" borderId="29" pivotButton="0" quotePrefix="0" xfId="0"/>
    <xf numFmtId="0" fontId="25" fillId="8" borderId="42" pivotButton="0" quotePrefix="0" xfId="0"/>
    <xf numFmtId="0" fontId="25" fillId="8" borderId="42" applyAlignment="1" pivotButton="0" quotePrefix="0" xfId="0">
      <alignment horizontal="center"/>
    </xf>
    <xf numFmtId="0" fontId="25" fillId="8" borderId="43" applyAlignment="1" pivotButton="0" quotePrefix="0" xfId="0">
      <alignment horizontal="center"/>
    </xf>
    <xf numFmtId="0" fontId="24" fillId="4" borderId="29" pivotButton="0" quotePrefix="0" xfId="0"/>
    <xf numFmtId="0" fontId="25" fillId="4" borderId="42" pivotButton="0" quotePrefix="0" xfId="0"/>
    <xf numFmtId="0" fontId="25" fillId="4" borderId="42" applyAlignment="1" pivotButton="0" quotePrefix="0" xfId="0">
      <alignment horizontal="center"/>
    </xf>
    <xf numFmtId="0" fontId="25" fillId="4" borderId="43" applyAlignment="1" pivotButton="0" quotePrefix="0" xfId="0">
      <alignment horizontal="center"/>
    </xf>
    <xf numFmtId="0" fontId="7" fillId="4" borderId="2" applyAlignment="1" pivotButton="0" quotePrefix="0" xfId="0">
      <alignment horizontal="center"/>
    </xf>
    <xf numFmtId="0" fontId="7" fillId="4" borderId="2" applyAlignment="1" pivotButton="0" quotePrefix="0" xfId="0">
      <alignment horizontal="center" vertical="center" wrapText="1"/>
    </xf>
    <xf numFmtId="2" fontId="26" fillId="8" borderId="2" applyAlignment="1" pivotButton="0" quotePrefix="0" xfId="0">
      <alignment horizontal="center"/>
    </xf>
    <xf numFmtId="2" fontId="26" fillId="4" borderId="2" applyAlignment="1" pivotButton="0" quotePrefix="0" xfId="0">
      <alignment horizontal="center"/>
    </xf>
    <xf numFmtId="2" fontId="27" fillId="16" borderId="2" applyAlignment="1" pivotButton="0" quotePrefix="0" xfId="0">
      <alignment horizontal="center"/>
    </xf>
    <xf numFmtId="4" fontId="11" fillId="12" borderId="2" applyAlignment="1" pivotButton="0" quotePrefix="0" xfId="0">
      <alignment horizontal="center"/>
    </xf>
    <xf numFmtId="0" fontId="8" fillId="3" borderId="44" applyAlignment="1" pivotButton="0" quotePrefix="0" xfId="0">
      <alignment horizontal="center"/>
    </xf>
    <xf numFmtId="0" fontId="2" fillId="6" borderId="0" pivotButton="0" quotePrefix="0" xfId="0"/>
    <xf numFmtId="0" fontId="2" fillId="3" borderId="2" applyAlignment="1" pivotButton="0" quotePrefix="0" xfId="0">
      <alignment horizontal="center"/>
    </xf>
    <xf numFmtId="0" fontId="28" fillId="0" borderId="0" applyAlignment="1" pivotButton="0" quotePrefix="0" xfId="0">
      <alignment horizontal="right"/>
    </xf>
    <xf numFmtId="0" fontId="11" fillId="11" borderId="32" pivotButton="0" quotePrefix="0" xfId="0"/>
    <xf numFmtId="0" fontId="15" fillId="11" borderId="48" pivotButton="0" quotePrefix="0" xfId="0"/>
    <xf numFmtId="0" fontId="15" fillId="11" borderId="48" applyAlignment="1" pivotButton="0" quotePrefix="0" xfId="0">
      <alignment horizontal="center"/>
    </xf>
    <xf numFmtId="0" fontId="15" fillId="11" borderId="49" applyAlignment="1" pivotButton="0" quotePrefix="0" xfId="0">
      <alignment horizontal="center"/>
    </xf>
    <xf numFmtId="0" fontId="11" fillId="9" borderId="12" pivotButton="0" quotePrefix="0" xfId="0"/>
    <xf numFmtId="0" fontId="15" fillId="9" borderId="12" pivotButton="0" quotePrefix="0" xfId="0"/>
    <xf numFmtId="0" fontId="15" fillId="9" borderId="12" applyAlignment="1" pivotButton="0" quotePrefix="0" xfId="0">
      <alignment horizontal="center"/>
    </xf>
    <xf numFmtId="2" fontId="11" fillId="11" borderId="12" applyAlignment="1" pivotButton="0" quotePrefix="0" xfId="0">
      <alignment horizontal="center"/>
    </xf>
    <xf numFmtId="0" fontId="12" fillId="4" borderId="2" applyAlignment="1" applyProtection="1" pivotButton="0" quotePrefix="0" xfId="0">
      <alignment horizontal="center" vertical="center"/>
      <protection locked="0" hidden="0"/>
    </xf>
    <xf numFmtId="0" fontId="1" fillId="17" borderId="2" applyAlignment="1" pivotButton="0" quotePrefix="0" xfId="0">
      <alignment horizontal="center" vertical="top" wrapText="1"/>
    </xf>
    <xf numFmtId="0" fontId="1" fillId="4" borderId="6" applyAlignment="1" pivotButton="0" quotePrefix="0" xfId="0">
      <alignment vertical="top" wrapText="1"/>
    </xf>
    <xf numFmtId="0" fontId="1" fillId="13" borderId="6" applyAlignment="1" pivotButton="0" quotePrefix="0" xfId="0">
      <alignment vertical="top" wrapText="1"/>
    </xf>
    <xf numFmtId="0" fontId="1" fillId="5" borderId="6" applyAlignment="1" pivotButton="0" quotePrefix="0" xfId="0">
      <alignment vertical="top" wrapText="1"/>
    </xf>
    <xf numFmtId="0" fontId="1" fillId="5" borderId="2" applyAlignment="1" pivotButton="0" quotePrefix="0" xfId="0">
      <alignment horizontal="center" vertical="top" wrapText="1"/>
    </xf>
    <xf numFmtId="0" fontId="1" fillId="17" borderId="6" applyAlignment="1" pivotButton="0" quotePrefix="0" xfId="0">
      <alignment vertical="top" wrapText="1"/>
    </xf>
    <xf numFmtId="0" fontId="0" fillId="17" borderId="2" pivotButton="0" quotePrefix="0" xfId="0"/>
    <xf numFmtId="0" fontId="1" fillId="18" borderId="2" applyAlignment="1" pivotButton="0" quotePrefix="0" xfId="0">
      <alignment horizontal="center" vertical="top" wrapText="1"/>
    </xf>
    <xf numFmtId="0" fontId="1" fillId="19" borderId="6" applyAlignment="1" pivotButton="0" quotePrefix="0" xfId="0">
      <alignment vertical="top" wrapText="1"/>
    </xf>
    <xf numFmtId="0" fontId="1" fillId="19" borderId="2" applyAlignment="1" pivotButton="0" quotePrefix="0" xfId="0">
      <alignment horizontal="center" vertical="top" wrapText="1"/>
    </xf>
    <xf numFmtId="0" fontId="0" fillId="19" borderId="2" pivotButton="0" quotePrefix="0" xfId="0"/>
    <xf numFmtId="0" fontId="1" fillId="4" borderId="14" applyAlignment="1" pivotButton="0" quotePrefix="0" xfId="0">
      <alignment vertical="top" wrapText="1"/>
    </xf>
    <xf numFmtId="0" fontId="0" fillId="17" borderId="2" applyAlignment="1" pivotButton="0" quotePrefix="0" xfId="0">
      <alignment horizontal="center"/>
    </xf>
    <xf numFmtId="0" fontId="0" fillId="19" borderId="2" applyAlignment="1" pivotButton="0" quotePrefix="0" xfId="0">
      <alignment horizontal="center"/>
    </xf>
    <xf numFmtId="0" fontId="0" fillId="0" borderId="49" pivotButton="0" quotePrefix="0" xfId="0"/>
    <xf numFmtId="0" fontId="0" fillId="0" borderId="50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1" fontId="0" fillId="0" borderId="2" applyAlignment="1" pivotButton="0" quotePrefix="0" xfId="0">
      <alignment horizontal="center"/>
    </xf>
    <xf numFmtId="0" fontId="1" fillId="4" borderId="12" applyAlignment="1" pivotButton="0" quotePrefix="0" xfId="0">
      <alignment horizontal="center" vertical="top" wrapText="1"/>
    </xf>
    <xf numFmtId="0" fontId="2" fillId="2" borderId="0" pivotButton="0" quotePrefix="0" xfId="0"/>
    <xf numFmtId="0" fontId="1" fillId="4" borderId="29" applyAlignment="1" pivotButton="0" quotePrefix="0" xfId="0">
      <alignment horizontal="center" vertical="top" wrapText="1"/>
    </xf>
    <xf numFmtId="0" fontId="1" fillId="13" borderId="29" applyAlignment="1" pivotButton="0" quotePrefix="0" xfId="0">
      <alignment horizontal="center" vertical="top" wrapText="1"/>
    </xf>
    <xf numFmtId="0" fontId="1" fillId="5" borderId="29" applyAlignment="1" pivotButton="0" quotePrefix="0" xfId="0">
      <alignment horizontal="center" vertical="top" wrapText="1"/>
    </xf>
    <xf numFmtId="0" fontId="1" fillId="17" borderId="29" applyAlignment="1" pivotButton="0" quotePrefix="0" xfId="0">
      <alignment horizontal="center" vertical="top" wrapText="1"/>
    </xf>
    <xf numFmtId="0" fontId="1" fillId="19" borderId="29" applyAlignment="1" pivotButton="0" quotePrefix="0" xfId="0">
      <alignment horizontal="center" vertical="top" wrapText="1"/>
    </xf>
    <xf numFmtId="0" fontId="1" fillId="4" borderId="32" applyAlignment="1" pivotButton="0" quotePrefix="0" xfId="0">
      <alignment horizontal="center" vertical="top" wrapText="1"/>
    </xf>
    <xf numFmtId="0" fontId="2" fillId="5" borderId="27" applyAlignment="1" pivotButton="0" quotePrefix="0" xfId="0">
      <alignment horizontal="center"/>
    </xf>
    <xf numFmtId="0" fontId="0" fillId="13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top" wrapText="1"/>
    </xf>
    <xf numFmtId="0" fontId="18" fillId="6" borderId="2" applyAlignment="1" pivotButton="0" quotePrefix="0" xfId="0">
      <alignment horizontal="center"/>
    </xf>
    <xf numFmtId="0" fontId="0" fillId="0" borderId="32" applyAlignment="1" pivotButton="0" quotePrefix="0" xfId="0">
      <alignment horizontal="center" vertical="center"/>
    </xf>
    <xf numFmtId="0" fontId="0" fillId="4" borderId="12" applyAlignment="1" pivotButton="0" quotePrefix="0" xfId="0">
      <alignment horizontal="center"/>
    </xf>
    <xf numFmtId="0" fontId="0" fillId="0" borderId="12" applyAlignment="1" pivotButton="0" quotePrefix="0" xfId="0">
      <alignment horizontal="center" vertical="top" wrapText="1"/>
    </xf>
    <xf numFmtId="0" fontId="29" fillId="13" borderId="2" applyAlignment="1" pivotButton="0" quotePrefix="0" xfId="0">
      <alignment horizontal="center" vertical="top" wrapText="1"/>
    </xf>
    <xf numFmtId="0" fontId="1" fillId="4" borderId="2" applyAlignment="1" pivotButton="0" quotePrefix="0" xfId="0">
      <alignment vertical="top" wrapText="1"/>
    </xf>
    <xf numFmtId="0" fontId="29" fillId="13" borderId="2" applyAlignment="1" pivotButton="0" quotePrefix="0" xfId="0">
      <alignment vertical="top" wrapText="1"/>
    </xf>
    <xf numFmtId="0" fontId="1" fillId="5" borderId="2" applyAlignment="1" pivotButton="0" quotePrefix="0" xfId="0">
      <alignment vertical="top" wrapText="1"/>
    </xf>
    <xf numFmtId="0" fontId="1" fillId="17" borderId="2" applyAlignment="1" pivotButton="0" quotePrefix="0" xfId="0">
      <alignment vertical="top" wrapText="1"/>
    </xf>
    <xf numFmtId="0" fontId="1" fillId="18" borderId="2" applyAlignment="1" pivotButton="0" quotePrefix="0" xfId="0">
      <alignment vertical="top" wrapText="1"/>
    </xf>
    <xf numFmtId="0" fontId="6" fillId="5" borderId="2" applyAlignment="1" pivotButton="0" quotePrefix="0" xfId="0">
      <alignment vertical="top" wrapText="1"/>
    </xf>
    <xf numFmtId="0" fontId="18" fillId="13" borderId="2" applyAlignment="1" pivotButton="0" quotePrefix="0" xfId="0">
      <alignment horizontal="center"/>
    </xf>
    <xf numFmtId="0" fontId="0" fillId="18" borderId="2" applyAlignment="1" pivotButton="0" quotePrefix="0" xfId="0">
      <alignment horizontal="center"/>
    </xf>
    <xf numFmtId="0" fontId="0" fillId="3" borderId="22" applyAlignment="1" pivotButton="0" quotePrefix="0" xfId="0">
      <alignment horizontal="center" wrapText="1"/>
    </xf>
    <xf numFmtId="0" fontId="0" fillId="0" borderId="2" applyAlignment="1" pivotButton="0" quotePrefix="0" xfId="0">
      <alignment horizontal="left" vertical="center"/>
    </xf>
    <xf numFmtId="0" fontId="22" fillId="0" borderId="0" applyAlignment="1" pivotButton="0" quotePrefix="0" xfId="0">
      <alignment horizontal="center" vertical="top" wrapText="1"/>
    </xf>
    <xf numFmtId="0" fontId="0" fillId="0" borderId="28" applyAlignment="1" pivotButton="0" quotePrefix="0" xfId="0">
      <alignment horizontal="center" vertical="center"/>
    </xf>
    <xf numFmtId="0" fontId="2" fillId="2" borderId="29" pivotButton="0" quotePrefix="0" xfId="0"/>
    <xf numFmtId="0" fontId="0" fillId="2" borderId="29" pivotButton="0" quotePrefix="0" xfId="0"/>
    <xf numFmtId="0" fontId="2" fillId="11" borderId="29" pivotButton="0" quotePrefix="0" xfId="0"/>
    <xf numFmtId="0" fontId="0" fillId="4" borderId="29" pivotButton="0" quotePrefix="0" xfId="0"/>
    <xf numFmtId="0" fontId="0" fillId="4" borderId="32" pivotButton="0" quotePrefix="0" xfId="0"/>
    <xf numFmtId="0" fontId="15" fillId="0" borderId="0" applyAlignment="1" pivotButton="0" quotePrefix="0" xfId="0">
      <alignment horizontal="center"/>
    </xf>
    <xf numFmtId="14" fontId="2" fillId="6" borderId="0" applyAlignment="1" pivotButton="0" quotePrefix="0" xfId="0">
      <alignment horizontal="center"/>
    </xf>
    <xf numFmtId="0" fontId="2" fillId="3" borderId="33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2" fillId="3" borderId="24" applyAlignment="1" pivotButton="0" quotePrefix="0" xfId="0">
      <alignment horizontal="center" wrapText="1"/>
    </xf>
    <xf numFmtId="0" fontId="2" fillId="15" borderId="33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0" fontId="2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center" wrapText="1"/>
    </xf>
    <xf numFmtId="2" fontId="1" fillId="0" borderId="2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 wrapText="1"/>
    </xf>
    <xf numFmtId="2" fontId="2" fillId="3" borderId="2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top" wrapText="1"/>
    </xf>
    <xf numFmtId="0" fontId="2" fillId="3" borderId="0" applyAlignment="1" pivotButton="0" quotePrefix="0" xfId="0">
      <alignment horizontal="right"/>
    </xf>
    <xf numFmtId="0" fontId="0" fillId="15" borderId="2" applyAlignment="1" pivotButton="0" quotePrefix="0" xfId="0">
      <alignment horizontal="center" vertical="top" wrapText="1"/>
    </xf>
    <xf numFmtId="0" fontId="18" fillId="0" borderId="29" pivotButton="0" quotePrefix="0" xfId="0"/>
    <xf numFmtId="0" fontId="0" fillId="11" borderId="29" pivotButton="0" quotePrefix="0" xfId="0"/>
    <xf numFmtId="0" fontId="2" fillId="2" borderId="38" pivotButton="0" quotePrefix="0" xfId="0"/>
    <xf numFmtId="0" fontId="2" fillId="14" borderId="19" pivotButton="0" quotePrefix="0" xfId="0"/>
    <xf numFmtId="0" fontId="0" fillId="14" borderId="28" pivotButton="0" quotePrefix="0" xfId="0"/>
    <xf numFmtId="0" fontId="0" fillId="14" borderId="19" applyAlignment="1" pivotButton="0" quotePrefix="0" xfId="0">
      <alignment horizontal="center"/>
    </xf>
    <xf numFmtId="0" fontId="2" fillId="8" borderId="2" applyAlignment="1" pivotButton="0" quotePrefix="0" xfId="0">
      <alignment horizontal="center"/>
    </xf>
    <xf numFmtId="0" fontId="11" fillId="11" borderId="18" applyAlignment="1" pivotButton="0" quotePrefix="0" xfId="0">
      <alignment horizontal="left"/>
    </xf>
    <xf numFmtId="0" fontId="11" fillId="6" borderId="23" applyAlignment="1" pivotButton="0" quotePrefix="0" xfId="0">
      <alignment horizontal="left"/>
    </xf>
    <xf numFmtId="0" fontId="0" fillId="11" borderId="21" applyAlignment="1" pivotButton="0" quotePrefix="0" xfId="0">
      <alignment horizontal="center"/>
    </xf>
    <xf numFmtId="0" fontId="0" fillId="11" borderId="21" pivotButton="0" quotePrefix="0" xfId="0"/>
    <xf numFmtId="0" fontId="0" fillId="11" borderId="1" applyAlignment="1" pivotButton="0" quotePrefix="0" xfId="0">
      <alignment horizontal="center"/>
    </xf>
    <xf numFmtId="0" fontId="0" fillId="8" borderId="42" pivotButton="0" quotePrefix="0" xfId="0"/>
    <xf numFmtId="0" fontId="0" fillId="8" borderId="42" applyAlignment="1" pivotButton="0" quotePrefix="0" xfId="0">
      <alignment horizontal="center"/>
    </xf>
    <xf numFmtId="0" fontId="0" fillId="8" borderId="43" applyAlignment="1" pivotButton="0" quotePrefix="0" xfId="0">
      <alignment horizontal="center"/>
    </xf>
    <xf numFmtId="0" fontId="0" fillId="6" borderId="42" pivotButton="0" quotePrefix="0" xfId="0"/>
    <xf numFmtId="0" fontId="0" fillId="6" borderId="42" applyAlignment="1" pivotButton="0" quotePrefix="0" xfId="0">
      <alignment horizontal="center"/>
    </xf>
    <xf numFmtId="0" fontId="0" fillId="6" borderId="43" applyAlignment="1" pivotButton="0" quotePrefix="0" xfId="0">
      <alignment horizontal="center"/>
    </xf>
    <xf numFmtId="3" fontId="30" fillId="8" borderId="2" applyAlignment="1" pivotButton="0" quotePrefix="0" xfId="0">
      <alignment horizontal="center"/>
    </xf>
    <xf numFmtId="0" fontId="30" fillId="8" borderId="29" pivotButton="0" quotePrefix="0" xfId="0"/>
    <xf numFmtId="0" fontId="30" fillId="6" borderId="29" pivotButton="0" quotePrefix="0" xfId="0"/>
    <xf numFmtId="3" fontId="30" fillId="6" borderId="2" applyAlignment="1" pivotButton="0" quotePrefix="0" xfId="0">
      <alignment horizontal="center"/>
    </xf>
    <xf numFmtId="3" fontId="12" fillId="5" borderId="2" applyAlignment="1" pivotButton="0" quotePrefix="0" xfId="0">
      <alignment horizontal="center" vertical="center"/>
    </xf>
    <xf numFmtId="0" fontId="12" fillId="10" borderId="2" applyAlignment="1" pivotButton="0" quotePrefix="0" xfId="0">
      <alignment horizontal="center" wrapText="1"/>
    </xf>
    <xf numFmtId="3" fontId="12" fillId="4" borderId="2" applyAlignment="1" pivotButton="0" quotePrefix="0" xfId="0">
      <alignment horizontal="center" vertical="center" wrapText="1"/>
    </xf>
    <xf numFmtId="0" fontId="31" fillId="6" borderId="2" applyAlignment="1" pivotButton="0" quotePrefix="0" xfId="0">
      <alignment horizontal="center"/>
    </xf>
    <xf numFmtId="0" fontId="31" fillId="0" borderId="0" applyAlignment="1" pivotButton="0" quotePrefix="0" xfId="0">
      <alignment horizontal="left"/>
    </xf>
    <xf numFmtId="164" fontId="30" fillId="8" borderId="2" applyAlignment="1" pivotButton="0" quotePrefix="0" xfId="0">
      <alignment horizontal="center"/>
    </xf>
    <xf numFmtId="0" fontId="12" fillId="0" borderId="0" applyAlignment="1" pivotButton="0" quotePrefix="0" xfId="0">
      <alignment horizontal="center" vertical="center"/>
    </xf>
    <xf numFmtId="3" fontId="12" fillId="0" borderId="0" applyAlignment="1" pivotButton="0" quotePrefix="0" xfId="0">
      <alignment horizontal="center" vertical="center"/>
    </xf>
    <xf numFmtId="3" fontId="12" fillId="0" borderId="0" applyAlignment="1" pivotButton="0" quotePrefix="0" xfId="0">
      <alignment horizontal="center" vertical="center" wrapText="1"/>
    </xf>
    <xf numFmtId="0" fontId="0" fillId="19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top" wrapText="1"/>
    </xf>
    <xf numFmtId="0" fontId="2" fillId="19" borderId="2" pivotButton="0" quotePrefix="0" xfId="0"/>
    <xf numFmtId="0" fontId="2" fillId="19" borderId="2" applyAlignment="1" pivotButton="0" quotePrefix="0" xfId="0">
      <alignment horizontal="center"/>
    </xf>
    <xf numFmtId="0" fontId="19" fillId="0" borderId="29" applyAlignment="1" pivotButton="0" quotePrefix="0" xfId="0">
      <alignment horizontal="center"/>
    </xf>
    <xf numFmtId="1" fontId="2" fillId="11" borderId="29" applyAlignment="1" pivotButton="0" quotePrefix="0" xfId="0">
      <alignment horizontal="center"/>
    </xf>
    <xf numFmtId="0" fontId="2" fillId="11" borderId="29" applyAlignment="1" pivotButton="0" quotePrefix="0" xfId="0">
      <alignment horizontal="center"/>
    </xf>
    <xf numFmtId="0" fontId="0" fillId="11" borderId="29" applyAlignment="1" pivotButton="0" quotePrefix="0" xfId="0">
      <alignment horizontal="center"/>
    </xf>
    <xf numFmtId="0" fontId="2" fillId="0" borderId="29" pivotButton="0" quotePrefix="0" xfId="0"/>
    <xf numFmtId="0" fontId="4" fillId="0" borderId="43" applyAlignment="1" pivotButton="0" quotePrefix="0" xfId="0">
      <alignment horizontal="center"/>
    </xf>
    <xf numFmtId="1" fontId="2" fillId="6" borderId="43" applyAlignment="1" pivotButton="0" quotePrefix="0" xfId="0">
      <alignment horizontal="center"/>
    </xf>
    <xf numFmtId="0" fontId="10" fillId="6" borderId="43" applyAlignment="1" pivotButton="0" quotePrefix="0" xfId="0">
      <alignment horizontal="center"/>
    </xf>
    <xf numFmtId="0" fontId="2" fillId="6" borderId="43" applyAlignment="1" pivotButton="0" quotePrefix="0" xfId="0">
      <alignment horizontal="center"/>
    </xf>
    <xf numFmtId="0" fontId="0" fillId="0" borderId="43" applyAlignment="1" pivotButton="0" quotePrefix="0" xfId="0">
      <alignment horizontal="right"/>
    </xf>
    <xf numFmtId="0" fontId="0" fillId="0" borderId="43" applyAlignment="1" pivotButton="0" quotePrefix="0" xfId="0">
      <alignment horizontal="right" vertical="center"/>
    </xf>
    <xf numFmtId="0" fontId="0" fillId="7" borderId="43" applyAlignment="1" pivotButton="0" quotePrefix="0" xfId="0">
      <alignment horizontal="center"/>
    </xf>
    <xf numFmtId="0" fontId="19" fillId="0" borderId="2" pivotButton="0" quotePrefix="0" xfId="0"/>
    <xf numFmtId="0" fontId="17" fillId="2" borderId="2" applyAlignment="1" pivotButton="0" quotePrefix="0" xfId="0">
      <alignment horizontal="center"/>
    </xf>
    <xf numFmtId="1" fontId="10" fillId="2" borderId="2" applyAlignment="1" pivotButton="0" quotePrefix="0" xfId="0">
      <alignment horizontal="center"/>
    </xf>
    <xf numFmtId="0" fontId="10" fillId="2" borderId="2" applyAlignment="1" pivotButton="0" quotePrefix="0" xfId="0">
      <alignment horizontal="center"/>
    </xf>
    <xf numFmtId="0" fontId="2" fillId="12" borderId="2" pivotButton="0" quotePrefix="0" xfId="0"/>
    <xf numFmtId="49" fontId="2" fillId="12" borderId="2" applyAlignment="1" pivotButton="0" quotePrefix="0" xfId="0">
      <alignment horizontal="center"/>
    </xf>
    <xf numFmtId="1" fontId="10" fillId="19" borderId="2" applyAlignment="1" pivotButton="0" quotePrefix="0" xfId="0">
      <alignment horizontal="center"/>
    </xf>
    <xf numFmtId="0" fontId="10" fillId="19" borderId="2" applyAlignment="1" pivotButton="0" quotePrefix="0" xfId="0">
      <alignment horizontal="center"/>
    </xf>
    <xf numFmtId="3" fontId="12" fillId="19" borderId="2" applyAlignment="1" pivotButton="0" quotePrefix="0" xfId="0">
      <alignment horizontal="center" vertical="center" wrapText="1"/>
    </xf>
    <xf numFmtId="3" fontId="12" fillId="10" borderId="2" applyAlignment="1" pivotButton="0" quotePrefix="0" xfId="0">
      <alignment horizontal="center" vertical="center" wrapText="1"/>
    </xf>
    <xf numFmtId="0" fontId="2" fillId="6" borderId="29" pivotButton="0" quotePrefix="0" xfId="0"/>
    <xf numFmtId="0" fontId="0" fillId="13" borderId="29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34" fillId="6" borderId="2" applyAlignment="1" pivotButton="0" quotePrefix="0" xfId="0">
      <alignment horizontal="center" vertical="center"/>
    </xf>
    <xf numFmtId="0" fontId="34" fillId="6" borderId="2" applyAlignment="1" pivotButton="0" quotePrefix="0" xfId="0">
      <alignment horizontal="center" vertical="center" wrapText="1"/>
    </xf>
    <xf numFmtId="1" fontId="34" fillId="6" borderId="2" applyAlignment="1" pivotButton="0" quotePrefix="0" xfId="0">
      <alignment horizontal="center" vertical="center"/>
    </xf>
    <xf numFmtId="0" fontId="34" fillId="6" borderId="2" applyAlignment="1" pivotButton="0" quotePrefix="0" xfId="0">
      <alignment horizontal="center" wrapText="1"/>
    </xf>
    <xf numFmtId="0" fontId="34" fillId="5" borderId="19" applyAlignment="1" pivotButton="0" quotePrefix="0" xfId="0">
      <alignment horizontal="left" vertical="center"/>
    </xf>
    <xf numFmtId="0" fontId="34" fillId="0" borderId="19" applyAlignment="1" pivotButton="0" quotePrefix="0" xfId="0">
      <alignment horizontal="center" vertical="center"/>
    </xf>
    <xf numFmtId="0" fontId="23" fillId="0" borderId="2" pivotButton="0" quotePrefix="0" xfId="0"/>
    <xf numFmtId="0" fontId="34" fillId="5" borderId="2" applyAlignment="1" pivotButton="0" quotePrefix="0" xfId="0">
      <alignment horizontal="left" vertical="center"/>
    </xf>
    <xf numFmtId="0" fontId="34" fillId="0" borderId="2" applyAlignment="1" pivotButton="0" quotePrefix="0" xfId="0">
      <alignment horizontal="center" vertical="center"/>
    </xf>
    <xf numFmtId="1" fontId="34" fillId="0" borderId="2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vertical="center"/>
    </xf>
    <xf numFmtId="0" fontId="23" fillId="5" borderId="2" applyAlignment="1" pivotButton="0" quotePrefix="0" xfId="0">
      <alignment horizontal="left" vertical="center"/>
    </xf>
    <xf numFmtId="0" fontId="23" fillId="0" borderId="2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22" fillId="0" borderId="2" applyAlignment="1" pivotButton="0" quotePrefix="0" xfId="0">
      <alignment horizontal="center" vertical="center" wrapText="1"/>
    </xf>
    <xf numFmtId="0" fontId="2" fillId="5" borderId="2" applyAlignment="1" pivotButton="0" quotePrefix="0" xfId="0">
      <alignment horizontal="center" vertical="center"/>
    </xf>
    <xf numFmtId="0" fontId="33" fillId="5" borderId="2" applyAlignment="1" pivotButton="0" quotePrefix="0" xfId="0">
      <alignment horizontal="center" vertical="center" wrapText="1"/>
    </xf>
    <xf numFmtId="0" fontId="0" fillId="11" borderId="12" pivotButton="0" quotePrefix="0" xfId="0"/>
    <xf numFmtId="0" fontId="2" fillId="6" borderId="51" pivotButton="0" quotePrefix="0" xfId="0"/>
    <xf numFmtId="0" fontId="2" fillId="6" borderId="50" pivotButton="0" quotePrefix="0" xfId="0"/>
    <xf numFmtId="0" fontId="2" fillId="2" borderId="43" pivotButton="0" quotePrefix="0" xfId="0"/>
    <xf numFmtId="0" fontId="2" fillId="13" borderId="43" pivotButton="0" quotePrefix="0" xfId="0"/>
    <xf numFmtId="0" fontId="2" fillId="14" borderId="43" pivotButton="0" quotePrefix="0" xfId="0"/>
    <xf numFmtId="0" fontId="32" fillId="0" borderId="0" pivotButton="0" quotePrefix="0" xfId="0"/>
    <xf numFmtId="0" fontId="7" fillId="2" borderId="2" applyAlignment="1" pivotButton="0" quotePrefix="0" xfId="0">
      <alignment horizontal="left"/>
    </xf>
    <xf numFmtId="0" fontId="0" fillId="0" borderId="42" pivotButton="0" quotePrefix="0" xfId="0"/>
    <xf numFmtId="0" fontId="0" fillId="0" borderId="43" pivotButton="0" quotePrefix="0" xfId="0"/>
    <xf numFmtId="0" fontId="8" fillId="0" borderId="8" applyAlignment="1" pivotButton="0" quotePrefix="0" xfId="0">
      <alignment horizontal="center"/>
    </xf>
    <xf numFmtId="0" fontId="0" fillId="0" borderId="52" pivotButton="0" quotePrefix="0" xfId="0"/>
    <xf numFmtId="0" fontId="0" fillId="0" borderId="53" pivotButton="0" quotePrefix="0" xfId="0"/>
    <xf numFmtId="0" fontId="12" fillId="10" borderId="4" applyAlignment="1" pivotButton="0" quotePrefix="0" xfId="0">
      <alignment horizontal="center"/>
    </xf>
    <xf numFmtId="0" fontId="0" fillId="0" borderId="54" pivotButton="0" quotePrefix="0" xfId="0"/>
    <xf numFmtId="0" fontId="0" fillId="0" borderId="51" pivotButton="0" quotePrefix="0" xfId="0"/>
    <xf numFmtId="0" fontId="7" fillId="2" borderId="9" applyAlignment="1" pivotButton="0" quotePrefix="0" xfId="0">
      <alignment horizontal="center" vertical="center"/>
    </xf>
    <xf numFmtId="0" fontId="12" fillId="10" borderId="3" applyAlignment="1" pivotButton="0" quotePrefix="0" xfId="0">
      <alignment horizontal="center"/>
    </xf>
    <xf numFmtId="0" fontId="7" fillId="2" borderId="8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/>
    </xf>
    <xf numFmtId="0" fontId="7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42" applyProtection="1" pivotButton="0" quotePrefix="0" xfId="0">
      <protection locked="0" hidden="0"/>
    </xf>
    <xf numFmtId="0" fontId="0" fillId="0" borderId="43" applyProtection="1" pivotButton="0" quotePrefix="0" xfId="0">
      <protection locked="0" hidden="0"/>
    </xf>
    <xf numFmtId="0" fontId="12" fillId="10" borderId="48" applyAlignment="1" pivotButton="0" quotePrefix="0" xfId="0">
      <alignment horizontal="center" vertical="center"/>
    </xf>
    <xf numFmtId="0" fontId="0" fillId="0" borderId="48" pivotButton="0" quotePrefix="0" xfId="0"/>
    <xf numFmtId="0" fontId="12" fillId="19" borderId="2" applyAlignment="1" applyProtection="1" pivotButton="0" quotePrefix="0" xfId="0">
      <alignment horizontal="center" vertical="center"/>
      <protection locked="0" hidden="0"/>
    </xf>
    <xf numFmtId="3" fontId="12" fillId="19" borderId="2" applyAlignment="1" pivotButton="0" quotePrefix="0" xfId="0">
      <alignment horizontal="center" vertical="center"/>
    </xf>
    <xf numFmtId="3" fontId="12" fillId="10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left" vertical="center" wrapText="1"/>
    </xf>
    <xf numFmtId="0" fontId="7" fillId="2" borderId="2" applyAlignment="1" pivotButton="0" quotePrefix="0" xfId="0">
      <alignment horizontal="left" vertical="center"/>
    </xf>
    <xf numFmtId="0" fontId="12" fillId="10" borderId="2" applyAlignment="1" pivotButton="0" quotePrefix="0" xfId="0">
      <alignment horizontal="center"/>
    </xf>
    <xf numFmtId="0" fontId="7" fillId="0" borderId="2" applyAlignment="1" applyProtection="1" pivotButton="0" quotePrefix="0" xfId="0">
      <alignment horizontal="center" vertical="center"/>
      <protection locked="0" hidden="0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2" applyAlignment="1" pivotButton="0" quotePrefix="0" xfId="0">
      <alignment horizontal="center"/>
    </xf>
    <xf numFmtId="0" fontId="12" fillId="10" borderId="2" applyAlignment="1" pivotButton="0" quotePrefix="0" xfId="0">
      <alignment horizontal="center" vertical="center" wrapText="1"/>
    </xf>
    <xf numFmtId="3" fontId="12" fillId="5" borderId="2" applyAlignment="1" pivotButton="0" quotePrefix="0" xfId="0">
      <alignment horizontal="center" vertical="center"/>
    </xf>
    <xf numFmtId="0" fontId="12" fillId="5" borderId="2" applyAlignment="1" pivotButton="0" quotePrefix="0" xfId="0">
      <alignment horizontal="center" vertical="center"/>
    </xf>
    <xf numFmtId="3" fontId="12" fillId="4" borderId="2" applyAlignment="1" pivotButton="0" quotePrefix="0" xfId="0">
      <alignment horizontal="center" vertical="center"/>
    </xf>
    <xf numFmtId="0" fontId="12" fillId="4" borderId="2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/>
    </xf>
  </cellXfs>
  <cellStyles count="1">
    <cellStyle name="Обычный" xfId="0" builtinId="0"/>
  </cellStyles>
  <dxfs count="14">
    <dxf>
      <font>
        <color theme="0"/>
      </font>
      <fill>
        <patternFill>
          <bgColor theme="0"/>
        </patternFill>
      </fill>
    </dxf>
    <dxf>
      <font>
        <color theme="0"/>
      </font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Руслан М. Кабаев</author>
  </authors>
  <commentList>
    <comment ref="B18" authorId="0" shapeId="0">
      <text>
        <t xml:space="preserve">Частотный преобразователь предусмотрен только для 
3-фазных эл/дв
</t>
      </text>
    </comment>
    <comment ref="B19" authorId="0" shapeId="0">
      <text>
        <t xml:space="preserve">0,6-69,9 для трехфазных эл/дв
0,25-4,9 для однофазных эл/дв
</t>
      </text>
    </comment>
  </commentList>
</comments>
</file>

<file path=xl/comments/comment2.xml><?xml version="1.0" encoding="utf-8"?>
<comments xmlns="http://schemas.openxmlformats.org/spreadsheetml/2006/main">
  <authors>
    <author>Руслан М. Кабаев</author>
  </authors>
  <commentList>
    <comment ref="K5" authorId="0" shapeId="0">
      <text>
        <t xml:space="preserve">не учитываем
</t>
      </text>
    </comment>
    <comment ref="B9" authorId="0" shapeId="0">
      <text>
        <t xml:space="preserve">Частотный преобразователь предусмотрен только для 
3-фазных эл/дв
</t>
      </text>
    </comment>
    <comment ref="B10" authorId="0" shapeId="0">
      <text>
        <t xml:space="preserve">0,6-69,9 для трехфазных эл/дв
0,25-4,9 для однофазных эл/дв
</t>
      </text>
    </comment>
    <comment ref="K14" authorId="0" shapeId="0">
      <text>
        <t xml:space="preserve">не учитываем
</t>
      </text>
    </comment>
  </commentList>
</comments>
</file>

<file path=xl/comments/comment3.xml><?xml version="1.0" encoding="utf-8"?>
<comments xmlns="http://schemas.openxmlformats.org/spreadsheetml/2006/main">
  <authors>
    <author>Руслан М. Кабаев</author>
  </authors>
  <commentList>
    <comment ref="C97" authorId="0" shapeId="0">
      <text>
        <t xml:space="preserve">Чтобы не было ошибки "н/д"
</t>
      </text>
    </comment>
  </commentList>
</comments>
</file>

<file path=xl/comments/comment4.xml><?xml version="1.0" encoding="utf-8"?>
<comments xmlns="http://schemas.openxmlformats.org/spreadsheetml/2006/main">
  <authors>
    <author>Руслан М. Кабаев</author>
  </authors>
  <commentList>
    <comment ref="C82" authorId="0" shapeId="0">
      <text>
        <t xml:space="preserve">Чтобы не было ошибки "н/д"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B2:AC38"/>
  <sheetViews>
    <sheetView tabSelected="1" topLeftCell="B1" workbookViewId="0">
      <selection activeCell="J7" sqref="J7:M7"/>
    </sheetView>
  </sheetViews>
  <sheetFormatPr baseColWidth="8" defaultRowHeight="15"/>
  <cols>
    <col width="10" customWidth="1" style="552" min="2" max="2"/>
    <col width="5.140625" customWidth="1" style="552" min="3" max="6"/>
    <col width="9.140625" customWidth="1" style="552" min="7" max="7"/>
    <col width="5.140625" customWidth="1" style="552" min="8" max="8"/>
    <col width="12.5703125" customWidth="1" style="552" min="9" max="9"/>
    <col width="5.140625" customWidth="1" style="552" min="10" max="12"/>
    <col width="8.140625" customWidth="1" style="552" min="13" max="13"/>
    <col width="29.28515625" customWidth="1" style="552" min="14" max="14"/>
    <col width="9.5703125" bestFit="1" customWidth="1" style="552" min="19" max="19"/>
    <col hidden="1" width="17.42578125" customWidth="1" style="552" min="20" max="20"/>
    <col hidden="1" width="20.42578125" customWidth="1" style="552" min="21" max="21"/>
    <col hidden="1" width="13" customWidth="1" style="552" min="22" max="22"/>
    <col hidden="1" width="15.28515625" customWidth="1" style="552" min="23" max="23"/>
    <col hidden="1" width="13" customWidth="1" style="552" min="24" max="29"/>
  </cols>
  <sheetData>
    <row r="1" ht="9" customHeight="1" s="552"/>
    <row r="2" ht="18" customHeight="1" s="552">
      <c r="B2" s="551" t="inlineStr">
        <is>
          <t xml:space="preserve">ШСАУ ВЕРСА </t>
        </is>
      </c>
      <c r="N2" s="358" t="inlineStr">
        <is>
          <t>v.1.2</t>
        </is>
      </c>
    </row>
    <row r="3" ht="7.5" customHeight="1" s="552"/>
    <row r="4" ht="32.25" customHeight="1" s="552">
      <c r="B4" s="554" t="inlineStr">
        <is>
          <t>Маркировка шкафа (ввод по параметрам)</t>
        </is>
      </c>
      <c r="C4" s="527" t="n"/>
      <c r="D4" s="527" t="n"/>
      <c r="E4" s="527" t="n"/>
      <c r="F4" s="527" t="n"/>
      <c r="G4" s="527" t="n"/>
      <c r="H4" s="527" t="n"/>
      <c r="I4" s="528" t="n"/>
      <c r="J4" s="554" t="inlineStr">
        <is>
          <t>Стоимость шкафа, 
руб. РФ без НДС</t>
        </is>
      </c>
      <c r="K4" s="527" t="n"/>
      <c r="L4" s="527" t="n"/>
      <c r="M4" s="528" t="n"/>
      <c r="N4" s="464" t="inlineStr">
        <is>
          <t>Стоимость шкафа, 
руб. РФ c НДС</t>
        </is>
      </c>
      <c r="T4" s="502" t="inlineStr">
        <is>
          <t>Наименование</t>
        </is>
      </c>
      <c r="U4" s="503" t="inlineStr">
        <is>
          <t>Значение</t>
        </is>
      </c>
      <c r="V4" s="504" t="inlineStr">
        <is>
          <t>Статус</t>
        </is>
      </c>
      <c r="W4" s="505" t="inlineStr">
        <is>
          <t>Формула для проверки данных</t>
        </is>
      </c>
    </row>
    <row r="5" ht="18" customHeight="1" s="552">
      <c r="B5" s="556">
        <f>IF(Расчет!D1=1,Расчет!G1," --- ")</f>
        <v/>
      </c>
      <c r="C5" s="527" t="n"/>
      <c r="D5" s="527" t="n"/>
      <c r="E5" s="527" t="n"/>
      <c r="F5" s="527" t="n"/>
      <c r="G5" s="527" t="n"/>
      <c r="H5" s="527" t="n"/>
      <c r="I5" s="528" t="n"/>
      <c r="J5" s="555">
        <f>IF(Расчет!D1=1,Цена!K125,"---")</f>
        <v/>
      </c>
      <c r="K5" s="527" t="n"/>
      <c r="L5" s="527" t="n"/>
      <c r="M5" s="528" t="n"/>
      <c r="N5" s="555">
        <f>IF(Расчет!D1=1,Цена!K127,"---")</f>
        <v/>
      </c>
      <c r="T5" s="506" t="inlineStr">
        <is>
          <t>ввод , 3ф-0 / 1ф-1</t>
        </is>
      </c>
      <c r="U5" s="507">
        <f>Расчет!F8</f>
        <v/>
      </c>
      <c r="V5" s="507">
        <f>Расчет!C31</f>
        <v/>
      </c>
      <c r="W5" s="508" t="n"/>
    </row>
    <row r="6" ht="34.5" customHeight="1" s="552">
      <c r="B6" s="554" t="inlineStr">
        <is>
          <t>Маркировка шкафа (ввод по маркировке)</t>
        </is>
      </c>
      <c r="C6" s="527" t="n"/>
      <c r="D6" s="527" t="n"/>
      <c r="E6" s="527" t="n"/>
      <c r="F6" s="527" t="n"/>
      <c r="G6" s="527" t="n"/>
      <c r="H6" s="527" t="n"/>
      <c r="I6" s="528" t="n"/>
      <c r="J6" s="559" t="n"/>
      <c r="K6" s="527" t="n"/>
      <c r="L6" s="527" t="n"/>
      <c r="M6" s="528" t="n"/>
      <c r="N6" s="549" t="n"/>
      <c r="T6" s="509" t="inlineStr">
        <is>
          <t>тип пуска</t>
        </is>
      </c>
      <c r="U6" s="510">
        <f>Расчет!F9</f>
        <v/>
      </c>
      <c r="V6" s="510">
        <f>Расчет!C35</f>
        <v/>
      </c>
      <c r="W6" s="508" t="n"/>
    </row>
    <row r="7" ht="18.75" customHeight="1" s="552">
      <c r="B7" s="558">
        <f>IF(Расчет!D1=2,CONCATENATE(B12&amp;C12&amp;D12&amp;E12&amp;F12&amp;G12&amp;H12&amp;I12&amp;J12&amp;K12&amp;L12&amp;M12),"---")</f>
        <v/>
      </c>
      <c r="C7" s="527" t="n"/>
      <c r="D7" s="527" t="n"/>
      <c r="E7" s="527" t="n"/>
      <c r="F7" s="527" t="n"/>
      <c r="G7" s="527" t="n"/>
      <c r="H7" s="527" t="n"/>
      <c r="I7" s="528" t="n"/>
      <c r="J7" s="557">
        <f>IF(Расчет!D1=2,Цена!K125,"---")</f>
        <v/>
      </c>
      <c r="K7" s="527" t="n"/>
      <c r="L7" s="527" t="n"/>
      <c r="M7" s="528" t="n"/>
      <c r="N7" s="465">
        <f>IF(Расчет!D1=2,Цена!K127,"---")</f>
        <v/>
      </c>
      <c r="T7" s="509" t="inlineStr">
        <is>
          <t>Функц схема</t>
        </is>
      </c>
      <c r="U7" s="510">
        <f>Расчет!F19</f>
        <v/>
      </c>
      <c r="V7" s="511">
        <f>Расчет!O7</f>
        <v/>
      </c>
      <c r="W7" s="508" t="n"/>
    </row>
    <row r="8" ht="34.5" customHeight="1" s="552">
      <c r="B8" s="542" t="inlineStr">
        <is>
          <t>Маркировка шкафа (ввод по обозначению)</t>
        </is>
      </c>
      <c r="C8" s="543" t="n"/>
      <c r="D8" s="543" t="n"/>
      <c r="E8" s="543" t="n"/>
      <c r="F8" s="543" t="n"/>
      <c r="G8" s="543" t="n"/>
      <c r="H8" s="543" t="n"/>
      <c r="I8" s="543" t="n"/>
      <c r="J8" s="546" t="n"/>
      <c r="K8" s="527" t="n"/>
      <c r="L8" s="527" t="n"/>
      <c r="M8" s="528" t="n"/>
      <c r="N8" s="498" t="n"/>
      <c r="T8" s="509" t="n"/>
      <c r="U8" s="510" t="n"/>
      <c r="V8" s="510" t="n"/>
      <c r="W8" s="512" t="n"/>
    </row>
    <row r="9" ht="18.75" customHeight="1" s="552">
      <c r="B9" s="544" t="inlineStr">
        <is>
          <t>ВЕРСА 110-Ф131-А3Н00700-Д0-М</t>
        </is>
      </c>
      <c r="C9" s="540" t="n"/>
      <c r="D9" s="540" t="n"/>
      <c r="E9" s="540" t="n"/>
      <c r="F9" s="540" t="n"/>
      <c r="G9" s="540" t="n"/>
      <c r="H9" s="540" t="n"/>
      <c r="I9" s="541" t="n"/>
      <c r="J9" s="545">
        <f>IF(Расчет!D1=3,Цена!K125,"---")</f>
        <v/>
      </c>
      <c r="K9" s="527" t="n"/>
      <c r="L9" s="527" t="n"/>
      <c r="M9" s="528" t="n"/>
      <c r="N9" s="497">
        <f>IF(Расчет!D1=3,Цена!K127,"---")</f>
        <v/>
      </c>
      <c r="T9" s="513" t="n"/>
      <c r="U9" s="514" t="n"/>
      <c r="V9" s="514" t="n"/>
      <c r="W9" s="512" t="n"/>
    </row>
    <row r="10" ht="7.5" customHeight="1" s="552">
      <c r="B10" s="469" t="n"/>
      <c r="C10" s="469" t="n"/>
      <c r="D10" s="469" t="n"/>
      <c r="E10" s="469" t="n"/>
      <c r="F10" s="469" t="n"/>
      <c r="G10" s="469" t="n"/>
      <c r="H10" s="469" t="n"/>
      <c r="I10" s="469" t="n"/>
      <c r="J10" s="470" t="n"/>
      <c r="K10" s="470" t="n"/>
      <c r="L10" s="470" t="n"/>
      <c r="M10" s="470" t="n"/>
      <c r="N10" s="471" t="n"/>
    </row>
    <row r="11" ht="8.25" customHeight="1" s="552"/>
    <row r="12" ht="18.75" customHeight="1" s="552">
      <c r="B12" s="558">
        <f>Расчет!E23</f>
        <v/>
      </c>
      <c r="C12" s="558">
        <f>Расчет!E24</f>
        <v/>
      </c>
      <c r="D12" s="367" t="inlineStr">
        <is>
          <t>2</t>
        </is>
      </c>
      <c r="E12" s="367" t="n">
        <v>0</v>
      </c>
      <c r="F12" s="558" t="inlineStr">
        <is>
          <t>-</t>
        </is>
      </c>
      <c r="G12" s="367" t="inlineStr">
        <is>
          <t>Ф145</t>
        </is>
      </c>
      <c r="H12" s="558" t="inlineStr">
        <is>
          <t>-</t>
        </is>
      </c>
      <c r="I12" s="367" t="inlineStr">
        <is>
          <t>А3Н00040</t>
        </is>
      </c>
      <c r="J12" s="558" t="inlineStr">
        <is>
          <t>-</t>
        </is>
      </c>
      <c r="K12" s="367" t="inlineStr">
        <is>
          <t>Д2</t>
        </is>
      </c>
      <c r="L12" s="558" t="inlineStr">
        <is>
          <t>-</t>
        </is>
      </c>
      <c r="M12" s="367" t="inlineStr">
        <is>
          <t>М</t>
        </is>
      </c>
    </row>
    <row r="13" ht="9.75" customHeight="1" s="552"/>
    <row r="14" ht="7.5" customHeight="1" s="552">
      <c r="Z14" s="515" t="n"/>
      <c r="AA14" s="262" t="n"/>
    </row>
    <row r="15" ht="15.75" customHeight="1" s="552">
      <c r="B15" s="549" t="inlineStr">
        <is>
          <t>Наименование параметра</t>
        </is>
      </c>
      <c r="C15" s="527" t="n"/>
      <c r="D15" s="527" t="n"/>
      <c r="E15" s="527" t="n"/>
      <c r="F15" s="527" t="n"/>
      <c r="G15" s="527" t="n"/>
      <c r="H15" s="528" t="n"/>
      <c r="I15" s="549" t="inlineStr">
        <is>
          <t>Значение (по параметрам)</t>
        </is>
      </c>
      <c r="J15" s="527" t="n"/>
      <c r="K15" s="527" t="n"/>
      <c r="L15" s="527" t="n"/>
      <c r="M15" s="528" t="n"/>
      <c r="N15" s="549" t="inlineStr">
        <is>
          <t>Значение (по маркировке) *</t>
        </is>
      </c>
      <c r="T15" s="262" t="inlineStr">
        <is>
          <t>3ф/1ф</t>
        </is>
      </c>
      <c r="U15" s="262" t="inlineStr">
        <is>
          <t>3ф/1ф</t>
        </is>
      </c>
      <c r="V15" s="262" t="inlineStr">
        <is>
          <t>3ф/1ф</t>
        </is>
      </c>
      <c r="W15" t="inlineStr">
        <is>
          <t>ИНДЕКСЫ</t>
        </is>
      </c>
      <c r="Z15" s="515" t="inlineStr">
        <is>
          <t>Пр пуск</t>
        </is>
      </c>
      <c r="AA15" s="262" t="inlineStr">
        <is>
          <t>ЧРП/ РЕГ</t>
        </is>
      </c>
      <c r="AB15" s="262" t="inlineStr">
        <is>
          <t>ЕС</t>
        </is>
      </c>
      <c r="AC15" s="517" t="inlineStr">
        <is>
          <t xml:space="preserve">ИТОГ В </t>
        </is>
      </c>
    </row>
    <row r="16" ht="15.75" customHeight="1" s="552">
      <c r="B16" s="548" t="inlineStr">
        <is>
          <t>Работа системы при прерывании питания</t>
        </is>
      </c>
      <c r="C16" s="527" t="n"/>
      <c r="D16" s="527" t="n"/>
      <c r="E16" s="527" t="n"/>
      <c r="F16" s="527" t="n"/>
      <c r="G16" s="527" t="n"/>
      <c r="H16" s="528" t="n"/>
      <c r="I16" s="550" t="inlineStr">
        <is>
          <t>без самозапуска</t>
        </is>
      </c>
      <c r="J16" s="540" t="n"/>
      <c r="K16" s="540" t="n"/>
      <c r="L16" s="540" t="n"/>
      <c r="M16" s="541" t="n"/>
      <c r="N16" s="349">
        <f>IF(Расчет!$D$1=2,Расчет!F7,"")</f>
        <v/>
      </c>
      <c r="T16" s="262" t="inlineStr">
        <is>
          <t xml:space="preserve"> ПР. ПУСК</t>
        </is>
      </c>
      <c r="U16" s="262" t="inlineStr">
        <is>
          <t>ЧРП/ РЕГ</t>
        </is>
      </c>
      <c r="V16" s="262" t="inlineStr">
        <is>
          <t>ЕС</t>
        </is>
      </c>
      <c r="Z16" s="515" t="inlineStr">
        <is>
          <t>3ф-0 / 1ф-1</t>
        </is>
      </c>
      <c r="AA16" s="515" t="inlineStr">
        <is>
          <t>3ф-0 / 1ф-1</t>
        </is>
      </c>
      <c r="AB16" s="515" t="inlineStr">
        <is>
          <t>3ф-0 / 1ф-1</t>
        </is>
      </c>
      <c r="AC16" s="517" t="inlineStr">
        <is>
          <t>ВЫБОР</t>
        </is>
      </c>
    </row>
    <row r="17" ht="15.75" customHeight="1" s="552">
      <c r="B17" s="526" t="inlineStr">
        <is>
          <t>Электропитание шкафа</t>
        </is>
      </c>
      <c r="C17" s="527" t="n"/>
      <c r="D17" s="527" t="n"/>
      <c r="E17" s="527" t="n"/>
      <c r="F17" s="527" t="n"/>
      <c r="G17" s="527" t="n"/>
      <c r="H17" s="528" t="n"/>
      <c r="I17" s="550" t="inlineStr">
        <is>
          <t>Питание 3 фазы (3Р/N/PE)</t>
        </is>
      </c>
      <c r="J17" s="540" t="n"/>
      <c r="K17" s="540" t="n"/>
      <c r="L17" s="540" t="n"/>
      <c r="M17" s="541" t="n"/>
      <c r="N17" s="349">
        <f>IF(Расчет!$D$1=2,Расчет!F8,"")</f>
        <v/>
      </c>
      <c r="T17" s="516" t="n">
        <v>100</v>
      </c>
      <c r="U17" s="516" t="n">
        <v>130</v>
      </c>
      <c r="V17" s="516" t="n">
        <v>160</v>
      </c>
      <c r="W17" s="516" t="inlineStr">
        <is>
          <t>А1Н00010</t>
        </is>
      </c>
      <c r="X17" s="516" t="inlineStr">
        <is>
          <t>А3Р00010</t>
        </is>
      </c>
      <c r="Y17" s="516" t="inlineStr">
        <is>
          <t>А3Н00040</t>
        </is>
      </c>
      <c r="Z17" s="516">
        <f>IF(AND(VLOOKUP($V$7,$T$17:$T$32,1,FALSE),$V$5=1),W17,X17)</f>
        <v/>
      </c>
      <c r="AA17" s="516">
        <f>IF(AND(VLOOKUP($V$7,$U$17:$U$32,1,FALSE),$V$5=1),W17,Y17)</f>
        <v/>
      </c>
      <c r="AB17" s="516">
        <f>IF(AND(VLOOKUP($V$7,$V$17:$V$32,1,FALSE),$V$5=1),W17,X17)</f>
        <v/>
      </c>
      <c r="AC17" s="518">
        <f>IF($V$6=1,Z17,IF($V$6=2,AA17,AB17))</f>
        <v/>
      </c>
    </row>
    <row r="18" ht="35.25" customHeight="1" s="552">
      <c r="B18" s="548" t="inlineStr">
        <is>
          <t>Тип пуска вентилятора</t>
        </is>
      </c>
      <c r="C18" s="527" t="n"/>
      <c r="D18" s="527" t="n"/>
      <c r="E18" s="527" t="n"/>
      <c r="F18" s="527" t="n"/>
      <c r="G18" s="527" t="n"/>
      <c r="H18" s="528" t="n"/>
      <c r="I18" s="539" t="inlineStr">
        <is>
          <t>Прямой пуск</t>
        </is>
      </c>
      <c r="J18" s="540" t="n"/>
      <c r="K18" s="540" t="n"/>
      <c r="L18" s="540" t="n"/>
      <c r="M18" s="541" t="n"/>
      <c r="N18" s="350">
        <f>IF(Расчет!$D$1=2,Расчет!F9,"")</f>
        <v/>
      </c>
      <c r="T18" s="516" t="n">
        <v>101</v>
      </c>
      <c r="U18" s="516" t="n">
        <v>131</v>
      </c>
      <c r="V18" s="516" t="n">
        <v>161</v>
      </c>
      <c r="W18" s="516" t="inlineStr">
        <is>
          <t>А1Н00020</t>
        </is>
      </c>
      <c r="X18" s="516" t="inlineStr">
        <is>
          <t>А3Р00016</t>
        </is>
      </c>
      <c r="Y18" s="516" t="inlineStr">
        <is>
          <t>А3Н00060</t>
        </is>
      </c>
      <c r="Z18" s="516">
        <f>IF(AND(VLOOKUP($V$7,$T$17:$T$32,1,FALSE),$V$5=1),W18,X18)</f>
        <v/>
      </c>
      <c r="AA18" s="516">
        <f>IF(AND(VLOOKUP($V$7,$U$17:$U$32,1,FALSE),$V$5=1),W18,Y18)</f>
        <v/>
      </c>
      <c r="AB18" s="516">
        <f>IF(AND(VLOOKUP($V$7,$V$17:$V$32,1,FALSE),$V$5=1),W18,X18)</f>
        <v/>
      </c>
      <c r="AC18" s="518">
        <f>IF($V$6=1,Z18,IF($V$6=2,AA18,AB18))</f>
        <v/>
      </c>
    </row>
    <row r="19" ht="15.75" customHeight="1" s="552">
      <c r="B19" s="547" t="inlineStr">
        <is>
          <t>Ток электродвигателя вентилятора, А</t>
        </is>
      </c>
      <c r="C19" s="527" t="n"/>
      <c r="D19" s="527" t="n"/>
      <c r="E19" s="527" t="n"/>
      <c r="F19" s="527" t="n"/>
      <c r="G19" s="527" t="n"/>
      <c r="H19" s="528" t="n"/>
      <c r="I19" s="550" t="n">
        <v>0.7</v>
      </c>
      <c r="J19" s="540" t="n"/>
      <c r="K19" s="540" t="n"/>
      <c r="L19" s="540" t="n"/>
      <c r="M19" s="541" t="n"/>
      <c r="N19" s="349">
        <f>IF(Расчет!$D$1=2,Расчет!F10,"")</f>
        <v/>
      </c>
      <c r="T19" s="516" t="n">
        <v>102</v>
      </c>
      <c r="U19" s="516" t="n">
        <v>132</v>
      </c>
      <c r="V19" s="516" t="n">
        <v>162</v>
      </c>
      <c r="W19" s="516" t="inlineStr">
        <is>
          <t>А1Н00030</t>
        </is>
      </c>
      <c r="X19" s="516" t="inlineStr">
        <is>
          <t>А3Р00025</t>
        </is>
      </c>
      <c r="Y19" s="516" t="inlineStr">
        <is>
          <t>А3Н00100</t>
        </is>
      </c>
      <c r="Z19" s="516">
        <f>IF(AND(VLOOKUP($V$7,$T$17:$T$32,1,FALSE),$V$5=1),W19,X19)</f>
        <v/>
      </c>
      <c r="AA19" s="516">
        <f>IF(AND(VLOOKUP($V$7,$U$17:$U$32,1,FALSE),$V$5=1),W19,Y19)</f>
        <v/>
      </c>
      <c r="AB19" s="516">
        <f>IF(AND(VLOOKUP($V$7,$V$17:$V$32,1,FALSE),$V$5=1),W19,X19)</f>
        <v/>
      </c>
      <c r="AC19" s="518">
        <f>IF($V$6=1,Z19,IF($V$6=2,AA19,AB19))</f>
        <v/>
      </c>
    </row>
    <row r="20" ht="15.75" customHeight="1" s="552">
      <c r="B20" s="526" t="inlineStr">
        <is>
          <t>Реле перепада давления работы вентилятора</t>
        </is>
      </c>
      <c r="C20" s="527" t="n"/>
      <c r="D20" s="527" t="n"/>
      <c r="E20" s="527" t="n"/>
      <c r="F20" s="527" t="n"/>
      <c r="G20" s="527" t="n"/>
      <c r="H20" s="528" t="n"/>
      <c r="I20" s="539" t="inlineStr">
        <is>
          <t>Да</t>
        </is>
      </c>
      <c r="J20" s="540" t="n"/>
      <c r="K20" s="540" t="n"/>
      <c r="L20" s="540" t="n"/>
      <c r="M20" s="541" t="n"/>
      <c r="N20" s="349">
        <f>IF(Расчет!$D$1=2,Расчет!F11,"")</f>
        <v/>
      </c>
      <c r="T20" s="516" t="n">
        <v>103</v>
      </c>
      <c r="U20" s="516" t="n">
        <v>133</v>
      </c>
      <c r="V20" s="516" t="n">
        <v>163</v>
      </c>
      <c r="W20" s="516" t="inlineStr">
        <is>
          <t>А1Н00050</t>
        </is>
      </c>
      <c r="X20" s="516" t="inlineStr">
        <is>
          <t>А3Р00040</t>
        </is>
      </c>
      <c r="Y20" s="516" t="inlineStr">
        <is>
          <t>А3Н00160</t>
        </is>
      </c>
      <c r="Z20" s="516">
        <f>IF(AND(VLOOKUP($V$7,$T$17:$T$32,1,FALSE),$V$5=1),W20,X20)</f>
        <v/>
      </c>
      <c r="AA20" s="516">
        <f>IF(AND(VLOOKUP($V$7,$U$17:$U$32,1,FALSE),$V$5=1),W20,Y20)</f>
        <v/>
      </c>
      <c r="AB20" s="516">
        <f>IF(AND(VLOOKUP($V$7,$V$17:$V$32,1,FALSE),$V$5=1),W20,X20)</f>
        <v/>
      </c>
      <c r="AC20" s="518">
        <f>IF($V$6=1,Z20,IF($V$6=2,AA20,AB20))</f>
        <v/>
      </c>
    </row>
    <row r="21" ht="15.75" customHeight="1" s="552">
      <c r="B21" s="526" t="inlineStr">
        <is>
          <t>Клапан воздушный</t>
        </is>
      </c>
      <c r="C21" s="527" t="n"/>
      <c r="D21" s="527" t="n"/>
      <c r="E21" s="527" t="n"/>
      <c r="F21" s="527" t="n"/>
      <c r="G21" s="527" t="n"/>
      <c r="H21" s="528" t="n"/>
      <c r="I21" s="539" t="inlineStr">
        <is>
          <t>Да</t>
        </is>
      </c>
      <c r="J21" s="540" t="n"/>
      <c r="K21" s="540" t="n"/>
      <c r="L21" s="540" t="n"/>
      <c r="M21" s="541" t="n"/>
      <c r="N21" s="349">
        <f>IF(Расчет!$D$1=2,Расчет!F12,"")</f>
        <v/>
      </c>
      <c r="T21" s="516" t="n">
        <v>110</v>
      </c>
      <c r="U21" s="516" t="n">
        <v>140</v>
      </c>
      <c r="V21" s="516" t="n">
        <v>170</v>
      </c>
      <c r="W21" s="516" t="inlineStr">
        <is>
          <t>-</t>
        </is>
      </c>
      <c r="X21" s="516" t="inlineStr">
        <is>
          <t>А3Р00063</t>
        </is>
      </c>
      <c r="Y21" s="516" t="inlineStr">
        <is>
          <t>А3Н00200</t>
        </is>
      </c>
      <c r="Z21" s="516">
        <f>IF(AND(VLOOKUP($V$7,$T$17:$T$32,1,FALSE),$V$5=1),W21,X21)</f>
        <v/>
      </c>
      <c r="AA21" s="516">
        <f>IF(AND(VLOOKUP($V$7,$U$17:$U$32,1,FALSE),$V$5=1),W21,Y21)</f>
        <v/>
      </c>
      <c r="AB21" s="516">
        <f>IF(AND(VLOOKUP($V$7,$V$17:$V$32,1,FALSE),$V$5=1),W21,X21)</f>
        <v/>
      </c>
      <c r="AC21" s="518">
        <f>IF($V$6=1,Z21,IF($V$6=2,AA21,AB21))</f>
        <v/>
      </c>
    </row>
    <row r="22" ht="15.75" customHeight="1" s="552">
      <c r="B22" s="526" t="inlineStr">
        <is>
          <t>Эл/обогрев клапана</t>
        </is>
      </c>
      <c r="C22" s="527" t="n"/>
      <c r="D22" s="527" t="n"/>
      <c r="E22" s="527" t="n"/>
      <c r="F22" s="527" t="n"/>
      <c r="G22" s="527" t="n"/>
      <c r="H22" s="528" t="n"/>
      <c r="I22" s="539" t="inlineStr">
        <is>
          <t>Нет</t>
        </is>
      </c>
      <c r="J22" s="540" t="n"/>
      <c r="K22" s="540" t="n"/>
      <c r="L22" s="540" t="n"/>
      <c r="M22" s="541" t="n"/>
      <c r="N22" s="349">
        <f>IF(Расчет!$D$1=2,Расчет!F13,"")</f>
        <v/>
      </c>
      <c r="T22" s="516" t="n">
        <v>111</v>
      </c>
      <c r="U22" s="516" t="n">
        <v>141</v>
      </c>
      <c r="V22" s="516" t="n">
        <v>171</v>
      </c>
      <c r="W22" s="516" t="inlineStr">
        <is>
          <t>-</t>
        </is>
      </c>
      <c r="X22" s="516" t="inlineStr">
        <is>
          <t>А3Р00100</t>
        </is>
      </c>
      <c r="Y22" s="516" t="inlineStr">
        <is>
          <t>А3Н00400</t>
        </is>
      </c>
      <c r="Z22" s="516">
        <f>IF(AND(VLOOKUP($V$7,$T$17:$T$32,1,FALSE),$V$5=1),W22,X22)</f>
        <v/>
      </c>
      <c r="AA22" s="516">
        <f>IF(AND(VLOOKUP($V$7,$U$17:$U$32,1,FALSE),$V$5=1),W22,Y22)</f>
        <v/>
      </c>
      <c r="AB22" s="516">
        <f>IF(AND(VLOOKUP($V$7,$V$17:$V$32,1,FALSE),$V$5=1),W22,X22)</f>
        <v/>
      </c>
      <c r="AC22" s="518">
        <f>IF($V$6=1,Z22,IF($V$6=2,AA22,AB22))</f>
        <v/>
      </c>
    </row>
    <row r="23" ht="15.75" customHeight="1" s="552">
      <c r="B23" s="526" t="inlineStr">
        <is>
          <t>Реле перепада давления на фильтре</t>
        </is>
      </c>
      <c r="C23" s="527" t="n"/>
      <c r="D23" s="527" t="n"/>
      <c r="E23" s="527" t="n"/>
      <c r="F23" s="527" t="n"/>
      <c r="G23" s="527" t="n"/>
      <c r="H23" s="528" t="n"/>
      <c r="I23" s="539" t="inlineStr">
        <is>
          <t>Да</t>
        </is>
      </c>
      <c r="J23" s="540" t="n"/>
      <c r="K23" s="540" t="n"/>
      <c r="L23" s="540" t="n"/>
      <c r="M23" s="541" t="n"/>
      <c r="N23" s="349">
        <f>IF(Расчет!$D$1=2,Расчет!F14,"")</f>
        <v/>
      </c>
      <c r="T23" s="516" t="n">
        <v>112</v>
      </c>
      <c r="U23" s="516" t="n">
        <v>142</v>
      </c>
      <c r="V23" s="516" t="n">
        <v>172</v>
      </c>
      <c r="W23" s="516" t="inlineStr">
        <is>
          <t>-</t>
        </is>
      </c>
      <c r="X23" s="516" t="inlineStr">
        <is>
          <t>А3Р00140</t>
        </is>
      </c>
      <c r="Y23" s="516" t="inlineStr">
        <is>
          <t>А3Н00630</t>
        </is>
      </c>
      <c r="Z23" s="516">
        <f>IF(AND(VLOOKUP($V$7,$T$17:$T$32,1,FALSE),$V$5=1),W23,X23)</f>
        <v/>
      </c>
      <c r="AA23" s="516">
        <f>IF(AND(VLOOKUP($V$7,$U$17:$U$32,1,FALSE),$V$5=1),W23,Y23)</f>
        <v/>
      </c>
      <c r="AB23" s="516">
        <f>IF(AND(VLOOKUP($V$7,$V$17:$V$32,1,FALSE),$V$5=1),W23,X23)</f>
        <v/>
      </c>
      <c r="AC23" s="518">
        <f>IF($V$6=1,Z23,IF($V$6=2,AA23,AB23))</f>
        <v/>
      </c>
    </row>
    <row r="24" ht="15.75" customHeight="1" s="552">
      <c r="B24" s="526" t="inlineStr">
        <is>
          <t>Сигналы дистанционного управления</t>
        </is>
      </c>
      <c r="C24" s="527" t="n"/>
      <c r="D24" s="527" t="n"/>
      <c r="E24" s="527" t="n"/>
      <c r="F24" s="527" t="n"/>
      <c r="G24" s="527" t="n"/>
      <c r="H24" s="528" t="n"/>
      <c r="I24" s="539" t="inlineStr">
        <is>
          <t>Да</t>
        </is>
      </c>
      <c r="J24" s="540" t="n"/>
      <c r="K24" s="540" t="n"/>
      <c r="L24" s="540" t="n"/>
      <c r="M24" s="541" t="n"/>
      <c r="N24" s="349">
        <f>IF(Расчет!$D$1=2,Расчет!F15,"")</f>
        <v/>
      </c>
      <c r="T24" s="516" t="n">
        <v>113</v>
      </c>
      <c r="U24" s="516" t="n">
        <v>143</v>
      </c>
      <c r="V24" s="516" t="n">
        <v>173</v>
      </c>
      <c r="W24" s="516" t="inlineStr">
        <is>
          <t>-</t>
        </is>
      </c>
      <c r="X24" s="516" t="inlineStr">
        <is>
          <t>А3Р00160</t>
        </is>
      </c>
      <c r="Y24" s="516" t="inlineStr">
        <is>
          <t>А3Н00700</t>
        </is>
      </c>
      <c r="Z24" s="516">
        <f>IF(AND(VLOOKUP($V$7,$T$17:$T$32,1,FALSE),$V$5=1),W24,X24)</f>
        <v/>
      </c>
      <c r="AA24" s="516">
        <f>IF(AND(VLOOKUP($V$7,$U$17:$U$32,1,FALSE),$V$5=1),W24,Y24)</f>
        <v/>
      </c>
      <c r="AB24" s="516">
        <f>IF(AND(VLOOKUP($V$7,$V$17:$V$32,1,FALSE),$V$5=1),W24,X24)</f>
        <v/>
      </c>
      <c r="AC24" s="518">
        <f>IF($V$6=1,Z24,IF($V$6=2,AA24,AB24))</f>
        <v/>
      </c>
    </row>
    <row r="25" ht="15.75" customHeight="1" s="552">
      <c r="B25" s="526" t="inlineStr">
        <is>
          <t>Дополнительная комплектация</t>
        </is>
      </c>
      <c r="C25" s="527" t="n"/>
      <c r="D25" s="527" t="n"/>
      <c r="E25" s="527" t="n"/>
      <c r="F25" s="527" t="n"/>
      <c r="G25" s="527" t="n"/>
      <c r="H25" s="528" t="n"/>
      <c r="I25" s="550" t="inlineStr">
        <is>
          <t>Д2</t>
        </is>
      </c>
      <c r="J25" s="540" t="n"/>
      <c r="K25" s="540" t="n"/>
      <c r="L25" s="540" t="n"/>
      <c r="M25" s="541" t="n"/>
      <c r="N25" s="349">
        <f>IF(Расчет!$D$1=2,Расчет!F16,"")</f>
        <v/>
      </c>
      <c r="T25" s="516" t="n">
        <v>114</v>
      </c>
      <c r="U25" s="516" t="n">
        <v>144</v>
      </c>
      <c r="V25" s="516" t="n">
        <v>174</v>
      </c>
      <c r="W25" s="516" t="inlineStr">
        <is>
          <t>-</t>
        </is>
      </c>
      <c r="X25" s="516" t="inlineStr">
        <is>
          <t>А3Р00180</t>
        </is>
      </c>
      <c r="Y25" s="516" t="inlineStr">
        <is>
          <t>-</t>
        </is>
      </c>
      <c r="Z25" s="516">
        <f>IF(AND(VLOOKUP($V$7,$T$17:$T$32,1,FALSE),$V$5=1),W25,X25)</f>
        <v/>
      </c>
      <c r="AA25" s="516">
        <f>IF(AND(VLOOKUP($V$7,$U$17:$U$32,1,FALSE),$V$5=1),W25,Y25)</f>
        <v/>
      </c>
      <c r="AB25" s="516">
        <f>IF(AND(VLOOKUP($V$7,$V$17:$V$32,1,FALSE),$V$5=1),W25,X25)</f>
        <v/>
      </c>
      <c r="AC25" s="518">
        <f>IF($V$6=1,Z25,IF($V$6=2,AA25,AB25))</f>
        <v/>
      </c>
    </row>
    <row r="26" ht="15.75" customHeight="1" s="552">
      <c r="B26" s="526" t="inlineStr">
        <is>
          <t>Материал корпуса шкафа</t>
        </is>
      </c>
      <c r="C26" s="527" t="n"/>
      <c r="D26" s="527" t="n"/>
      <c r="E26" s="527" t="n"/>
      <c r="F26" s="527" t="n"/>
      <c r="G26" s="527" t="n"/>
      <c r="H26" s="528" t="n"/>
      <c r="I26" s="539" t="inlineStr">
        <is>
          <t>Металл</t>
        </is>
      </c>
      <c r="J26" s="540" t="n"/>
      <c r="K26" s="540" t="n"/>
      <c r="L26" s="540" t="n"/>
      <c r="M26" s="541" t="n"/>
      <c r="N26" s="349">
        <f>IF(Расчет!$D$1=2,Расчет!F17,"")</f>
        <v/>
      </c>
      <c r="T26" s="516" t="n">
        <v>115</v>
      </c>
      <c r="U26" s="516" t="n">
        <v>145</v>
      </c>
      <c r="V26" s="516" t="n">
        <v>175</v>
      </c>
      <c r="W26" s="516" t="inlineStr">
        <is>
          <t>-</t>
        </is>
      </c>
      <c r="X26" s="516" t="inlineStr">
        <is>
          <t>А3Р00200</t>
        </is>
      </c>
      <c r="Y26" s="516" t="inlineStr">
        <is>
          <t>-</t>
        </is>
      </c>
      <c r="Z26" s="516">
        <f>IF(AND(VLOOKUP($V$7,$T$17:$T$32,1,FALSE),$V$5=1),W26,X26)</f>
        <v/>
      </c>
      <c r="AA26" s="516">
        <f>IF(AND(VLOOKUP($V$7,$U$17:$U$32,1,FALSE),$V$5=1),W26,Y26)</f>
        <v/>
      </c>
      <c r="AB26" s="516">
        <f>IF(AND(VLOOKUP($V$7,$V$17:$V$32,1,FALSE),$V$5=1),W26,X26)</f>
        <v/>
      </c>
      <c r="AC26" s="518">
        <f>IF($V$6=1,Z26,IF($V$6=2,AA26,AB26))</f>
        <v/>
      </c>
    </row>
    <row r="27" ht="15.75" customHeight="1" s="552">
      <c r="B27" s="526" t="inlineStr">
        <is>
          <t>Размер шкафа</t>
        </is>
      </c>
      <c r="C27" s="527" t="n"/>
      <c r="D27" s="527" t="n"/>
      <c r="E27" s="527" t="n"/>
      <c r="F27" s="527" t="n"/>
      <c r="G27" s="527" t="n"/>
      <c r="H27" s="528" t="n"/>
      <c r="I27" s="553">
        <f>Расчет!F73</f>
        <v/>
      </c>
      <c r="J27" s="527" t="n"/>
      <c r="K27" s="527" t="n"/>
      <c r="L27" s="527" t="n"/>
      <c r="M27" s="528" t="n"/>
      <c r="N27" s="349">
        <f>IF(Расчет!$D$1=2,Расчет!F18,"")</f>
        <v/>
      </c>
      <c r="T27" s="516" t="n">
        <v>116</v>
      </c>
      <c r="U27" s="516" t="n">
        <v>146</v>
      </c>
      <c r="V27" s="516" t="n">
        <v>176</v>
      </c>
      <c r="W27" s="516" t="inlineStr">
        <is>
          <t>-</t>
        </is>
      </c>
      <c r="X27" s="516" t="inlineStr">
        <is>
          <t>А3Р00250</t>
        </is>
      </c>
      <c r="Y27" s="516" t="inlineStr">
        <is>
          <t>-</t>
        </is>
      </c>
      <c r="Z27" s="516">
        <f>IF(AND(VLOOKUP($V$7,$T$17:$T$32,1,FALSE),$V$5=1),W27,X27)</f>
        <v/>
      </c>
      <c r="AA27" s="516">
        <f>IF(AND(VLOOKUP($V$7,$U$17:$U$32,1,FALSE),$V$5=1),W27,Y27)</f>
        <v/>
      </c>
      <c r="AB27" s="516">
        <f>IF(AND(VLOOKUP($V$7,$V$17:$V$32,1,FALSE),$V$5=1),W27,X27)</f>
        <v/>
      </c>
      <c r="AC27" s="518">
        <f>IF($V$6=1,Z27,IF($V$6=2,AA27,AB27))</f>
        <v/>
      </c>
    </row>
    <row r="28" ht="10.5" customHeight="1" s="552">
      <c r="N28" s="317" t="inlineStr">
        <is>
          <t>* - для справки</t>
        </is>
      </c>
      <c r="T28" s="516" t="n">
        <v>117</v>
      </c>
      <c r="U28" s="516" t="n">
        <v>147</v>
      </c>
      <c r="V28" s="516" t="n">
        <v>177</v>
      </c>
      <c r="W28" s="516" t="inlineStr">
        <is>
          <t>-</t>
        </is>
      </c>
      <c r="X28" s="516" t="inlineStr">
        <is>
          <t>А3Р00320</t>
        </is>
      </c>
      <c r="Y28" s="516" t="inlineStr">
        <is>
          <t>-</t>
        </is>
      </c>
      <c r="Z28" s="516">
        <f>IF(AND(VLOOKUP($V$7,$T$17:$T$32,1,FALSE),$V$5=1),W28,X28)</f>
        <v/>
      </c>
      <c r="AA28" s="516">
        <f>IF(AND(VLOOKUP($V$7,$U$17:$U$32,1,FALSE),$V$5=1),W28,Y28)</f>
        <v/>
      </c>
      <c r="AB28" s="516">
        <f>IF(AND(VLOOKUP($V$7,$V$17:$V$32,1,FALSE),$V$5=1),W28,X28)</f>
        <v/>
      </c>
      <c r="AC28" s="518">
        <f>IF($V$6=1,Z28,IF($V$6=2,AA28,AB28))</f>
        <v/>
      </c>
    </row>
    <row r="29" ht="6" customHeight="1" s="552" thickBot="1">
      <c r="T29" s="516" t="n">
        <v>118</v>
      </c>
      <c r="U29" s="516" t="n">
        <v>148</v>
      </c>
      <c r="V29" s="516" t="n">
        <v>178</v>
      </c>
      <c r="W29" s="516" t="inlineStr">
        <is>
          <t>-</t>
        </is>
      </c>
      <c r="X29" s="516" t="inlineStr">
        <is>
          <t>А3Р00400</t>
        </is>
      </c>
      <c r="Y29" s="516" t="inlineStr">
        <is>
          <t>-</t>
        </is>
      </c>
      <c r="Z29" s="516">
        <f>IF(AND(VLOOKUP($V$7,$T$17:$T$32,1,FALSE),$V$5=1),W29,X29)</f>
        <v/>
      </c>
      <c r="AA29" s="516">
        <f>IF(AND(VLOOKUP($V$7,$U$17:$U$32,1,FALSE),$V$5=1),W29,Y29)</f>
        <v/>
      </c>
      <c r="AB29" s="516">
        <f>IF(AND(VLOOKUP($V$7,$V$17:$V$32,1,FALSE),$V$5=1),W29,X29)</f>
        <v/>
      </c>
      <c r="AC29" s="518">
        <f>IF($V$6=1,Z29,IF($V$6=2,AA29,AB29))</f>
        <v/>
      </c>
    </row>
    <row r="30" ht="15.75" customHeight="1" s="552">
      <c r="B30" s="536" t="inlineStr">
        <is>
          <t>Дополнительная комплектация Д0-Д2</t>
        </is>
      </c>
      <c r="C30" s="533" t="n"/>
      <c r="D30" s="533" t="n"/>
      <c r="E30" s="533" t="n"/>
      <c r="F30" s="533" t="n"/>
      <c r="G30" s="533" t="n"/>
      <c r="H30" s="533" t="n"/>
      <c r="I30" s="533" t="n"/>
      <c r="J30" s="534" t="n"/>
      <c r="K30" s="532" t="inlineStr">
        <is>
          <t>Значение</t>
        </is>
      </c>
      <c r="L30" s="533" t="n"/>
      <c r="M30" s="534" t="n"/>
      <c r="N30" s="525">
        <f>Расчет!D1</f>
        <v/>
      </c>
      <c r="T30" s="516" t="n">
        <v>119</v>
      </c>
      <c r="U30" s="516" t="n">
        <v>149</v>
      </c>
      <c r="V30" s="516" t="n">
        <v>179</v>
      </c>
      <c r="W30" s="516" t="inlineStr">
        <is>
          <t>-</t>
        </is>
      </c>
      <c r="X30" s="516" t="inlineStr">
        <is>
          <t>А3Р00500</t>
        </is>
      </c>
      <c r="Y30" s="516" t="inlineStr">
        <is>
          <t>-</t>
        </is>
      </c>
      <c r="Z30" s="516">
        <f>IF(AND(VLOOKUP($V$7,$T$17:$T$32,1,FALSE),$V$5=1),W30,X30)</f>
        <v/>
      </c>
      <c r="AA30" s="516">
        <f>IF(AND(VLOOKUP($V$7,$U$17:$U$32,1,FALSE),$V$5=1),W30,Y30)</f>
        <v/>
      </c>
      <c r="AB30" s="516">
        <f>IF(AND(VLOOKUP($V$7,$V$17:$V$32,1,FALSE),$V$5=1),W30,X30)</f>
        <v/>
      </c>
      <c r="AC30" s="518">
        <f>IF($V$6=1,Z30,IF($V$6=2,AA30,AB30))</f>
        <v/>
      </c>
    </row>
    <row r="31" ht="42.75" customHeight="1" s="552" thickBot="1">
      <c r="B31" s="537">
        <f>VLOOKUP(K31,Расчет!AD29:AF41,3,FALSE)</f>
        <v/>
      </c>
      <c r="C31" s="530" t="n"/>
      <c r="D31" s="530" t="n"/>
      <c r="E31" s="530" t="n"/>
      <c r="F31" s="530" t="n"/>
      <c r="G31" s="530" t="n"/>
      <c r="H31" s="530" t="n"/>
      <c r="I31" s="530" t="n"/>
      <c r="J31" s="531" t="n"/>
      <c r="K31" s="535">
        <f>Расчет!E76</f>
        <v/>
      </c>
      <c r="L31" s="530" t="n"/>
      <c r="M31" s="531" t="n"/>
      <c r="T31" s="516" t="n">
        <v>120</v>
      </c>
      <c r="U31" s="516" t="n">
        <v>150</v>
      </c>
      <c r="V31" s="516" t="n">
        <v>180</v>
      </c>
      <c r="W31" s="516" t="inlineStr">
        <is>
          <t>-</t>
        </is>
      </c>
      <c r="X31" s="516" t="inlineStr">
        <is>
          <t>А3Р00580</t>
        </is>
      </c>
      <c r="Y31" s="516" t="inlineStr">
        <is>
          <t>-</t>
        </is>
      </c>
      <c r="Z31" s="516">
        <f>IF(AND(VLOOKUP($V$7,$T$17:$T$32,1,FALSE),$V$5=1),W31,X31)</f>
        <v/>
      </c>
      <c r="AA31" s="516">
        <f>IF(AND(VLOOKUP($V$7,$U$17:$U$32,1,FALSE),$V$5=1),W31,Y31)</f>
        <v/>
      </c>
      <c r="AB31" s="516">
        <f>IF(AND(VLOOKUP($V$7,$V$17:$V$32,1,FALSE),$V$5=1),W31,X31)</f>
        <v/>
      </c>
      <c r="AC31" s="518">
        <f>IF($V$6=1,Z31,IF($V$6=2,AA31,AB31))</f>
        <v/>
      </c>
    </row>
    <row r="32" ht="10.5" customHeight="1" s="552" thickBot="1">
      <c r="T32" s="516" t="n">
        <v>121</v>
      </c>
      <c r="U32" s="516" t="n">
        <v>151</v>
      </c>
      <c r="V32" s="516" t="n">
        <v>181</v>
      </c>
      <c r="W32" s="516" t="inlineStr">
        <is>
          <t>-</t>
        </is>
      </c>
      <c r="X32" s="516" t="inlineStr">
        <is>
          <t>А3Р00630</t>
        </is>
      </c>
      <c r="Y32" s="516" t="inlineStr">
        <is>
          <t>-</t>
        </is>
      </c>
      <c r="Z32" s="516">
        <f>IF(AND(VLOOKUP($V$7,$T$17:$T$32,1,FALSE),$V$5=1),W32,X32)</f>
        <v/>
      </c>
      <c r="AA32" s="516">
        <f>IF(AND(VLOOKUP($V$7,$U$17:$U$32,1,FALSE),$V$5=1),W32,Y32)</f>
        <v/>
      </c>
      <c r="AB32" s="516">
        <f>IF(AND(VLOOKUP($V$7,$V$17:$V$32,1,FALSE),$V$5=1),W32,X32)</f>
        <v/>
      </c>
      <c r="AC32" s="518">
        <f>IF($V$6=1,Z32,IF($V$6=2,AA32,AB32))</f>
        <v/>
      </c>
    </row>
    <row r="33" ht="15" customHeight="1" s="552">
      <c r="B33" s="536" t="inlineStr">
        <is>
          <t>ПРЕДУПРЕЖДЕНИЕ</t>
        </is>
      </c>
      <c r="C33" s="533" t="n"/>
      <c r="D33" s="533" t="n"/>
      <c r="E33" s="533" t="n"/>
      <c r="F33" s="533" t="n"/>
      <c r="G33" s="533" t="n"/>
      <c r="H33" s="533" t="n"/>
      <c r="I33" s="533" t="n"/>
      <c r="J33" s="533" t="n"/>
      <c r="K33" s="533" t="n"/>
      <c r="L33" s="533" t="n"/>
      <c r="M33" s="534" t="n"/>
      <c r="T33" s="516" t="n"/>
      <c r="U33" s="516" t="n"/>
      <c r="V33" s="516" t="n"/>
      <c r="W33" s="516" t="inlineStr">
        <is>
          <t>-</t>
        </is>
      </c>
      <c r="X33" s="516" t="inlineStr">
        <is>
          <t>А3Р00700</t>
        </is>
      </c>
      <c r="Y33" s="516" t="inlineStr">
        <is>
          <t>-</t>
        </is>
      </c>
      <c r="Z33" s="516">
        <f>IF(AND(VLOOKUP($V$7,$T$17:$T$32,1,FALSE),$V$5=1),W33,X33)</f>
        <v/>
      </c>
      <c r="AA33" s="516">
        <f>IF(AND(VLOOKUP($V$7,$U$17:$U$32,1,FALSE),$V$5=1),W33,Y33)</f>
        <v/>
      </c>
      <c r="AB33" s="516">
        <f>IF(AND(VLOOKUP($V$7,$V$17:$V$32,1,FALSE),$V$5=1),W33,X33)</f>
        <v/>
      </c>
      <c r="AC33" s="518">
        <f>IF($V$6=1,Z33,IF($V$6=2,AA33,AB33))</f>
        <v/>
      </c>
    </row>
    <row r="34" ht="15" customHeight="1" s="552">
      <c r="B34" s="538">
        <f>Расчет!K162</f>
        <v/>
      </c>
      <c r="C34" s="527" t="n"/>
      <c r="D34" s="527" t="n"/>
      <c r="E34" s="527" t="n"/>
      <c r="F34" s="527" t="n"/>
      <c r="G34" s="527" t="n"/>
      <c r="H34" s="527" t="n"/>
      <c r="I34" s="527" t="n"/>
      <c r="J34" s="527" t="n"/>
      <c r="K34" s="527" t="n"/>
      <c r="L34" s="527" t="n"/>
      <c r="M34" s="528" t="n"/>
    </row>
    <row r="35" ht="15" customHeight="1" s="552">
      <c r="B35" s="538">
        <f>CONCATENATE(Расчет!K160,Расчет!K161)</f>
        <v/>
      </c>
      <c r="C35" s="527" t="n"/>
      <c r="D35" s="527" t="n"/>
      <c r="E35" s="527" t="n"/>
      <c r="F35" s="527" t="n"/>
      <c r="G35" s="527" t="n"/>
      <c r="H35" s="527" t="n"/>
      <c r="I35" s="527" t="n"/>
      <c r="J35" s="527" t="n"/>
      <c r="K35" s="527" t="n"/>
      <c r="L35" s="527" t="n"/>
      <c r="M35" s="528" t="n"/>
    </row>
    <row r="36" ht="15" customHeight="1" s="552">
      <c r="B36" s="538">
        <f>Расчет!K164</f>
        <v/>
      </c>
      <c r="C36" s="527" t="n"/>
      <c r="D36" s="527" t="n"/>
      <c r="E36" s="527" t="n"/>
      <c r="F36" s="527" t="n"/>
      <c r="G36" s="527" t="n"/>
      <c r="H36" s="527" t="n"/>
      <c r="I36" s="527" t="n"/>
      <c r="J36" s="527" t="n"/>
      <c r="K36" s="527" t="n"/>
      <c r="L36" s="527" t="n"/>
      <c r="M36" s="528" t="n"/>
    </row>
    <row r="37" ht="15" customHeight="1" s="552">
      <c r="B37" s="538">
        <f>Расчет!Q137</f>
        <v/>
      </c>
      <c r="C37" s="527" t="n"/>
      <c r="D37" s="527" t="n"/>
      <c r="E37" s="527" t="n"/>
      <c r="F37" s="527" t="n"/>
      <c r="G37" s="527" t="n"/>
      <c r="H37" s="527" t="n"/>
      <c r="I37" s="527" t="n"/>
      <c r="J37" s="527" t="n"/>
      <c r="K37" s="527" t="n"/>
      <c r="L37" s="527" t="n"/>
      <c r="M37" s="528" t="n"/>
    </row>
    <row r="38" ht="16.5" customHeight="1" s="552" thickBot="1">
      <c r="B38" s="529">
        <f>Расчет!S121</f>
        <v/>
      </c>
      <c r="C38" s="530" t="n"/>
      <c r="D38" s="530" t="n"/>
      <c r="E38" s="530" t="n"/>
      <c r="F38" s="530" t="n"/>
      <c r="G38" s="530" t="n"/>
      <c r="H38" s="530" t="n"/>
      <c r="I38" s="530" t="n"/>
      <c r="J38" s="530" t="n"/>
      <c r="K38" s="530" t="n"/>
      <c r="L38" s="530" t="n"/>
      <c r="M38" s="531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C7D3"/>
  <mergeCells count="49">
    <mergeCell ref="B2:L2"/>
    <mergeCell ref="B16:H16"/>
    <mergeCell ref="B34:M34"/>
    <mergeCell ref="I24:M24"/>
    <mergeCell ref="I25:M25"/>
    <mergeCell ref="I26:M26"/>
    <mergeCell ref="I27:M27"/>
    <mergeCell ref="B15:H15"/>
    <mergeCell ref="J4:M4"/>
    <mergeCell ref="B4:I4"/>
    <mergeCell ref="J5:M5"/>
    <mergeCell ref="B5:I5"/>
    <mergeCell ref="B6:I6"/>
    <mergeCell ref="J7:M7"/>
    <mergeCell ref="B7:I7"/>
    <mergeCell ref="J6:M6"/>
    <mergeCell ref="I21:M21"/>
    <mergeCell ref="B23:H23"/>
    <mergeCell ref="I23:M23"/>
    <mergeCell ref="I22:M22"/>
    <mergeCell ref="B22:H22"/>
    <mergeCell ref="B21:H21"/>
    <mergeCell ref="B8:I8"/>
    <mergeCell ref="B9:I9"/>
    <mergeCell ref="J9:M9"/>
    <mergeCell ref="J8:M8"/>
    <mergeCell ref="B19:H19"/>
    <mergeCell ref="B18:H18"/>
    <mergeCell ref="I15:M15"/>
    <mergeCell ref="I16:M16"/>
    <mergeCell ref="I17:M17"/>
    <mergeCell ref="I18:M18"/>
    <mergeCell ref="I19:M19"/>
    <mergeCell ref="B27:H27"/>
    <mergeCell ref="B17:H17"/>
    <mergeCell ref="B20:H20"/>
    <mergeCell ref="B38:M38"/>
    <mergeCell ref="K30:M30"/>
    <mergeCell ref="K31:M31"/>
    <mergeCell ref="B30:J30"/>
    <mergeCell ref="B31:J31"/>
    <mergeCell ref="B33:M33"/>
    <mergeCell ref="B35:M35"/>
    <mergeCell ref="B36:M36"/>
    <mergeCell ref="B37:M37"/>
    <mergeCell ref="I20:M20"/>
    <mergeCell ref="B24:H24"/>
    <mergeCell ref="B25:H25"/>
    <mergeCell ref="B26:H26"/>
  </mergeCells>
  <conditionalFormatting sqref="B34">
    <cfRule type="cellIs" priority="23" operator="equal" dxfId="2">
      <formula>"Выберите другой материал для корпуса шкафа"</formula>
    </cfRule>
    <cfRule type="cellIs" priority="26" operator="equal" dxfId="2">
      <formula>"Проверьте тип корпуса"</formula>
    </cfRule>
    <cfRule type="cellIs" priority="27" operator="equal" dxfId="2">
      <formula>"Проверьте тип корпуса"</formula>
    </cfRule>
  </conditionalFormatting>
  <conditionalFormatting sqref="B35">
    <cfRule type="containsText" priority="19" operator="containsText" dxfId="2" text="Введите значение тока вентилятора от 0,6 до 69,9А">
      <formula>NOT(ISERROR(SEARCH("Введите значение тока вентилятора от 0,6 до 69,9А",B35)))</formula>
    </cfRule>
    <cfRule type="expression" priority="20" dxfId="2">
      <formula>"Введите значение тока вентилятора от 0,6 до 69,9А"</formula>
    </cfRule>
    <cfRule type="cellIs" priority="24" operator="equal" dxfId="2">
      <formula>"Введите значение тока от 0,1 до 69,9А"</formula>
    </cfRule>
    <cfRule type="cellIs" priority="25" operator="equal" dxfId="2">
      <formula>"Введите значение тока вентилятора от 0,25 до 4,9А"</formula>
    </cfRule>
  </conditionalFormatting>
  <conditionalFormatting sqref="B36">
    <cfRule type="cellIs" priority="22" operator="equal" dxfId="2">
      <formula>"Отсутствует воздушный клапан"</formula>
    </cfRule>
  </conditionalFormatting>
  <conditionalFormatting sqref="B37:B38">
    <cfRule type="cellIs" priority="21" operator="equal" dxfId="2">
      <formula>"Электропитание не совместимо с типом пуска ЧРП"</formula>
    </cfRule>
  </conditionalFormatting>
  <conditionalFormatting sqref="B38">
    <cfRule type="cellIs" priority="18" operator="equal" dxfId="2">
      <formula>"Проверьте введенные значения"</formula>
    </cfRule>
  </conditionalFormatting>
  <conditionalFormatting sqref="B37:C37">
    <cfRule type="containsText" priority="17" operator="containsText" dxfId="2" text="Проверьте маркировку шкафа">
      <formula>NOT(ISERROR(SEARCH("Проверьте маркировку шкафа",B37)))</formula>
    </cfRule>
  </conditionalFormatting>
  <conditionalFormatting sqref="B38:C38">
    <cfRule type="containsText" priority="16" operator="containsText" dxfId="2" text="Дополнительная комплектация не соответствует выбранному оборудованию">
      <formula>NOT(ISERROR(SEARCH("Дополнительная комплектация не соответствует выбранному оборудованию",B38)))</formula>
    </cfRule>
  </conditionalFormatting>
  <conditionalFormatting sqref="I16:M27">
    <cfRule type="expression" priority="2" dxfId="1">
      <formula>OR($N$30=2,$N$30=3)</formula>
    </cfRule>
  </conditionalFormatting>
  <conditionalFormatting sqref="B12:M12">
    <cfRule type="expression" priority="1" dxfId="0">
      <formula>OR($N$30=1,$N$30=3)</formula>
    </cfRule>
  </conditionalFormatting>
  <dataValidations count="2">
    <dataValidation sqref="I12" showErrorMessage="1" showInputMessage="1" allowBlank="1" type="list">
      <formula1>$AC$17:$AC$33</formula1>
    </dataValidation>
    <dataValidation sqref="I19" showErrorMessage="1" showInputMessage="1" allowBlank="1" errorTitle="Проверьте значение тока" error="Введите значение 0,6...69,9А для 3-фазных эл/дв_x000a_Введите значение 0,25...4,9А для 1-фазных эл/дв" prompt="Введите значение: 0,6...69,9А для 3-фазных эл/дв_x000a_Введите значение: 0,25...4,9А для 1-фазных эл/дв_x000a_" type="decimal">
      <formula1>0.25</formula1>
      <formula2>69.9</formula2>
    </dataValidation>
  </dataValidations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B1:AR263"/>
  <sheetViews>
    <sheetView topLeftCell="F1" zoomScale="70" zoomScaleNormal="70" workbookViewId="0">
      <selection activeCell="U97" sqref="U97"/>
    </sheetView>
  </sheetViews>
  <sheetFormatPr baseColWidth="8" defaultRowHeight="15"/>
  <cols>
    <col width="14.85546875" bestFit="1" customWidth="1" style="552" min="2" max="2"/>
    <col width="27.7109375" customWidth="1" style="552" min="5" max="6"/>
    <col width="30.140625" customWidth="1" style="552" min="7" max="7"/>
    <col width="24.140625" customWidth="1" style="552" min="8" max="8"/>
    <col width="32.5703125" customWidth="1" style="552" min="9" max="9"/>
    <col width="11.7109375" customWidth="1" style="552" min="10" max="10"/>
    <col width="18.28515625" customWidth="1" style="552" min="11" max="11"/>
    <col width="12" bestFit="1" customWidth="1" style="552" min="12" max="13"/>
    <col width="12.28515625" customWidth="1" style="552" min="14" max="14"/>
    <col width="11.85546875" customWidth="1" style="552" min="15" max="15"/>
    <col width="12.28515625" customWidth="1" style="552" min="16" max="16"/>
    <col width="16.42578125" customWidth="1" style="552" min="17" max="17"/>
    <col width="13.140625" customWidth="1" style="552" min="18" max="18"/>
    <col width="12.85546875" customWidth="1" style="552" min="19" max="19"/>
    <col width="15.5703125" customWidth="1" style="552" min="20" max="20"/>
    <col width="16.140625" customWidth="1" style="552" min="21" max="21"/>
    <col width="13.140625" customWidth="1" style="552" min="22" max="22"/>
    <col width="16.28515625" customWidth="1" style="552" min="23" max="23"/>
    <col width="15.85546875" customWidth="1" style="552" min="24" max="25"/>
    <col width="11.140625" customWidth="1" style="552" min="26" max="26"/>
    <col width="13.85546875" customWidth="1" style="552" min="27" max="27"/>
    <col width="12.7109375" customWidth="1" style="552" min="28" max="28"/>
    <col width="10" bestFit="1" customWidth="1" style="552" min="29" max="29"/>
    <col width="12.5703125" customWidth="1" style="552" min="30" max="30"/>
    <col width="10" bestFit="1" customWidth="1" style="552" min="31" max="31"/>
    <col width="10" customWidth="1" style="552" min="35" max="35"/>
    <col width="13.5703125" customWidth="1" style="552" min="38" max="39"/>
  </cols>
  <sheetData>
    <row r="1">
      <c r="D1" s="224" t="n">
        <v>2</v>
      </c>
      <c r="E1" s="225" t="inlineStr">
        <is>
          <t>Конструктор (1)</t>
        </is>
      </c>
      <c r="F1" s="224" t="inlineStr">
        <is>
          <t>Конструктор</t>
        </is>
      </c>
      <c r="G1" s="224">
        <f>IF(Расчет!I139=1,CONCATENATE(Расчет!E23,Расчет!E24,Расчет!B26,Расчет!B31,"-",Расчет!J25,"-",Расчет!K126,"-",Расчет!E59,"-",Расчет!E61),"Выбранной конфигурации не существует")</f>
        <v/>
      </c>
    </row>
    <row r="2">
      <c r="D2" s="224" t="n"/>
      <c r="E2" s="91" t="inlineStr">
        <is>
          <t>ПЭО (2)</t>
        </is>
      </c>
      <c r="F2" s="62" t="inlineStr">
        <is>
          <t>ПЭО</t>
        </is>
      </c>
      <c r="G2" s="62">
        <f>Главная!B7</f>
        <v/>
      </c>
    </row>
    <row r="3">
      <c r="D3" s="224" t="n"/>
      <c r="E3" s="475" t="inlineStr">
        <is>
          <t>Обозначение (3)</t>
        </is>
      </c>
      <c r="F3" s="378" t="inlineStr">
        <is>
          <t>Обозначение</t>
        </is>
      </c>
      <c r="G3" s="378">
        <f>Главная!B9</f>
        <v/>
      </c>
      <c r="H3">
        <f>LEN(G3)</f>
        <v/>
      </c>
      <c r="K3" s="1" t="inlineStr">
        <is>
          <t>не исп</t>
        </is>
      </c>
      <c r="L3" s="1" t="inlineStr">
        <is>
          <t>пуск</t>
        </is>
      </c>
      <c r="M3" s="1" t="inlineStr">
        <is>
          <t>питание</t>
        </is>
      </c>
      <c r="N3" s="1" t="n"/>
      <c r="O3" s="1" t="inlineStr">
        <is>
          <t>ф. схема</t>
        </is>
      </c>
      <c r="P3" s="1" t="n"/>
      <c r="Q3" s="1" t="n"/>
      <c r="R3" s="1" t="inlineStr">
        <is>
          <t>ин. двиг.</t>
        </is>
      </c>
      <c r="S3" s="1" t="n"/>
      <c r="T3" s="1" t="n"/>
      <c r="W3" s="1" t="inlineStr">
        <is>
          <t>доп.компл.</t>
        </is>
      </c>
      <c r="AA3" t="inlineStr">
        <is>
          <t>Длина маркировки</t>
        </is>
      </c>
    </row>
    <row r="4">
      <c r="E4" s="57" t="n"/>
      <c r="F4" s="57" t="n"/>
      <c r="G4" s="57" t="n"/>
      <c r="I4" s="493" t="inlineStr">
        <is>
          <t>Номер символа в обозначении</t>
        </is>
      </c>
      <c r="J4" s="494" t="inlineStr">
        <is>
          <t>1-5</t>
        </is>
      </c>
      <c r="K4" s="494" t="inlineStr">
        <is>
          <t>6-7</t>
        </is>
      </c>
      <c r="L4" s="494" t="inlineStr">
        <is>
          <t>8</t>
        </is>
      </c>
      <c r="M4" s="494" t="inlineStr">
        <is>
          <t>9</t>
        </is>
      </c>
      <c r="N4" s="494" t="inlineStr">
        <is>
          <t>10-11</t>
        </is>
      </c>
      <c r="O4" s="494" t="inlineStr">
        <is>
          <t>12-14</t>
        </is>
      </c>
      <c r="P4" s="494" t="inlineStr">
        <is>
          <t>11-14</t>
        </is>
      </c>
      <c r="Q4" s="494" t="inlineStr">
        <is>
          <t>15</t>
        </is>
      </c>
      <c r="R4" s="494" t="inlineStr">
        <is>
          <t>16-23</t>
        </is>
      </c>
      <c r="S4" s="494" t="n"/>
      <c r="T4" s="494" t="inlineStr">
        <is>
          <t>17</t>
        </is>
      </c>
      <c r="U4" s="494" t="inlineStr">
        <is>
          <t>18</t>
        </is>
      </c>
      <c r="V4" s="494" t="inlineStr">
        <is>
          <t>24</t>
        </is>
      </c>
      <c r="W4" s="494" t="inlineStr">
        <is>
          <t>25-26</t>
        </is>
      </c>
      <c r="X4" s="494" t="inlineStr">
        <is>
          <t>26</t>
        </is>
      </c>
      <c r="Y4" s="494" t="inlineStr">
        <is>
          <t>27</t>
        </is>
      </c>
      <c r="Z4" s="494" t="inlineStr">
        <is>
          <t>28</t>
        </is>
      </c>
    </row>
    <row r="5">
      <c r="E5" s="57" t="n"/>
      <c r="F5" s="57" t="n"/>
      <c r="G5" s="57" t="n"/>
      <c r="H5" s="254" t="inlineStr">
        <is>
          <t>ПЭО</t>
        </is>
      </c>
      <c r="I5" s="62" t="n"/>
      <c r="J5" s="218">
        <f>MID(Главная!$B$7,1,5)</f>
        <v/>
      </c>
      <c r="K5" s="490">
        <f>MID(Главная!$B$7,6,2)</f>
        <v/>
      </c>
      <c r="L5" s="491">
        <f>MID(Главная!$B$7,8,1)</f>
        <v/>
      </c>
      <c r="M5" s="491">
        <f>MID(Главная!$B$7,9,1)</f>
        <v/>
      </c>
      <c r="N5" s="492">
        <f>MID(Главная!$B$7,10,2)</f>
        <v/>
      </c>
      <c r="O5" s="492">
        <f>MID(Главная!$B$7,12,3)</f>
        <v/>
      </c>
      <c r="P5" s="492">
        <f>MID(Главная!$B$7,11,4)</f>
        <v/>
      </c>
      <c r="Q5" s="492">
        <f>MID(Главная!$B$7,15,1)</f>
        <v/>
      </c>
      <c r="R5" s="492">
        <f>MID(Главная!$B$7,16,8)</f>
        <v/>
      </c>
      <c r="S5" s="492" t="n"/>
      <c r="T5" s="492">
        <f>MID(Главная!$B$7,17,1)</f>
        <v/>
      </c>
      <c r="U5" s="492">
        <f>MID(Главная!$B$7,18,1)</f>
        <v/>
      </c>
      <c r="V5" s="492">
        <f>MID(Главная!$B$7,24,1)</f>
        <v/>
      </c>
      <c r="W5" s="492">
        <f>MID(Главная!$B$7,25,2)</f>
        <v/>
      </c>
      <c r="X5" s="492">
        <f>MID(Главная!$B$7,26,1)</f>
        <v/>
      </c>
      <c r="Y5" s="492">
        <f>MID(Главная!$B$7,27,1)</f>
        <v/>
      </c>
      <c r="Z5" s="492">
        <f>MID(Главная!$B$7,28,1)</f>
        <v/>
      </c>
    </row>
    <row r="6">
      <c r="E6" s="230" t="inlineStr">
        <is>
          <t>Конструктор</t>
        </is>
      </c>
      <c r="F6" s="218" t="inlineStr">
        <is>
          <t>ПЭО</t>
        </is>
      </c>
      <c r="G6" s="476" t="inlineStr">
        <is>
          <t>Обозначение</t>
        </is>
      </c>
      <c r="H6" s="254" t="inlineStr">
        <is>
          <t>Обозначение</t>
        </is>
      </c>
      <c r="I6" s="378" t="n"/>
      <c r="J6" s="381">
        <f>MID(Главная!$B$9,1,5)</f>
        <v/>
      </c>
      <c r="K6" s="381">
        <f>MID(Главная!$B$9,6,2)</f>
        <v/>
      </c>
      <c r="L6" s="381">
        <f>MID(Главная!$B$9,8,1)</f>
        <v/>
      </c>
      <c r="M6" s="495">
        <f>MID(Главная!$B$9,9,1)</f>
        <v/>
      </c>
      <c r="N6" s="381">
        <f>MID(Главная!$B$9,10,2)</f>
        <v/>
      </c>
      <c r="O6" s="496">
        <f>MID(Главная!$B$9,12,3)</f>
        <v/>
      </c>
      <c r="P6" s="496">
        <f>MID(Главная!$B$9,11,4)</f>
        <v/>
      </c>
      <c r="Q6" s="496">
        <f>MID(Главная!$B$9,15,1)</f>
        <v/>
      </c>
      <c r="R6" s="496">
        <f>MID(Главная!$B$9,16,8)</f>
        <v/>
      </c>
      <c r="S6" s="496" t="n"/>
      <c r="T6" s="496">
        <f>MID(Главная!$B$9,17,1)</f>
        <v/>
      </c>
      <c r="U6" s="496">
        <f>MID(Главная!$B$9,18,1)</f>
        <v/>
      </c>
      <c r="V6" s="496">
        <f>MID(Главная!$B$9,24,1)</f>
        <v/>
      </c>
      <c r="W6" s="496">
        <f>MID(Главная!$B$9,25,2)</f>
        <v/>
      </c>
      <c r="X6" s="496">
        <f>MID(Главная!$B$9,26,1)</f>
        <v/>
      </c>
      <c r="Y6" s="496">
        <f>MID(Главная!$B$9,27,1)</f>
        <v/>
      </c>
      <c r="Z6" s="496">
        <f>MID(Главная!$B$9,28,1)</f>
        <v/>
      </c>
      <c r="AA6">
        <f>IF(LEN(G3)=28,1,0)</f>
        <v/>
      </c>
    </row>
    <row r="7">
      <c r="B7" s="232" t="inlineStr">
        <is>
          <t>Работа при прер. Питания</t>
        </is>
      </c>
      <c r="C7" s="527" t="n"/>
      <c r="D7" s="528" t="n"/>
      <c r="E7" s="10">
        <f>IF(Расчет!B26=1,"без самозапуска","с самозапуском")</f>
        <v/>
      </c>
      <c r="F7" s="40">
        <f>IF(Расчет!C26=1,"без самозапуска","с самозапуском")</f>
        <v/>
      </c>
      <c r="G7" s="10">
        <f>IF(Расчет!D27=1,"без самозапуска","с самозапуском")</f>
        <v/>
      </c>
      <c r="O7" s="1">
        <f>--O5</f>
        <v/>
      </c>
    </row>
    <row r="8">
      <c r="B8" s="232" t="inlineStr">
        <is>
          <t>Электропитание шкафа</t>
        </is>
      </c>
      <c r="C8" s="527" t="n"/>
      <c r="D8" s="528" t="n"/>
      <c r="E8" s="10">
        <f>IF(Расчет!B31=0,"Питание 3 фазы (3Р/N/PE)","Питание 1 фаза (1Р/N/PE)")</f>
        <v/>
      </c>
      <c r="F8" s="40">
        <f>IF(Расчет!C31=0,"Питание 3 фазы (3Р/N/PE)","Питание 1 фаза (1Р/N/PE)")</f>
        <v/>
      </c>
      <c r="G8" s="10">
        <f>IF(Расчет!D31=0,"Питание 3 фазы (3Р/N/PE)","Питание 1 фаза (1Р/N/PE)")</f>
        <v/>
      </c>
      <c r="J8" s="1" t="n"/>
      <c r="K8" s="1" t="n"/>
      <c r="L8" s="1" t="n"/>
      <c r="M8" s="1" t="n"/>
      <c r="N8" s="1" t="n"/>
      <c r="O8" s="1">
        <f>--O6</f>
        <v/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B9" s="232" t="inlineStr">
        <is>
          <t>Тип пуска</t>
        </is>
      </c>
      <c r="C9" s="527" t="n"/>
      <c r="D9" s="528" t="n"/>
      <c r="E9" s="10">
        <f>IF(Расчет!B35=1,"Прямой пуск",IF(Расчет!B35=2,"Частотный преобразователь / регулятор оборотов","ЕС мотор и потенциометр"))</f>
        <v/>
      </c>
      <c r="F9" s="40">
        <f>IF(Расчет!C35=1,"Прямой пуск",IF(Расчет!C35=2,"Частотный преобразователь / регулятор оборотов","ЕС мотор и потенциометр"))</f>
        <v/>
      </c>
      <c r="G9" s="10">
        <f>IF(Расчет!C35=1,"Прямой пуск",IF(Расчет!C35=2,"Частотный преобразователь / регулятор оборотов","ЕС мотор и потенциометр"))</f>
        <v/>
      </c>
    </row>
    <row r="10">
      <c r="B10" s="232" t="inlineStr">
        <is>
          <t>Ток электродвигателя, А</t>
        </is>
      </c>
      <c r="C10" s="527" t="n"/>
      <c r="D10" s="528" t="n"/>
      <c r="E10" s="79">
        <f>Главная!I19</f>
        <v/>
      </c>
      <c r="F10" s="40">
        <f>CONCATENATE(X69,"-",Y69)</f>
        <v/>
      </c>
      <c r="G10" s="10" t="n"/>
      <c r="R10" s="226" t="n"/>
    </row>
    <row r="11">
      <c r="B11" s="232" t="inlineStr">
        <is>
          <t>Реле пер. давл. вентилятора</t>
        </is>
      </c>
      <c r="C11" s="527" t="n"/>
      <c r="D11" s="528" t="n"/>
      <c r="E11" s="10">
        <f>IF(Расчет!B40=1,"Да","Нет")</f>
        <v/>
      </c>
      <c r="F11" s="40">
        <f>IF(Расчет!C40=1,"Да","Нет")</f>
        <v/>
      </c>
      <c r="G11" s="10">
        <f>IF(Расчет!D40=1,"Да","Нет")</f>
        <v/>
      </c>
    </row>
    <row r="12">
      <c r="B12" s="232" t="inlineStr">
        <is>
          <t>Клапан воздушный</t>
        </is>
      </c>
      <c r="C12" s="527" t="n"/>
      <c r="D12" s="528" t="n"/>
      <c r="E12" s="10">
        <f>IF(Расчет!B44=1,"Да","Нет")</f>
        <v/>
      </c>
      <c r="F12" s="40">
        <f>IF(Расчет!C44=1,"Да","Нет")</f>
        <v/>
      </c>
      <c r="G12" s="10">
        <f>IF(Расчет!D44=1,"Да","Нет")</f>
        <v/>
      </c>
      <c r="K12" s="1" t="inlineStr">
        <is>
          <t>не исп</t>
        </is>
      </c>
      <c r="L12" s="1" t="inlineStr">
        <is>
          <t>пуск</t>
        </is>
      </c>
      <c r="M12" s="1" t="inlineStr">
        <is>
          <t>питание</t>
        </is>
      </c>
      <c r="N12" s="1" t="n"/>
      <c r="O12" s="1" t="inlineStr">
        <is>
          <t>ф. схема</t>
        </is>
      </c>
      <c r="P12" s="1" t="n"/>
      <c r="Q12" s="1" t="n"/>
      <c r="R12" s="1" t="inlineStr">
        <is>
          <t>ин. двиг.</t>
        </is>
      </c>
      <c r="S12" s="1" t="n"/>
      <c r="T12" s="1" t="n"/>
      <c r="W12" s="1" t="inlineStr">
        <is>
          <t>доп.компл.</t>
        </is>
      </c>
    </row>
    <row r="13">
      <c r="B13" s="232" t="inlineStr">
        <is>
          <t>Эл/обогрев клапана</t>
        </is>
      </c>
      <c r="C13" s="527" t="n"/>
      <c r="D13" s="528" t="n"/>
      <c r="E13" s="10">
        <f>IF(Расчет!B48=1,"Да","Нет")</f>
        <v/>
      </c>
      <c r="F13" s="40">
        <f>IF(Расчет!C48=1,"Да","Нет")</f>
        <v/>
      </c>
      <c r="G13" s="10">
        <f>IF(Расчет!D48=1,"Да","Нет")</f>
        <v/>
      </c>
      <c r="H13" s="254" t="inlineStr">
        <is>
          <t>ПЭО</t>
        </is>
      </c>
      <c r="I13" s="91" t="inlineStr">
        <is>
          <t>Номер символа в обозначении</t>
        </is>
      </c>
      <c r="J13" s="219" t="inlineStr">
        <is>
          <t>1-5</t>
        </is>
      </c>
      <c r="K13" s="219" t="inlineStr">
        <is>
          <t>6-7</t>
        </is>
      </c>
      <c r="L13" s="219" t="inlineStr">
        <is>
          <t>8</t>
        </is>
      </c>
      <c r="M13" s="219" t="inlineStr">
        <is>
          <t>9</t>
        </is>
      </c>
      <c r="N13" s="219" t="inlineStr">
        <is>
          <t>10-11</t>
        </is>
      </c>
      <c r="O13" s="219" t="inlineStr">
        <is>
          <t>12-14</t>
        </is>
      </c>
      <c r="P13" s="219" t="inlineStr">
        <is>
          <t>11-14</t>
        </is>
      </c>
      <c r="Q13" s="219" t="inlineStr">
        <is>
          <t>15</t>
        </is>
      </c>
      <c r="R13" s="219" t="inlineStr">
        <is>
          <t>16-23</t>
        </is>
      </c>
      <c r="S13" s="219" t="n"/>
      <c r="T13" s="219" t="inlineStr">
        <is>
          <t>17</t>
        </is>
      </c>
      <c r="U13" s="219" t="inlineStr">
        <is>
          <t>18</t>
        </is>
      </c>
      <c r="V13" s="219" t="inlineStr">
        <is>
          <t>24</t>
        </is>
      </c>
      <c r="W13" s="219" t="inlineStr">
        <is>
          <t>25-26</t>
        </is>
      </c>
      <c r="X13" s="219" t="inlineStr">
        <is>
          <t>26</t>
        </is>
      </c>
      <c r="Y13" s="219" t="inlineStr">
        <is>
          <t>27</t>
        </is>
      </c>
      <c r="Z13" s="219" t="inlineStr">
        <is>
          <t>28</t>
        </is>
      </c>
    </row>
    <row r="14">
      <c r="B14" s="232" t="inlineStr">
        <is>
          <t>Реле пер. давл. Фильтра</t>
        </is>
      </c>
      <c r="C14" s="527" t="n"/>
      <c r="D14" s="528" t="n"/>
      <c r="E14" s="10">
        <f>IF(Расчет!B52=1,"Да","Нет")</f>
        <v/>
      </c>
      <c r="F14" s="40">
        <f>IF(Расчет!C52=1,"Да","Нет")</f>
        <v/>
      </c>
      <c r="G14" s="10">
        <f>IF(Расчет!D52=1,"Да","Нет")</f>
        <v/>
      </c>
      <c r="I14" s="220" t="n"/>
      <c r="J14" s="1">
        <f>IF($D$1=2,J5,J6)</f>
        <v/>
      </c>
      <c r="K14" s="227">
        <f>IF($D$1=2,K5,K6)</f>
        <v/>
      </c>
      <c r="L14" s="223">
        <f>IF($D$1=2,L5,L6)</f>
        <v/>
      </c>
      <c r="M14" s="223">
        <f>IF($D$1=2,M5,M6)</f>
        <v/>
      </c>
      <c r="N14" s="222">
        <f>IF($D$1=2,N5,N6)</f>
        <v/>
      </c>
      <c r="O14" s="222">
        <f>IF($D$1=2,O5,O6)</f>
        <v/>
      </c>
      <c r="P14" s="222">
        <f>IF($D$1=2,P5,P6)</f>
        <v/>
      </c>
      <c r="Q14" s="222">
        <f>IF($D$1=2,Q5,Q6)</f>
        <v/>
      </c>
      <c r="R14" s="222">
        <f>IF($D$1=2,R5,R6)</f>
        <v/>
      </c>
      <c r="S14" s="222">
        <f>IF($D$1=2,S5,S6)</f>
        <v/>
      </c>
      <c r="T14" s="222">
        <f>IF($D$1=2,T5,T6)</f>
        <v/>
      </c>
      <c r="U14" s="222">
        <f>IF($D$1=2,U5,U6)</f>
        <v/>
      </c>
      <c r="V14" s="222">
        <f>IF($D$1=2,V5,V6)</f>
        <v/>
      </c>
      <c r="W14" s="222">
        <f>IF($D$1=2,W5,W6)</f>
        <v/>
      </c>
      <c r="X14" s="222">
        <f>IF($D$1=2,X5,X6)</f>
        <v/>
      </c>
      <c r="Y14" s="222">
        <f>IF($D$1=2,Y5,Y6)</f>
        <v/>
      </c>
      <c r="Z14" s="222">
        <f>IF($D$1=2,Z5,Z6)</f>
        <v/>
      </c>
      <c r="AA14" s="222">
        <f>IF($D$1=2,AA5,AA6)</f>
        <v/>
      </c>
    </row>
    <row r="15">
      <c r="B15" s="232" t="inlineStr">
        <is>
          <t>Сигн. Дист. управления</t>
        </is>
      </c>
      <c r="C15" s="527" t="n"/>
      <c r="D15" s="528" t="n"/>
      <c r="E15" s="10">
        <f>IF(Расчет!B55=1,"Да","Нет")</f>
        <v/>
      </c>
      <c r="F15" s="40">
        <f>IF(Расчет!C55=1,"Да","Нет")</f>
        <v/>
      </c>
      <c r="G15" s="10">
        <f>IF(Расчет!D55=1,"Да","Нет")</f>
        <v/>
      </c>
      <c r="I15" s="220" t="inlineStr">
        <is>
          <t>Преобразование в число</t>
        </is>
      </c>
      <c r="J15" s="221" t="n"/>
      <c r="K15" s="227" t="n"/>
      <c r="L15" s="223" t="n"/>
      <c r="M15" s="223">
        <f>--M14</f>
        <v/>
      </c>
      <c r="N15" s="270" t="n"/>
      <c r="O15" s="223">
        <f>--O14</f>
        <v/>
      </c>
      <c r="P15" s="271" t="n"/>
      <c r="Q15" s="271" t="n"/>
      <c r="R15" s="222" t="n"/>
      <c r="S15" s="222" t="n"/>
      <c r="T15" s="222">
        <f>--T14</f>
        <v/>
      </c>
      <c r="U15" s="222" t="n"/>
      <c r="V15" s="222" t="n"/>
      <c r="W15" s="222">
        <f>--W14</f>
        <v/>
      </c>
      <c r="X15" s="222" t="n"/>
      <c r="Y15" s="222" t="n"/>
      <c r="Z15" s="222" t="n"/>
    </row>
    <row r="16">
      <c r="B16" s="232" t="inlineStr">
        <is>
          <t>Доп. комплектация</t>
        </is>
      </c>
      <c r="C16" s="527" t="n"/>
      <c r="D16" s="528" t="n"/>
      <c r="E16" s="10">
        <f>Главная!I25</f>
        <v/>
      </c>
      <c r="F16" s="40">
        <f>Расчет!C76</f>
        <v/>
      </c>
      <c r="G16" s="10">
        <f>W6</f>
        <v/>
      </c>
      <c r="I16" s="225" t="inlineStr">
        <is>
          <t>ВЫВОД для расчета</t>
        </is>
      </c>
      <c r="J16" s="224" t="n"/>
      <c r="K16" s="224" t="n"/>
      <c r="L16" s="229">
        <f>IF(L14="1",1,2)</f>
        <v/>
      </c>
      <c r="M16" s="230">
        <f>IF(M14="0",0,1)</f>
        <v/>
      </c>
      <c r="N16" s="232" t="n"/>
      <c r="O16" s="224">
        <f>O17+O18+O19</f>
        <v/>
      </c>
      <c r="P16" s="233" t="n"/>
      <c r="Q16" s="233" t="n"/>
      <c r="R16" s="224" t="n"/>
      <c r="S16" s="224" t="n"/>
      <c r="T16" s="224" t="n"/>
      <c r="U16" s="224" t="n"/>
      <c r="V16" s="224" t="n"/>
      <c r="W16" s="224" t="n"/>
      <c r="X16" s="12">
        <f>--X14</f>
        <v/>
      </c>
      <c r="Y16" s="224" t="n"/>
      <c r="Z16" s="224" t="n"/>
    </row>
    <row r="17">
      <c r="B17" s="232" t="inlineStr">
        <is>
          <t>Материал корпуса шкафа</t>
        </is>
      </c>
      <c r="C17" s="527" t="n"/>
      <c r="D17" s="528" t="n"/>
      <c r="E17" s="10">
        <f>IF(Расчет!B61="М","Металл","Пластик")</f>
        <v/>
      </c>
      <c r="F17" s="40">
        <f>IF(Расчет!C61="М","Металл","Пластик")</f>
        <v/>
      </c>
      <c r="G17" s="10">
        <f>IF(Расчет!D61="М","Металл","Пластик")</f>
        <v/>
      </c>
      <c r="I17" s="57" t="n"/>
      <c r="L17" s="231" t="n"/>
      <c r="M17" s="36" t="inlineStr">
        <is>
          <t>пр пуск</t>
        </is>
      </c>
      <c r="N17" t="inlineStr">
        <is>
          <t>3ф, 1ф</t>
        </is>
      </c>
      <c r="O17" s="224">
        <f>IF(AND(O14&gt;="100",O14&lt;="121"),1,0)</f>
        <v/>
      </c>
      <c r="P17" s="257" t="n"/>
      <c r="R17" s="1">
        <f>IF(AND(O15&gt;=100,O15&lt;=121,OR(R14=J69,R14=J70,R14=J71,R14=J72,R14=J73,R14=J74,R14=J75,R14=J76,R14=J77,R14=J78,R14=J79,R14=J80,R14=J81,R14=J82,R14=J83,R14=J84,R14=J85,R14=J108,R14=J111,R14=J113,R14=J115)),1,0)</f>
        <v/>
      </c>
      <c r="S17" s="1" t="n"/>
    </row>
    <row r="18">
      <c r="B18" s="232" t="inlineStr">
        <is>
          <t>Размер шкафа</t>
        </is>
      </c>
      <c r="C18" s="527" t="n"/>
      <c r="D18" s="528" t="n"/>
      <c r="E18" s="10" t="n"/>
      <c r="F18" s="40">
        <f>Расчет!F73</f>
        <v/>
      </c>
      <c r="G18" s="10" t="n"/>
      <c r="I18" s="57" t="inlineStr">
        <is>
          <t xml:space="preserve">             </t>
        </is>
      </c>
      <c r="L18" s="231" t="n"/>
      <c r="M18" s="36" t="inlineStr">
        <is>
          <t>ЧРП/рег об</t>
        </is>
      </c>
      <c r="N18" t="inlineStr">
        <is>
          <t>3ф, 1ф</t>
        </is>
      </c>
      <c r="O18" s="224">
        <f>IF(AND(O14&gt;="130",O14&lt;="151"),2,0)</f>
        <v/>
      </c>
      <c r="R18" s="1">
        <f>IF(AND(O15&gt;=130,O15&lt;=151,OR(R14=J93,R14=J94,R14=J95,R14=J96,R14=J97,R14=J98,R14=J99,R14=J100,R14=J108,R14=J111,R14=J113,R14=J115)),1,0)</f>
        <v/>
      </c>
      <c r="S18" s="1" t="n"/>
    </row>
    <row r="19">
      <c r="B19" s="232" t="inlineStr">
        <is>
          <t>Функциональная схема</t>
        </is>
      </c>
      <c r="C19" s="527" t="n"/>
      <c r="D19" s="528" t="n"/>
      <c r="E19" s="10" t="n"/>
      <c r="F19" s="10">
        <f>Главная!G12</f>
        <v/>
      </c>
      <c r="G19" s="10">
        <f>P6</f>
        <v/>
      </c>
      <c r="I19" s="57" t="n"/>
      <c r="L19" s="231" t="n"/>
      <c r="M19" s="36" t="inlineStr">
        <is>
          <t>ЕС</t>
        </is>
      </c>
      <c r="N19" t="inlineStr">
        <is>
          <t>3ф, 1ф</t>
        </is>
      </c>
      <c r="O19" s="267">
        <f>IF(AND(O14&gt;="160",O14&lt;="181"),3,0)</f>
        <v/>
      </c>
      <c r="R19" s="1">
        <f>IF(AND(O15&gt;=160,O15&lt;=181,OR(R14=J69,R14=J70,R14=J71,R14=J72,R14=J73,R14=J74,R14=J75,R14=J76,R14=J77,R14=J78,R14=J79,R14=J80,R14=J81,R14=J82,R14=J83,R14=J84,R14=J85,R14=J108,R14=J111,R14=J113,R14=J115)),1,0)</f>
        <v/>
      </c>
      <c r="S19" s="1" t="n"/>
      <c r="T19" s="1">
        <f>IF(AND(M15=0,T15=3),1,0)</f>
        <v/>
      </c>
      <c r="V19" t="inlineStr">
        <is>
          <t xml:space="preserve"> </t>
        </is>
      </c>
    </row>
    <row r="20">
      <c r="I20" s="268" t="inlineStr">
        <is>
          <t>ЕСЛИ Ошибка ввода</t>
        </is>
      </c>
      <c r="O20" s="10">
        <f>IF(OR(AND(O15&gt;=100,O15&lt;=103),AND(O15&gt;=110,O15&lt;=121),AND(O15&gt;=130,O15&lt;=133),AND(O15&gt;=140,O15&lt;=151),AND(O15&gt;=160,O15&lt;=163),AND(O15&gt;=170,O15&lt;=181)),1,0)</f>
        <v/>
      </c>
      <c r="P20" s="10" t="n"/>
      <c r="T20" s="1">
        <f>IF(AND(M15=1,T15=1),1,0)</f>
        <v/>
      </c>
    </row>
    <row r="21">
      <c r="I21" s="268" t="inlineStr">
        <is>
          <t>Ошибка ввода</t>
        </is>
      </c>
      <c r="J21" s="10">
        <f>IF(J14="ВЕРСА",1,0)</f>
        <v/>
      </c>
      <c r="K21" s="10">
        <f>IF(K14=" 1",1,0)</f>
        <v/>
      </c>
      <c r="L21" s="269">
        <f>IF(OR(L14="1",L14="2"),1,0)</f>
        <v/>
      </c>
      <c r="M21" s="269">
        <f>IF(OR(M14="1",M14="0"),1,0)</f>
        <v/>
      </c>
      <c r="N21" s="10">
        <f>IF(N14="-Ф",1,0)</f>
        <v/>
      </c>
      <c r="O21" s="10">
        <f>IFERROR(O20,0)</f>
        <v/>
      </c>
      <c r="P21" s="10" t="n"/>
      <c r="Q21" s="10">
        <f>IF(Q14="-",1,0)</f>
        <v/>
      </c>
      <c r="R21" s="10">
        <f>R17+R18+R19</f>
        <v/>
      </c>
      <c r="S21" s="10" t="n"/>
      <c r="T21" s="10">
        <f>T19+T20</f>
        <v/>
      </c>
      <c r="U21" s="10" t="n"/>
      <c r="V21" s="10">
        <f>IF(Q14="-",1,0)</f>
        <v/>
      </c>
      <c r="W21" s="10">
        <f>IF(OR(W14="Д0",W14="Д1",W14="Д2"),1,0)</f>
        <v/>
      </c>
      <c r="X21" s="10" t="n"/>
      <c r="Y21" s="10">
        <f>IF(Y14="-",1,0)</f>
        <v/>
      </c>
      <c r="Z21" s="10">
        <f>IF(OR(Z14="М",Z14="П"),1,0)</f>
        <v/>
      </c>
      <c r="AA21" s="3">
        <f>IF(D1=2,1,AA6)</f>
        <v/>
      </c>
    </row>
    <row r="22">
      <c r="I22" s="268" t="inlineStr">
        <is>
          <t>ИТОГ ошибка ввода</t>
        </is>
      </c>
      <c r="J22" s="10">
        <f>IFERROR(J21*K21*L21*M21*N21*O21*Q21*R21*T21*V21*W21*Y21*Z21*AA21,0)</f>
        <v/>
      </c>
      <c r="K22" s="181">
        <f>IF(AND(OR(D1=2,D1=3),J22=0),"Проверьте маркировку шкафа","")</f>
        <v/>
      </c>
      <c r="L22" s="272" t="n"/>
      <c r="M22" s="273" t="n"/>
      <c r="R22" s="1" t="n"/>
    </row>
    <row r="23">
      <c r="E23" t="inlineStr">
        <is>
          <t xml:space="preserve">ВЕРСА </t>
        </is>
      </c>
    </row>
    <row r="24" ht="15.75" customHeight="1" s="552" thickBot="1">
      <c r="B24" s="253" t="inlineStr">
        <is>
          <t>Выбор</t>
        </is>
      </c>
      <c r="E24" t="n">
        <v>1</v>
      </c>
      <c r="L24" s="226" t="n"/>
    </row>
    <row r="25" ht="15.75" customHeight="1" s="552" thickBot="1">
      <c r="B25" s="247" t="inlineStr">
        <is>
          <t>Конструктор</t>
        </is>
      </c>
      <c r="C25" s="477" t="inlineStr">
        <is>
          <t xml:space="preserve">ПЭО или </t>
        </is>
      </c>
      <c r="D25" s="489" t="inlineStr">
        <is>
          <t>Обозначение</t>
        </is>
      </c>
      <c r="E25" s="482" t="inlineStr">
        <is>
          <t>ИТОГ</t>
        </is>
      </c>
      <c r="F25" s="3" t="n"/>
      <c r="I25" s="13" t="inlineStr">
        <is>
          <t>Номер функциональной схемы</t>
        </is>
      </c>
      <c r="J25" s="14">
        <f>IF(Главная!I18="Прямой пуск",J27,IF(Главная!I18="Частотный преобразователь / регулятор оборотов",J40,J52))</f>
        <v/>
      </c>
      <c r="W25" t="b">
        <v>1</v>
      </c>
      <c r="Y25" t="b">
        <v>0</v>
      </c>
    </row>
    <row r="26" ht="15.75" customHeight="1" s="552" thickBot="1">
      <c r="B26" s="248">
        <f>IF(Главная!I16="без самозапуска",1,2)</f>
        <v/>
      </c>
      <c r="C26" s="478">
        <f>L16</f>
        <v/>
      </c>
      <c r="D26" s="378" t="n"/>
      <c r="E26" s="483">
        <f>IF($D$1=1,B26,C26)</f>
        <v/>
      </c>
      <c r="F26" s="91" t="inlineStr">
        <is>
          <t>Работа системы</t>
        </is>
      </c>
      <c r="G26" s="57" t="n"/>
      <c r="W26" s="1" t="n">
        <v>1</v>
      </c>
      <c r="X26" s="1" t="n"/>
      <c r="Y26" s="1" t="n">
        <v>0</v>
      </c>
      <c r="Z26" s="1" t="n"/>
    </row>
    <row r="27" ht="15.75" customHeight="1" s="552" thickBot="1">
      <c r="B27" s="3" t="n"/>
      <c r="C27" s="53" t="n"/>
      <c r="D27" s="3" t="n"/>
      <c r="E27" s="528" t="n">
        <v>1</v>
      </c>
      <c r="F27" s="3" t="inlineStr">
        <is>
          <t>без самозапуска</t>
        </is>
      </c>
      <c r="I27" s="41" t="inlineStr">
        <is>
          <t>Результат ИТОГО</t>
        </is>
      </c>
      <c r="J27" s="82">
        <f>INDEX(J36:Y36,INDEX(MATCH(1=1,J36:Y36&lt;&gt;"",),))</f>
        <v/>
      </c>
    </row>
    <row r="28" ht="15.75" customHeight="1" s="552" thickBot="1">
      <c r="B28" s="3" t="n"/>
      <c r="C28" s="53" t="n"/>
      <c r="D28" s="3" t="n"/>
      <c r="E28" s="528" t="n">
        <v>2</v>
      </c>
      <c r="F28" s="3" t="inlineStr">
        <is>
          <t>с самозапуском</t>
        </is>
      </c>
      <c r="I28" s="5" t="n"/>
      <c r="J28" s="6" t="inlineStr">
        <is>
          <t>Ф100</t>
        </is>
      </c>
      <c r="K28" s="6" t="inlineStr">
        <is>
          <t>Ф101</t>
        </is>
      </c>
      <c r="L28" s="6" t="inlineStr">
        <is>
          <t>Ф102</t>
        </is>
      </c>
      <c r="M28" s="6" t="inlineStr">
        <is>
          <t>Ф103</t>
        </is>
      </c>
      <c r="N28" s="6" t="inlineStr">
        <is>
          <t>Ф110</t>
        </is>
      </c>
      <c r="O28" s="6" t="inlineStr">
        <is>
          <t>Ф111</t>
        </is>
      </c>
      <c r="P28" s="6" t="inlineStr">
        <is>
          <t>Ф112</t>
        </is>
      </c>
      <c r="Q28" s="6" t="inlineStr">
        <is>
          <t>Ф113</t>
        </is>
      </c>
      <c r="R28" s="6" t="inlineStr">
        <is>
          <t>Ф114</t>
        </is>
      </c>
      <c r="S28" s="6" t="inlineStr">
        <is>
          <t>Ф115</t>
        </is>
      </c>
      <c r="T28" s="6" t="inlineStr">
        <is>
          <t>Ф116</t>
        </is>
      </c>
      <c r="U28" s="7" t="inlineStr">
        <is>
          <t>Ф117</t>
        </is>
      </c>
      <c r="V28" s="7" t="inlineStr">
        <is>
          <t>Ф118</t>
        </is>
      </c>
      <c r="W28" s="7" t="inlineStr">
        <is>
          <t>Ф119</t>
        </is>
      </c>
      <c r="X28" s="7" t="inlineStr">
        <is>
          <t>Ф120</t>
        </is>
      </c>
      <c r="Y28" s="7" t="inlineStr">
        <is>
          <t>Ф121</t>
        </is>
      </c>
      <c r="AD28" s="31" t="inlineStr">
        <is>
          <t>№ комплекта</t>
        </is>
      </c>
      <c r="AE28" s="31" t="n"/>
      <c r="AF28" s="31" t="inlineStr">
        <is>
          <t>Наименование прибора</t>
        </is>
      </c>
      <c r="AG28" s="32" t="n"/>
      <c r="AH28" s="32" t="n"/>
      <c r="AI28" s="32" t="n"/>
      <c r="AJ28" s="32" t="n"/>
      <c r="AK28" s="32" t="n"/>
      <c r="AL28" s="32" t="n"/>
      <c r="AM28" s="32" t="n"/>
      <c r="AN28" s="32" t="n"/>
      <c r="AO28" s="33" t="n"/>
    </row>
    <row r="29" ht="15.75" customHeight="1" s="552" thickBot="1">
      <c r="B29" s="3" t="n"/>
      <c r="C29" s="53" t="n"/>
      <c r="D29" s="3" t="n"/>
      <c r="E29" s="528" t="n"/>
      <c r="F29" s="3" t="n"/>
      <c r="H29" s="1" t="inlineStr">
        <is>
          <t>B21</t>
        </is>
      </c>
      <c r="I29" s="369" t="inlineStr">
        <is>
          <t>Клапан воздушный</t>
        </is>
      </c>
      <c r="J29" s="236" t="n"/>
      <c r="K29" s="236" t="n"/>
      <c r="L29" s="236" t="n"/>
      <c r="M29" s="236" t="n"/>
      <c r="N29" s="236" t="inlineStr">
        <is>
          <t>+</t>
        </is>
      </c>
      <c r="O29" s="236" t="inlineStr">
        <is>
          <t>+</t>
        </is>
      </c>
      <c r="P29" s="236" t="inlineStr">
        <is>
          <t>+</t>
        </is>
      </c>
      <c r="Q29" s="236" t="inlineStr">
        <is>
          <t>+</t>
        </is>
      </c>
      <c r="R29" s="236" t="inlineStr">
        <is>
          <t>+</t>
        </is>
      </c>
      <c r="S29" s="236" t="inlineStr">
        <is>
          <t>+</t>
        </is>
      </c>
      <c r="T29" s="236" t="inlineStr">
        <is>
          <t>+</t>
        </is>
      </c>
      <c r="U29" s="236" t="inlineStr">
        <is>
          <t>+</t>
        </is>
      </c>
      <c r="V29" s="60" t="inlineStr">
        <is>
          <t>+</t>
        </is>
      </c>
      <c r="W29" s="60" t="inlineStr">
        <is>
          <t>+</t>
        </is>
      </c>
      <c r="X29" s="60" t="inlineStr">
        <is>
          <t>+</t>
        </is>
      </c>
      <c r="Y29" s="60" t="inlineStr">
        <is>
          <t>+</t>
        </is>
      </c>
      <c r="AC29" t="n">
        <v>8</v>
      </c>
      <c r="AD29" s="26" t="inlineStr">
        <is>
          <t>Д0</t>
        </is>
      </c>
      <c r="AE29" s="26" t="n">
        <v>0</v>
      </c>
      <c r="AF29" s="27" t="inlineStr">
        <is>
          <t>Комплектация не требуется</t>
        </is>
      </c>
      <c r="AG29" s="24" t="n"/>
      <c r="AH29" s="24" t="n"/>
      <c r="AI29" s="24" t="n"/>
      <c r="AJ29" s="24" t="n"/>
      <c r="AK29" s="24" t="n"/>
      <c r="AL29" s="24" t="n"/>
      <c r="AM29" s="24" t="n"/>
      <c r="AN29" s="24" t="n"/>
      <c r="AO29" s="25" t="n"/>
    </row>
    <row r="30" ht="15.75" customHeight="1" s="552" thickBot="1">
      <c r="B30" s="3" t="n"/>
      <c r="C30" s="53" t="n"/>
      <c r="D30" s="3" t="n"/>
      <c r="E30" s="528" t="n"/>
      <c r="F30" s="3" t="n"/>
      <c r="H30" s="1" t="inlineStr">
        <is>
          <t>B12</t>
        </is>
      </c>
      <c r="I30" s="370" t="inlineStr">
        <is>
          <t>Прямой пуск вентилятора</t>
        </is>
      </c>
      <c r="J30" s="237" t="inlineStr">
        <is>
          <t>+</t>
        </is>
      </c>
      <c r="K30" s="237" t="inlineStr">
        <is>
          <t>+</t>
        </is>
      </c>
      <c r="L30" s="237" t="inlineStr">
        <is>
          <t>+</t>
        </is>
      </c>
      <c r="M30" s="237" t="inlineStr">
        <is>
          <t>+</t>
        </is>
      </c>
      <c r="N30" s="237" t="inlineStr">
        <is>
          <t>+</t>
        </is>
      </c>
      <c r="O30" s="237" t="inlineStr">
        <is>
          <t>+</t>
        </is>
      </c>
      <c r="P30" s="237" t="inlineStr">
        <is>
          <t>+</t>
        </is>
      </c>
      <c r="Q30" s="237" t="inlineStr">
        <is>
          <t>+</t>
        </is>
      </c>
      <c r="R30" s="237" t="inlineStr">
        <is>
          <t>+</t>
        </is>
      </c>
      <c r="S30" s="237" t="inlineStr">
        <is>
          <t>+</t>
        </is>
      </c>
      <c r="T30" s="237" t="inlineStr">
        <is>
          <t>+</t>
        </is>
      </c>
      <c r="U30" s="237" t="inlineStr">
        <is>
          <t>+</t>
        </is>
      </c>
      <c r="V30" s="197" t="inlineStr">
        <is>
          <t>+</t>
        </is>
      </c>
      <c r="W30" s="197" t="inlineStr">
        <is>
          <t>+</t>
        </is>
      </c>
      <c r="X30" s="197" t="inlineStr">
        <is>
          <t>+</t>
        </is>
      </c>
      <c r="Y30" s="197" t="inlineStr">
        <is>
          <t>+</t>
        </is>
      </c>
      <c r="AD30" s="26" t="inlineStr">
        <is>
          <t>Д1</t>
        </is>
      </c>
      <c r="AE30" s="26" t="n">
        <v>1</v>
      </c>
      <c r="AF30" s="27" t="inlineStr">
        <is>
          <t>Минимальный набор КИП</t>
        </is>
      </c>
      <c r="AG30" s="24" t="n"/>
      <c r="AH30" s="24" t="n"/>
      <c r="AI30" s="24" t="n"/>
      <c r="AJ30" s="24" t="n"/>
      <c r="AK30" s="24" t="n"/>
      <c r="AL30" s="24" t="n"/>
      <c r="AM30" s="24" t="n"/>
      <c r="AN30" s="24" t="n"/>
      <c r="AO30" s="25" t="n"/>
    </row>
    <row r="31" ht="15.75" customHeight="1" s="552" thickBot="1">
      <c r="B31" s="248">
        <f>IF(Главная!I17="Питание 3 фазы (3Р/N/PE)",0,1)</f>
        <v/>
      </c>
      <c r="C31" s="479">
        <f>M16</f>
        <v/>
      </c>
      <c r="D31" s="378" t="n"/>
      <c r="E31" s="484">
        <f>IF($D$1=1,B31,C31)</f>
        <v/>
      </c>
      <c r="F31" s="91" t="inlineStr">
        <is>
          <t>Электропитание шкафа</t>
        </is>
      </c>
      <c r="G31" s="57" t="n"/>
      <c r="H31" s="1" t="n"/>
      <c r="I31" s="371" t="inlineStr">
        <is>
          <t>Сигнал «пожар»</t>
        </is>
      </c>
      <c r="J31" s="372" t="inlineStr">
        <is>
          <t>+</t>
        </is>
      </c>
      <c r="K31" s="372" t="inlineStr">
        <is>
          <t>+</t>
        </is>
      </c>
      <c r="L31" s="372" t="inlineStr">
        <is>
          <t>+</t>
        </is>
      </c>
      <c r="M31" s="372" t="inlineStr">
        <is>
          <t>+</t>
        </is>
      </c>
      <c r="N31" s="372" t="inlineStr">
        <is>
          <t>+</t>
        </is>
      </c>
      <c r="O31" s="372" t="inlineStr">
        <is>
          <t>+</t>
        </is>
      </c>
      <c r="P31" s="372" t="inlineStr">
        <is>
          <t>+</t>
        </is>
      </c>
      <c r="Q31" s="372" t="inlineStr">
        <is>
          <t>+</t>
        </is>
      </c>
      <c r="R31" s="372" t="inlineStr">
        <is>
          <t>+</t>
        </is>
      </c>
      <c r="S31" s="372" t="inlineStr">
        <is>
          <t>+</t>
        </is>
      </c>
      <c r="T31" s="372" t="inlineStr">
        <is>
          <t>+</t>
        </is>
      </c>
      <c r="U31" s="372" t="inlineStr">
        <is>
          <t>+</t>
        </is>
      </c>
      <c r="V31" s="12" t="inlineStr">
        <is>
          <t>+</t>
        </is>
      </c>
      <c r="W31" s="12" t="inlineStr">
        <is>
          <t>+</t>
        </is>
      </c>
      <c r="X31" s="12" t="inlineStr">
        <is>
          <t>+</t>
        </is>
      </c>
      <c r="Y31" s="12" t="inlineStr">
        <is>
          <t>+</t>
        </is>
      </c>
      <c r="AD31" s="26" t="inlineStr">
        <is>
          <t>Д2</t>
        </is>
      </c>
      <c r="AE31" s="26" t="n">
        <v>2</v>
      </c>
      <c r="AF31" s="27" t="inlineStr">
        <is>
          <t>Максимальный набор КИП</t>
        </is>
      </c>
      <c r="AG31" s="24" t="n"/>
      <c r="AH31" s="24" t="n"/>
      <c r="AI31" s="24" t="n"/>
      <c r="AJ31" s="24" t="n"/>
      <c r="AK31" s="24" t="n"/>
      <c r="AL31" s="24" t="n"/>
      <c r="AM31" s="24" t="n"/>
      <c r="AN31" s="24" t="n"/>
      <c r="AO31" s="25" t="n"/>
    </row>
    <row r="32" ht="15.75" customHeight="1" s="552" thickBot="1">
      <c r="B32" s="3" t="n"/>
      <c r="C32" s="53" t="n"/>
      <c r="D32" s="3" t="n"/>
      <c r="E32" s="528" t="n">
        <v>1</v>
      </c>
      <c r="F32" s="3" t="inlineStr">
        <is>
          <t>Питание 1 фаза (1Р/N/PE)</t>
        </is>
      </c>
      <c r="H32" s="1" t="inlineStr">
        <is>
          <t>B17</t>
        </is>
      </c>
      <c r="I32" s="373" t="inlineStr">
        <is>
          <t>Реле перепада давления вент</t>
        </is>
      </c>
      <c r="J32" s="368" t="n"/>
      <c r="K32" s="368" t="inlineStr">
        <is>
          <t>+</t>
        </is>
      </c>
      <c r="L32" s="368" t="n"/>
      <c r="M32" s="368" t="inlineStr">
        <is>
          <t>+</t>
        </is>
      </c>
      <c r="N32" s="374" t="n"/>
      <c r="O32" s="368" t="inlineStr">
        <is>
          <t>+</t>
        </is>
      </c>
      <c r="P32" s="368" t="n"/>
      <c r="Q32" s="368" t="inlineStr">
        <is>
          <t>+</t>
        </is>
      </c>
      <c r="R32" s="368" t="n"/>
      <c r="S32" s="368" t="inlineStr">
        <is>
          <t>+</t>
        </is>
      </c>
      <c r="T32" s="368" t="n"/>
      <c r="U32" s="368" t="inlineStr">
        <is>
          <t>+</t>
        </is>
      </c>
      <c r="V32" s="380" t="inlineStr">
        <is>
          <t>+</t>
        </is>
      </c>
      <c r="W32" s="380" t="inlineStr">
        <is>
          <t>+</t>
        </is>
      </c>
      <c r="X32" s="380" t="inlineStr">
        <is>
          <t>+</t>
        </is>
      </c>
      <c r="Y32" s="380" t="inlineStr">
        <is>
          <t>+</t>
        </is>
      </c>
      <c r="AC32" t="n">
        <v>6</v>
      </c>
      <c r="AD32" s="128" t="inlineStr">
        <is>
          <t>Д03</t>
        </is>
      </c>
      <c r="AE32" s="26" t="n">
        <v>3</v>
      </c>
      <c r="AF32" s="127" t="inlineStr">
        <is>
          <t>Регулятор оборотов</t>
        </is>
      </c>
      <c r="AG32" s="129" t="n"/>
      <c r="AH32" s="129" t="n"/>
      <c r="AI32" s="129" t="n"/>
      <c r="AJ32" s="129" t="n"/>
      <c r="AK32" s="129" t="n"/>
      <c r="AL32" s="129" t="n"/>
      <c r="AM32" s="129" t="n"/>
      <c r="AN32" s="129" t="n"/>
      <c r="AO32" s="130" t="n"/>
    </row>
    <row r="33" ht="15.75" customHeight="1" s="552" thickBot="1">
      <c r="B33" s="3" t="n"/>
      <c r="C33" s="53" t="n"/>
      <c r="D33" s="3" t="n"/>
      <c r="E33" s="528" t="n">
        <v>0</v>
      </c>
      <c r="F33" s="3" t="inlineStr">
        <is>
          <t>Питание 3 фазы (3Р/N/PE)</t>
        </is>
      </c>
      <c r="H33" s="1" t="inlineStr">
        <is>
          <t>B25</t>
        </is>
      </c>
      <c r="I33" s="376" t="inlineStr">
        <is>
          <t xml:space="preserve">Обогрев клапана </t>
        </is>
      </c>
      <c r="J33" s="377" t="n"/>
      <c r="K33" s="377" t="n"/>
      <c r="L33" s="377" t="n"/>
      <c r="M33" s="377" t="n"/>
      <c r="N33" s="378" t="n"/>
      <c r="O33" s="378" t="n"/>
      <c r="P33" s="377" t="inlineStr">
        <is>
          <t>+</t>
        </is>
      </c>
      <c r="Q33" s="377" t="inlineStr">
        <is>
          <t>+</t>
        </is>
      </c>
      <c r="R33" s="377" t="n"/>
      <c r="S33" s="377" t="n"/>
      <c r="T33" s="377" t="inlineStr">
        <is>
          <t>+</t>
        </is>
      </c>
      <c r="U33" s="377" t="inlineStr">
        <is>
          <t>+</t>
        </is>
      </c>
      <c r="V33" s="381" t="n"/>
      <c r="W33" s="381" t="inlineStr">
        <is>
          <t>+</t>
        </is>
      </c>
      <c r="X33" s="381" t="n"/>
      <c r="Y33" s="381" t="inlineStr">
        <is>
          <t>+</t>
        </is>
      </c>
      <c r="AC33" t="n">
        <v>4</v>
      </c>
      <c r="AD33" s="128" t="inlineStr">
        <is>
          <t>Д04</t>
        </is>
      </c>
      <c r="AE33" s="26" t="n">
        <v>4</v>
      </c>
      <c r="AF33" s="131" t="inlineStr">
        <is>
          <t>Потенциометр для ЕС мотора</t>
        </is>
      </c>
      <c r="AG33" s="24" t="n"/>
      <c r="AH33" s="24" t="n"/>
      <c r="AI33" s="24" t="n"/>
      <c r="AJ33" s="24" t="n"/>
      <c r="AK33" s="24" t="n"/>
      <c r="AL33" s="24" t="n"/>
      <c r="AM33" s="24" t="n"/>
      <c r="AN33" s="24" t="n"/>
      <c r="AO33" s="25" t="n"/>
    </row>
    <row r="34" ht="15.75" customHeight="1" s="552" thickBot="1">
      <c r="B34" s="3" t="n"/>
      <c r="C34" s="53" t="n"/>
      <c r="D34" s="3" t="n"/>
      <c r="E34" s="528" t="n"/>
      <c r="F34" s="3" t="n"/>
      <c r="H34" s="1" t="inlineStr">
        <is>
          <t>B29</t>
        </is>
      </c>
      <c r="I34" s="28" t="inlineStr">
        <is>
          <t>Реле перепада давления фильтра</t>
        </is>
      </c>
      <c r="J34" s="62" t="n"/>
      <c r="K34" s="62" t="n"/>
      <c r="L34" s="62" t="n"/>
      <c r="M34" s="62" t="n"/>
      <c r="N34" s="62" t="n"/>
      <c r="O34" s="62" t="n"/>
      <c r="P34" s="62" t="n"/>
      <c r="Q34" s="62" t="n"/>
      <c r="R34" s="62" t="n"/>
      <c r="S34" s="62" t="n"/>
      <c r="T34" s="62" t="n"/>
      <c r="U34" s="62" t="n"/>
      <c r="V34" s="40" t="inlineStr">
        <is>
          <t>+</t>
        </is>
      </c>
      <c r="W34" s="40" t="inlineStr">
        <is>
          <t>+</t>
        </is>
      </c>
      <c r="X34" s="40" t="inlineStr">
        <is>
          <t>+</t>
        </is>
      </c>
      <c r="Y34" s="40" t="inlineStr">
        <is>
          <t>+</t>
        </is>
      </c>
      <c r="AD34" s="128" t="inlineStr">
        <is>
          <t>Д05</t>
        </is>
      </c>
      <c r="AE34" s="26" t="n">
        <v>5</v>
      </c>
      <c r="AF34" s="27" t="inlineStr">
        <is>
          <t>Датчик-реле перепада давления + Пульт дистанционного управления</t>
        </is>
      </c>
      <c r="AG34" s="24" t="n"/>
      <c r="AH34" s="24" t="n"/>
      <c r="AI34" s="24" t="n"/>
      <c r="AJ34" s="24" t="n"/>
      <c r="AK34" s="24" t="n"/>
      <c r="AL34" s="24" t="n"/>
      <c r="AM34" s="24" t="n"/>
      <c r="AN34" s="24" t="n"/>
      <c r="AO34" s="25" t="n"/>
    </row>
    <row r="35" ht="18" customHeight="1" s="552" thickBot="1">
      <c r="B35" s="250">
        <f>IF(Главная!I18="Прямой пуск",1,IF(Главная!I18="Частотный преобразователь / регулятор оборотов",2,3))</f>
        <v/>
      </c>
      <c r="C35" s="480">
        <f>O16</f>
        <v/>
      </c>
      <c r="D35" s="378" t="n"/>
      <c r="E35" s="485">
        <f>IF($D$1=1,B35,C35)</f>
        <v/>
      </c>
      <c r="F35" s="91" t="inlineStr">
        <is>
          <t>Тип пуска</t>
        </is>
      </c>
      <c r="G35" s="57" t="n"/>
      <c r="I35" s="379" t="inlineStr">
        <is>
          <t>Сигнал дистанционного упр.</t>
        </is>
      </c>
      <c r="J35" s="236" t="n"/>
      <c r="K35" s="236" t="n"/>
      <c r="L35" s="236" t="inlineStr">
        <is>
          <t>+</t>
        </is>
      </c>
      <c r="M35" s="236" t="inlineStr">
        <is>
          <t>+</t>
        </is>
      </c>
      <c r="N35" s="195" t="n"/>
      <c r="O35" s="195" t="n"/>
      <c r="P35" s="195" t="n"/>
      <c r="Q35" s="195" t="n"/>
      <c r="R35" s="236" t="inlineStr">
        <is>
          <t>+</t>
        </is>
      </c>
      <c r="S35" s="236" t="inlineStr">
        <is>
          <t>+</t>
        </is>
      </c>
      <c r="T35" s="236" t="inlineStr">
        <is>
          <t>+</t>
        </is>
      </c>
      <c r="U35" s="236" t="inlineStr">
        <is>
          <t>+</t>
        </is>
      </c>
      <c r="V35" s="60" t="n"/>
      <c r="W35" s="60" t="n"/>
      <c r="X35" s="60" t="inlineStr">
        <is>
          <t>+</t>
        </is>
      </c>
      <c r="Y35" s="60" t="inlineStr">
        <is>
          <t>+</t>
        </is>
      </c>
      <c r="AC35" s="11" t="n"/>
      <c r="AD35" s="128" t="inlineStr">
        <is>
          <t>Д06</t>
        </is>
      </c>
      <c r="AE35" s="26" t="n">
        <v>6</v>
      </c>
      <c r="AF35" s="27" t="inlineStr">
        <is>
          <t>Датчик-реле перепада давления + Регулятор оборотов</t>
        </is>
      </c>
      <c r="AG35" s="24" t="n"/>
      <c r="AH35" s="24" t="n"/>
      <c r="AI35" s="24" t="n"/>
      <c r="AJ35" s="24" t="n"/>
      <c r="AK35" s="24" t="n"/>
      <c r="AL35" s="24" t="n"/>
      <c r="AM35" s="24" t="n"/>
      <c r="AN35" s="24" t="n"/>
      <c r="AO35" s="25" t="n"/>
    </row>
    <row r="36" ht="18" customHeight="1" s="552" thickBot="1">
      <c r="B36" s="3" t="n"/>
      <c r="C36" s="53" t="n"/>
      <c r="D36" s="3" t="n"/>
      <c r="E36" s="486" t="n">
        <v>1</v>
      </c>
      <c r="F36" s="3" t="inlineStr">
        <is>
          <t>Прямой пуск</t>
        </is>
      </c>
      <c r="I36" s="83" t="inlineStr">
        <is>
          <t>Результат</t>
        </is>
      </c>
      <c r="J36" s="230">
        <f>IF(AND($E$44=0,$E$35=1,$E$40=0,$E$48=0,$E$52=0,$E$55=0),"Ф100","")</f>
        <v/>
      </c>
      <c r="K36" s="230">
        <f>IF(AND($E$44=0,$E$35=1,$E$40=1,$E$48=0,$E$52=0,$E$55=0),"Ф101","")</f>
        <v/>
      </c>
      <c r="L36" s="230">
        <f>IF(AND($E$44=0,$E$35=1,$E$40=0,$E$48=0,$E$52=0,$E$55=1),"Ф102","")</f>
        <v/>
      </c>
      <c r="M36" s="230">
        <f>IF(AND($E$44=0,$E$35=1,$E$40=1,$E$48=0,$E$52=0,$E$55=1),"Ф103","")</f>
        <v/>
      </c>
      <c r="N36" s="230">
        <f>IF(AND($E$44=1,$E$35=1,$E$40=0,$E$48=0,$E$52=0,$E$55=0),"Ф110","")</f>
        <v/>
      </c>
      <c r="O36" s="230">
        <f>IF(AND($E$44=1,$E$35=1,$E$40=1,$E$48=0,$E$52=0,$E$55=0),"Ф111","")</f>
        <v/>
      </c>
      <c r="P36" s="230">
        <f>IF(AND($E$44=1,$E$35=1,$E$40=0,$E$48=1,$E$52=0,$E$55=0),"Ф112","")</f>
        <v/>
      </c>
      <c r="Q36" s="230">
        <f>IF(AND($E$44=1,$E$35=1,$E$40=1,$E$48=1,$E$52=0,$E$55=0),"Ф113","")</f>
        <v/>
      </c>
      <c r="R36" s="230">
        <f>IF(AND($E$44=1,$E$35=1,$E$40=0,$E$48=0,$E$52=0,$E$55=1),"Ф114","")</f>
        <v/>
      </c>
      <c r="S36" s="230">
        <f>IF(AND($E$44=1,$E$35=1,$E$40=1,$E$48=0,$E$52=0,$E$55=1),"Ф115","")</f>
        <v/>
      </c>
      <c r="T36" s="230">
        <f>IF(AND($E$44=1,$E$35=1,$E$40=0,$E$48=1,$E$52=0,$E$55=1),"Ф116","")</f>
        <v/>
      </c>
      <c r="U36" s="230">
        <f>IF(AND($E$44=1,$E$35=1,$E$40=1,$E$48=1,$E$52=0,$E$55=1),"Ф117","")</f>
        <v/>
      </c>
      <c r="V36" s="12">
        <f>IF(AND($E$44=1,$E$35=1,$E$40=1,$E$48=0,$E$52=1,$E$55=0),"Ф118","")</f>
        <v/>
      </c>
      <c r="W36" s="12">
        <f>IF(AND($E$44=1,$E$35=1,$E$40=1,$E$48=1,$E$52=1,$E$55=0),"Ф119","")</f>
        <v/>
      </c>
      <c r="X36" s="12">
        <f>IF(AND($E$44=1,$E$35=1,$E$40=1,$E$48=0,$E$52=1,$E$55=1),"Ф120","")</f>
        <v/>
      </c>
      <c r="Y36" s="12">
        <f>IF(AND($E$44=1,$E$35=1,$E$40=1,$E$48=1,$E$52=1,$E$55=1),"Ф121","")</f>
        <v/>
      </c>
      <c r="AC36" s="11" t="n"/>
      <c r="AD36" s="128" t="inlineStr">
        <is>
          <t>Д07</t>
        </is>
      </c>
      <c r="AE36" s="26" t="n">
        <v>7</v>
      </c>
      <c r="AF36" s="27" t="inlineStr">
        <is>
          <t>Пульт дистанционного управления + Регулятор оборотов</t>
        </is>
      </c>
      <c r="AG36" s="24" t="n"/>
      <c r="AH36" s="24" t="n"/>
      <c r="AI36" s="24" t="n"/>
      <c r="AJ36" s="24" t="n"/>
      <c r="AK36" s="24" t="n"/>
      <c r="AL36" s="24" t="n"/>
      <c r="AM36" s="24" t="n"/>
      <c r="AN36" s="24" t="n"/>
      <c r="AO36" s="25" t="n"/>
    </row>
    <row r="37" ht="30.75" customHeight="1" s="552" thickBot="1">
      <c r="B37" s="3" t="n"/>
      <c r="C37" s="53" t="n"/>
      <c r="D37" s="3" t="n"/>
      <c r="E37" s="487" t="n">
        <v>2</v>
      </c>
      <c r="F37" s="252" t="inlineStr">
        <is>
          <t>Частотный преобразователь / регулятор оборотов</t>
        </is>
      </c>
      <c r="G37" s="473" t="n"/>
      <c r="I37" s="3" t="n"/>
      <c r="J37" s="3" t="n">
        <v>1</v>
      </c>
      <c r="K37" s="3" t="n">
        <v>2</v>
      </c>
      <c r="L37" s="3" t="n">
        <v>3</v>
      </c>
      <c r="M37" s="3" t="n">
        <v>4</v>
      </c>
      <c r="N37" s="3" t="n">
        <v>5</v>
      </c>
      <c r="O37" s="3" t="n">
        <v>6</v>
      </c>
      <c r="P37" s="3" t="n">
        <v>7</v>
      </c>
      <c r="Q37" s="3" t="n">
        <v>8</v>
      </c>
      <c r="R37" s="3" t="n">
        <v>9</v>
      </c>
      <c r="S37" s="3" t="n">
        <v>10</v>
      </c>
      <c r="T37" s="3" t="n">
        <v>11</v>
      </c>
      <c r="U37" s="3" t="n">
        <v>12</v>
      </c>
      <c r="V37" s="10" t="n">
        <v>13</v>
      </c>
      <c r="W37" s="10" t="n">
        <v>14</v>
      </c>
      <c r="X37" s="10" t="n">
        <v>15</v>
      </c>
      <c r="Y37" s="10" t="n">
        <v>16</v>
      </c>
      <c r="AD37" s="128" t="inlineStr">
        <is>
          <t>Д08</t>
        </is>
      </c>
      <c r="AE37" s="26" t="n">
        <v>8</v>
      </c>
      <c r="AF37" s="27" t="inlineStr">
        <is>
          <t>Датчик-реле перепада давления + Пульт дистанционного управления + Регулятор оборотов</t>
        </is>
      </c>
      <c r="AG37" s="24" t="n"/>
      <c r="AH37" s="24" t="n"/>
      <c r="AI37" s="24" t="n"/>
      <c r="AJ37" s="24" t="n"/>
      <c r="AK37" s="24" t="n"/>
      <c r="AL37" s="24" t="n"/>
      <c r="AM37" s="24" t="n"/>
      <c r="AN37" s="24" t="n"/>
      <c r="AO37" s="25" t="n"/>
    </row>
    <row r="38" ht="15.75" customHeight="1" s="552" thickBot="1">
      <c r="B38" s="3" t="n"/>
      <c r="C38" s="53" t="n"/>
      <c r="D38" s="3" t="n"/>
      <c r="E38" s="486" t="n">
        <v>3</v>
      </c>
      <c r="F38" s="252" t="inlineStr">
        <is>
          <t>ЕС мотор и потенциометр</t>
        </is>
      </c>
      <c r="G38" s="473" t="n"/>
      <c r="AD38" s="128" t="inlineStr">
        <is>
          <t>Д09</t>
        </is>
      </c>
      <c r="AE38" s="26" t="n">
        <v>9</v>
      </c>
      <c r="AF38" s="27" t="inlineStr">
        <is>
          <t>Датчик-реле перепада давления + Потенциометр для ЕС мотора</t>
        </is>
      </c>
      <c r="AG38" s="24" t="n"/>
      <c r="AH38" s="24" t="n"/>
      <c r="AI38" s="24" t="n"/>
      <c r="AJ38" s="24" t="n"/>
      <c r="AK38" s="24" t="n"/>
      <c r="AL38" s="24" t="n"/>
      <c r="AM38" s="24" t="n"/>
      <c r="AN38" s="24" t="n"/>
      <c r="AO38" s="25" t="n"/>
    </row>
    <row r="39" ht="15.75" customHeight="1" s="552" thickBot="1">
      <c r="B39" s="3" t="n"/>
      <c r="C39" s="53" t="n"/>
      <c r="D39" s="3" t="n"/>
      <c r="E39" s="528" t="n"/>
      <c r="F39" s="3" t="n"/>
      <c r="AD39" s="128" t="inlineStr">
        <is>
          <t>Д10</t>
        </is>
      </c>
      <c r="AE39" s="26" t="n">
        <v>10</v>
      </c>
      <c r="AF39" s="27" t="inlineStr">
        <is>
          <t>Пульт дистанционного управления + Потенциометр для ЕС мотора</t>
        </is>
      </c>
      <c r="AG39" s="24" t="n"/>
      <c r="AH39" s="24" t="n"/>
      <c r="AI39" s="24" t="n"/>
      <c r="AJ39" s="24" t="n"/>
      <c r="AK39" s="24" t="n"/>
      <c r="AL39" s="24" t="n"/>
      <c r="AM39" s="24" t="n"/>
      <c r="AN39" s="24" t="n"/>
      <c r="AO39" s="25" t="n"/>
    </row>
    <row r="40" ht="15.75" customHeight="1" s="552" thickBot="1">
      <c r="B40" s="250">
        <f>IF(Главная!I20="Да",1,0)</f>
        <v/>
      </c>
      <c r="C40" s="480">
        <f>IF(OR(O14="101",O14="103",O14="111",O14="113",O14="115",O14="117",O14="118",O14="119",O14="120",O14="121",
O14="131",O14="133",O14="141",O14="143",O14="145",O14="147",O14="148",O14="149",O14="150",O14="151",
O14="161",O14="163",O14="171",O14="173",O14="175",O14="177",O14="178",O14="179",O14="180",O14="181"),1,0)</f>
        <v/>
      </c>
      <c r="D40" s="378" t="n"/>
      <c r="E40" s="485">
        <f>IF($D$1=1,B40,C40)</f>
        <v/>
      </c>
      <c r="F40" s="91" t="inlineStr">
        <is>
          <t>Реле перепада давления</t>
        </is>
      </c>
      <c r="G40" s="57" t="n"/>
      <c r="H40" s="1" t="inlineStr">
        <is>
          <t>B21</t>
        </is>
      </c>
      <c r="I40" s="41" t="inlineStr">
        <is>
          <t>Результат ИТОГО</t>
        </is>
      </c>
      <c r="J40" s="82">
        <f>INDEX(J49:Y49,INDEX(MATCH(1=1,J49:Y49&lt;&gt;"",),))</f>
        <v/>
      </c>
      <c r="AC40" t="n">
        <v>8</v>
      </c>
      <c r="AD40" s="128" t="inlineStr">
        <is>
          <t>Д11</t>
        </is>
      </c>
      <c r="AE40" s="26" t="n">
        <v>11</v>
      </c>
      <c r="AF40" s="27" t="inlineStr">
        <is>
          <t>Датчик-реле перепада давления + Пульт дистанционного управления + Потенциометр для ЕС мотора</t>
        </is>
      </c>
      <c r="AG40" s="24" t="n"/>
      <c r="AH40" s="24" t="n"/>
      <c r="AI40" s="24" t="n"/>
      <c r="AJ40" s="24" t="n"/>
      <c r="AK40" s="24" t="n"/>
      <c r="AL40" s="24" t="n"/>
      <c r="AM40" s="24" t="n"/>
      <c r="AN40" s="24" t="n"/>
      <c r="AO40" s="25" t="n"/>
    </row>
    <row r="41" ht="15.75" customHeight="1" s="552" thickBot="1">
      <c r="B41" s="3" t="n"/>
      <c r="C41" s="53" t="n"/>
      <c r="D41" s="3" t="n"/>
      <c r="E41" s="528" t="n">
        <v>1</v>
      </c>
      <c r="F41" s="3" t="inlineStr">
        <is>
          <t>Да</t>
        </is>
      </c>
      <c r="H41" s="1" t="inlineStr">
        <is>
          <t>B12</t>
        </is>
      </c>
      <c r="I41" s="5" t="n"/>
      <c r="J41" s="6" t="inlineStr">
        <is>
          <t>Ф130</t>
        </is>
      </c>
      <c r="K41" s="6" t="inlineStr">
        <is>
          <t>Ф131</t>
        </is>
      </c>
      <c r="L41" s="6" t="inlineStr">
        <is>
          <t>Ф132</t>
        </is>
      </c>
      <c r="M41" s="6" t="inlineStr">
        <is>
          <t>Ф133</t>
        </is>
      </c>
      <c r="N41" s="6" t="inlineStr">
        <is>
          <t>Ф140</t>
        </is>
      </c>
      <c r="O41" s="6" t="inlineStr">
        <is>
          <t>Ф141</t>
        </is>
      </c>
      <c r="P41" s="6" t="inlineStr">
        <is>
          <t>Ф142</t>
        </is>
      </c>
      <c r="Q41" s="6" t="inlineStr">
        <is>
          <t>Ф143</t>
        </is>
      </c>
      <c r="R41" s="6" t="inlineStr">
        <is>
          <t>Ф144</t>
        </is>
      </c>
      <c r="S41" s="6" t="inlineStr">
        <is>
          <t>Ф145</t>
        </is>
      </c>
      <c r="T41" s="6" t="inlineStr">
        <is>
          <t>Ф146</t>
        </is>
      </c>
      <c r="U41" s="6" t="inlineStr">
        <is>
          <t>Ф147</t>
        </is>
      </c>
      <c r="V41" s="6" t="inlineStr">
        <is>
          <t>Ф148</t>
        </is>
      </c>
      <c r="W41" s="6" t="inlineStr">
        <is>
          <t>Ф149</t>
        </is>
      </c>
      <c r="X41" s="6" t="inlineStr">
        <is>
          <t>Ф150</t>
        </is>
      </c>
      <c r="Y41" s="6" t="inlineStr">
        <is>
          <t>Ф151</t>
        </is>
      </c>
      <c r="AD41" s="26" t="n"/>
      <c r="AE41" s="26" t="n"/>
      <c r="AF41" s="27" t="n"/>
      <c r="AG41" s="24" t="n"/>
      <c r="AH41" s="24" t="n"/>
      <c r="AI41" s="24" t="n"/>
      <c r="AJ41" s="24" t="n"/>
      <c r="AK41" s="24" t="n"/>
      <c r="AL41" s="24" t="n"/>
      <c r="AM41" s="24" t="n"/>
      <c r="AN41" s="24" t="n"/>
      <c r="AO41" s="25" t="n"/>
    </row>
    <row r="42">
      <c r="B42" s="3" t="n"/>
      <c r="C42" s="53" t="n"/>
      <c r="D42" s="3" t="n"/>
      <c r="E42" s="528" t="n">
        <v>0</v>
      </c>
      <c r="F42" s="3" t="inlineStr">
        <is>
          <t>Нет</t>
        </is>
      </c>
      <c r="H42" s="1" t="n"/>
      <c r="I42" s="369" t="inlineStr">
        <is>
          <t>Клапан воздушный</t>
        </is>
      </c>
      <c r="J42" s="236" t="n"/>
      <c r="K42" s="236" t="n"/>
      <c r="L42" s="236" t="n"/>
      <c r="M42" s="236" t="n"/>
      <c r="N42" s="236" t="inlineStr">
        <is>
          <t>+</t>
        </is>
      </c>
      <c r="O42" s="236" t="inlineStr">
        <is>
          <t>+</t>
        </is>
      </c>
      <c r="P42" s="236" t="inlineStr">
        <is>
          <t>+</t>
        </is>
      </c>
      <c r="Q42" s="236" t="inlineStr">
        <is>
          <t>+</t>
        </is>
      </c>
      <c r="R42" s="236" t="inlineStr">
        <is>
          <t>+</t>
        </is>
      </c>
      <c r="S42" s="236" t="inlineStr">
        <is>
          <t>+</t>
        </is>
      </c>
      <c r="T42" s="236" t="inlineStr">
        <is>
          <t>+</t>
        </is>
      </c>
      <c r="U42" s="388" t="inlineStr">
        <is>
          <t>+</t>
        </is>
      </c>
      <c r="V42" s="289" t="inlineStr">
        <is>
          <t>+</t>
        </is>
      </c>
      <c r="W42" s="289" t="inlineStr">
        <is>
          <t>+</t>
        </is>
      </c>
      <c r="X42" s="289" t="inlineStr">
        <is>
          <t>+</t>
        </is>
      </c>
      <c r="Y42" s="289" t="inlineStr">
        <is>
          <t>+</t>
        </is>
      </c>
      <c r="AF42" s="117" t="n"/>
    </row>
    <row r="43">
      <c r="B43" s="3" t="n"/>
      <c r="C43" s="53" t="n"/>
      <c r="D43" s="3" t="n"/>
      <c r="E43" s="528" t="n"/>
      <c r="F43" s="3" t="n"/>
      <c r="H43" s="1" t="inlineStr">
        <is>
          <t>B17</t>
        </is>
      </c>
      <c r="I43" s="370" t="inlineStr">
        <is>
          <t>ЧРП / регулятор оборотов</t>
        </is>
      </c>
      <c r="J43" s="237" t="inlineStr">
        <is>
          <t>+</t>
        </is>
      </c>
      <c r="K43" s="237" t="inlineStr">
        <is>
          <t>+</t>
        </is>
      </c>
      <c r="L43" s="237" t="inlineStr">
        <is>
          <t>+</t>
        </is>
      </c>
      <c r="M43" s="237" t="inlineStr">
        <is>
          <t>+</t>
        </is>
      </c>
      <c r="N43" s="237" t="inlineStr">
        <is>
          <t>+</t>
        </is>
      </c>
      <c r="O43" s="237" t="inlineStr">
        <is>
          <t>+</t>
        </is>
      </c>
      <c r="P43" s="237" t="inlineStr">
        <is>
          <t>+</t>
        </is>
      </c>
      <c r="Q43" s="237" t="inlineStr">
        <is>
          <t>+</t>
        </is>
      </c>
      <c r="R43" s="237" t="inlineStr">
        <is>
          <t>+</t>
        </is>
      </c>
      <c r="S43" s="237" t="inlineStr">
        <is>
          <t>+</t>
        </is>
      </c>
      <c r="T43" s="237" t="inlineStr">
        <is>
          <t>+</t>
        </is>
      </c>
      <c r="U43" s="389" t="inlineStr">
        <is>
          <t>+</t>
        </is>
      </c>
      <c r="V43" s="395" t="inlineStr">
        <is>
          <t>+</t>
        </is>
      </c>
      <c r="W43" s="395" t="inlineStr">
        <is>
          <t>+</t>
        </is>
      </c>
      <c r="X43" s="395" t="inlineStr">
        <is>
          <t>+</t>
        </is>
      </c>
      <c r="Y43" s="395" t="inlineStr">
        <is>
          <t>+</t>
        </is>
      </c>
      <c r="AC43" t="n">
        <v>6</v>
      </c>
      <c r="AF43" s="117" t="n"/>
    </row>
    <row r="44">
      <c r="B44" s="250">
        <f>IF(Главная!I21="Да",1,0)</f>
        <v/>
      </c>
      <c r="C44" s="480">
        <f>IF(OR(O14="110",O14="111",O14="112",O14="113",O14="114",O14="115",O14="116",O14="117",O14="118",O14="119",O14="120",O14="121",
O14="140",O14="141",O14="142",O14="143",O14="144",O14="145",O14="146",O14="147",O14="148",O14="149",O14="150",O14="151",
O14="170",O14="171",O14="172",O14="173",O14="174",O14="175",O14="176",O14="177",O14="178",O14="179",O14="180",O14="181"),1,0)</f>
        <v/>
      </c>
      <c r="D44" s="378" t="n"/>
      <c r="E44" s="485">
        <f>IF($D$1=1,B44,C44)</f>
        <v/>
      </c>
      <c r="F44" s="91" t="inlineStr">
        <is>
          <t>Клапан воздушный</t>
        </is>
      </c>
      <c r="G44" s="57" t="n"/>
      <c r="H44" s="1" t="inlineStr">
        <is>
          <t>B25</t>
        </is>
      </c>
      <c r="I44" s="371" t="inlineStr">
        <is>
          <t>Сигнал «пожар»</t>
        </is>
      </c>
      <c r="J44" s="372" t="inlineStr">
        <is>
          <t>+</t>
        </is>
      </c>
      <c r="K44" s="372" t="inlineStr">
        <is>
          <t>+</t>
        </is>
      </c>
      <c r="L44" s="372" t="inlineStr">
        <is>
          <t>+</t>
        </is>
      </c>
      <c r="M44" s="372" t="inlineStr">
        <is>
          <t>+</t>
        </is>
      </c>
      <c r="N44" s="372" t="inlineStr">
        <is>
          <t>+</t>
        </is>
      </c>
      <c r="O44" s="372" t="inlineStr">
        <is>
          <t>+</t>
        </is>
      </c>
      <c r="P44" s="372" t="inlineStr">
        <is>
          <t>+</t>
        </is>
      </c>
      <c r="Q44" s="372" t="inlineStr">
        <is>
          <t>+</t>
        </is>
      </c>
      <c r="R44" s="372" t="inlineStr">
        <is>
          <t>+</t>
        </is>
      </c>
      <c r="S44" s="372" t="inlineStr">
        <is>
          <t>+</t>
        </is>
      </c>
      <c r="T44" s="372" t="inlineStr">
        <is>
          <t>+</t>
        </is>
      </c>
      <c r="U44" s="390" t="inlineStr">
        <is>
          <t>+</t>
        </is>
      </c>
      <c r="V44" s="396" t="inlineStr">
        <is>
          <t>+</t>
        </is>
      </c>
      <c r="W44" s="396" t="inlineStr">
        <is>
          <t>+</t>
        </is>
      </c>
      <c r="X44" s="396" t="inlineStr">
        <is>
          <t>+</t>
        </is>
      </c>
      <c r="Y44" s="396" t="inlineStr">
        <is>
          <t>+</t>
        </is>
      </c>
      <c r="AC44" t="n">
        <v>4</v>
      </c>
    </row>
    <row r="45">
      <c r="B45" s="3" t="n"/>
      <c r="C45" s="53" t="n"/>
      <c r="D45" s="3" t="n"/>
      <c r="E45" s="528" t="n">
        <v>1</v>
      </c>
      <c r="F45" s="3" t="inlineStr">
        <is>
          <t>Да</t>
        </is>
      </c>
      <c r="H45" s="1" t="inlineStr">
        <is>
          <t>B29</t>
        </is>
      </c>
      <c r="I45" s="373" t="inlineStr">
        <is>
          <t>Реле перепада давления</t>
        </is>
      </c>
      <c r="J45" s="368" t="n"/>
      <c r="K45" s="368" t="inlineStr">
        <is>
          <t>+</t>
        </is>
      </c>
      <c r="L45" s="368" t="n"/>
      <c r="M45" s="368" t="inlineStr">
        <is>
          <t>+</t>
        </is>
      </c>
      <c r="N45" s="368" t="n"/>
      <c r="O45" s="368" t="inlineStr">
        <is>
          <t>+</t>
        </is>
      </c>
      <c r="P45" s="368" t="n"/>
      <c r="Q45" s="368" t="inlineStr">
        <is>
          <t>+</t>
        </is>
      </c>
      <c r="R45" s="368" t="n"/>
      <c r="S45" s="368" t="inlineStr">
        <is>
          <t>+</t>
        </is>
      </c>
      <c r="T45" s="368" t="n"/>
      <c r="U45" s="391" t="inlineStr">
        <is>
          <t>+</t>
        </is>
      </c>
      <c r="V45" s="397" t="inlineStr">
        <is>
          <t>+</t>
        </is>
      </c>
      <c r="W45" s="397" t="inlineStr">
        <is>
          <t>+</t>
        </is>
      </c>
      <c r="X45" s="397" t="inlineStr">
        <is>
          <t>+</t>
        </is>
      </c>
      <c r="Y45" s="397" t="inlineStr">
        <is>
          <t>+</t>
        </is>
      </c>
    </row>
    <row r="46">
      <c r="B46" s="3" t="n"/>
      <c r="C46" s="53" t="n"/>
      <c r="D46" s="3" t="n"/>
      <c r="E46" s="528" t="n">
        <v>0</v>
      </c>
      <c r="F46" s="3" t="inlineStr">
        <is>
          <t>Нет</t>
        </is>
      </c>
      <c r="I46" s="376" t="inlineStr">
        <is>
          <t xml:space="preserve">Обогрев клапана </t>
        </is>
      </c>
      <c r="J46" s="377" t="n"/>
      <c r="K46" s="377" t="n"/>
      <c r="L46" s="377" t="n"/>
      <c r="M46" s="377" t="n"/>
      <c r="N46" s="377" t="n"/>
      <c r="O46" s="377" t="n"/>
      <c r="P46" s="377" t="inlineStr">
        <is>
          <t>+</t>
        </is>
      </c>
      <c r="Q46" s="377" t="inlineStr">
        <is>
          <t>+</t>
        </is>
      </c>
      <c r="R46" s="377" t="n"/>
      <c r="S46" s="377" t="n"/>
      <c r="T46" s="377" t="inlineStr">
        <is>
          <t>+</t>
        </is>
      </c>
      <c r="U46" s="392" t="inlineStr">
        <is>
          <t>+</t>
        </is>
      </c>
      <c r="V46" s="398" t="n"/>
      <c r="W46" s="398" t="inlineStr">
        <is>
          <t>+</t>
        </is>
      </c>
      <c r="X46" s="398" t="n"/>
      <c r="Y46" s="398" t="inlineStr">
        <is>
          <t>+</t>
        </is>
      </c>
    </row>
    <row r="47">
      <c r="B47" s="3" t="n"/>
      <c r="C47" s="53" t="n"/>
      <c r="D47" s="3" t="n"/>
      <c r="E47" s="528" t="n"/>
      <c r="F47" s="3" t="n"/>
      <c r="I47" s="387" t="inlineStr">
        <is>
          <t>Реле перепада давления фильтра</t>
        </is>
      </c>
      <c r="J47" s="62" t="n"/>
      <c r="K47" s="62" t="n"/>
      <c r="L47" s="62" t="n"/>
      <c r="M47" s="62" t="n"/>
      <c r="N47" s="62" t="n"/>
      <c r="O47" s="62" t="n"/>
      <c r="P47" s="62" t="n"/>
      <c r="Q47" s="62" t="n"/>
      <c r="R47" s="62" t="n"/>
      <c r="S47" s="62" t="n"/>
      <c r="T47" s="62" t="n"/>
      <c r="U47" s="62" t="n"/>
      <c r="V47" s="399" t="inlineStr">
        <is>
          <t>+</t>
        </is>
      </c>
      <c r="W47" s="399" t="inlineStr">
        <is>
          <t>+</t>
        </is>
      </c>
      <c r="X47" s="399" t="inlineStr">
        <is>
          <t>+</t>
        </is>
      </c>
      <c r="Y47" s="399" t="inlineStr">
        <is>
          <t>+</t>
        </is>
      </c>
    </row>
    <row r="48" ht="15.75" customHeight="1" s="552" thickBot="1">
      <c r="B48" s="250">
        <f>IF(Главная!I22="Да",1,0)</f>
        <v/>
      </c>
      <c r="C48" s="480">
        <f>IF(OR(O14="112",O14="113",O14="116",O14="117",O14="119",O14="121",
O14="142",O14="143",O14="146",O14="147",O14="147",O14="149",O14="151",
O14="172",O14="173",O14="176",O14="177",O14="179",O14="181"),1,0)</f>
        <v/>
      </c>
      <c r="D48" s="378" t="n"/>
      <c r="E48" s="485">
        <f>IF($D$1=1,B48,C48)</f>
        <v/>
      </c>
      <c r="F48" s="91" t="inlineStr">
        <is>
          <t>Эл/обогрев клапана</t>
        </is>
      </c>
      <c r="G48" s="57" t="n"/>
      <c r="I48" s="379" t="inlineStr">
        <is>
          <t>Сигнал дистанционного упр.</t>
        </is>
      </c>
      <c r="J48" s="386" t="n"/>
      <c r="K48" s="386" t="n"/>
      <c r="L48" s="386" t="inlineStr">
        <is>
          <t>+</t>
        </is>
      </c>
      <c r="M48" s="386" t="inlineStr">
        <is>
          <t>+</t>
        </is>
      </c>
      <c r="N48" s="386" t="n"/>
      <c r="O48" s="386" t="n"/>
      <c r="P48" s="386" t="n"/>
      <c r="Q48" s="386" t="n"/>
      <c r="R48" s="386" t="inlineStr">
        <is>
          <t>+</t>
        </is>
      </c>
      <c r="S48" s="386" t="inlineStr">
        <is>
          <t>+</t>
        </is>
      </c>
      <c r="T48" s="386" t="inlineStr">
        <is>
          <t>+</t>
        </is>
      </c>
      <c r="U48" s="393" t="inlineStr">
        <is>
          <t>+</t>
        </is>
      </c>
      <c r="V48" s="289" t="n"/>
      <c r="W48" s="289" t="n"/>
      <c r="X48" s="289" t="inlineStr">
        <is>
          <t>+</t>
        </is>
      </c>
      <c r="Y48" s="289" t="inlineStr">
        <is>
          <t>+</t>
        </is>
      </c>
    </row>
    <row r="49" ht="15.75" customHeight="1" s="552" thickBot="1">
      <c r="B49" s="3" t="n"/>
      <c r="C49" s="53" t="n"/>
      <c r="D49" s="3" t="n"/>
      <c r="E49" s="528" t="n">
        <v>1</v>
      </c>
      <c r="F49" s="3" t="inlineStr">
        <is>
          <t>Да</t>
        </is>
      </c>
      <c r="I49" s="84" t="inlineStr">
        <is>
          <t>Результат</t>
        </is>
      </c>
      <c r="J49" s="85">
        <f>IF(AND($E$44=0,$E$35=2,$E$40=0,$E$48=0,$E$52=0,$E$55=0),"Ф130","")</f>
        <v/>
      </c>
      <c r="K49" s="85">
        <f>IF(AND($E$44=0,$E$35=2,$E$40=1,$E$48=0,$E$52=0,$E$55=0),"Ф131","")</f>
        <v/>
      </c>
      <c r="L49" s="85">
        <f>IF(AND($E$44=0,$E$35=2,$E$40=0,$E$48=0,$E$52=0,$E$55=1),"Ф132","")</f>
        <v/>
      </c>
      <c r="M49" s="85">
        <f>IF(AND($E$44=0,$E$35=2,$E$40=1,$E$48=0,$E$52=0,$E$55=1),"Ф133","")</f>
        <v/>
      </c>
      <c r="N49" s="85">
        <f>IF(AND($E$44=1,$E$35=2,$E$40=0,$E$48=0,$E$52=0,$E$55=0),"Ф140","")</f>
        <v/>
      </c>
      <c r="O49" s="85">
        <f>IF(AND($E$44=1,$E$35=2,$E$40=1,$E$48=0,$E$52=0,$E$55=0),"Ф141","")</f>
        <v/>
      </c>
      <c r="P49" s="85">
        <f>IF(AND($E$44=1,$E$35=2,$E$40=0,$E$48=1,$E$52=0,$E$55=0),"Ф142","")</f>
        <v/>
      </c>
      <c r="Q49" s="85">
        <f>IF(AND($E$44=1,$E$35=2,$E$40=1,$E$48=1,$E$52=0,$E$55=0),"Ф143","")</f>
        <v/>
      </c>
      <c r="R49" s="85">
        <f>IF(AND($E$44=1,$E$35=2,$E$40=0,$E$48=0,$E$52=0,$E$55=1),"Ф144","")</f>
        <v/>
      </c>
      <c r="S49" s="85">
        <f>IF(AND($E$44=1,$E$35=2,$E$40=1,$E$48=0,$E$52=0,$E$55=1),"Ф145","")</f>
        <v/>
      </c>
      <c r="T49" s="85">
        <f>IF(AND($E$44=1,$E$35=2,$E$40=0,$E$48=1,$E$52=0,$E$55=1),"Ф146","")</f>
        <v/>
      </c>
      <c r="U49" s="394">
        <f>IF(AND($E$44=1,$E$35=2,$E$40=1,$E$48=1,$E$52=0,$E$55=1),"Ф147","")</f>
        <v/>
      </c>
      <c r="V49" s="396">
        <f>IF(AND($E$44=1,$E$35=2,$E$40=1,$E$48=0,$E$52=1,$E$55=0),"Ф148","")</f>
        <v/>
      </c>
      <c r="W49" s="396">
        <f>IF(AND($E$44=1,$E$35=2,$E$40=1,$E$48=1,$E$52=1,$E$55=0),"Ф149","")</f>
        <v/>
      </c>
      <c r="X49" s="396">
        <f>IF(AND($E$44=1,$E$35=2,$E$40=1,$E$48=0,$E$52=1,$E$55=1),"Ф150","")</f>
        <v/>
      </c>
      <c r="Y49" s="396">
        <f>IF(AND($E$44=1,$E$35=2,$E$40=1,$E$48=1,$E$52=1,$E$55=1),"Ф151","")</f>
        <v/>
      </c>
      <c r="AD49" s="118">
        <f>Главная!I25</f>
        <v/>
      </c>
      <c r="AE49" s="120">
        <f>VLOOKUP(AD49,AD29:AE41,2,FALSE)</f>
        <v/>
      </c>
      <c r="AF49" s="27" t="inlineStr">
        <is>
          <t>Выбор дополнительной комплектации</t>
        </is>
      </c>
      <c r="AG49" s="24" t="n"/>
      <c r="AH49" s="24" t="n"/>
      <c r="AI49" s="24" t="n"/>
      <c r="AJ49" s="24" t="n"/>
      <c r="AK49" s="24" t="n"/>
      <c r="AL49" s="24" t="n"/>
      <c r="AM49" s="24" t="n"/>
      <c r="AN49" s="24" t="n"/>
      <c r="AO49" s="25" t="n"/>
    </row>
    <row r="50">
      <c r="B50" s="3" t="n"/>
      <c r="C50" s="53" t="n"/>
      <c r="D50" s="3" t="n"/>
      <c r="E50" s="528" t="n">
        <v>0</v>
      </c>
      <c r="F50" s="3" t="inlineStr">
        <is>
          <t>Нет</t>
        </is>
      </c>
      <c r="AC50" t="n">
        <v>8</v>
      </c>
      <c r="AF50" s="117" t="n"/>
    </row>
    <row r="51" ht="15.75" customHeight="1" s="552" thickBot="1">
      <c r="B51" s="3" t="n"/>
      <c r="C51" s="53" t="n"/>
      <c r="D51" s="3" t="n"/>
      <c r="E51" s="528" t="n"/>
      <c r="F51" s="3" t="n"/>
      <c r="AE51" s="119" t="n"/>
      <c r="AH51" s="1" t="n"/>
      <c r="AJ51" s="254" t="n"/>
    </row>
    <row r="52" ht="15.75" customHeight="1" s="552" thickBot="1">
      <c r="B52" s="248">
        <f>IF(Главная!I23="Да",1,0)</f>
        <v/>
      </c>
      <c r="C52" s="479">
        <f>IF(OR(O14="118",O14="119",O14="120",O14="121",O14="148",O14="149",
O14="150",O14="151",O14="178",O14="179",O14="180",O14="181"),1,0)</f>
        <v/>
      </c>
      <c r="D52" s="378" t="n"/>
      <c r="E52" s="485">
        <f>IF($D$1=1,B52,C52)</f>
        <v/>
      </c>
      <c r="F52" s="91" t="inlineStr">
        <is>
          <t>Реле перепада давления фильтра</t>
        </is>
      </c>
      <c r="G52" s="57" t="n"/>
      <c r="I52" s="41" t="inlineStr">
        <is>
          <t>Результат ИТОГО</t>
        </is>
      </c>
      <c r="J52" s="82">
        <f>INDEX(J61:Y61,INDEX(MATCH(1=1,J61:Y61&lt;&gt;"",),))</f>
        <v/>
      </c>
      <c r="AE52" s="1" t="n"/>
      <c r="AH52" s="1" t="n"/>
    </row>
    <row r="53">
      <c r="B53" s="3" t="n"/>
      <c r="C53" s="53" t="n"/>
      <c r="D53" s="3" t="n"/>
      <c r="E53" s="528" t="n">
        <v>1</v>
      </c>
      <c r="F53" s="3" t="inlineStr">
        <is>
          <t>Да</t>
        </is>
      </c>
      <c r="I53" s="5" t="n"/>
      <c r="J53" s="6" t="inlineStr">
        <is>
          <t>Ф160</t>
        </is>
      </c>
      <c r="K53" s="6" t="inlineStr">
        <is>
          <t>Ф161</t>
        </is>
      </c>
      <c r="L53" s="6" t="inlineStr">
        <is>
          <t>Ф162</t>
        </is>
      </c>
      <c r="M53" s="6" t="inlineStr">
        <is>
          <t>Ф163</t>
        </is>
      </c>
      <c r="N53" s="6" t="inlineStr">
        <is>
          <t>Ф170</t>
        </is>
      </c>
      <c r="O53" s="6" t="inlineStr">
        <is>
          <t>Ф171</t>
        </is>
      </c>
      <c r="P53" s="6" t="inlineStr">
        <is>
          <t>Ф172</t>
        </is>
      </c>
      <c r="Q53" s="6" t="inlineStr">
        <is>
          <t>Ф173</t>
        </is>
      </c>
      <c r="R53" s="6" t="inlineStr">
        <is>
          <t>Ф174</t>
        </is>
      </c>
      <c r="S53" s="6" t="inlineStr">
        <is>
          <t>Ф175</t>
        </is>
      </c>
      <c r="T53" s="6" t="inlineStr">
        <is>
          <t>Ф176</t>
        </is>
      </c>
      <c r="U53" s="6" t="inlineStr">
        <is>
          <t>Ф177</t>
        </is>
      </c>
      <c r="V53" s="6" t="inlineStr">
        <is>
          <t>Ф178</t>
        </is>
      </c>
      <c r="W53" s="6" t="inlineStr">
        <is>
          <t>Ф179</t>
        </is>
      </c>
      <c r="X53" s="6" t="inlineStr">
        <is>
          <t>Ф180</t>
        </is>
      </c>
      <c r="Y53" s="6" t="inlineStr">
        <is>
          <t>Ф181</t>
        </is>
      </c>
      <c r="AC53" t="n">
        <v>6</v>
      </c>
    </row>
    <row r="54">
      <c r="B54" s="268" t="n"/>
      <c r="C54" s="481" t="n"/>
      <c r="D54" s="3" t="n"/>
      <c r="E54" s="528" t="n">
        <v>0</v>
      </c>
      <c r="F54" s="3" t="inlineStr">
        <is>
          <t>Нет</t>
        </is>
      </c>
      <c r="I54" s="406" t="inlineStr">
        <is>
          <t>Клапан воздушный</t>
        </is>
      </c>
      <c r="J54" s="236" t="n"/>
      <c r="K54" s="236" t="n"/>
      <c r="L54" s="236" t="n"/>
      <c r="M54" s="236" t="n"/>
      <c r="N54" s="236" t="inlineStr">
        <is>
          <t>+</t>
        </is>
      </c>
      <c r="O54" s="236" t="inlineStr">
        <is>
          <t>+</t>
        </is>
      </c>
      <c r="P54" s="236" t="inlineStr">
        <is>
          <t>+</t>
        </is>
      </c>
      <c r="Q54" s="236" t="inlineStr">
        <is>
          <t>+</t>
        </is>
      </c>
      <c r="R54" s="236" t="inlineStr">
        <is>
          <t>+</t>
        </is>
      </c>
      <c r="S54" s="236" t="inlineStr">
        <is>
          <t>+</t>
        </is>
      </c>
      <c r="T54" s="236" t="inlineStr">
        <is>
          <t>+</t>
        </is>
      </c>
      <c r="U54" s="236" t="inlineStr">
        <is>
          <t>+</t>
        </is>
      </c>
      <c r="V54" s="236" t="inlineStr">
        <is>
          <t>+</t>
        </is>
      </c>
      <c r="W54" s="236" t="inlineStr">
        <is>
          <t>+</t>
        </is>
      </c>
      <c r="X54" s="236" t="inlineStr">
        <is>
          <t>+</t>
        </is>
      </c>
      <c r="Y54" s="236" t="inlineStr">
        <is>
          <t>+</t>
        </is>
      </c>
      <c r="AC54" t="n">
        <v>4</v>
      </c>
    </row>
    <row r="55">
      <c r="B55" s="248">
        <f>IF(Главная!I24="Да",1,0)</f>
        <v/>
      </c>
      <c r="C55" s="479">
        <f>IF(OR(O14="102",O14="103",O14="114",O14="115",O14="116",O14="117",O14="120",O14="121",
O14="132",O14="133",O14="144",O14="145",O14="146",O14="147",O14="150",O14="151",
O14="162",O14="163",O14="174",O14="175",O14="176",O14="177",O14="180",O14="181"),1,0)</f>
        <v/>
      </c>
      <c r="D55" s="378" t="n"/>
      <c r="E55" s="485">
        <f>IF($D$1=1,B55,C55)</f>
        <v/>
      </c>
      <c r="F55" s="91" t="inlineStr">
        <is>
          <t>Сигналы дистанционного упр.</t>
        </is>
      </c>
      <c r="G55" s="57" t="n"/>
      <c r="I55" s="407" t="inlineStr">
        <is>
          <t>ЕС мотор (регул. потенциометр)</t>
        </is>
      </c>
      <c r="J55" s="405" t="inlineStr">
        <is>
          <t>+</t>
        </is>
      </c>
      <c r="K55" s="405" t="inlineStr">
        <is>
          <t>+</t>
        </is>
      </c>
      <c r="L55" s="405" t="inlineStr">
        <is>
          <t>+</t>
        </is>
      </c>
      <c r="M55" s="405" t="inlineStr">
        <is>
          <t>+</t>
        </is>
      </c>
      <c r="N55" s="405" t="inlineStr">
        <is>
          <t>+</t>
        </is>
      </c>
      <c r="O55" s="405" t="inlineStr">
        <is>
          <t>+</t>
        </is>
      </c>
      <c r="P55" s="405" t="inlineStr">
        <is>
          <t>+</t>
        </is>
      </c>
      <c r="Q55" s="405" t="inlineStr">
        <is>
          <t>+</t>
        </is>
      </c>
      <c r="R55" s="405" t="inlineStr">
        <is>
          <t>+</t>
        </is>
      </c>
      <c r="S55" s="405" t="inlineStr">
        <is>
          <t>+</t>
        </is>
      </c>
      <c r="T55" s="405" t="inlineStr">
        <is>
          <t>+</t>
        </is>
      </c>
      <c r="U55" s="405" t="inlineStr">
        <is>
          <t>+</t>
        </is>
      </c>
      <c r="V55" s="412" t="inlineStr">
        <is>
          <t>+</t>
        </is>
      </c>
      <c r="W55" s="412" t="inlineStr">
        <is>
          <t>+</t>
        </is>
      </c>
      <c r="X55" s="412" t="inlineStr">
        <is>
          <t>+</t>
        </is>
      </c>
      <c r="Y55" s="412" t="inlineStr">
        <is>
          <t>+</t>
        </is>
      </c>
    </row>
    <row r="56">
      <c r="B56" s="3" t="n"/>
      <c r="C56" s="53" t="n"/>
      <c r="D56" s="3" t="n"/>
      <c r="E56" s="528" t="n">
        <v>1</v>
      </c>
      <c r="F56" s="3" t="inlineStr">
        <is>
          <t>Да</t>
        </is>
      </c>
      <c r="I56" s="408" t="inlineStr">
        <is>
          <t>Сигнал «пожар»</t>
        </is>
      </c>
      <c r="J56" s="372" t="inlineStr">
        <is>
          <t>+</t>
        </is>
      </c>
      <c r="K56" s="372" t="inlineStr">
        <is>
          <t>+</t>
        </is>
      </c>
      <c r="L56" s="372" t="inlineStr">
        <is>
          <t>+</t>
        </is>
      </c>
      <c r="M56" s="372" t="inlineStr">
        <is>
          <t>+</t>
        </is>
      </c>
      <c r="N56" s="372" t="inlineStr">
        <is>
          <t>+</t>
        </is>
      </c>
      <c r="O56" s="372" t="inlineStr">
        <is>
          <t>+</t>
        </is>
      </c>
      <c r="P56" s="372" t="inlineStr">
        <is>
          <t>+</t>
        </is>
      </c>
      <c r="Q56" s="372" t="inlineStr">
        <is>
          <t>+</t>
        </is>
      </c>
      <c r="R56" s="372" t="inlineStr">
        <is>
          <t>+</t>
        </is>
      </c>
      <c r="S56" s="372" t="inlineStr">
        <is>
          <t>+</t>
        </is>
      </c>
      <c r="T56" s="372" t="inlineStr">
        <is>
          <t>+</t>
        </is>
      </c>
      <c r="U56" s="372" t="inlineStr">
        <is>
          <t>+</t>
        </is>
      </c>
      <c r="V56" s="12" t="inlineStr">
        <is>
          <t>+</t>
        </is>
      </c>
      <c r="W56" s="12" t="inlineStr">
        <is>
          <t>+</t>
        </is>
      </c>
      <c r="X56" s="12" t="inlineStr">
        <is>
          <t>+</t>
        </is>
      </c>
      <c r="Y56" s="12" t="inlineStr">
        <is>
          <t>+</t>
        </is>
      </c>
    </row>
    <row r="57">
      <c r="B57" s="3" t="n"/>
      <c r="C57" s="53" t="n"/>
      <c r="D57" s="3" t="n"/>
      <c r="E57" s="528" t="n">
        <v>0</v>
      </c>
      <c r="F57" s="3" t="inlineStr">
        <is>
          <t>Нет</t>
        </is>
      </c>
      <c r="I57" s="409" t="inlineStr">
        <is>
          <t>Реле перепада давления</t>
        </is>
      </c>
      <c r="J57" s="368" t="n"/>
      <c r="K57" s="368" t="inlineStr">
        <is>
          <t>+</t>
        </is>
      </c>
      <c r="L57" s="368" t="n"/>
      <c r="M57" s="368" t="inlineStr">
        <is>
          <t>+</t>
        </is>
      </c>
      <c r="N57" s="368" t="n"/>
      <c r="O57" s="368" t="inlineStr">
        <is>
          <t>+</t>
        </is>
      </c>
      <c r="P57" s="368" t="n"/>
      <c r="Q57" s="368" t="inlineStr">
        <is>
          <t>+</t>
        </is>
      </c>
      <c r="R57" s="368" t="n"/>
      <c r="S57" s="368" t="inlineStr">
        <is>
          <t>+</t>
        </is>
      </c>
      <c r="T57" s="368" t="n"/>
      <c r="U57" s="368" t="inlineStr">
        <is>
          <t>+</t>
        </is>
      </c>
      <c r="V57" s="380" t="inlineStr">
        <is>
          <t>+</t>
        </is>
      </c>
      <c r="W57" s="380" t="inlineStr">
        <is>
          <t>+</t>
        </is>
      </c>
      <c r="X57" s="380" t="inlineStr">
        <is>
          <t>+</t>
        </is>
      </c>
      <c r="Y57" s="380" t="inlineStr">
        <is>
          <t>+</t>
        </is>
      </c>
    </row>
    <row r="58">
      <c r="B58" s="3" t="n"/>
      <c r="C58" s="53" t="n"/>
      <c r="D58" s="3" t="n"/>
      <c r="E58" s="528" t="n"/>
      <c r="F58" s="3" t="n"/>
      <c r="I58" s="410" t="inlineStr">
        <is>
          <t xml:space="preserve">Обогрев клапана </t>
        </is>
      </c>
      <c r="J58" s="375" t="n"/>
      <c r="K58" s="375" t="n"/>
      <c r="L58" s="375" t="n"/>
      <c r="M58" s="375" t="n"/>
      <c r="N58" s="375" t="n"/>
      <c r="O58" s="375" t="n"/>
      <c r="P58" s="375" t="inlineStr">
        <is>
          <t>+</t>
        </is>
      </c>
      <c r="Q58" s="375" t="inlineStr">
        <is>
          <t>+</t>
        </is>
      </c>
      <c r="R58" s="375" t="n"/>
      <c r="S58" s="375" t="n"/>
      <c r="T58" s="375" t="inlineStr">
        <is>
          <t>+</t>
        </is>
      </c>
      <c r="U58" s="375" t="inlineStr">
        <is>
          <t>+</t>
        </is>
      </c>
      <c r="V58" s="413" t="n"/>
      <c r="W58" s="413" t="inlineStr">
        <is>
          <t>+</t>
        </is>
      </c>
      <c r="X58" s="413" t="n"/>
      <c r="Y58" s="413" t="inlineStr">
        <is>
          <t>+</t>
        </is>
      </c>
    </row>
    <row r="59" ht="21" customHeight="1" s="552">
      <c r="B59" s="3" t="n"/>
      <c r="C59" s="53" t="n"/>
      <c r="D59" s="3" t="n"/>
      <c r="E59" s="485">
        <f>Главная!I25</f>
        <v/>
      </c>
      <c r="F59" s="62" t="inlineStr">
        <is>
          <t>Дополнительная компл.</t>
        </is>
      </c>
      <c r="I59" s="91" t="inlineStr">
        <is>
          <t>Реле перепада давления фильтра</t>
        </is>
      </c>
      <c r="J59" s="62" t="n"/>
      <c r="K59" s="62" t="n"/>
      <c r="L59" s="62" t="n"/>
      <c r="M59" s="62" t="n"/>
      <c r="N59" s="62" t="n"/>
      <c r="O59" s="62" t="n"/>
      <c r="P59" s="62" t="n"/>
      <c r="Q59" s="62" t="n"/>
      <c r="R59" s="62" t="n"/>
      <c r="S59" s="62" t="n"/>
      <c r="T59" s="62" t="n"/>
      <c r="U59" s="62" t="n"/>
      <c r="V59" s="40" t="inlineStr">
        <is>
          <t>+</t>
        </is>
      </c>
      <c r="W59" s="40" t="inlineStr">
        <is>
          <t>+</t>
        </is>
      </c>
      <c r="X59" s="40" t="inlineStr">
        <is>
          <t>+</t>
        </is>
      </c>
      <c r="Y59" s="40" t="inlineStr">
        <is>
          <t>+</t>
        </is>
      </c>
      <c r="AC59" s="1" t="n"/>
      <c r="AD59" s="430" t="n"/>
    </row>
    <row r="60" ht="76.5" customHeight="1" s="552">
      <c r="B60" s="3" t="n"/>
      <c r="C60" s="53" t="n"/>
      <c r="D60" s="3" t="n"/>
      <c r="E60" s="528" t="n"/>
      <c r="F60" s="246" t="n"/>
      <c r="G60" s="34" t="n"/>
      <c r="I60" s="406" t="inlineStr">
        <is>
          <t>Сигнал дистанционного упр.</t>
        </is>
      </c>
      <c r="J60" s="236" t="n"/>
      <c r="K60" s="236" t="n"/>
      <c r="L60" s="236" t="inlineStr">
        <is>
          <t>+</t>
        </is>
      </c>
      <c r="M60" s="236" t="inlineStr">
        <is>
          <t>+</t>
        </is>
      </c>
      <c r="N60" s="236" t="n"/>
      <c r="O60" s="236" t="n"/>
      <c r="P60" s="236" t="n"/>
      <c r="Q60" s="236" t="n"/>
      <c r="R60" s="236" t="inlineStr">
        <is>
          <t>+</t>
        </is>
      </c>
      <c r="S60" s="236" t="inlineStr">
        <is>
          <t>+</t>
        </is>
      </c>
      <c r="T60" s="236" t="inlineStr">
        <is>
          <t>+</t>
        </is>
      </c>
      <c r="U60" s="236" t="inlineStr">
        <is>
          <t>+</t>
        </is>
      </c>
      <c r="V60" s="60" t="n"/>
      <c r="W60" s="60" t="n"/>
      <c r="X60" s="60" t="inlineStr">
        <is>
          <t>+</t>
        </is>
      </c>
      <c r="Y60" s="60" t="inlineStr">
        <is>
          <t>+</t>
        </is>
      </c>
      <c r="AE60" s="429" t="n"/>
      <c r="AF60" s="429" t="n"/>
      <c r="AG60" s="429" t="n"/>
      <c r="AH60" s="429" t="n"/>
      <c r="AI60" s="431" t="n"/>
      <c r="AJ60" s="431" t="n"/>
      <c r="AK60" s="429" t="n"/>
      <c r="AL60" s="429" t="n"/>
      <c r="AM60" s="431" t="n"/>
      <c r="AN60" s="429" t="n"/>
      <c r="AP60" s="429" t="n"/>
    </row>
    <row r="61">
      <c r="B61" s="250">
        <f>IF(Главная!I26="Пластик","П","М")</f>
        <v/>
      </c>
      <c r="C61" s="480">
        <f>Z14</f>
        <v/>
      </c>
      <c r="D61" s="378" t="n"/>
      <c r="E61" s="485">
        <f>IF($D$1=1,B61,C61)</f>
        <v/>
      </c>
      <c r="F61" s="91" t="inlineStr">
        <is>
          <t>Материал корпуса шкафа</t>
        </is>
      </c>
      <c r="G61" s="57" t="n"/>
      <c r="I61" s="411" t="inlineStr">
        <is>
          <t>Результат</t>
        </is>
      </c>
      <c r="J61" s="230">
        <f>IF(AND($E$44=0,$E$35=3,$E$40=0,$E$48=0,$E$52=0,$E$55=0),"Ф160","")</f>
        <v/>
      </c>
      <c r="K61" s="230">
        <f>IF(AND($E$44=0,$E$35=3,$E$40=1,$E$48=0,$E$52=0,$E$55=0),"Ф161","")</f>
        <v/>
      </c>
      <c r="L61" s="230">
        <f>IF(AND($E$44=0,$E$35=3,$E$40=0,$E$48=0,$E$52=0,$E$55=1),"Ф162","")</f>
        <v/>
      </c>
      <c r="M61" s="230">
        <f>IF(AND($E$44=0,$E$35=3,$E$40=1,$E$48=0,$E$52=0,$E$55=1),"Ф163","")</f>
        <v/>
      </c>
      <c r="N61" s="230">
        <f>IF(AND($E$44=1,$E$35=3,$E$40=0,$E$48=0,$E$52=0,$E$55=0),"Ф170","")</f>
        <v/>
      </c>
      <c r="O61" s="230">
        <f>IF(AND($E$44=1,$E$35=3,$E$40=1,$E$48=0,$E$52=0,$E$55=0),"Ф171","")</f>
        <v/>
      </c>
      <c r="P61" s="230">
        <f>IF(AND($E$44=1,$E$35=3,$E$40=0,$E$48=1,$E$52=0,$E$55=0),"Ф172","")</f>
        <v/>
      </c>
      <c r="Q61" s="230">
        <f>IF(AND($E$44=1,$E$35=3,$E$40=1,$E$48=1,$E$52=0,$E$55=0),"Ф173","")</f>
        <v/>
      </c>
      <c r="R61" s="230">
        <f>IF(AND($E$44=1,$E$35=3,$E$40=0,$E$48=0,$E$52=0,$E$55=1),"Ф174","")</f>
        <v/>
      </c>
      <c r="S61" s="230">
        <f>IF(AND($E$44=1,$E$35=3,$E$40=1,$E$48=0,$E$52=0,$E$55=1),"Ф175","")</f>
        <v/>
      </c>
      <c r="T61" s="230">
        <f>IF(AND($E$44=1,$E$35=3,$E$40=0,$E$48=1,$E$52=0,$E$55=1),"Ф176","")</f>
        <v/>
      </c>
      <c r="U61" s="230">
        <f>IF(AND($E$44=1,$E$35=3,$E$40=1,$E$48=1,$E$52=0,$E$55=1),"Ф177","")</f>
        <v/>
      </c>
      <c r="V61" s="230">
        <f>IF(AND($E$44=1,$E$35=3,$E$40=1,$E$48=0,$E$52=1,$E$55=0),"Ф178","")</f>
        <v/>
      </c>
      <c r="W61" s="230">
        <f>IF(AND($E$44=1,$E$35=3,$E$40=1,$E$48=1,$E$52=1,$E$55=0),"Ф179","")</f>
        <v/>
      </c>
      <c r="X61" s="230">
        <f>IF(AND($E$44=1,$E$35=3,$E$40=1,$E$48=0,$E$52=1,$E$55=1),"Ф180","")</f>
        <v/>
      </c>
      <c r="Y61" s="230">
        <f>IF(AND($E$44=1,$E$35=3,$E$40=1,$E$48=1,$E$52=1,$E$55=1),"Ф181","")</f>
        <v/>
      </c>
      <c r="AD61" s="34" t="n"/>
      <c r="AE61" s="1" t="n"/>
      <c r="AF61" s="139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262" t="n"/>
      <c r="AP61" s="262" t="n"/>
    </row>
    <row r="62">
      <c r="B62" s="3" t="n"/>
      <c r="C62" s="53" t="n"/>
      <c r="D62" s="3" t="n"/>
      <c r="E62" s="488">
        <f>IF(E61="П",1,0)</f>
        <v/>
      </c>
      <c r="F62" s="246" t="inlineStr">
        <is>
          <t>Пластик</t>
        </is>
      </c>
      <c r="G62" s="34" t="n"/>
      <c r="AC62" s="1" t="n"/>
      <c r="AD62" s="34" t="n"/>
      <c r="AE62" s="1" t="n"/>
      <c r="AF62" s="139" t="n"/>
      <c r="AG62" s="1" t="n"/>
      <c r="AH62" s="1" t="n"/>
      <c r="AI62" s="1" t="n"/>
      <c r="AJ62" s="1" t="n"/>
      <c r="AK62" s="1" t="n"/>
      <c r="AL62" s="1" t="n"/>
      <c r="AM62" s="1" t="n"/>
      <c r="AN62" s="1" t="n"/>
      <c r="AP62" s="432" t="n"/>
    </row>
    <row r="63" ht="20.25" customHeight="1" s="552">
      <c r="B63" s="3" t="n"/>
      <c r="C63" s="53" t="n"/>
      <c r="D63" s="3" t="n"/>
      <c r="E63" s="488">
        <f>IF(E61="М",1,0)</f>
        <v/>
      </c>
      <c r="F63" s="246" t="inlineStr">
        <is>
          <t>Металл</t>
        </is>
      </c>
      <c r="G63" s="34" t="n"/>
      <c r="AC63" s="1" t="n"/>
      <c r="AD63" s="438" t="inlineStr">
        <is>
          <t>ВЫБРАНО</t>
        </is>
      </c>
      <c r="AE63" s="438" t="inlineStr">
        <is>
          <t>ВЫБРАНО</t>
        </is>
      </c>
      <c r="AF63" s="433" t="n"/>
      <c r="AG63" s="1" t="n"/>
      <c r="AH63" s="1" t="n"/>
      <c r="AI63" s="1" t="n"/>
      <c r="AJ63" s="1" t="n"/>
      <c r="AK63" s="1" t="n"/>
      <c r="AL63" s="1" t="n"/>
      <c r="AM63" s="275" t="inlineStr">
        <is>
          <t>Стоим. ИТОГО</t>
        </is>
      </c>
      <c r="AN63" s="78">
        <f>IF(AE64="Д0",0,AN64)</f>
        <v/>
      </c>
      <c r="AP63" s="262" t="n"/>
    </row>
    <row r="64" ht="15.75" customHeight="1" s="552" thickBot="1">
      <c r="D64" s="3" t="n"/>
      <c r="I64" s="4" t="inlineStr">
        <is>
          <t>Пуск прямой 3-фазный</t>
        </is>
      </c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AC64" s="1" t="n"/>
      <c r="AD64" s="440">
        <f>E65</f>
        <v/>
      </c>
      <c r="AE64" s="440">
        <f>E76</f>
        <v/>
      </c>
      <c r="AF64" s="433" t="n"/>
      <c r="AG64" s="1" t="n"/>
      <c r="AH64" s="1" t="n"/>
      <c r="AI64" s="1" t="n"/>
      <c r="AJ64" s="139" t="n"/>
      <c r="AK64" s="1" t="n"/>
      <c r="AL64" s="1" t="n"/>
      <c r="AM64" s="439" t="inlineStr">
        <is>
          <t>Стоимость по табл.</t>
        </is>
      </c>
      <c r="AN64" s="78">
        <f t="array" ref="AN64">INDEX(AN66:AN145,MATCH(AD64&amp;AE64,AD66:AD145&amp;AE66:AE145,0))</f>
        <v/>
      </c>
      <c r="AP64" s="432" t="n"/>
    </row>
    <row r="65" ht="15.75" customHeight="1" s="552" thickBot="1">
      <c r="B65" s="250">
        <f>J25</f>
        <v/>
      </c>
      <c r="C65" s="480">
        <f>P14</f>
        <v/>
      </c>
      <c r="D65" s="381">
        <f>P14</f>
        <v/>
      </c>
      <c r="E65" s="458">
        <f>IF($D$1=1,B65,C65)</f>
        <v/>
      </c>
      <c r="F65" s="274" t="inlineStr">
        <is>
          <t>№ функц. Схемы</t>
        </is>
      </c>
      <c r="G65" s="34" t="n"/>
      <c r="I65" s="41" t="inlineStr">
        <is>
          <t>Результат ИТОГО для расчета</t>
        </is>
      </c>
      <c r="J65" s="288">
        <f>IF($D$1=1,J67,J66)</f>
        <v/>
      </c>
      <c r="K65" s="288">
        <f>IF($D$1=1,K67,K66)</f>
        <v/>
      </c>
      <c r="L65" s="288">
        <f>IF($D$1=1,L67,L66)</f>
        <v/>
      </c>
      <c r="M65" s="288">
        <f>IF($D$1=1,M67,M66)</f>
        <v/>
      </c>
      <c r="N65" s="288">
        <f>IF($D$1=1,N67,N66)</f>
        <v/>
      </c>
      <c r="O65" s="288">
        <f>IF($D$1=1,O67,O66)</f>
        <v/>
      </c>
      <c r="P65" s="288">
        <f>IF($D$1=1,P67,P66)</f>
        <v/>
      </c>
      <c r="Q65" s="288">
        <f>IF($D$1=1,Q67,Q66)</f>
        <v/>
      </c>
      <c r="R65" s="288">
        <f>IF($D$1=1,R67,R66)</f>
        <v/>
      </c>
      <c r="S65" s="288">
        <f>IF($D$1=1,S67,S66)</f>
        <v/>
      </c>
      <c r="T65" s="288">
        <f>IF($D$1=1,T67,T66)</f>
        <v/>
      </c>
      <c r="V65" t="inlineStr">
        <is>
          <t>Для вывода на ГЛАВНУЮ ТОК ПЭО</t>
        </is>
      </c>
      <c r="AC65" s="1" t="n"/>
      <c r="AD65" s="436" t="inlineStr">
        <is>
          <t>№ Ф</t>
        </is>
      </c>
      <c r="AE65" s="436" t="inlineStr">
        <is>
          <t>№ Д</t>
        </is>
      </c>
      <c r="AF65" s="437" t="inlineStr">
        <is>
          <t>PDS Ф</t>
        </is>
      </c>
      <c r="AG65" s="288" t="n"/>
      <c r="AH65" s="437" t="inlineStr">
        <is>
          <t>PDS В</t>
        </is>
      </c>
      <c r="AI65" s="288" t="n"/>
      <c r="AJ65" s="288" t="inlineStr">
        <is>
          <t>ПДУ</t>
        </is>
      </c>
      <c r="AK65" s="288" t="n"/>
      <c r="AL65" s="288" t="inlineStr">
        <is>
          <t>Потец. ЕС</t>
        </is>
      </c>
      <c r="AM65" s="288" t="n"/>
      <c r="AN65" s="357" t="inlineStr">
        <is>
          <t>ИТОГО</t>
        </is>
      </c>
      <c r="AP65" s="432" t="n"/>
    </row>
    <row r="66" ht="30.75" customHeight="1" s="552" thickBot="1">
      <c r="B66" s="1" t="n"/>
      <c r="C66" s="1" t="n"/>
      <c r="E66" s="1" t="n"/>
      <c r="F66" s="34" t="n"/>
      <c r="G66" s="34" t="n"/>
      <c r="I66" s="41" t="inlineStr">
        <is>
          <t>Результат ИТОГО ПЭО</t>
        </is>
      </c>
      <c r="J66" s="289">
        <f>E67</f>
        <v/>
      </c>
      <c r="K66" s="289">
        <f>VLOOKUP(J66,J69:N85,2,FALSE)</f>
        <v/>
      </c>
      <c r="L66" s="289">
        <f>VLOOKUP(J66,J69:N85,3,FALSE)</f>
        <v/>
      </c>
      <c r="M66" s="289">
        <f>VLOOKUP(J66,J69:N85,4)</f>
        <v/>
      </c>
      <c r="N66" s="289">
        <f>VLOOKUP(J66,J69:N85,5)</f>
        <v/>
      </c>
      <c r="O66" s="289">
        <f>VLOOKUP(J66,J69:O85,6)</f>
        <v/>
      </c>
      <c r="P66" s="289">
        <f>VLOOKUP(J66,J69:P85,7)</f>
        <v/>
      </c>
      <c r="Q66" s="289">
        <f>VLOOKUP(J66,J69:Q85,8)</f>
        <v/>
      </c>
      <c r="R66" s="289">
        <f>VLOOKUP(J66,J69:R85,9)</f>
        <v/>
      </c>
      <c r="S66" s="289">
        <f>VLOOKUP(J66,J69:S85,10)</f>
        <v/>
      </c>
      <c r="T66" s="289">
        <f>VLOOKUP(J66,J69:T85,11)</f>
        <v/>
      </c>
      <c r="V66" s="264" t="inlineStr">
        <is>
          <t>Пуск прямой 3ф</t>
        </is>
      </c>
      <c r="W66" s="264">
        <f>J66</f>
        <v/>
      </c>
      <c r="X66" s="60">
        <f>IFERROR(K66,0)</f>
        <v/>
      </c>
      <c r="Y66" s="60">
        <f>IFERROR(L66,0)</f>
        <v/>
      </c>
      <c r="AC66" s="1" t="n"/>
      <c r="AD66" s="79" t="inlineStr">
        <is>
          <t>Ф101</t>
        </is>
      </c>
      <c r="AE66" s="79" t="inlineStr">
        <is>
          <t>Д1</t>
        </is>
      </c>
      <c r="AF66" s="434" t="n">
        <v>0</v>
      </c>
      <c r="AG66" s="79" t="n"/>
      <c r="AH66" s="434" t="n">
        <v>1</v>
      </c>
      <c r="AI66" s="239">
        <f>Материалы!H109</f>
        <v/>
      </c>
      <c r="AJ66" s="434" t="n">
        <v>0</v>
      </c>
      <c r="AK66" s="79" t="n"/>
      <c r="AL66" s="434" t="n">
        <v>0</v>
      </c>
      <c r="AM66" s="3" t="n"/>
      <c r="AN66" s="434">
        <f>AF66*AG66+AH66*AI66+AJ66*AK66+AL66*AM66</f>
        <v/>
      </c>
      <c r="AO66" s="320" t="n"/>
      <c r="AP66" s="320" t="n"/>
      <c r="AQ66" s="320" t="n"/>
    </row>
    <row r="67" ht="29.25" customHeight="1" s="552" thickBot="1">
      <c r="E67" s="76">
        <f>R14</f>
        <v/>
      </c>
      <c r="F67" s="280" t="inlineStr">
        <is>
          <t>Индекс ПЭО</t>
        </is>
      </c>
      <c r="G67" s="34" t="n"/>
      <c r="I67" s="41" t="inlineStr">
        <is>
          <t>Результат ИТОГО Конструктор</t>
        </is>
      </c>
      <c r="J67" s="285">
        <f>IF(AND(D1=2,T14="А3Р"),E100,INDEX(I69:I85,INDEX(MATCH(1=1,I69:I85&lt;&gt;"",),)))</f>
        <v/>
      </c>
      <c r="K67" s="285" t="n"/>
      <c r="L67" s="285" t="n"/>
      <c r="M67" s="286">
        <f>VLOOKUP(J67,J69:N85,4)</f>
        <v/>
      </c>
      <c r="N67" s="285">
        <f>VLOOKUP(J67,J69:N85,5)</f>
        <v/>
      </c>
      <c r="O67" s="285">
        <f>VLOOKUP(J67,J69:O85,6)</f>
        <v/>
      </c>
      <c r="P67" s="285">
        <f>VLOOKUP(J67,J69:P85,7)</f>
        <v/>
      </c>
      <c r="Q67" s="285">
        <f>VLOOKUP(J67,J69:Q85,8)</f>
        <v/>
      </c>
      <c r="R67" s="286">
        <f>VLOOKUP(J67,J69:R85,9)</f>
        <v/>
      </c>
      <c r="S67" s="285">
        <f>VLOOKUP(J67,J69:S85,10)</f>
        <v/>
      </c>
      <c r="T67" s="287">
        <f>VLOOKUP(J67,J69:T85,11)</f>
        <v/>
      </c>
      <c r="V67" s="274" t="inlineStr">
        <is>
          <t>ПускЧРП 3ф</t>
        </is>
      </c>
      <c r="W67" s="274">
        <f>J90</f>
        <v/>
      </c>
      <c r="X67" s="40">
        <f>IFERROR(K90,0)</f>
        <v/>
      </c>
      <c r="Y67" s="40">
        <f>IFERROR(L90,0)</f>
        <v/>
      </c>
      <c r="AC67" s="1" t="n"/>
      <c r="AD67" s="79" t="inlineStr">
        <is>
          <t>Ф102</t>
        </is>
      </c>
      <c r="AE67" s="79" t="inlineStr">
        <is>
          <t>Д1</t>
        </is>
      </c>
      <c r="AF67" s="434" t="n">
        <v>0</v>
      </c>
      <c r="AG67" s="79" t="n"/>
      <c r="AH67" s="434" t="n">
        <v>0</v>
      </c>
      <c r="AI67" s="79" t="n"/>
      <c r="AJ67" s="434" t="n">
        <v>1</v>
      </c>
      <c r="AK67" s="239">
        <f>Материалы!H110</f>
        <v/>
      </c>
      <c r="AL67" s="434" t="n">
        <v>0</v>
      </c>
      <c r="AM67" s="434" t="n"/>
      <c r="AN67" s="434">
        <f>AF67*AG67+AH67*AI67+AJ67*AK67+AL67*AM67</f>
        <v/>
      </c>
    </row>
    <row r="68">
      <c r="F68" s="34" t="n"/>
      <c r="G68" s="34" t="n"/>
      <c r="I68" s="17" t="n"/>
      <c r="J68" s="43" t="inlineStr">
        <is>
          <t xml:space="preserve">Индекс двигателя </t>
        </is>
      </c>
      <c r="K68" s="29" t="inlineStr">
        <is>
          <t>Ток дв, от</t>
        </is>
      </c>
      <c r="L68" s="29" t="inlineStr">
        <is>
          <t>Ток дв, до</t>
        </is>
      </c>
      <c r="M68" s="43" t="inlineStr">
        <is>
          <t>Автомат</t>
        </is>
      </c>
      <c r="N68" s="43" t="inlineStr">
        <is>
          <t>Автомат</t>
        </is>
      </c>
      <c r="O68" s="29" t="inlineStr">
        <is>
          <t>Контактор</t>
        </is>
      </c>
      <c r="P68" s="29" t="inlineStr">
        <is>
          <t>Контактор</t>
        </is>
      </c>
      <c r="Q68" s="46" t="inlineStr">
        <is>
          <t>Клемма</t>
        </is>
      </c>
      <c r="R68" s="96" t="inlineStr">
        <is>
          <t>Провод</t>
        </is>
      </c>
      <c r="S68" s="29" t="inlineStr">
        <is>
          <t>металл</t>
        </is>
      </c>
      <c r="T68" s="29" t="inlineStr">
        <is>
          <t>пластик</t>
        </is>
      </c>
      <c r="U68" s="1" t="n"/>
      <c r="V68" s="197" t="inlineStr">
        <is>
          <t>1ф двигатели</t>
        </is>
      </c>
      <c r="W68" s="319">
        <f>J105</f>
        <v/>
      </c>
      <c r="X68" s="197">
        <f>IFERROR(K105,0)</f>
        <v/>
      </c>
      <c r="Y68" s="197">
        <f>IFERROR(L105,0)</f>
        <v/>
      </c>
      <c r="AC68" s="1" t="n"/>
      <c r="AD68" s="79" t="inlineStr">
        <is>
          <t>Ф103</t>
        </is>
      </c>
      <c r="AE68" s="79" t="inlineStr">
        <is>
          <t>Д1</t>
        </is>
      </c>
      <c r="AF68" s="434" t="n">
        <v>0</v>
      </c>
      <c r="AG68" s="79" t="n"/>
      <c r="AH68" s="434" t="n">
        <v>1</v>
      </c>
      <c r="AI68" s="239">
        <f>Материалы!H109</f>
        <v/>
      </c>
      <c r="AJ68" s="434" t="n">
        <v>0</v>
      </c>
      <c r="AK68" s="79" t="n"/>
      <c r="AL68" s="434" t="n">
        <v>0</v>
      </c>
      <c r="AM68" s="434" t="n"/>
      <c r="AN68" s="434">
        <f>AF68*AG68+AH68*AI68+AJ68*AK68+AL68*AM68</f>
        <v/>
      </c>
    </row>
    <row r="69">
      <c r="F69" s="115" t="inlineStr">
        <is>
          <t xml:space="preserve">Размер шкафа </t>
        </is>
      </c>
      <c r="G69" s="474" t="n"/>
      <c r="I69" s="12">
        <f>IF(AND(K69&lt;=Главная!$I$19,Главная!$I$19&lt;L69),J69,"")</f>
        <v/>
      </c>
      <c r="J69" s="45" t="inlineStr">
        <is>
          <t>А3Р00010</t>
        </is>
      </c>
      <c r="K69" s="10" t="n">
        <v>0.25</v>
      </c>
      <c r="L69" s="10" t="n">
        <v>1</v>
      </c>
      <c r="M69" s="44">
        <f>Материалы!D7</f>
        <v/>
      </c>
      <c r="N69" s="45">
        <f>Материалы!E7</f>
        <v/>
      </c>
      <c r="O69" s="40">
        <f>Материалы!D46</f>
        <v/>
      </c>
      <c r="P69" s="40">
        <f>Материалы!E46</f>
        <v/>
      </c>
      <c r="Q69" s="10" t="n">
        <v>2.5</v>
      </c>
      <c r="R69" s="42" t="n">
        <v>1.5</v>
      </c>
      <c r="S69" s="10" t="inlineStr">
        <is>
          <t>400х300х200</t>
        </is>
      </c>
      <c r="T69" s="10">
        <f>Материалы!D96</f>
        <v/>
      </c>
      <c r="V69" s="81" t="inlineStr">
        <is>
          <t>ИТОГО</t>
        </is>
      </c>
      <c r="W69" s="266" t="n"/>
      <c r="X69" s="186">
        <f>SUM(X66:X68)</f>
        <v/>
      </c>
      <c r="Y69" s="186">
        <f>SUM(Y66:Y68)</f>
        <v/>
      </c>
      <c r="AC69" s="1" t="n"/>
      <c r="AD69" s="79" t="inlineStr">
        <is>
          <t>Ф103</t>
        </is>
      </c>
      <c r="AE69" s="79" t="inlineStr">
        <is>
          <t>Д2</t>
        </is>
      </c>
      <c r="AF69" s="434" t="n">
        <v>0</v>
      </c>
      <c r="AG69" s="79" t="n"/>
      <c r="AH69" s="434" t="n">
        <v>1</v>
      </c>
      <c r="AI69" s="239">
        <f>Материалы!H109</f>
        <v/>
      </c>
      <c r="AJ69" s="434" t="n">
        <v>1</v>
      </c>
      <c r="AK69" s="239">
        <f>Материалы!H110</f>
        <v/>
      </c>
      <c r="AL69" s="434" t="n">
        <v>0</v>
      </c>
      <c r="AM69" s="434" t="n"/>
      <c r="AN69" s="434">
        <f>AF69*AG69+AH69*AI69+AJ69*AK69+AL69*AM69</f>
        <v/>
      </c>
    </row>
    <row r="70">
      <c r="E70" s="39" t="inlineStr">
        <is>
          <t>М</t>
        </is>
      </c>
      <c r="F70" s="34">
        <f>L126</f>
        <v/>
      </c>
      <c r="G70" s="34" t="n"/>
      <c r="I70" s="12">
        <f>IF(AND(K70&lt;=Главная!$I$19,Главная!$I$19&lt;L70),J70,"")</f>
        <v/>
      </c>
      <c r="J70" s="45" t="inlineStr">
        <is>
          <t>А3Р00016</t>
        </is>
      </c>
      <c r="K70" s="10" t="n">
        <v>1</v>
      </c>
      <c r="L70" s="10" t="n">
        <v>1.6</v>
      </c>
      <c r="M70" s="44">
        <f>Материалы!D8</f>
        <v/>
      </c>
      <c r="N70" s="45">
        <f>Материалы!E8</f>
        <v/>
      </c>
      <c r="O70" s="40">
        <f>Материалы!D46</f>
        <v/>
      </c>
      <c r="P70" s="40">
        <f>Материалы!E46</f>
        <v/>
      </c>
      <c r="Q70" s="10" t="n">
        <v>2.5</v>
      </c>
      <c r="R70" s="42" t="n">
        <v>1.5</v>
      </c>
      <c r="S70" s="10" t="inlineStr">
        <is>
          <t>400х300х200</t>
        </is>
      </c>
      <c r="T70" s="10">
        <f>Материалы!D96</f>
        <v/>
      </c>
      <c r="AC70" s="1" t="n"/>
      <c r="AD70" s="79" t="inlineStr">
        <is>
          <t>Ф111</t>
        </is>
      </c>
      <c r="AE70" s="79" t="inlineStr">
        <is>
          <t>Д1</t>
        </is>
      </c>
      <c r="AF70" s="434" t="n">
        <v>0</v>
      </c>
      <c r="AG70" s="79" t="n"/>
      <c r="AH70" s="434" t="n">
        <v>1</v>
      </c>
      <c r="AI70" s="239">
        <f>Материалы!H109</f>
        <v/>
      </c>
      <c r="AJ70" s="434" t="n">
        <v>0</v>
      </c>
      <c r="AK70" s="79" t="n"/>
      <c r="AL70" s="434" t="n">
        <v>0</v>
      </c>
      <c r="AM70" s="434" t="n"/>
      <c r="AN70" s="434">
        <f>AF70*AG70+AH70*AI70+AJ70*AK70+AL70*AM70</f>
        <v/>
      </c>
    </row>
    <row r="71">
      <c r="E71" s="39" t="inlineStr">
        <is>
          <t>П</t>
        </is>
      </c>
      <c r="F71" s="34">
        <f>M126</f>
        <v/>
      </c>
      <c r="G71" s="34" t="n"/>
      <c r="I71" s="12">
        <f>IF(AND(K71&lt;=Главная!$I$19,Главная!$I$19&lt;L71),J71,"")</f>
        <v/>
      </c>
      <c r="J71" s="45" t="inlineStr">
        <is>
          <t>А3Р00025</t>
        </is>
      </c>
      <c r="K71" s="10" t="n">
        <v>1.6</v>
      </c>
      <c r="L71" s="10" t="n">
        <v>2.5</v>
      </c>
      <c r="M71" s="44">
        <f>Материалы!D9</f>
        <v/>
      </c>
      <c r="N71" s="45">
        <f>Материалы!E9</f>
        <v/>
      </c>
      <c r="O71" s="40">
        <f>Материалы!D46</f>
        <v/>
      </c>
      <c r="P71" s="40">
        <f>Материалы!E46</f>
        <v/>
      </c>
      <c r="Q71" s="10" t="n">
        <v>2.5</v>
      </c>
      <c r="R71" s="42" t="n">
        <v>1.5</v>
      </c>
      <c r="S71" s="10" t="inlineStr">
        <is>
          <t>400х300х200</t>
        </is>
      </c>
      <c r="T71" s="10">
        <f>Материалы!D96</f>
        <v/>
      </c>
      <c r="AC71" s="1" t="n"/>
      <c r="AD71" s="79" t="inlineStr">
        <is>
          <t>Ф113</t>
        </is>
      </c>
      <c r="AE71" s="79" t="inlineStr">
        <is>
          <t>Д1</t>
        </is>
      </c>
      <c r="AF71" s="434" t="n">
        <v>0</v>
      </c>
      <c r="AG71" s="79" t="n"/>
      <c r="AH71" s="434" t="n">
        <v>1</v>
      </c>
      <c r="AI71" s="239">
        <f>Материалы!H109</f>
        <v/>
      </c>
      <c r="AJ71" s="434" t="n">
        <v>0</v>
      </c>
      <c r="AK71" s="79" t="n"/>
      <c r="AL71" s="434" t="n">
        <v>0</v>
      </c>
      <c r="AM71" s="434" t="n"/>
      <c r="AN71" s="434">
        <f>AF71*AG71+AH71*AI71+AJ71*AK71+AL71*AM71</f>
        <v/>
      </c>
    </row>
    <row r="72">
      <c r="F72" s="2" t="inlineStr">
        <is>
          <t>Размер шкафа принятый</t>
        </is>
      </c>
      <c r="G72" s="1" t="n"/>
      <c r="I72" s="12">
        <f>IF(AND(K72&lt;=Главная!$I$19,Главная!$I$19&lt;L72),J72,"")</f>
        <v/>
      </c>
      <c r="J72" s="45" t="inlineStr">
        <is>
          <t>А3Р00040</t>
        </is>
      </c>
      <c r="K72" s="10" t="n">
        <v>2.5</v>
      </c>
      <c r="L72" s="10" t="n">
        <v>4</v>
      </c>
      <c r="M72" s="44">
        <f>Материалы!D10</f>
        <v/>
      </c>
      <c r="N72" s="45">
        <f>Материалы!E10</f>
        <v/>
      </c>
      <c r="O72" s="40">
        <f>Материалы!D46</f>
        <v/>
      </c>
      <c r="P72" s="40">
        <f>Материалы!E46</f>
        <v/>
      </c>
      <c r="Q72" s="10" t="n">
        <v>2.5</v>
      </c>
      <c r="R72" s="42" t="n">
        <v>1.5</v>
      </c>
      <c r="S72" s="10" t="inlineStr">
        <is>
          <t>400х300х200</t>
        </is>
      </c>
      <c r="T72" s="10">
        <f>Материалы!D96</f>
        <v/>
      </c>
      <c r="AC72" s="1" t="n"/>
      <c r="AD72" s="79" t="inlineStr">
        <is>
          <t>Ф114</t>
        </is>
      </c>
      <c r="AE72" s="79" t="inlineStr">
        <is>
          <t>Д1</t>
        </is>
      </c>
      <c r="AF72" s="434" t="n">
        <v>0</v>
      </c>
      <c r="AG72" s="79" t="n"/>
      <c r="AH72" s="434" t="n">
        <v>0</v>
      </c>
      <c r="AI72" s="239" t="n"/>
      <c r="AJ72" s="434" t="n">
        <v>1</v>
      </c>
      <c r="AK72" s="239">
        <f>Материалы!H110</f>
        <v/>
      </c>
      <c r="AL72" s="434" t="n">
        <v>0</v>
      </c>
      <c r="AM72" s="434" t="n"/>
      <c r="AN72" s="434">
        <f>AF72*AG72+AH72*AI72+AJ72*AK72+AL72*AM72</f>
        <v/>
      </c>
    </row>
    <row r="73">
      <c r="E73" s="16" t="n"/>
      <c r="F73" s="35">
        <f>IF(E61="М",F70,F71)</f>
        <v/>
      </c>
      <c r="G73" s="1" t="n"/>
      <c r="I73" s="12">
        <f>IF(AND(K73&lt;=Главная!$I$19,Главная!$I$19&lt;L73),J73,"")</f>
        <v/>
      </c>
      <c r="J73" s="45" t="inlineStr">
        <is>
          <t>А3Р00063</t>
        </is>
      </c>
      <c r="K73" s="10" t="n">
        <v>4</v>
      </c>
      <c r="L73" s="10" t="n">
        <v>6.3</v>
      </c>
      <c r="M73" s="44">
        <f>Материалы!D11</f>
        <v/>
      </c>
      <c r="N73" s="44">
        <f>Материалы!E11</f>
        <v/>
      </c>
      <c r="O73" s="40">
        <f>Материалы!D46</f>
        <v/>
      </c>
      <c r="P73" s="40">
        <f>Материалы!E46</f>
        <v/>
      </c>
      <c r="Q73" s="10" t="n">
        <v>2.5</v>
      </c>
      <c r="R73" s="42" t="n">
        <v>1.5</v>
      </c>
      <c r="S73" s="10" t="inlineStr">
        <is>
          <t>400х300х200</t>
        </is>
      </c>
      <c r="T73" s="10">
        <f>Материалы!D96</f>
        <v/>
      </c>
      <c r="AC73" s="1" t="n"/>
      <c r="AD73" s="79" t="inlineStr">
        <is>
          <t>Ф115</t>
        </is>
      </c>
      <c r="AE73" s="79" t="inlineStr">
        <is>
          <t>Д1</t>
        </is>
      </c>
      <c r="AF73" s="434" t="n">
        <v>0</v>
      </c>
      <c r="AG73" s="79" t="n"/>
      <c r="AH73" s="434" t="n">
        <v>1</v>
      </c>
      <c r="AI73" s="239">
        <f>Материалы!H109</f>
        <v/>
      </c>
      <c r="AJ73" s="434" t="n">
        <v>0</v>
      </c>
      <c r="AK73" s="79" t="n"/>
      <c r="AL73" s="434" t="n">
        <v>0</v>
      </c>
      <c r="AM73" s="434" t="n"/>
      <c r="AN73" s="434">
        <f>AF73*AG73+AH73*AI73+AJ73*AK73+AL73*AM73</f>
        <v/>
      </c>
    </row>
    <row r="74">
      <c r="I74" s="12">
        <f>IF(AND(K74&lt;=Главная!$I$19,Главная!$I$19&lt;L74),J74,"")</f>
        <v/>
      </c>
      <c r="J74" s="45" t="inlineStr">
        <is>
          <t>А3Р00100</t>
        </is>
      </c>
      <c r="K74" s="10" t="n">
        <v>6.3</v>
      </c>
      <c r="L74" s="10" t="n">
        <v>10</v>
      </c>
      <c r="M74" s="44">
        <f>Материалы!D12</f>
        <v/>
      </c>
      <c r="N74" s="44">
        <f>Материалы!E12</f>
        <v/>
      </c>
      <c r="O74" s="40">
        <f>Материалы!D47</f>
        <v/>
      </c>
      <c r="P74" s="40">
        <f>Материалы!E47</f>
        <v/>
      </c>
      <c r="Q74" s="10" t="n">
        <v>2.5</v>
      </c>
      <c r="R74" s="42" t="n">
        <v>1.5</v>
      </c>
      <c r="S74" s="10" t="inlineStr">
        <is>
          <t>400х300х200</t>
        </is>
      </c>
      <c r="T74" s="10">
        <f>Материалы!D96</f>
        <v/>
      </c>
      <c r="AC74" s="1" t="n"/>
      <c r="AD74" s="79" t="inlineStr">
        <is>
          <t>Ф115</t>
        </is>
      </c>
      <c r="AE74" s="79" t="inlineStr">
        <is>
          <t>Д2</t>
        </is>
      </c>
      <c r="AF74" s="434" t="n">
        <v>0</v>
      </c>
      <c r="AG74" s="79" t="n"/>
      <c r="AH74" s="434" t="n">
        <v>1</v>
      </c>
      <c r="AI74" s="239">
        <f>Материалы!H109</f>
        <v/>
      </c>
      <c r="AJ74" s="434" t="n">
        <v>1</v>
      </c>
      <c r="AK74" s="239">
        <f>Материалы!H110</f>
        <v/>
      </c>
      <c r="AL74" s="434" t="n">
        <v>0</v>
      </c>
      <c r="AM74" s="434" t="n"/>
      <c r="AN74" s="434">
        <f>AF74*AG74+AH74*AI74+AJ74*AK74+AL74*AM74</f>
        <v/>
      </c>
    </row>
    <row r="75">
      <c r="I75" s="12">
        <f>IF(AND(K75&lt;=Главная!$I$19,Главная!$I$19&lt;L75),J75,"")</f>
        <v/>
      </c>
      <c r="J75" s="45" t="inlineStr">
        <is>
          <t>А3Р00140</t>
        </is>
      </c>
      <c r="K75" s="10" t="n">
        <v>10</v>
      </c>
      <c r="L75" s="10" t="n">
        <v>14</v>
      </c>
      <c r="M75" s="44">
        <f>Материалы!D13</f>
        <v/>
      </c>
      <c r="N75" s="44">
        <f>Материалы!E13</f>
        <v/>
      </c>
      <c r="O75" s="40">
        <f>Материалы!D48</f>
        <v/>
      </c>
      <c r="P75" s="40">
        <f>Материалы!E48</f>
        <v/>
      </c>
      <c r="Q75" s="10" t="n">
        <v>4</v>
      </c>
      <c r="R75" s="42" t="n">
        <v>2.5</v>
      </c>
      <c r="S75" s="10" t="inlineStr">
        <is>
          <t>400х300х200</t>
        </is>
      </c>
      <c r="T75" s="10" t="inlineStr">
        <is>
          <t>-</t>
        </is>
      </c>
      <c r="AC75" s="1" t="n"/>
      <c r="AD75" s="79" t="inlineStr">
        <is>
          <t>Ф116</t>
        </is>
      </c>
      <c r="AE75" s="79" t="inlineStr">
        <is>
          <t>Д1</t>
        </is>
      </c>
      <c r="AF75" s="434" t="n">
        <v>0</v>
      </c>
      <c r="AG75" s="79" t="n"/>
      <c r="AH75" s="434" t="n">
        <v>0</v>
      </c>
      <c r="AI75" s="79" t="n"/>
      <c r="AJ75" s="434" t="n">
        <v>1</v>
      </c>
      <c r="AK75" s="239">
        <f>Материалы!H110</f>
        <v/>
      </c>
      <c r="AL75" s="434" t="n">
        <v>0</v>
      </c>
      <c r="AM75" s="434" t="n"/>
      <c r="AN75" s="434">
        <f>AF75*AG75+AH75*AI75+AJ75*AK75+AL75*AM75</f>
        <v/>
      </c>
    </row>
    <row r="76">
      <c r="B76" s="228">
        <f>Главная!I25</f>
        <v/>
      </c>
      <c r="C76" s="184">
        <f>W14</f>
        <v/>
      </c>
      <c r="D76" s="472">
        <f>W14</f>
        <v/>
      </c>
      <c r="E76" s="8">
        <f>IF($D$1=1,B76,C76)</f>
        <v/>
      </c>
      <c r="F76" s="116" t="inlineStr">
        <is>
          <t>Дополнительная компл.</t>
        </is>
      </c>
      <c r="G76" s="36" t="n"/>
      <c r="I76" s="12">
        <f>IF(AND(K76&lt;=Главная!$I$19,Главная!$I$19&lt;L76),J76,"")</f>
        <v/>
      </c>
      <c r="J76" s="45" t="inlineStr">
        <is>
          <t>А3Р00160</t>
        </is>
      </c>
      <c r="K76" s="10" t="n">
        <v>14</v>
      </c>
      <c r="L76" s="10" t="n">
        <v>16</v>
      </c>
      <c r="M76" s="44">
        <f>Материалы!D14</f>
        <v/>
      </c>
      <c r="N76" s="44">
        <f>Материалы!E14</f>
        <v/>
      </c>
      <c r="O76" s="40">
        <f>Материалы!D48</f>
        <v/>
      </c>
      <c r="P76" s="40">
        <f>Материалы!E48</f>
        <v/>
      </c>
      <c r="Q76" s="10" t="n">
        <v>6</v>
      </c>
      <c r="R76" s="42" t="n">
        <v>2.5</v>
      </c>
      <c r="S76" s="10" t="inlineStr">
        <is>
          <t>400х300х200</t>
        </is>
      </c>
      <c r="T76" s="10" t="inlineStr">
        <is>
          <t>-</t>
        </is>
      </c>
      <c r="AC76" s="1" t="n"/>
      <c r="AD76" s="79" t="inlineStr">
        <is>
          <t>Ф117</t>
        </is>
      </c>
      <c r="AE76" s="79" t="inlineStr">
        <is>
          <t>Д1</t>
        </is>
      </c>
      <c r="AF76" s="434" t="n">
        <v>0</v>
      </c>
      <c r="AG76" s="79" t="n"/>
      <c r="AH76" s="434" t="n">
        <v>1</v>
      </c>
      <c r="AI76" s="239">
        <f>Материалы!H109</f>
        <v/>
      </c>
      <c r="AJ76" s="434" t="n">
        <v>0</v>
      </c>
      <c r="AK76" s="79" t="n"/>
      <c r="AL76" s="434" t="n">
        <v>0</v>
      </c>
      <c r="AM76" s="434" t="n"/>
      <c r="AN76" s="434">
        <f>AF76*AG76+AH76*AI76+AJ76*AK76+AL76*AM76</f>
        <v/>
      </c>
    </row>
    <row r="77">
      <c r="E77" s="250">
        <f>VLOOKUP(B76,C80:E82,3,FALSE)</f>
        <v/>
      </c>
      <c r="F77" s="302" t="inlineStr">
        <is>
          <t>Конструктор</t>
        </is>
      </c>
      <c r="I77" s="12">
        <f>IF(AND(K77&lt;=Главная!$I$19,Главная!$I$19&lt;L77),J77,"")</f>
        <v/>
      </c>
      <c r="J77" s="45" t="inlineStr">
        <is>
          <t>А3Р00180</t>
        </is>
      </c>
      <c r="K77" s="10" t="n">
        <v>16</v>
      </c>
      <c r="L77" s="10" t="n">
        <v>18</v>
      </c>
      <c r="M77" s="44">
        <f>Материалы!D14</f>
        <v/>
      </c>
      <c r="N77" s="44">
        <f>Материалы!E14</f>
        <v/>
      </c>
      <c r="O77" s="40">
        <f>Материалы!D48</f>
        <v/>
      </c>
      <c r="P77" s="40">
        <f>Материалы!E48</f>
        <v/>
      </c>
      <c r="Q77" s="10" t="n">
        <v>6</v>
      </c>
      <c r="R77" s="42" t="n">
        <v>2.5</v>
      </c>
      <c r="S77" s="10" t="inlineStr">
        <is>
          <t>400х300х200</t>
        </is>
      </c>
      <c r="T77" s="10" t="inlineStr">
        <is>
          <t>-</t>
        </is>
      </c>
      <c r="AC77" s="1" t="n"/>
      <c r="AD77" s="79" t="inlineStr">
        <is>
          <t>Ф117</t>
        </is>
      </c>
      <c r="AE77" s="79" t="inlineStr">
        <is>
          <t>Д2</t>
        </is>
      </c>
      <c r="AF77" s="434" t="n">
        <v>0</v>
      </c>
      <c r="AG77" s="79" t="n"/>
      <c r="AH77" s="434" t="n">
        <v>1</v>
      </c>
      <c r="AI77" s="239">
        <f>Материалы!H109</f>
        <v/>
      </c>
      <c r="AJ77" s="434" t="n">
        <v>1</v>
      </c>
      <c r="AK77" s="239">
        <f>Материалы!H110</f>
        <v/>
      </c>
      <c r="AL77" s="434" t="n">
        <v>0</v>
      </c>
      <c r="AM77" s="434" t="n"/>
      <c r="AN77" s="434">
        <f>AF77*AG77+AH77*AI77+AJ77*AK77+AL77*AM77</f>
        <v/>
      </c>
    </row>
    <row r="78">
      <c r="E78" s="324">
        <f>VLOOKUP(C76,C80:E82,3,FALSE)</f>
        <v/>
      </c>
      <c r="F78" s="519" t="inlineStr">
        <is>
          <t>ПЭО</t>
        </is>
      </c>
      <c r="I78" s="12">
        <f>IF(AND(K78&lt;=Главная!$I$19,Главная!$I$19&lt;L78),J78,"")</f>
        <v/>
      </c>
      <c r="J78" s="45" t="inlineStr">
        <is>
          <t>А3Р00200</t>
        </is>
      </c>
      <c r="K78" s="10" t="n">
        <v>18</v>
      </c>
      <c r="L78" s="10" t="n">
        <v>20</v>
      </c>
      <c r="M78" s="44">
        <f>Материалы!D15</f>
        <v/>
      </c>
      <c r="N78" s="44">
        <f>Материалы!E15</f>
        <v/>
      </c>
      <c r="O78" s="40">
        <f>Материалы!D49</f>
        <v/>
      </c>
      <c r="P78" s="40">
        <f>Материалы!E49</f>
        <v/>
      </c>
      <c r="Q78" s="10" t="n">
        <v>6</v>
      </c>
      <c r="R78" s="42" t="n">
        <v>4</v>
      </c>
      <c r="S78" s="10" t="inlineStr">
        <is>
          <t>400х300х200</t>
        </is>
      </c>
      <c r="T78" s="10" t="inlineStr">
        <is>
          <t>-</t>
        </is>
      </c>
      <c r="AB78" s="320" t="n"/>
      <c r="AC78" s="1" t="n"/>
      <c r="AD78" s="79" t="inlineStr">
        <is>
          <t>Ф118</t>
        </is>
      </c>
      <c r="AE78" s="79" t="inlineStr">
        <is>
          <t>Д1</t>
        </is>
      </c>
      <c r="AF78" s="434" t="n">
        <v>1</v>
      </c>
      <c r="AG78" s="239">
        <f>Материалы!H109</f>
        <v/>
      </c>
      <c r="AH78" s="434" t="n">
        <v>1</v>
      </c>
      <c r="AI78" s="239">
        <f>Материалы!H109</f>
        <v/>
      </c>
      <c r="AJ78" s="434" t="n">
        <v>0</v>
      </c>
      <c r="AK78" s="79" t="n"/>
      <c r="AL78" s="434" t="n">
        <v>0</v>
      </c>
      <c r="AM78" s="434" t="n"/>
      <c r="AN78" s="434">
        <f>AF78*AG78+AH78*AI78+AJ78*AK78+AL78*AM78</f>
        <v/>
      </c>
    </row>
    <row r="79">
      <c r="E79" s="60">
        <f>VLOOKUP(C76,C80:E82,3,FALSE)</f>
        <v/>
      </c>
      <c r="F79" s="195" t="inlineStr">
        <is>
          <t>Обозначение</t>
        </is>
      </c>
      <c r="I79" s="12">
        <f>IF(AND(K79&lt;=Главная!$I$19,Главная!$I$19&lt;L79),J79,"")</f>
        <v/>
      </c>
      <c r="J79" s="45" t="inlineStr">
        <is>
          <t>А3Р00250</t>
        </is>
      </c>
      <c r="K79" s="10" t="n">
        <v>20</v>
      </c>
      <c r="L79" s="10" t="n">
        <v>25</v>
      </c>
      <c r="M79" s="44">
        <f>Материалы!D16</f>
        <v/>
      </c>
      <c r="N79" s="44">
        <f>Материалы!E16</f>
        <v/>
      </c>
      <c r="O79" s="40">
        <f>Материалы!D49</f>
        <v/>
      </c>
      <c r="P79" s="40">
        <f>Материалы!E49</f>
        <v/>
      </c>
      <c r="Q79" s="10" t="n">
        <v>10</v>
      </c>
      <c r="R79" s="42" t="n">
        <v>4</v>
      </c>
      <c r="S79" s="10" t="inlineStr">
        <is>
          <t>400х300х200</t>
        </is>
      </c>
      <c r="T79" s="10" t="inlineStr">
        <is>
          <t>-</t>
        </is>
      </c>
      <c r="X79" t="inlineStr">
        <is>
          <t>ИНДЕКС(C2:C8;ПОИСКПОЗ(F2&amp;F3;A2:A8&amp;B2:B8;0))</t>
        </is>
      </c>
      <c r="AB79" s="320" t="n"/>
      <c r="AC79" s="1" t="n"/>
      <c r="AD79" s="79" t="inlineStr">
        <is>
          <t>Ф119</t>
        </is>
      </c>
      <c r="AE79" s="79" t="inlineStr">
        <is>
          <t>Д1</t>
        </is>
      </c>
      <c r="AF79" s="434" t="n">
        <v>1</v>
      </c>
      <c r="AG79" s="239">
        <f>Материалы!H109</f>
        <v/>
      </c>
      <c r="AH79" s="434" t="n">
        <v>1</v>
      </c>
      <c r="AI79" s="239">
        <f>Материалы!H109</f>
        <v/>
      </c>
      <c r="AJ79" s="434" t="n">
        <v>0</v>
      </c>
      <c r="AK79" s="79" t="n"/>
      <c r="AL79" s="434" t="n">
        <v>0</v>
      </c>
      <c r="AM79" s="434" t="n"/>
      <c r="AN79" s="434">
        <f>AF79*AG79+AH79*AI79+AJ79*AK79+AL79*AM79</f>
        <v/>
      </c>
    </row>
    <row r="80" ht="15.75" customHeight="1" s="552">
      <c r="C80" s="325" t="inlineStr">
        <is>
          <t>Д0</t>
        </is>
      </c>
      <c r="E80" s="58" t="n">
        <v>0</v>
      </c>
      <c r="I80" s="12">
        <f>IF(AND(K80&lt;=Главная!$I$19,Главная!$I$19&lt;L80),J80,"")</f>
        <v/>
      </c>
      <c r="J80" s="45" t="inlineStr">
        <is>
          <t>А3Р00320</t>
        </is>
      </c>
      <c r="K80" s="10" t="n">
        <v>25</v>
      </c>
      <c r="L80" s="10" t="n">
        <v>32</v>
      </c>
      <c r="M80" s="44">
        <f>Материалы!D17</f>
        <v/>
      </c>
      <c r="N80" s="44">
        <f>Материалы!E17</f>
        <v/>
      </c>
      <c r="O80" s="40">
        <f>Материалы!D50</f>
        <v/>
      </c>
      <c r="P80" s="40">
        <f>Материалы!E50</f>
        <v/>
      </c>
      <c r="Q80" s="10" t="n">
        <v>16</v>
      </c>
      <c r="R80" s="42" t="n">
        <v>6</v>
      </c>
      <c r="S80" s="10" t="inlineStr">
        <is>
          <t>400х300х200</t>
        </is>
      </c>
      <c r="T80" s="10" t="inlineStr">
        <is>
          <t>-</t>
        </is>
      </c>
      <c r="AB80" s="320" t="n"/>
      <c r="AD80" s="79" t="inlineStr">
        <is>
          <t>Ф120</t>
        </is>
      </c>
      <c r="AE80" s="79" t="inlineStr">
        <is>
          <t>Д1</t>
        </is>
      </c>
      <c r="AF80" s="434" t="n">
        <v>1</v>
      </c>
      <c r="AG80" s="239">
        <f>Материалы!H109</f>
        <v/>
      </c>
      <c r="AH80" s="434" t="n">
        <v>1</v>
      </c>
      <c r="AI80" s="239">
        <f>Материалы!H109</f>
        <v/>
      </c>
      <c r="AJ80" s="434" t="n">
        <v>0</v>
      </c>
      <c r="AK80" s="79" t="n"/>
      <c r="AL80" s="434" t="n">
        <v>0</v>
      </c>
      <c r="AM80" s="434" t="n"/>
      <c r="AN80" s="434">
        <f>AF80*AG80+AH80*AI80+AJ80*AK80+AL80*AM80</f>
        <v/>
      </c>
    </row>
    <row r="81">
      <c r="C81" s="10" t="inlineStr">
        <is>
          <t>Д1</t>
        </is>
      </c>
      <c r="E81" s="10" t="n">
        <v>1</v>
      </c>
      <c r="I81" s="12">
        <f>IF(AND(K81&lt;=Главная!$I$19,Главная!$I$19&lt;L81),J81,"")</f>
        <v/>
      </c>
      <c r="J81" s="45" t="inlineStr">
        <is>
          <t>А3Р00400</t>
        </is>
      </c>
      <c r="K81" s="10" t="n">
        <v>32</v>
      </c>
      <c r="L81" s="10" t="n">
        <v>40</v>
      </c>
      <c r="M81" s="44">
        <f>Материалы!D18</f>
        <v/>
      </c>
      <c r="N81" s="44">
        <f>Материалы!E18</f>
        <v/>
      </c>
      <c r="O81" s="40">
        <f>Материалы!D51</f>
        <v/>
      </c>
      <c r="P81" s="40">
        <f>Материалы!E51</f>
        <v/>
      </c>
      <c r="Q81" s="10" t="n">
        <v>16</v>
      </c>
      <c r="R81" s="42" t="n">
        <v>10</v>
      </c>
      <c r="S81" s="10" t="inlineStr">
        <is>
          <t>500х400х200</t>
        </is>
      </c>
      <c r="T81" s="10" t="inlineStr">
        <is>
          <t>-</t>
        </is>
      </c>
      <c r="AB81" s="320" t="n"/>
      <c r="AD81" s="79" t="inlineStr">
        <is>
          <t>Ф120</t>
        </is>
      </c>
      <c r="AE81" s="79" t="inlineStr">
        <is>
          <t>Д2</t>
        </is>
      </c>
      <c r="AF81" s="434" t="n">
        <v>1</v>
      </c>
      <c r="AG81" s="239">
        <f>Материалы!H109</f>
        <v/>
      </c>
      <c r="AH81" s="434" t="n">
        <v>1</v>
      </c>
      <c r="AI81" s="239">
        <f>Материалы!H109</f>
        <v/>
      </c>
      <c r="AJ81" s="434" t="n">
        <v>1</v>
      </c>
      <c r="AK81" s="239">
        <f>Материалы!H110</f>
        <v/>
      </c>
      <c r="AL81" s="434" t="n">
        <v>0</v>
      </c>
      <c r="AM81" s="434" t="n"/>
      <c r="AN81" s="434">
        <f>AF81*AG81+AH81*AI81+AJ81*AK81+AL81*AM81</f>
        <v/>
      </c>
    </row>
    <row r="82" ht="18.75" customHeight="1" s="552">
      <c r="C82" s="10" t="inlineStr">
        <is>
          <t>Д2</t>
        </is>
      </c>
      <c r="E82" s="10" t="n">
        <v>2</v>
      </c>
      <c r="I82" s="12">
        <f>IF(AND(K82&lt;=Главная!$I$19,Главная!$I$19&lt;L82),J82,"")</f>
        <v/>
      </c>
      <c r="J82" s="45" t="inlineStr">
        <is>
          <t>А3Р00500</t>
        </is>
      </c>
      <c r="K82" s="10" t="n">
        <v>40</v>
      </c>
      <c r="L82" s="10" t="n">
        <v>50</v>
      </c>
      <c r="M82" s="44">
        <f>Материалы!D19</f>
        <v/>
      </c>
      <c r="N82" s="44">
        <f>Материалы!E19</f>
        <v/>
      </c>
      <c r="O82" s="40">
        <f>Материалы!D52</f>
        <v/>
      </c>
      <c r="P82" s="40">
        <f>Материалы!E52</f>
        <v/>
      </c>
      <c r="Q82" s="10" t="n">
        <v>16</v>
      </c>
      <c r="R82" s="42" t="n">
        <v>10</v>
      </c>
      <c r="S82" s="10" t="inlineStr">
        <is>
          <t>500х400х200</t>
        </is>
      </c>
      <c r="T82" s="10" t="inlineStr">
        <is>
          <t>-</t>
        </is>
      </c>
      <c r="AD82" s="79" t="inlineStr">
        <is>
          <t>Ф121</t>
        </is>
      </c>
      <c r="AE82" s="79" t="inlineStr">
        <is>
          <t>Д1</t>
        </is>
      </c>
      <c r="AF82" s="434" t="n">
        <v>1</v>
      </c>
      <c r="AG82" s="239">
        <f>Материалы!H109</f>
        <v/>
      </c>
      <c r="AH82" s="434" t="n">
        <v>1</v>
      </c>
      <c r="AI82" s="239">
        <f>Материалы!H109</f>
        <v/>
      </c>
      <c r="AJ82" s="434" t="n">
        <v>0</v>
      </c>
      <c r="AK82" s="79" t="n"/>
      <c r="AL82" s="434" t="n">
        <v>0</v>
      </c>
      <c r="AM82" s="434" t="n"/>
      <c r="AN82" s="434">
        <f>AF82*AG82+AH82*AI82+AJ82*AK82+AL82*AM82</f>
        <v/>
      </c>
    </row>
    <row r="83">
      <c r="C83" s="1" t="n"/>
      <c r="D83" s="1" t="n"/>
      <c r="I83" s="12">
        <f>IF(AND(K83&lt;=Главная!$I$19,Главная!$I$19&lt;L83),J83,"")</f>
        <v/>
      </c>
      <c r="J83" s="45" t="inlineStr">
        <is>
          <t>А3Р00580</t>
        </is>
      </c>
      <c r="K83" s="10" t="n">
        <v>50</v>
      </c>
      <c r="L83" s="10" t="n">
        <v>58</v>
      </c>
      <c r="M83" s="44">
        <f>Материалы!D20</f>
        <v/>
      </c>
      <c r="N83" s="44">
        <f>Материалы!E20</f>
        <v/>
      </c>
      <c r="O83" s="40">
        <f>Материалы!D53</f>
        <v/>
      </c>
      <c r="P83" s="40">
        <f>Материалы!E53</f>
        <v/>
      </c>
      <c r="Q83" s="10" t="n">
        <v>35</v>
      </c>
      <c r="R83" s="42" t="n">
        <v>16</v>
      </c>
      <c r="S83" s="10" t="inlineStr">
        <is>
          <t>500х400х200</t>
        </is>
      </c>
      <c r="T83" s="10" t="inlineStr">
        <is>
          <t>-</t>
        </is>
      </c>
      <c r="AB83" s="320" t="n"/>
      <c r="AD83" s="79" t="inlineStr">
        <is>
          <t>Ф121</t>
        </is>
      </c>
      <c r="AE83" s="79" t="inlineStr">
        <is>
          <t>Д2</t>
        </is>
      </c>
      <c r="AF83" s="434" t="n">
        <v>1</v>
      </c>
      <c r="AG83" s="239">
        <f>Материалы!H109</f>
        <v/>
      </c>
      <c r="AH83" s="434" t="n">
        <v>1</v>
      </c>
      <c r="AI83" s="239">
        <f>Материалы!H109</f>
        <v/>
      </c>
      <c r="AJ83" s="434" t="n">
        <v>1</v>
      </c>
      <c r="AK83" s="239">
        <f>Материалы!H110</f>
        <v/>
      </c>
      <c r="AL83" s="434" t="n">
        <v>0</v>
      </c>
      <c r="AM83" s="434" t="n"/>
      <c r="AN83" s="434">
        <f>AF83*AG83+AH83*AI83+AJ83*AK83+AL83*AM83</f>
        <v/>
      </c>
    </row>
    <row r="84" ht="15.75" customHeight="1" s="552">
      <c r="C84" s="1" t="n"/>
      <c r="D84" s="1" t="n"/>
      <c r="I84" s="12">
        <f>IF(AND(K84&lt;=Главная!$I$19,Главная!$I$19&lt;L84),J84,"")</f>
        <v/>
      </c>
      <c r="J84" s="45" t="inlineStr">
        <is>
          <t>А3Р00630</t>
        </is>
      </c>
      <c r="K84" s="10" t="n">
        <v>58</v>
      </c>
      <c r="L84" s="10" t="n">
        <v>63</v>
      </c>
      <c r="M84" s="44">
        <f>Материалы!D21</f>
        <v/>
      </c>
      <c r="N84" s="44">
        <f>Материалы!E21</f>
        <v/>
      </c>
      <c r="O84" s="40">
        <f>Материалы!D53</f>
        <v/>
      </c>
      <c r="P84" s="40">
        <f>Материалы!E53</f>
        <v/>
      </c>
      <c r="Q84" s="10" t="n">
        <v>35</v>
      </c>
      <c r="R84" s="42" t="n">
        <v>16</v>
      </c>
      <c r="S84" s="10" t="inlineStr">
        <is>
          <t>500х400х200</t>
        </is>
      </c>
      <c r="T84" s="10" t="inlineStr">
        <is>
          <t>-</t>
        </is>
      </c>
      <c r="AD84" s="79" t="inlineStr">
        <is>
          <t>Ф131</t>
        </is>
      </c>
      <c r="AE84" s="79" t="inlineStr">
        <is>
          <t>Д1</t>
        </is>
      </c>
      <c r="AF84" s="434" t="n">
        <v>0</v>
      </c>
      <c r="AG84" s="79" t="n"/>
      <c r="AH84" s="434" t="n">
        <v>1</v>
      </c>
      <c r="AI84" s="239">
        <f>Материалы!H109</f>
        <v/>
      </c>
      <c r="AJ84" s="434" t="n">
        <v>0</v>
      </c>
      <c r="AK84" s="79" t="n"/>
      <c r="AL84" s="434" t="n">
        <v>0</v>
      </c>
      <c r="AM84" s="434" t="n"/>
      <c r="AN84" s="434">
        <f>AF84*AG84+AH84*AI84+AJ84*AK84+AL84*AM84</f>
        <v/>
      </c>
    </row>
    <row r="85">
      <c r="C85" s="1" t="n"/>
      <c r="D85" s="1" t="n"/>
      <c r="I85" s="12">
        <f>IF(AND(K85&lt;=Главная!$I$19,Главная!$I$19&lt;=L85),J85,"")</f>
        <v/>
      </c>
      <c r="J85" s="45" t="inlineStr">
        <is>
          <t>А3Р00700</t>
        </is>
      </c>
      <c r="K85" s="10" t="n">
        <v>63</v>
      </c>
      <c r="L85" s="10" t="n">
        <v>69.90000000000001</v>
      </c>
      <c r="M85" s="44">
        <f>Материалы!D22</f>
        <v/>
      </c>
      <c r="N85" s="44">
        <f>Материалы!E22</f>
        <v/>
      </c>
      <c r="O85" s="40">
        <f>Материалы!D54</f>
        <v/>
      </c>
      <c r="P85" s="40">
        <f>Материалы!E54</f>
        <v/>
      </c>
      <c r="Q85" s="10" t="n">
        <v>35</v>
      </c>
      <c r="R85" s="42" t="n">
        <v>16</v>
      </c>
      <c r="S85" s="10" t="inlineStr">
        <is>
          <t>500х400х200</t>
        </is>
      </c>
      <c r="T85" s="10" t="inlineStr">
        <is>
          <t>-</t>
        </is>
      </c>
      <c r="AB85" s="320" t="n"/>
      <c r="AD85" s="79" t="inlineStr">
        <is>
          <t>Ф132</t>
        </is>
      </c>
      <c r="AE85" s="79" t="inlineStr">
        <is>
          <t>Д1</t>
        </is>
      </c>
      <c r="AF85" s="434" t="n">
        <v>0</v>
      </c>
      <c r="AG85" s="79" t="n"/>
      <c r="AH85" s="434" t="n">
        <v>0</v>
      </c>
      <c r="AI85" s="79" t="n"/>
      <c r="AJ85" s="434" t="n">
        <v>1</v>
      </c>
      <c r="AK85" s="239">
        <f>Материалы!H110</f>
        <v/>
      </c>
      <c r="AL85" s="434" t="n">
        <v>0</v>
      </c>
      <c r="AM85" s="434" t="n"/>
      <c r="AN85" s="434">
        <f>AF85*AG85+AH85*AI85+AJ85*AK85+AL85*AM85</f>
        <v/>
      </c>
    </row>
    <row r="86">
      <c r="C86" s="1" t="n"/>
      <c r="D86" s="1" t="n"/>
      <c r="AB86" s="320" t="n"/>
      <c r="AD86" s="79" t="inlineStr">
        <is>
          <t>Ф133</t>
        </is>
      </c>
      <c r="AE86" s="79" t="inlineStr">
        <is>
          <t>Д1</t>
        </is>
      </c>
      <c r="AF86" s="434" t="n">
        <v>0</v>
      </c>
      <c r="AG86" s="79" t="n"/>
      <c r="AH86" s="434" t="n">
        <v>1</v>
      </c>
      <c r="AI86" s="239">
        <f>Материалы!H109</f>
        <v/>
      </c>
      <c r="AJ86" s="434" t="n">
        <v>0</v>
      </c>
      <c r="AK86" s="79" t="n"/>
      <c r="AL86" s="434" t="n">
        <v>0</v>
      </c>
      <c r="AM86" s="434" t="n"/>
      <c r="AN86" s="434">
        <f>AF86*AG86+AH86*AI86+AJ86*AK86+AL86*AM86</f>
        <v/>
      </c>
    </row>
    <row r="87">
      <c r="C87" s="1" t="n"/>
      <c r="D87" s="1" t="n"/>
      <c r="U87" s="1" t="n"/>
      <c r="AB87" s="320" t="n"/>
      <c r="AD87" s="79" t="inlineStr">
        <is>
          <t>Ф133</t>
        </is>
      </c>
      <c r="AE87" s="79" t="inlineStr">
        <is>
          <t>Д2</t>
        </is>
      </c>
      <c r="AF87" s="434" t="n">
        <v>0</v>
      </c>
      <c r="AG87" s="79" t="n"/>
      <c r="AH87" s="434" t="n">
        <v>1</v>
      </c>
      <c r="AI87" s="239">
        <f>Материалы!H109</f>
        <v/>
      </c>
      <c r="AJ87" s="434" t="n">
        <v>1</v>
      </c>
      <c r="AK87" s="239">
        <f>Материалы!H110</f>
        <v/>
      </c>
      <c r="AL87" s="434" t="n">
        <v>0</v>
      </c>
      <c r="AM87" s="434" t="n"/>
      <c r="AN87" s="434">
        <f>AF87*AG87+AH87*AI87+AJ87*AK87+AL87*AM87</f>
        <v/>
      </c>
    </row>
    <row r="88" ht="15.75" customHeight="1" s="552" thickBot="1">
      <c r="C88" s="1" t="n"/>
      <c r="D88" s="1" t="n"/>
      <c r="I88" s="15" t="inlineStr">
        <is>
          <t>ПускЧРП 3-фазный</t>
        </is>
      </c>
      <c r="U88" s="4" t="n"/>
      <c r="AB88" s="320" t="n"/>
      <c r="AD88" s="79" t="inlineStr">
        <is>
          <t>Ф141</t>
        </is>
      </c>
      <c r="AE88" s="79" t="inlineStr">
        <is>
          <t>Д1</t>
        </is>
      </c>
      <c r="AF88" s="434" t="n">
        <v>0</v>
      </c>
      <c r="AG88" s="79" t="n"/>
      <c r="AH88" s="434" t="n">
        <v>1</v>
      </c>
      <c r="AI88" s="239">
        <f>Материалы!H109</f>
        <v/>
      </c>
      <c r="AJ88" s="434" t="n">
        <v>0</v>
      </c>
      <c r="AK88" s="79" t="n"/>
      <c r="AL88" s="434" t="n">
        <v>0</v>
      </c>
      <c r="AM88" s="434" t="n"/>
      <c r="AN88" s="434">
        <f>AF88*AG88+AH88*AI88+AJ88*AK88+AL88*AM88</f>
        <v/>
      </c>
    </row>
    <row r="89" ht="15.75" customHeight="1" s="552" thickBot="1">
      <c r="C89" s="1" t="n"/>
      <c r="D89" s="1" t="n"/>
      <c r="I89" s="41" t="inlineStr">
        <is>
          <t>Результат ИТОГО для расчета</t>
        </is>
      </c>
      <c r="J89" s="288">
        <f>IF($D$1=1,J91,J90)</f>
        <v/>
      </c>
      <c r="K89" s="288">
        <f>IF($D$1=1,K91,K90)</f>
        <v/>
      </c>
      <c r="L89" s="288">
        <f>IF($D$1=1,L91,L90)</f>
        <v/>
      </c>
      <c r="M89" s="288">
        <f>IF($D$1=1,M91,M90)</f>
        <v/>
      </c>
      <c r="N89" s="288">
        <f>IF($D$1=1,N91,N90)</f>
        <v/>
      </c>
      <c r="O89" s="288">
        <f>IF($D$1=1,O91,O90)</f>
        <v/>
      </c>
      <c r="P89" s="288">
        <f>IF($D$1=1,P91,P90)</f>
        <v/>
      </c>
      <c r="Q89" s="288">
        <f>IF($D$1=1,Q91,Q90)</f>
        <v/>
      </c>
      <c r="R89" s="288">
        <f>IF($D$1=1,R91,R90)</f>
        <v/>
      </c>
      <c r="AB89" s="320" t="n"/>
      <c r="AD89" s="79" t="inlineStr">
        <is>
          <t>Ф143</t>
        </is>
      </c>
      <c r="AE89" s="79" t="inlineStr">
        <is>
          <t>Д1</t>
        </is>
      </c>
      <c r="AF89" s="434" t="n">
        <v>0</v>
      </c>
      <c r="AG89" s="79" t="n"/>
      <c r="AH89" s="434" t="n">
        <v>1</v>
      </c>
      <c r="AI89" s="239">
        <f>Материалы!H109</f>
        <v/>
      </c>
      <c r="AJ89" s="434" t="n">
        <v>0</v>
      </c>
      <c r="AK89" s="79" t="n"/>
      <c r="AL89" s="434" t="n">
        <v>0</v>
      </c>
      <c r="AM89" s="434" t="n"/>
      <c r="AN89" s="434">
        <f>AF89*AG89+AH89*AI89+AJ89*AK89+AL89*AM89</f>
        <v/>
      </c>
    </row>
    <row r="90" ht="15.75" customHeight="1" s="552" thickBot="1">
      <c r="C90" s="1" t="n"/>
      <c r="D90" s="1" t="n"/>
      <c r="E90" s="1" t="n"/>
      <c r="F90" s="1" t="n"/>
      <c r="G90" s="1" t="n"/>
      <c r="I90" s="41" t="inlineStr">
        <is>
          <t>Результат ИТОГО ПЭО</t>
        </is>
      </c>
      <c r="J90" s="60">
        <f>E67</f>
        <v/>
      </c>
      <c r="K90" s="60">
        <f>VLOOKUP(J90,J93:N100,2,FALSE)</f>
        <v/>
      </c>
      <c r="L90" s="60">
        <f>VLOOKUP(J90,J93:N100,3,FALSE)</f>
        <v/>
      </c>
      <c r="M90" s="60">
        <f>VLOOKUP(J90,J93:N100,4)</f>
        <v/>
      </c>
      <c r="N90" s="60">
        <f>VLOOKUP(J90,J93:N100,5)</f>
        <v/>
      </c>
      <c r="O90" s="60">
        <f>VLOOKUP(J90,J92:O100,6)</f>
        <v/>
      </c>
      <c r="P90" s="60">
        <f>VLOOKUP(J90,J93:P100,7)</f>
        <v/>
      </c>
      <c r="Q90" s="60">
        <f>VLOOKUP(J90,J93:Q100,8)</f>
        <v/>
      </c>
      <c r="R90" s="60">
        <f>VLOOKUP(J90,J93:R100,9)</f>
        <v/>
      </c>
      <c r="AB90" s="320" t="n"/>
      <c r="AD90" s="79" t="inlineStr">
        <is>
          <t>Ф144</t>
        </is>
      </c>
      <c r="AE90" s="79" t="inlineStr">
        <is>
          <t>Д1</t>
        </is>
      </c>
      <c r="AF90" s="434" t="n">
        <v>0</v>
      </c>
      <c r="AG90" s="79" t="n"/>
      <c r="AH90" s="434" t="n">
        <v>0</v>
      </c>
      <c r="AI90" s="79" t="n"/>
      <c r="AJ90" s="434" t="n">
        <v>1</v>
      </c>
      <c r="AK90" s="239">
        <f>Материалы!H110</f>
        <v/>
      </c>
      <c r="AL90" s="434" t="n">
        <v>0</v>
      </c>
      <c r="AM90" s="434" t="n"/>
      <c r="AN90" s="434">
        <f>AF90*AG90+AH90*AI90+AJ90*AK90+AL90*AM90</f>
        <v/>
      </c>
    </row>
    <row r="91" ht="29.25" customHeight="1" s="552" thickBot="1">
      <c r="C91" s="1" t="n"/>
      <c r="D91" s="1" t="n"/>
      <c r="E91" s="1" t="n"/>
      <c r="F91" s="1" t="n"/>
      <c r="G91" s="1" t="n"/>
      <c r="I91" s="41" t="inlineStr">
        <is>
          <t>Результат ИТОГО Конструктор</t>
        </is>
      </c>
      <c r="J91" s="284">
        <f>IF(AND(D1=2,T14="А3Н"),E102,INDEX(I93:I100,INDEX(MATCH(1=1,I93:I100&lt;&gt;"",),)))</f>
        <v/>
      </c>
      <c r="K91" s="284" t="n"/>
      <c r="L91" s="284" t="n"/>
      <c r="M91" s="282">
        <f>VLOOKUP(J91,J93:N100,4)</f>
        <v/>
      </c>
      <c r="N91" s="281">
        <f>VLOOKUP(J91,J93:N100,5)</f>
        <v/>
      </c>
      <c r="O91" s="281">
        <f>VLOOKUP(J91,J92:O100,6)</f>
        <v/>
      </c>
      <c r="P91" s="282">
        <f>VLOOKUP(J91,J93:P100,7)</f>
        <v/>
      </c>
      <c r="Q91" s="281">
        <f>VLOOKUP(J91,J93:Q100,8)</f>
        <v/>
      </c>
      <c r="R91" s="283">
        <f>VLOOKUP(J91,J93:R100,9)</f>
        <v/>
      </c>
      <c r="U91" s="135" t="n"/>
      <c r="AB91" s="320" t="n"/>
      <c r="AD91" s="79" t="inlineStr">
        <is>
          <t>Ф145</t>
        </is>
      </c>
      <c r="AE91" s="79" t="inlineStr">
        <is>
          <t>Д1</t>
        </is>
      </c>
      <c r="AF91" s="434" t="n">
        <v>0</v>
      </c>
      <c r="AG91" s="79" t="n"/>
      <c r="AH91" s="434" t="n">
        <v>1</v>
      </c>
      <c r="AI91" s="239">
        <f>Материалы!H109</f>
        <v/>
      </c>
      <c r="AJ91" s="434" t="n">
        <v>0</v>
      </c>
      <c r="AK91" s="79" t="n"/>
      <c r="AL91" s="434" t="n">
        <v>0</v>
      </c>
      <c r="AM91" s="434" t="n"/>
      <c r="AN91" s="434">
        <f>AF91*AG91+AH91*AI91+AJ91*AK91+AL91*AM91</f>
        <v/>
      </c>
    </row>
    <row r="92">
      <c r="D92" s="1" t="n"/>
      <c r="E92" s="1" t="n"/>
      <c r="F92" s="1" t="n"/>
      <c r="G92" s="1" t="n"/>
      <c r="I92" s="18" t="n"/>
      <c r="J92" s="43" t="inlineStr">
        <is>
          <t xml:space="preserve">Индекс двигателя </t>
        </is>
      </c>
      <c r="K92" s="30" t="inlineStr">
        <is>
          <t>Ток двигателя, А</t>
        </is>
      </c>
      <c r="L92" s="30" t="n"/>
      <c r="M92" s="48" t="inlineStr">
        <is>
          <t>Автомат</t>
        </is>
      </c>
      <c r="N92" s="48" t="inlineStr">
        <is>
          <t>Автомат</t>
        </is>
      </c>
      <c r="O92" s="29" t="inlineStr">
        <is>
          <t>Клемма</t>
        </is>
      </c>
      <c r="P92" s="51" t="inlineStr">
        <is>
          <t>Провод</t>
        </is>
      </c>
      <c r="Q92" s="29" t="inlineStr">
        <is>
          <t>металл</t>
        </is>
      </c>
      <c r="R92" s="29" t="inlineStr">
        <is>
          <t>пластик</t>
        </is>
      </c>
      <c r="U92" s="1" t="n"/>
      <c r="AB92" s="320" t="n"/>
      <c r="AD92" s="79" t="inlineStr">
        <is>
          <t>Ф145</t>
        </is>
      </c>
      <c r="AE92" s="79" t="inlineStr">
        <is>
          <t>Д2</t>
        </is>
      </c>
      <c r="AF92" s="434" t="n">
        <v>0</v>
      </c>
      <c r="AG92" s="79" t="n"/>
      <c r="AH92" s="434" t="n">
        <v>1</v>
      </c>
      <c r="AI92" s="239">
        <f>Материалы!H109</f>
        <v/>
      </c>
      <c r="AJ92" s="434" t="n">
        <v>1</v>
      </c>
      <c r="AK92" s="239">
        <f>Материалы!H110</f>
        <v/>
      </c>
      <c r="AL92" s="434" t="n">
        <v>0</v>
      </c>
      <c r="AM92" s="434" t="n"/>
      <c r="AN92" s="434">
        <f>AF92*AG92+AH92*AI92+AJ92*AK92+AL92*AM92</f>
        <v/>
      </c>
    </row>
    <row r="93">
      <c r="D93" s="1" t="n"/>
      <c r="E93" s="1" t="n"/>
      <c r="F93" s="1" t="n"/>
      <c r="G93" s="1" t="n"/>
      <c r="I93" s="19">
        <f>IF(AND(K93&lt;Главная!$I$19,Главная!$I$19&lt;L93),J93,"")</f>
        <v/>
      </c>
      <c r="J93" s="45" t="inlineStr">
        <is>
          <t>А3Н00040</t>
        </is>
      </c>
      <c r="K93" s="10" t="n">
        <v>0</v>
      </c>
      <c r="L93" s="10" t="n">
        <v>3.9</v>
      </c>
      <c r="M93" s="49" t="n">
        <v>10</v>
      </c>
      <c r="N93" s="44">
        <f>Материалы!E29</f>
        <v/>
      </c>
      <c r="O93" s="10" t="n">
        <v>2.5</v>
      </c>
      <c r="P93" s="42" t="n">
        <v>1.5</v>
      </c>
      <c r="Q93" s="10" t="inlineStr">
        <is>
          <t>400х300х200</t>
        </is>
      </c>
      <c r="R93" s="10">
        <f>Материалы!D96</f>
        <v/>
      </c>
      <c r="U93" s="1" t="n"/>
      <c r="X93" s="34" t="n"/>
      <c r="AB93" s="320" t="n"/>
      <c r="AD93" s="79" t="inlineStr">
        <is>
          <t>Ф146</t>
        </is>
      </c>
      <c r="AE93" s="79" t="inlineStr">
        <is>
          <t>Д1</t>
        </is>
      </c>
      <c r="AF93" s="434" t="n">
        <v>0</v>
      </c>
      <c r="AG93" s="79" t="n"/>
      <c r="AH93" s="434" t="n">
        <v>0</v>
      </c>
      <c r="AI93" s="79" t="n"/>
      <c r="AJ93" s="434" t="n">
        <v>1</v>
      </c>
      <c r="AK93" s="239">
        <f>Материалы!H110</f>
        <v/>
      </c>
      <c r="AL93" s="434" t="n">
        <v>0</v>
      </c>
      <c r="AM93" s="434" t="n"/>
      <c r="AN93" s="434">
        <f>AF93*AG93+AH93*AI93+AJ93*AK93+AL93*AM93</f>
        <v/>
      </c>
    </row>
    <row r="94">
      <c r="D94" s="1" t="n"/>
      <c r="E94" s="1" t="n"/>
      <c r="F94" s="1" t="n"/>
      <c r="G94" s="1" t="n"/>
      <c r="I94" s="19">
        <f>IF(AND(K94&lt;=Главная!$I$19,Главная!$I$19&lt;L94),J94,"")</f>
        <v/>
      </c>
      <c r="J94" s="45" t="inlineStr">
        <is>
          <t>А3Н00060</t>
        </is>
      </c>
      <c r="K94" s="10" t="n">
        <v>3.9</v>
      </c>
      <c r="L94" s="10" t="n">
        <v>5.9</v>
      </c>
      <c r="M94" s="49" t="n">
        <v>16</v>
      </c>
      <c r="N94" s="44">
        <f>Материалы!E30</f>
        <v/>
      </c>
      <c r="O94" s="10" t="n">
        <v>2.5</v>
      </c>
      <c r="P94" s="42" t="n">
        <v>1.5</v>
      </c>
      <c r="Q94" s="10" t="inlineStr">
        <is>
          <t>400х300х200</t>
        </is>
      </c>
      <c r="R94" s="10">
        <f>Материалы!D96</f>
        <v/>
      </c>
      <c r="U94" s="1" t="n"/>
      <c r="W94" s="34" t="n"/>
      <c r="X94" s="34" t="n"/>
      <c r="AB94" s="320" t="n"/>
      <c r="AD94" s="79" t="inlineStr">
        <is>
          <t>Ф147</t>
        </is>
      </c>
      <c r="AE94" s="79" t="inlineStr">
        <is>
          <t>Д1</t>
        </is>
      </c>
      <c r="AF94" s="434" t="n">
        <v>0</v>
      </c>
      <c r="AG94" s="79" t="n"/>
      <c r="AH94" s="434" t="n">
        <v>1</v>
      </c>
      <c r="AI94" s="239">
        <f>Материалы!H109</f>
        <v/>
      </c>
      <c r="AJ94" s="434" t="n">
        <v>0</v>
      </c>
      <c r="AK94" s="79" t="n"/>
      <c r="AL94" s="434" t="n">
        <v>0</v>
      </c>
      <c r="AM94" s="434" t="n"/>
      <c r="AN94" s="434">
        <f>AF94*AG94+AH94*AI94+AJ94*AK94+AL94*AM94</f>
        <v/>
      </c>
    </row>
    <row r="95">
      <c r="D95" s="1" t="n"/>
      <c r="E95" s="1" t="n"/>
      <c r="F95" s="1" t="n"/>
      <c r="G95" s="1" t="n"/>
      <c r="I95" s="19">
        <f>IF(AND(K95&lt;=Главная!$I$19,Главная!$I$19&lt;L95),J95,"")</f>
        <v/>
      </c>
      <c r="J95" s="45" t="inlineStr">
        <is>
          <t>А3Н00100</t>
        </is>
      </c>
      <c r="K95" s="10" t="n">
        <v>5.9</v>
      </c>
      <c r="L95" s="10" t="n">
        <v>9.9</v>
      </c>
      <c r="M95" s="49" t="n">
        <v>20</v>
      </c>
      <c r="N95" s="44">
        <f>Материалы!E31</f>
        <v/>
      </c>
      <c r="O95" s="10" t="n">
        <v>4</v>
      </c>
      <c r="P95" s="42" t="n">
        <v>2.5</v>
      </c>
      <c r="Q95" s="10" t="inlineStr">
        <is>
          <t>400х300х200</t>
        </is>
      </c>
      <c r="R95" s="10">
        <f>Материалы!D96</f>
        <v/>
      </c>
      <c r="U95" s="1" t="n"/>
      <c r="W95" s="1" t="n"/>
      <c r="X95" s="34" t="n"/>
      <c r="AB95" s="320" t="n"/>
      <c r="AD95" s="79" t="inlineStr">
        <is>
          <t>Ф147</t>
        </is>
      </c>
      <c r="AE95" s="79" t="inlineStr">
        <is>
          <t>Д2</t>
        </is>
      </c>
      <c r="AF95" s="434" t="n">
        <v>0</v>
      </c>
      <c r="AG95" s="79" t="n"/>
      <c r="AH95" s="434" t="n">
        <v>1</v>
      </c>
      <c r="AI95" s="239">
        <f>Материалы!H109</f>
        <v/>
      </c>
      <c r="AJ95" s="434" t="n">
        <v>1</v>
      </c>
      <c r="AK95" s="239">
        <f>Материалы!H110</f>
        <v/>
      </c>
      <c r="AL95" s="434" t="n">
        <v>0</v>
      </c>
      <c r="AM95" s="434" t="n"/>
      <c r="AN95" s="434">
        <f>AF95*AG95+AH95*AI95+AJ95*AK95+AL95*AM95</f>
        <v/>
      </c>
    </row>
    <row r="96">
      <c r="D96" s="1" t="n"/>
      <c r="E96" s="1" t="n"/>
      <c r="F96" s="1" t="n"/>
      <c r="G96" s="1" t="n"/>
      <c r="I96" s="19">
        <f>IF(AND(K96&lt;=Главная!$I$19,Главная!$I$19&lt;L96),J96,"")</f>
        <v/>
      </c>
      <c r="J96" s="45" t="inlineStr">
        <is>
          <t>А3Н00160</t>
        </is>
      </c>
      <c r="K96" s="10" t="n">
        <v>9.9</v>
      </c>
      <c r="L96" s="10" t="n">
        <v>15.9</v>
      </c>
      <c r="M96" s="49" t="n">
        <v>32</v>
      </c>
      <c r="N96" s="44">
        <f>Материалы!E32</f>
        <v/>
      </c>
      <c r="O96" s="10" t="n">
        <v>6</v>
      </c>
      <c r="P96" s="42" t="n">
        <v>2.5</v>
      </c>
      <c r="Q96" s="10" t="inlineStr">
        <is>
          <t>400х300х200</t>
        </is>
      </c>
      <c r="R96" s="10" t="inlineStr">
        <is>
          <t>-</t>
        </is>
      </c>
      <c r="U96" s="1" t="n"/>
      <c r="X96" s="34" t="n"/>
      <c r="AB96" s="320" t="n"/>
      <c r="AD96" s="79" t="inlineStr">
        <is>
          <t>Ф148</t>
        </is>
      </c>
      <c r="AE96" s="79" t="inlineStr">
        <is>
          <t>Д1</t>
        </is>
      </c>
      <c r="AF96" s="434" t="n">
        <v>1</v>
      </c>
      <c r="AG96" s="239">
        <f>Материалы!H109</f>
        <v/>
      </c>
      <c r="AH96" s="434" t="n">
        <v>1</v>
      </c>
      <c r="AI96" s="239">
        <f>Материалы!H109</f>
        <v/>
      </c>
      <c r="AJ96" s="434" t="n">
        <v>0</v>
      </c>
      <c r="AK96" s="79" t="n"/>
      <c r="AL96" s="434" t="n">
        <v>0</v>
      </c>
      <c r="AM96" s="434" t="n"/>
      <c r="AN96" s="434">
        <f>AF96*AG96+AH96*AI96+AJ96*AK96+AL96*AM96</f>
        <v/>
      </c>
    </row>
    <row r="97">
      <c r="I97" s="19">
        <f>IF(AND(K97&lt;=Главная!$I$19,Главная!$I$19&lt;L97),J97,"")</f>
        <v/>
      </c>
      <c r="J97" s="45" t="inlineStr">
        <is>
          <t>А3Н00200</t>
        </is>
      </c>
      <c r="K97" s="10" t="n">
        <v>15.9</v>
      </c>
      <c r="L97" s="10" t="n">
        <v>19.9</v>
      </c>
      <c r="M97" s="49" t="n">
        <v>40</v>
      </c>
      <c r="N97" s="44">
        <f>Материалы!E33</f>
        <v/>
      </c>
      <c r="O97" s="10" t="n">
        <v>6</v>
      </c>
      <c r="P97" s="42" t="n">
        <v>4</v>
      </c>
      <c r="Q97" s="10" t="inlineStr">
        <is>
          <t>400х300х200</t>
        </is>
      </c>
      <c r="R97" s="10" t="inlineStr">
        <is>
          <t>-</t>
        </is>
      </c>
      <c r="U97" s="1" t="n"/>
      <c r="X97" s="34" t="n"/>
      <c r="AB97" s="320" t="n"/>
      <c r="AD97" s="79" t="inlineStr">
        <is>
          <t>Ф149</t>
        </is>
      </c>
      <c r="AE97" s="79" t="inlineStr">
        <is>
          <t>Д1</t>
        </is>
      </c>
      <c r="AF97" s="434" t="n">
        <v>1</v>
      </c>
      <c r="AG97" s="239">
        <f>Материалы!H109</f>
        <v/>
      </c>
      <c r="AH97" s="434" t="n">
        <v>1</v>
      </c>
      <c r="AI97" s="239">
        <f>Материалы!H109</f>
        <v/>
      </c>
      <c r="AJ97" s="434" t="n">
        <v>0</v>
      </c>
      <c r="AK97" s="79" t="n"/>
      <c r="AL97" s="434" t="n">
        <v>0</v>
      </c>
      <c r="AM97" s="434" t="n"/>
      <c r="AN97" s="434">
        <f>AF97*AG97+AH97*AI97+AJ97*AK97+AL97*AM97</f>
        <v/>
      </c>
    </row>
    <row r="98" ht="17.25" customHeight="1" s="552">
      <c r="E98" s="218" t="inlineStr">
        <is>
          <t>Индекс двигателя по ПЭО</t>
        </is>
      </c>
      <c r="F98" s="36" t="n"/>
      <c r="G98" s="36" t="n"/>
      <c r="I98" s="19">
        <f>IF(AND(K98&lt;=Главная!$I$19,Главная!$I$19&lt;L98),J98,"")</f>
        <v/>
      </c>
      <c r="J98" s="45" t="inlineStr">
        <is>
          <t>А3Н00400</t>
        </is>
      </c>
      <c r="K98" s="10" t="n">
        <v>19.9</v>
      </c>
      <c r="L98" s="10" t="n">
        <v>39.9</v>
      </c>
      <c r="M98" s="49" t="n">
        <v>63</v>
      </c>
      <c r="N98" s="44">
        <f>Материалы!E34</f>
        <v/>
      </c>
      <c r="O98" s="10" t="n">
        <v>16</v>
      </c>
      <c r="P98" s="42" t="n">
        <v>10</v>
      </c>
      <c r="Q98" s="10" t="inlineStr">
        <is>
          <t>400х300х200</t>
        </is>
      </c>
      <c r="R98" s="10" t="inlineStr">
        <is>
          <t>-</t>
        </is>
      </c>
      <c r="U98" s="1" t="n"/>
      <c r="X98" s="34" t="n"/>
      <c r="AD98" s="79" t="inlineStr">
        <is>
          <t>Ф150</t>
        </is>
      </c>
      <c r="AE98" s="79" t="inlineStr">
        <is>
          <t>Д1</t>
        </is>
      </c>
      <c r="AF98" s="434" t="n">
        <v>1</v>
      </c>
      <c r="AG98" s="239">
        <f>Материалы!H109</f>
        <v/>
      </c>
      <c r="AH98" s="434" t="n">
        <v>1</v>
      </c>
      <c r="AI98" s="239">
        <f>Материалы!H109</f>
        <v/>
      </c>
      <c r="AJ98" s="434" t="n">
        <v>0</v>
      </c>
      <c r="AK98" s="79" t="n"/>
      <c r="AL98" s="434" t="n">
        <v>0</v>
      </c>
      <c r="AM98" s="434" t="n"/>
      <c r="AN98" s="434">
        <f>AF98*AG98+AH98*AI98+AJ98*AK98+AL98*AM98</f>
        <v/>
      </c>
    </row>
    <row r="99">
      <c r="E99" s="234" t="inlineStr">
        <is>
          <t>Пуск прямой 3-фазный</t>
        </is>
      </c>
      <c r="F99" s="253" t="n"/>
      <c r="G99" s="253" t="n"/>
      <c r="I99" s="19">
        <f>IF(AND(K99&lt;=Главная!$I$19,Главная!$I$19&lt;L99),J99,"")</f>
        <v/>
      </c>
      <c r="J99" s="45" t="inlineStr">
        <is>
          <t>А3Н00630</t>
        </is>
      </c>
      <c r="K99" s="10" t="n">
        <v>39.9</v>
      </c>
      <c r="L99" s="10" t="n">
        <v>62.9</v>
      </c>
      <c r="M99" s="49" t="n">
        <v>100</v>
      </c>
      <c r="N99" s="44">
        <f>Материалы!E36</f>
        <v/>
      </c>
      <c r="O99" s="10" t="n">
        <v>35</v>
      </c>
      <c r="P99" s="42" t="n">
        <v>16</v>
      </c>
      <c r="Q99" s="10" t="inlineStr">
        <is>
          <t>500х400х200</t>
        </is>
      </c>
      <c r="R99" s="10" t="inlineStr">
        <is>
          <t>-</t>
        </is>
      </c>
      <c r="U99" s="1" t="n"/>
      <c r="X99" s="34" t="n"/>
      <c r="AD99" s="79" t="inlineStr">
        <is>
          <t>Ф150</t>
        </is>
      </c>
      <c r="AE99" s="79" t="inlineStr">
        <is>
          <t>Д2</t>
        </is>
      </c>
      <c r="AF99" s="434" t="n">
        <v>1</v>
      </c>
      <c r="AG99" s="239">
        <f>Материалы!H109</f>
        <v/>
      </c>
      <c r="AH99" s="434" t="n">
        <v>1</v>
      </c>
      <c r="AI99" s="239">
        <f>Материалы!H109</f>
        <v/>
      </c>
      <c r="AJ99" s="434" t="n">
        <v>1</v>
      </c>
      <c r="AK99" s="239">
        <f>Материалы!H110</f>
        <v/>
      </c>
      <c r="AL99" s="434" t="n">
        <v>0</v>
      </c>
      <c r="AM99" s="434" t="n"/>
      <c r="AN99" s="434">
        <f>AF99*AG99+AH99*AI99+AJ99*AK99+AL99*AM99</f>
        <v/>
      </c>
    </row>
    <row r="100" ht="15.75" customHeight="1" s="552" thickBot="1">
      <c r="E100" s="10">
        <f>IF(T14="А3Р",R14,1)</f>
        <v/>
      </c>
      <c r="F100" s="1" t="n"/>
      <c r="G100" s="1" t="n"/>
      <c r="I100" s="20">
        <f>IF(AND(K100&lt;=Главная!$I$19,Главная!$I$19&lt;=L100),J100,"")</f>
        <v/>
      </c>
      <c r="J100" s="47" t="inlineStr">
        <is>
          <t>А3Н00700</t>
        </is>
      </c>
      <c r="K100" s="21" t="n">
        <v>62.9</v>
      </c>
      <c r="L100" s="21" t="n">
        <v>69.90000000000001</v>
      </c>
      <c r="M100" s="50" t="n">
        <v>125</v>
      </c>
      <c r="N100" s="44">
        <f>Материалы!E37</f>
        <v/>
      </c>
      <c r="O100" s="10" t="n">
        <v>35</v>
      </c>
      <c r="P100" s="42" t="n">
        <v>16</v>
      </c>
      <c r="Q100" s="10" t="inlineStr">
        <is>
          <t>500х400х200</t>
        </is>
      </c>
      <c r="R100" s="10" t="inlineStr">
        <is>
          <t>-</t>
        </is>
      </c>
      <c r="U100" s="1" t="n"/>
      <c r="X100" s="34" t="n"/>
      <c r="AB100" s="320" t="n"/>
      <c r="AD100" s="79" t="inlineStr">
        <is>
          <t>Ф151</t>
        </is>
      </c>
      <c r="AE100" s="79" t="inlineStr">
        <is>
          <t>Д1</t>
        </is>
      </c>
      <c r="AF100" s="434" t="n">
        <v>1</v>
      </c>
      <c r="AG100" s="239">
        <f>Материалы!H109</f>
        <v/>
      </c>
      <c r="AH100" s="434" t="n">
        <v>1</v>
      </c>
      <c r="AI100" s="239">
        <f>Материалы!H109</f>
        <v/>
      </c>
      <c r="AJ100" s="434" t="n">
        <v>0</v>
      </c>
      <c r="AK100" s="79" t="n"/>
      <c r="AL100" s="434" t="n">
        <v>0</v>
      </c>
      <c r="AM100" s="79" t="n"/>
      <c r="AN100" s="434">
        <f>AF100*AG100+AH100*AI100+AJ100*AK100+AL100*AM100</f>
        <v/>
      </c>
    </row>
    <row r="101">
      <c r="E101" s="234" t="inlineStr">
        <is>
          <t>ПускЧРП 3-фазный</t>
        </is>
      </c>
      <c r="F101" s="253" t="n"/>
      <c r="G101" s="253" t="n"/>
      <c r="U101" s="1" t="n"/>
      <c r="X101" s="34" t="n"/>
      <c r="AB101" s="320" t="n"/>
      <c r="AD101" s="79" t="inlineStr">
        <is>
          <t>Ф151</t>
        </is>
      </c>
      <c r="AE101" s="79" t="inlineStr">
        <is>
          <t>Д2</t>
        </is>
      </c>
      <c r="AF101" s="434" t="n">
        <v>1</v>
      </c>
      <c r="AG101" s="239">
        <f>Материалы!H109</f>
        <v/>
      </c>
      <c r="AH101" s="434" t="n">
        <v>1</v>
      </c>
      <c r="AI101" s="239">
        <f>Материалы!H109</f>
        <v/>
      </c>
      <c r="AJ101" s="434" t="n">
        <v>1</v>
      </c>
      <c r="AK101" s="239">
        <f>Материалы!H110</f>
        <v/>
      </c>
      <c r="AL101" s="434" t="n">
        <v>0</v>
      </c>
      <c r="AM101" s="79" t="n"/>
      <c r="AN101" s="434">
        <f>AF101*AG101+AH101*AI101+AJ101*AK101+AL101*AM101</f>
        <v/>
      </c>
    </row>
    <row r="102">
      <c r="E102" s="10">
        <f>IF(T14="А3Н",R14,2)</f>
        <v/>
      </c>
      <c r="F102" s="1" t="n"/>
      <c r="G102" s="1" t="n"/>
      <c r="U102" s="1" t="n"/>
      <c r="X102" s="34" t="n"/>
      <c r="AB102" s="320" t="n"/>
      <c r="AD102" s="434" t="inlineStr">
        <is>
          <t>Ф160</t>
        </is>
      </c>
      <c r="AE102" s="79" t="inlineStr">
        <is>
          <t>Д1</t>
        </is>
      </c>
      <c r="AF102" s="434" t="n">
        <v>0</v>
      </c>
      <c r="AG102" s="79" t="n"/>
      <c r="AH102" s="434" t="n">
        <v>0</v>
      </c>
      <c r="AI102" s="79" t="n"/>
      <c r="AJ102" s="434" t="n">
        <v>0</v>
      </c>
      <c r="AK102" s="79" t="n"/>
      <c r="AL102" s="434" t="n">
        <v>1</v>
      </c>
      <c r="AM102" s="435">
        <f>Материалы!H116</f>
        <v/>
      </c>
      <c r="AN102" s="434">
        <f>AF102*AG102+AH102*AI102+AJ102*AK102+AL102*AM102</f>
        <v/>
      </c>
    </row>
    <row r="103" ht="15.75" customHeight="1" s="552" thickBot="1">
      <c r="E103" s="234" t="inlineStr">
        <is>
          <t>1-фазные двигатели</t>
        </is>
      </c>
      <c r="F103" s="253" t="n"/>
      <c r="G103" s="253" t="n"/>
      <c r="I103" s="15" t="inlineStr">
        <is>
          <t>1-фазные двигатели</t>
        </is>
      </c>
      <c r="V103" t="inlineStr">
        <is>
          <t>ЦЕНА в расчет</t>
        </is>
      </c>
      <c r="X103" s="34" t="n"/>
      <c r="AB103" s="320" t="n"/>
      <c r="AD103" s="434" t="inlineStr">
        <is>
          <t>Ф161</t>
        </is>
      </c>
      <c r="AE103" s="79" t="inlineStr">
        <is>
          <t>Д1</t>
        </is>
      </c>
      <c r="AF103" s="434" t="n">
        <v>0</v>
      </c>
      <c r="AG103" s="79" t="n"/>
      <c r="AH103" s="434" t="n">
        <v>1</v>
      </c>
      <c r="AI103" s="239">
        <f>Материалы!H109</f>
        <v/>
      </c>
      <c r="AJ103" s="434" t="n">
        <v>0</v>
      </c>
      <c r="AK103" s="79" t="n"/>
      <c r="AL103" s="434" t="n">
        <v>0</v>
      </c>
      <c r="AM103" s="434" t="n"/>
      <c r="AN103" s="434">
        <f>AF103*AG103+AH103*AI103+AJ103*AK103+AL103*AM103</f>
        <v/>
      </c>
    </row>
    <row r="104" ht="15.75" customHeight="1" s="552" thickBot="1">
      <c r="E104" s="10">
        <f>IF(T14="А1Н",R14,3)</f>
        <v/>
      </c>
      <c r="F104" s="1" t="n"/>
      <c r="G104" s="1" t="n"/>
      <c r="I104" s="41" t="inlineStr">
        <is>
          <t>Результат ИТОГО для расчета</t>
        </is>
      </c>
      <c r="J104" s="290">
        <f>IF($D$1=1,J106,J105)</f>
        <v/>
      </c>
      <c r="K104" s="290">
        <f>IF($D$1=1,K106,K105)</f>
        <v/>
      </c>
      <c r="L104" s="290">
        <f>IF($D$1=1,L106,L105)</f>
        <v/>
      </c>
      <c r="M104" s="290">
        <f>IF($D$1=1,M106,M105)</f>
        <v/>
      </c>
      <c r="N104" s="290">
        <f>IF($D$1=1,N106,N105)</f>
        <v/>
      </c>
      <c r="O104" s="290">
        <f>IF($D$1=1,O106,O105)</f>
        <v/>
      </c>
      <c r="P104" s="290">
        <f>IF($D$1=1,P106,P105)</f>
        <v/>
      </c>
      <c r="Q104" s="290">
        <f>IF($D$1=1,Q106,Q105)</f>
        <v/>
      </c>
      <c r="R104" s="290">
        <f>IF($D$1=1,R106,R105)</f>
        <v/>
      </c>
      <c r="S104" s="290">
        <f>IF($D$1=1,S106,S105)</f>
        <v/>
      </c>
      <c r="T104" s="290">
        <f>IF($D$1=1,T106,T105)</f>
        <v/>
      </c>
      <c r="U104" s="290" t="n"/>
      <c r="V104" s="300">
        <f>VLOOKUP(U106,U108:V115,2,FALSE)</f>
        <v/>
      </c>
      <c r="X104" s="34" t="n"/>
      <c r="AD104" s="434" t="inlineStr">
        <is>
          <t>Ф161</t>
        </is>
      </c>
      <c r="AE104" s="79" t="inlineStr">
        <is>
          <t>Д2</t>
        </is>
      </c>
      <c r="AF104" s="434" t="n">
        <v>0</v>
      </c>
      <c r="AG104" s="79" t="n"/>
      <c r="AH104" s="434" t="n">
        <v>1</v>
      </c>
      <c r="AI104" s="239">
        <f>Материалы!H109</f>
        <v/>
      </c>
      <c r="AJ104" s="434" t="n">
        <v>0</v>
      </c>
      <c r="AK104" s="79" t="n"/>
      <c r="AL104" s="434" t="n">
        <v>1</v>
      </c>
      <c r="AM104" s="435">
        <f>Материалы!H116</f>
        <v/>
      </c>
      <c r="AN104" s="434">
        <f>AF104*AG104+AH104*AI104+AJ104*AK104+AL104*AM104</f>
        <v/>
      </c>
    </row>
    <row r="105" ht="15.75" customHeight="1" s="552" thickBot="1">
      <c r="E105" s="559" t="inlineStr">
        <is>
          <t>ИТОГ ВЫБОРА ИНДЕКСА</t>
        </is>
      </c>
      <c r="F105" s="1" t="n"/>
      <c r="G105" s="1" t="n"/>
      <c r="I105" s="41" t="inlineStr">
        <is>
          <t>Результат ИТОГО ПЭО</t>
        </is>
      </c>
      <c r="J105" s="60">
        <f>E67</f>
        <v/>
      </c>
      <c r="K105" s="60">
        <f>VLOOKUP(J105,J108:M115,2,FALSE)</f>
        <v/>
      </c>
      <c r="L105" s="60">
        <f>VLOOKUP(J105,J108:M115,3,FALSE)</f>
        <v/>
      </c>
      <c r="M105" s="60">
        <f>VLOOKUP(J105,J108:M115,4)</f>
        <v/>
      </c>
      <c r="N105" s="60">
        <f>VLOOKUP(J105,J108:N115,5)</f>
        <v/>
      </c>
      <c r="O105" s="60">
        <f>VLOOKUP(J105,J108:O115,6)</f>
        <v/>
      </c>
      <c r="P105" s="60">
        <f>VLOOKUP(J105,J108:P115,7)</f>
        <v/>
      </c>
      <c r="Q105" s="60">
        <f>VLOOKUP(J105,J108:Q115,8)</f>
        <v/>
      </c>
      <c r="R105" s="60">
        <f>VLOOKUP(J105,J108:R115,9)</f>
        <v/>
      </c>
      <c r="S105" s="60">
        <f>VLOOKUP(J105,J108:S115,10)</f>
        <v/>
      </c>
      <c r="T105" s="60">
        <f>VLOOKUP(J105,J108:T115,11)</f>
        <v/>
      </c>
      <c r="V105" s="3" t="n"/>
      <c r="X105" s="34" t="n"/>
      <c r="AD105" s="434" t="inlineStr">
        <is>
          <t>Ф162</t>
        </is>
      </c>
      <c r="AE105" s="79" t="inlineStr">
        <is>
          <t>Д1</t>
        </is>
      </c>
      <c r="AF105" s="434" t="n">
        <v>0</v>
      </c>
      <c r="AG105" s="79" t="n"/>
      <c r="AH105" s="434" t="n">
        <v>0</v>
      </c>
      <c r="AI105" s="79" t="n"/>
      <c r="AJ105" s="434" t="n">
        <v>1</v>
      </c>
      <c r="AK105" s="239">
        <f>Материалы!H110</f>
        <v/>
      </c>
      <c r="AL105" s="434" t="n">
        <v>0</v>
      </c>
      <c r="AM105" s="434" t="n"/>
      <c r="AN105" s="434">
        <f>AF105*AG105+AH105*AI105+AJ105*AK105+AL105*AM105</f>
        <v/>
      </c>
    </row>
    <row r="106" ht="29.25" customHeight="1" s="552" thickBot="1">
      <c r="E106" s="186">
        <f>IF(E100&lt;&gt;1,E100,IF(E102&lt;&gt;2,E102,E104))</f>
        <v/>
      </c>
      <c r="F106" s="36" t="n"/>
      <c r="G106" s="36" t="n"/>
      <c r="I106" s="41" t="inlineStr">
        <is>
          <t>Результат ИТОГО Конструктор</t>
        </is>
      </c>
      <c r="J106" s="281">
        <f>IF(AND(D1=2,T14="А1Н"),E104,INDEX(I108:I115,INDEX(MATCH(1=1,I108:I115&lt;&gt;"",),)))</f>
        <v/>
      </c>
      <c r="K106" s="281" t="n"/>
      <c r="L106" s="281" t="n"/>
      <c r="M106" s="281">
        <f>VLOOKUP(J106,J108:M115,4)</f>
        <v/>
      </c>
      <c r="N106" s="281">
        <f>VLOOKUP(J106,J108:N115,5)</f>
        <v/>
      </c>
      <c r="O106" s="281">
        <f>VLOOKUP(J106,J108:O115,6)</f>
        <v/>
      </c>
      <c r="P106" s="281">
        <f>VLOOKUP(J106,J108:P115,7)</f>
        <v/>
      </c>
      <c r="Q106" s="281">
        <f>VLOOKUP(J106,J108:Q115,8)</f>
        <v/>
      </c>
      <c r="R106" s="282">
        <f>VLOOKUP(J106,J108:R115,9)</f>
        <v/>
      </c>
      <c r="S106" s="281">
        <f>VLOOKUP(J106,J108:S115,10)</f>
        <v/>
      </c>
      <c r="T106" s="283">
        <f>VLOOKUP(J106,J108:T115,11)</f>
        <v/>
      </c>
      <c r="U106" s="120">
        <f>VLOOKUP(J104,J108:U115,12)</f>
        <v/>
      </c>
      <c r="V106" s="10" t="n"/>
      <c r="W106" s="34" t="n"/>
      <c r="X106" s="34" t="n"/>
      <c r="AB106" s="320" t="n"/>
      <c r="AD106" s="434" t="inlineStr">
        <is>
          <t>Ф162</t>
        </is>
      </c>
      <c r="AE106" s="79" t="inlineStr">
        <is>
          <t>Д2</t>
        </is>
      </c>
      <c r="AF106" s="434" t="n">
        <v>0</v>
      </c>
      <c r="AG106" s="79" t="n"/>
      <c r="AH106" s="434" t="n">
        <v>0</v>
      </c>
      <c r="AI106" s="79" t="n"/>
      <c r="AJ106" s="434" t="n">
        <v>1</v>
      </c>
      <c r="AK106" s="239">
        <f>Материалы!H110</f>
        <v/>
      </c>
      <c r="AL106" s="434" t="n">
        <v>1</v>
      </c>
      <c r="AM106" s="435">
        <f>Материалы!H116</f>
        <v/>
      </c>
      <c r="AN106" s="434">
        <f>AF106*AG106+AH106*AI106+AJ106*AK106+AL106*AM106</f>
        <v/>
      </c>
    </row>
    <row r="107">
      <c r="I107" s="17" t="n"/>
      <c r="J107" s="43" t="inlineStr">
        <is>
          <t xml:space="preserve">Индекс двигателя </t>
        </is>
      </c>
      <c r="K107" s="30" t="inlineStr">
        <is>
          <t>Ток двигателя, А</t>
        </is>
      </c>
      <c r="L107" s="30" t="n"/>
      <c r="M107" s="43" t="inlineStr">
        <is>
          <t>Автомат</t>
        </is>
      </c>
      <c r="N107" s="43" t="inlineStr">
        <is>
          <t>Автомат</t>
        </is>
      </c>
      <c r="O107" s="29" t="inlineStr">
        <is>
          <t>Контактор</t>
        </is>
      </c>
      <c r="P107" s="29" t="inlineStr">
        <is>
          <t>Контактор</t>
        </is>
      </c>
      <c r="Q107" s="46" t="inlineStr">
        <is>
          <t>Клемма</t>
        </is>
      </c>
      <c r="R107" s="48" t="inlineStr">
        <is>
          <t>Провод</t>
        </is>
      </c>
      <c r="S107" s="29" t="inlineStr">
        <is>
          <t>металл</t>
        </is>
      </c>
      <c r="T107" s="29" t="inlineStr">
        <is>
          <t>пластик</t>
        </is>
      </c>
      <c r="U107" s="299" t="inlineStr">
        <is>
          <t>рег.обор</t>
        </is>
      </c>
      <c r="V107" s="3" t="n"/>
      <c r="X107" s="34" t="n"/>
      <c r="AB107" s="320" t="n"/>
      <c r="AD107" s="434" t="inlineStr">
        <is>
          <t>Ф163</t>
        </is>
      </c>
      <c r="AE107" s="79" t="inlineStr">
        <is>
          <t>Д1</t>
        </is>
      </c>
      <c r="AF107" s="434" t="n">
        <v>0</v>
      </c>
      <c r="AG107" s="79" t="n"/>
      <c r="AH107" s="434" t="n">
        <v>1</v>
      </c>
      <c r="AI107" s="239">
        <f>Материалы!H109</f>
        <v/>
      </c>
      <c r="AJ107" s="434" t="n">
        <v>1</v>
      </c>
      <c r="AK107" s="239">
        <f>Материалы!H110</f>
        <v/>
      </c>
      <c r="AL107" s="434" t="n">
        <v>0</v>
      </c>
      <c r="AM107" s="434" t="n"/>
      <c r="AN107" s="434">
        <f>AF107*AG107+AH107*AI107+AJ107*AK107+AL107*AM107</f>
        <v/>
      </c>
    </row>
    <row r="108">
      <c r="I108" s="12">
        <f>IF(AND(K108&lt;=Главная!$I$19,Главная!$I$19&lt;L108),J108,"")</f>
        <v/>
      </c>
      <c r="J108" s="44" t="inlineStr">
        <is>
          <t>А1Н00010</t>
        </is>
      </c>
      <c r="K108" s="59" t="n">
        <v>0.25</v>
      </c>
      <c r="L108" s="59" t="n">
        <v>0.4</v>
      </c>
      <c r="M108" s="46" t="n">
        <v>1</v>
      </c>
      <c r="N108" s="46">
        <f>Материалы!E41</f>
        <v/>
      </c>
      <c r="O108" s="58">
        <f>Материалы!D46</f>
        <v/>
      </c>
      <c r="P108" s="58">
        <f>Материалы!E46</f>
        <v/>
      </c>
      <c r="Q108" s="10" t="n">
        <v>2.5</v>
      </c>
      <c r="R108" s="42" t="n">
        <v>1.5</v>
      </c>
      <c r="S108" s="10" t="inlineStr">
        <is>
          <t>400х300х200</t>
        </is>
      </c>
      <c r="T108" s="10">
        <f>Материалы!D96</f>
        <v/>
      </c>
      <c r="U108" s="256">
        <f>Материалы!E112</f>
        <v/>
      </c>
      <c r="V108" s="140">
        <f>Материалы!H112</f>
        <v/>
      </c>
      <c r="X108" s="34" t="n"/>
      <c r="AB108" s="320" t="n"/>
      <c r="AD108" s="434" t="inlineStr">
        <is>
          <t>Ф163</t>
        </is>
      </c>
      <c r="AE108" s="79" t="inlineStr">
        <is>
          <t>Д2</t>
        </is>
      </c>
      <c r="AF108" s="434" t="n">
        <v>0</v>
      </c>
      <c r="AG108" s="79" t="n"/>
      <c r="AH108" s="434" t="n">
        <v>1</v>
      </c>
      <c r="AI108" s="239">
        <f>Материалы!H109</f>
        <v/>
      </c>
      <c r="AJ108" s="434" t="n">
        <v>1</v>
      </c>
      <c r="AK108" s="239">
        <f>Материалы!H110</f>
        <v/>
      </c>
      <c r="AL108" s="434" t="n">
        <v>1</v>
      </c>
      <c r="AM108" s="435">
        <f>Материалы!H116</f>
        <v/>
      </c>
      <c r="AN108" s="434">
        <f>AF108*AG108+AH108*AI108+AJ108*AK108+AL108*AM108</f>
        <v/>
      </c>
    </row>
    <row r="109">
      <c r="I109" s="12">
        <f>IF(AND(K109&lt;=Главная!$I$19,Главная!$I$19&lt;L109),J109,"")</f>
        <v/>
      </c>
      <c r="J109" s="44" t="inlineStr">
        <is>
          <t>А1Н00010</t>
        </is>
      </c>
      <c r="K109" s="59" t="n">
        <v>0.4</v>
      </c>
      <c r="L109" s="59" t="n">
        <v>0.6</v>
      </c>
      <c r="M109" s="46" t="n">
        <v>1</v>
      </c>
      <c r="N109" s="46">
        <f>Материалы!E41</f>
        <v/>
      </c>
      <c r="O109" s="58">
        <f>Материалы!D46</f>
        <v/>
      </c>
      <c r="P109" s="10">
        <f>Материалы!E46</f>
        <v/>
      </c>
      <c r="Q109" s="10" t="n">
        <v>2.5</v>
      </c>
      <c r="R109" s="42" t="n">
        <v>1.5</v>
      </c>
      <c r="S109" s="10" t="inlineStr">
        <is>
          <t>400х300х200</t>
        </is>
      </c>
      <c r="T109" s="10">
        <f>Материалы!D96</f>
        <v/>
      </c>
      <c r="U109" s="256">
        <f>Материалы!E112</f>
        <v/>
      </c>
      <c r="V109" s="140">
        <f>Материалы!H112</f>
        <v/>
      </c>
      <c r="X109" s="34" t="n"/>
      <c r="AB109" s="320" t="n"/>
      <c r="AD109" s="434" t="inlineStr">
        <is>
          <t>Ф170</t>
        </is>
      </c>
      <c r="AE109" s="79" t="inlineStr">
        <is>
          <t>Д1</t>
        </is>
      </c>
      <c r="AF109" s="434" t="n">
        <v>0</v>
      </c>
      <c r="AG109" s="79" t="n"/>
      <c r="AH109" s="434" t="n">
        <v>0</v>
      </c>
      <c r="AI109" s="79" t="n"/>
      <c r="AJ109" s="434" t="n">
        <v>0</v>
      </c>
      <c r="AK109" s="79" t="n"/>
      <c r="AL109" s="434" t="n">
        <v>1</v>
      </c>
      <c r="AM109" s="435">
        <f>Материалы!H116</f>
        <v/>
      </c>
      <c r="AN109" s="434">
        <f>AF109*AG109+AH109*AI109+AJ109*AK109+AL109*AM109</f>
        <v/>
      </c>
    </row>
    <row r="110">
      <c r="I110" s="12">
        <f>IF(AND(K110&lt;=Главная!$I$19,Главная!$I$19&lt;L110),J110,"")</f>
        <v/>
      </c>
      <c r="J110" s="44" t="inlineStr">
        <is>
          <t>А1Н00010</t>
        </is>
      </c>
      <c r="K110" s="60" t="n">
        <v>0.6</v>
      </c>
      <c r="L110" s="60" t="n">
        <v>0.9</v>
      </c>
      <c r="M110" s="44" t="n">
        <v>1</v>
      </c>
      <c r="N110" s="44">
        <f>Материалы!E41</f>
        <v/>
      </c>
      <c r="O110" s="10">
        <f>Материалы!D46</f>
        <v/>
      </c>
      <c r="P110" s="10">
        <f>Материалы!E46</f>
        <v/>
      </c>
      <c r="Q110" s="10" t="n">
        <v>2.5</v>
      </c>
      <c r="R110" s="42" t="n">
        <v>1.5</v>
      </c>
      <c r="S110" s="10" t="inlineStr">
        <is>
          <t>400х300х200</t>
        </is>
      </c>
      <c r="T110" s="10">
        <f>Материалы!D96</f>
        <v/>
      </c>
      <c r="U110" s="256">
        <f>Материалы!E112</f>
        <v/>
      </c>
      <c r="V110" s="140">
        <f>Материалы!H112</f>
        <v/>
      </c>
      <c r="X110" s="34" t="n"/>
      <c r="AB110" s="320" t="n"/>
      <c r="AD110" s="434" t="inlineStr">
        <is>
          <t>Ф171</t>
        </is>
      </c>
      <c r="AE110" s="79" t="inlineStr">
        <is>
          <t>Д1</t>
        </is>
      </c>
      <c r="AF110" s="434" t="n">
        <v>0</v>
      </c>
      <c r="AG110" s="79" t="n"/>
      <c r="AH110" s="434" t="n">
        <v>1</v>
      </c>
      <c r="AI110" s="239">
        <f>Материалы!H109</f>
        <v/>
      </c>
      <c r="AJ110" s="434" t="n">
        <v>0</v>
      </c>
      <c r="AK110" s="79" t="n"/>
      <c r="AL110" s="434" t="n">
        <v>0</v>
      </c>
      <c r="AM110" s="434" t="n"/>
      <c r="AN110" s="434">
        <f>AF110*AG110+AH110*AI110+AJ110*AK110+AL110*AM110</f>
        <v/>
      </c>
    </row>
    <row r="111">
      <c r="I111" s="12">
        <f>IF(AND(K111&lt;=Главная!$I$19,Главная!$I$19&lt;L111),J111,"")</f>
        <v/>
      </c>
      <c r="J111" s="44" t="inlineStr">
        <is>
          <t>А1Н00020</t>
        </is>
      </c>
      <c r="K111" s="10" t="n">
        <v>0.9</v>
      </c>
      <c r="L111" s="10" t="n">
        <v>1.6</v>
      </c>
      <c r="M111" s="44" t="n">
        <v>2</v>
      </c>
      <c r="N111" s="44">
        <f>Материалы!E42</f>
        <v/>
      </c>
      <c r="O111" s="10">
        <f>Материалы!D46</f>
        <v/>
      </c>
      <c r="P111" s="10">
        <f>Материалы!E46</f>
        <v/>
      </c>
      <c r="Q111" s="10" t="n">
        <v>2.5</v>
      </c>
      <c r="R111" s="42" t="n">
        <v>1.5</v>
      </c>
      <c r="S111" s="10" t="inlineStr">
        <is>
          <t>400х300х200</t>
        </is>
      </c>
      <c r="T111" s="10">
        <f>Материалы!D96</f>
        <v/>
      </c>
      <c r="U111" s="256">
        <f>Материалы!E113</f>
        <v/>
      </c>
      <c r="V111" s="140">
        <f>Материалы!H113</f>
        <v/>
      </c>
      <c r="X111" s="34" t="n"/>
      <c r="AB111" s="320" t="n"/>
      <c r="AD111" s="434" t="inlineStr">
        <is>
          <t>Ф171</t>
        </is>
      </c>
      <c r="AE111" s="79" t="inlineStr">
        <is>
          <t>Д2</t>
        </is>
      </c>
      <c r="AF111" s="434" t="n">
        <v>0</v>
      </c>
      <c r="AG111" s="79" t="n"/>
      <c r="AH111" s="434" t="n">
        <v>1</v>
      </c>
      <c r="AI111" s="239">
        <f>Материалы!H109</f>
        <v/>
      </c>
      <c r="AJ111" s="434" t="n">
        <v>0</v>
      </c>
      <c r="AK111" s="79" t="n"/>
      <c r="AL111" s="434" t="n">
        <v>1</v>
      </c>
      <c r="AM111" s="435">
        <f>Материалы!H116</f>
        <v/>
      </c>
      <c r="AN111" s="434">
        <f>AF111*AG111+AH111*AI111+AJ111*AK111+AL111*AM111</f>
        <v/>
      </c>
    </row>
    <row r="112">
      <c r="I112" s="12">
        <f>IF(AND(K112&lt;=Главная!$I$19,Главная!$I$19&lt;L112),J112,"")</f>
        <v/>
      </c>
      <c r="J112" s="44" t="inlineStr">
        <is>
          <t>А1Н00020</t>
        </is>
      </c>
      <c r="K112" s="10" t="n">
        <v>1.6</v>
      </c>
      <c r="L112" s="10" t="n">
        <v>1.9</v>
      </c>
      <c r="M112" s="44" t="n">
        <v>2</v>
      </c>
      <c r="N112" s="44">
        <f>Материалы!E42</f>
        <v/>
      </c>
      <c r="O112" s="10">
        <f>Материалы!D46</f>
        <v/>
      </c>
      <c r="P112" s="10">
        <f>Материалы!E46</f>
        <v/>
      </c>
      <c r="Q112" s="10" t="n">
        <v>2.5</v>
      </c>
      <c r="R112" s="42" t="n">
        <v>1.5</v>
      </c>
      <c r="S112" s="10" t="inlineStr">
        <is>
          <t>400х300х200</t>
        </is>
      </c>
      <c r="T112" s="10">
        <f>Материалы!D96</f>
        <v/>
      </c>
      <c r="U112" s="256">
        <f>Материалы!E113</f>
        <v/>
      </c>
      <c r="V112" s="140">
        <f>Материалы!H113</f>
        <v/>
      </c>
      <c r="X112" s="34" t="n"/>
      <c r="AB112" s="320" t="n"/>
      <c r="AD112" s="434" t="inlineStr">
        <is>
          <t>Ф172</t>
        </is>
      </c>
      <c r="AE112" s="79" t="inlineStr">
        <is>
          <t>Д1</t>
        </is>
      </c>
      <c r="AF112" s="434" t="n">
        <v>0</v>
      </c>
      <c r="AG112" s="79" t="n"/>
      <c r="AH112" s="434" t="n">
        <v>0</v>
      </c>
      <c r="AI112" s="79" t="n"/>
      <c r="AJ112" s="434" t="n">
        <v>0</v>
      </c>
      <c r="AK112" s="79" t="n"/>
      <c r="AL112" s="434" t="n">
        <v>1</v>
      </c>
      <c r="AM112" s="435">
        <f>Материалы!H116</f>
        <v/>
      </c>
      <c r="AN112" s="434">
        <f>AF112*AG112+AH112*AI112+AJ112*AK112+AL112*AM112</f>
        <v/>
      </c>
    </row>
    <row r="113">
      <c r="I113" s="12">
        <f>IF(AND(K113&lt;=Главная!$I$19,Главная!$I$19&lt;L113),J113,"")</f>
        <v/>
      </c>
      <c r="J113" s="44" t="inlineStr">
        <is>
          <t>А1Н00030</t>
        </is>
      </c>
      <c r="K113" s="10" t="n">
        <v>1.9</v>
      </c>
      <c r="L113" s="10" t="n">
        <v>2.5</v>
      </c>
      <c r="M113" s="44" t="n">
        <v>4</v>
      </c>
      <c r="N113" s="44">
        <f>Материалы!E43</f>
        <v/>
      </c>
      <c r="O113" s="10">
        <f>Материалы!D46</f>
        <v/>
      </c>
      <c r="P113" s="10">
        <f>Материалы!E46</f>
        <v/>
      </c>
      <c r="Q113" s="10" t="n">
        <v>2.5</v>
      </c>
      <c r="R113" s="42" t="n">
        <v>1.5</v>
      </c>
      <c r="S113" s="10" t="inlineStr">
        <is>
          <t>400х300х200</t>
        </is>
      </c>
      <c r="T113" s="10">
        <f>Материалы!D96</f>
        <v/>
      </c>
      <c r="U113" s="256">
        <f>Материалы!E114</f>
        <v/>
      </c>
      <c r="V113" s="140">
        <f>Материалы!H114</f>
        <v/>
      </c>
      <c r="X113" s="34" t="n"/>
      <c r="AB113" s="320" t="n"/>
      <c r="AD113" s="434" t="inlineStr">
        <is>
          <t>Ф173</t>
        </is>
      </c>
      <c r="AE113" s="79" t="inlineStr">
        <is>
          <t>Д1</t>
        </is>
      </c>
      <c r="AF113" s="434" t="n">
        <v>0</v>
      </c>
      <c r="AG113" s="79" t="n"/>
      <c r="AH113" s="434" t="n">
        <v>1</v>
      </c>
      <c r="AI113" s="239">
        <f>Материалы!H109</f>
        <v/>
      </c>
      <c r="AJ113" s="434" t="n">
        <v>0</v>
      </c>
      <c r="AK113" s="79" t="n"/>
      <c r="AL113" s="434" t="n">
        <v>0</v>
      </c>
      <c r="AM113" s="434" t="n"/>
      <c r="AN113" s="434">
        <f>AF113*AG113+AH113*AI113+AJ113*AK113+AL113*AM113</f>
        <v/>
      </c>
    </row>
    <row r="114">
      <c r="I114" s="12">
        <f>IF(AND(K114&lt;=Главная!$I$19,Главная!$I$19&lt;L114),J114,"")</f>
        <v/>
      </c>
      <c r="J114" s="44" t="inlineStr">
        <is>
          <t>А1Н00030</t>
        </is>
      </c>
      <c r="K114" s="10" t="n">
        <v>2.5</v>
      </c>
      <c r="L114" s="10" t="n">
        <v>2.9</v>
      </c>
      <c r="M114" s="44" t="n">
        <v>4</v>
      </c>
      <c r="N114" s="44">
        <f>Материалы!E43</f>
        <v/>
      </c>
      <c r="O114" s="10">
        <f>Материалы!D46</f>
        <v/>
      </c>
      <c r="P114" s="10">
        <f>Материалы!E46</f>
        <v/>
      </c>
      <c r="Q114" s="10" t="n">
        <v>2.5</v>
      </c>
      <c r="R114" s="42" t="n">
        <v>1.5</v>
      </c>
      <c r="S114" s="10" t="inlineStr">
        <is>
          <t>400х300х200</t>
        </is>
      </c>
      <c r="T114" s="10">
        <f>Материалы!D96</f>
        <v/>
      </c>
      <c r="U114" s="256">
        <f>Материалы!E114</f>
        <v/>
      </c>
      <c r="V114" s="140">
        <f>Материалы!H114</f>
        <v/>
      </c>
      <c r="X114" s="34" t="n"/>
      <c r="AB114" s="320" t="n"/>
      <c r="AD114" s="434" t="inlineStr">
        <is>
          <t>Ф173</t>
        </is>
      </c>
      <c r="AE114" s="79" t="inlineStr">
        <is>
          <t>Д2</t>
        </is>
      </c>
      <c r="AF114" s="434" t="n">
        <v>0</v>
      </c>
      <c r="AG114" s="79" t="n"/>
      <c r="AH114" s="434" t="n">
        <v>1</v>
      </c>
      <c r="AI114" s="239">
        <f>Материалы!H109</f>
        <v/>
      </c>
      <c r="AJ114" s="434" t="n">
        <v>0</v>
      </c>
      <c r="AK114" s="79" t="n"/>
      <c r="AL114" s="434" t="n">
        <v>1</v>
      </c>
      <c r="AM114" s="435">
        <f>Материалы!H116</f>
        <v/>
      </c>
      <c r="AN114" s="434">
        <f>AF114*AG114+AH114*AI114+AJ114*AK114+AL114*AM114</f>
        <v/>
      </c>
    </row>
    <row r="115">
      <c r="I115" s="12">
        <f>IF(AND(K115&lt;=Главная!$I$19,Главная!$I$19&lt;L115),J115,"")</f>
        <v/>
      </c>
      <c r="J115" s="44" t="inlineStr">
        <is>
          <t>А1Н00050</t>
        </is>
      </c>
      <c r="K115" s="10" t="n">
        <v>2.9</v>
      </c>
      <c r="L115" s="10" t="n">
        <v>4.9</v>
      </c>
      <c r="M115" s="44" t="n">
        <v>6</v>
      </c>
      <c r="N115" s="44">
        <f>Материалы!E39</f>
        <v/>
      </c>
      <c r="O115" s="10">
        <f>Материалы!D46</f>
        <v/>
      </c>
      <c r="P115" s="10">
        <f>Материалы!E46</f>
        <v/>
      </c>
      <c r="Q115" s="10" t="n">
        <v>2.5</v>
      </c>
      <c r="R115" s="42" t="n">
        <v>2.5</v>
      </c>
      <c r="S115" s="10" t="inlineStr">
        <is>
          <t>400х300х200</t>
        </is>
      </c>
      <c r="T115" s="10">
        <f>Материалы!D96</f>
        <v/>
      </c>
      <c r="U115" s="256">
        <f>Материалы!E115</f>
        <v/>
      </c>
      <c r="V115" s="140">
        <f>Материалы!H115</f>
        <v/>
      </c>
      <c r="X115" s="34" t="n"/>
      <c r="AB115" s="320" t="n"/>
      <c r="AD115" s="434" t="inlineStr">
        <is>
          <t>Ф174</t>
        </is>
      </c>
      <c r="AE115" s="79" t="inlineStr">
        <is>
          <t>Д1</t>
        </is>
      </c>
      <c r="AF115" s="434" t="n">
        <v>0</v>
      </c>
      <c r="AG115" s="79" t="n"/>
      <c r="AH115" s="434" t="n">
        <v>0</v>
      </c>
      <c r="AI115" s="79" t="n"/>
      <c r="AJ115" s="434" t="n">
        <v>1</v>
      </c>
      <c r="AK115" s="239">
        <f>Материалы!H110</f>
        <v/>
      </c>
      <c r="AL115" s="434" t="n">
        <v>0</v>
      </c>
      <c r="AM115" s="434" t="n"/>
      <c r="AN115" s="434">
        <f>AF115*AG115+AH115*AI115+AJ115*AK115+AL115*AM115</f>
        <v/>
      </c>
    </row>
    <row r="116">
      <c r="S116" s="1" t="n"/>
      <c r="X116" s="34" t="n"/>
      <c r="AB116" s="320" t="n"/>
      <c r="AD116" s="434" t="inlineStr">
        <is>
          <t>Ф174</t>
        </is>
      </c>
      <c r="AE116" s="79" t="inlineStr">
        <is>
          <t>Д2</t>
        </is>
      </c>
      <c r="AF116" s="434" t="n">
        <v>0</v>
      </c>
      <c r="AG116" s="79" t="n"/>
      <c r="AH116" s="434" t="n">
        <v>0</v>
      </c>
      <c r="AI116" s="79" t="n"/>
      <c r="AJ116" s="434" t="n">
        <v>1</v>
      </c>
      <c r="AK116" s="239">
        <f>Материалы!H110</f>
        <v/>
      </c>
      <c r="AL116" s="434" t="n">
        <v>1</v>
      </c>
      <c r="AM116" s="435">
        <f>Материалы!H116</f>
        <v/>
      </c>
      <c r="AN116" s="434">
        <f>AF116*AG116+AH116*AI116+AJ116*AK116+AL116*AM116</f>
        <v/>
      </c>
    </row>
    <row r="117">
      <c r="S117" s="1" t="n"/>
      <c r="X117" s="34" t="n"/>
      <c r="AB117" s="320" t="n"/>
      <c r="AD117" s="434" t="inlineStr">
        <is>
          <t>Ф175</t>
        </is>
      </c>
      <c r="AE117" s="79" t="inlineStr">
        <is>
          <t>Д1</t>
        </is>
      </c>
      <c r="AF117" s="434" t="n">
        <v>0</v>
      </c>
      <c r="AG117" s="79" t="n"/>
      <c r="AH117" s="434" t="n">
        <v>1</v>
      </c>
      <c r="AI117" s="239">
        <f>Материалы!H109</f>
        <v/>
      </c>
      <c r="AJ117" s="434" t="n">
        <v>1</v>
      </c>
      <c r="AK117" s="239">
        <f>Материалы!H110</f>
        <v/>
      </c>
      <c r="AL117" s="434" t="n">
        <v>0</v>
      </c>
      <c r="AM117" s="434" t="n"/>
      <c r="AN117" s="434">
        <f>AF117*AG117+AH117*AI117+AJ117*AK117+AL117*AM117</f>
        <v/>
      </c>
    </row>
    <row r="118" ht="15.75" customHeight="1" s="552" thickBot="1">
      <c r="S118" s="1" t="n"/>
      <c r="AD118" s="434" t="inlineStr">
        <is>
          <t>Ф175</t>
        </is>
      </c>
      <c r="AE118" s="79" t="inlineStr">
        <is>
          <t>Д2</t>
        </is>
      </c>
      <c r="AF118" s="434" t="n">
        <v>0</v>
      </c>
      <c r="AG118" s="79" t="n"/>
      <c r="AH118" s="434" t="n">
        <v>1</v>
      </c>
      <c r="AI118" s="239">
        <f>Материалы!H109</f>
        <v/>
      </c>
      <c r="AJ118" s="434" t="n">
        <v>1</v>
      </c>
      <c r="AK118" s="239">
        <f>Материалы!H110</f>
        <v/>
      </c>
      <c r="AL118" s="434" t="n">
        <v>1</v>
      </c>
      <c r="AM118" s="435">
        <f>Материалы!H116</f>
        <v/>
      </c>
      <c r="AN118" s="434">
        <f>AF118*AG118+AH118*AI118+AJ118*AK118+AL118*AM118</f>
        <v/>
      </c>
    </row>
    <row r="119" ht="15.75" customHeight="1" s="552" thickBot="1">
      <c r="L119" s="97" t="inlineStr">
        <is>
          <t>металл</t>
        </is>
      </c>
      <c r="M119" s="98" t="inlineStr">
        <is>
          <t>пластик</t>
        </is>
      </c>
      <c r="P119" t="inlineStr">
        <is>
          <t>Проверка доп комплектации</t>
        </is>
      </c>
      <c r="AD119" s="434" t="inlineStr">
        <is>
          <t>Ф176</t>
        </is>
      </c>
      <c r="AE119" s="79" t="inlineStr">
        <is>
          <t>Д1</t>
        </is>
      </c>
      <c r="AF119" s="434" t="n">
        <v>0</v>
      </c>
      <c r="AG119" s="79" t="n"/>
      <c r="AH119" s="434" t="n">
        <v>0</v>
      </c>
      <c r="AI119" s="79" t="n"/>
      <c r="AJ119" s="434" t="n">
        <v>1</v>
      </c>
      <c r="AK119" s="239">
        <f>Материалы!H110</f>
        <v/>
      </c>
      <c r="AL119" s="434" t="n">
        <v>0</v>
      </c>
      <c r="AM119" s="434" t="n"/>
      <c r="AN119" s="434">
        <f>AF119*AG119+AH119*AI119+AJ119*AK119+AL119*AM119</f>
        <v/>
      </c>
    </row>
    <row r="120">
      <c r="I120" s="86" t="inlineStr">
        <is>
          <t>Прямой пуск</t>
        </is>
      </c>
      <c r="J120" s="22" t="inlineStr">
        <is>
          <t>3ф</t>
        </is>
      </c>
      <c r="K120" s="52">
        <f>IF(AND(E31=0,E35=1),J65,"")</f>
        <v/>
      </c>
      <c r="L120" s="22">
        <f>IF(AND(E31=0,E35=1),S65,"")</f>
        <v/>
      </c>
      <c r="M120" s="99">
        <f>IF(AND(E31=0,E35=1),T65,"")</f>
        <v/>
      </c>
      <c r="P120" s="1" t="inlineStr">
        <is>
          <t>Д_ХХ</t>
        </is>
      </c>
      <c r="R120" s="1" t="inlineStr">
        <is>
          <t>0-ошибка,1-нет</t>
        </is>
      </c>
      <c r="S120" s="258" t="inlineStr">
        <is>
          <t>Описание</t>
        </is>
      </c>
      <c r="T120" s="1" t="n"/>
      <c r="AD120" s="434" t="inlineStr">
        <is>
          <t>Ф176</t>
        </is>
      </c>
      <c r="AE120" s="79" t="inlineStr">
        <is>
          <t>Д2</t>
        </is>
      </c>
      <c r="AF120" s="434" t="n">
        <v>0</v>
      </c>
      <c r="AG120" s="79" t="n"/>
      <c r="AH120" s="434" t="n">
        <v>0</v>
      </c>
      <c r="AI120" s="79" t="n"/>
      <c r="AJ120" s="434" t="n">
        <v>1</v>
      </c>
      <c r="AK120" s="239">
        <f>Материалы!H110</f>
        <v/>
      </c>
      <c r="AL120" s="434" t="n">
        <v>1</v>
      </c>
      <c r="AM120" s="435">
        <f>Материалы!H116</f>
        <v/>
      </c>
      <c r="AN120" s="434">
        <f>AF120*AG120+AH120*AI120+AJ120*AK120+AL120*AM120</f>
        <v/>
      </c>
    </row>
    <row r="121">
      <c r="I121" s="87" t="inlineStr">
        <is>
          <t>ЕС</t>
        </is>
      </c>
      <c r="J121" s="10" t="inlineStr">
        <is>
          <t>3ф</t>
        </is>
      </c>
      <c r="K121" s="53">
        <f>IF(AND(E31=0,E35=3),J65,"")</f>
        <v/>
      </c>
      <c r="L121" s="10">
        <f>IF(AND(E31=0,E35=3),S65,"")</f>
        <v/>
      </c>
      <c r="M121" s="100">
        <f>IF(AND(E31=0,E35=3),T65,"")</f>
        <v/>
      </c>
      <c r="O121" s="53">
        <f>E65</f>
        <v/>
      </c>
      <c r="P121" s="79">
        <f>E77</f>
        <v/>
      </c>
      <c r="Q121" s="301" t="inlineStr">
        <is>
          <t>Конструктор</t>
        </is>
      </c>
      <c r="R121" s="10">
        <f>VLOOKUP(O124,I182:V229,13,FALSE)</f>
        <v/>
      </c>
      <c r="S121" s="296">
        <f>IFERROR(IF(OR(R121=0,R122=0),"Дополнительная комплектация не соответствует выбранному оборудованию",""),"Дополнительная комплектация не соответствует выбранному оборудованию")</f>
        <v/>
      </c>
      <c r="T121" s="297" t="n"/>
      <c r="U121" s="297" t="n"/>
      <c r="V121" s="298" t="n"/>
      <c r="AD121" s="434" t="inlineStr">
        <is>
          <t>Ф177</t>
        </is>
      </c>
      <c r="AE121" s="79" t="inlineStr">
        <is>
          <t>Д1</t>
        </is>
      </c>
      <c r="AF121" s="434" t="n">
        <v>0</v>
      </c>
      <c r="AG121" s="79" t="n"/>
      <c r="AH121" s="434" t="n">
        <v>1</v>
      </c>
      <c r="AI121" s="239">
        <f>Материалы!H109</f>
        <v/>
      </c>
      <c r="AJ121" s="434" t="n">
        <v>1</v>
      </c>
      <c r="AK121" s="239">
        <f>Материалы!H110</f>
        <v/>
      </c>
      <c r="AL121" s="434" t="n">
        <v>0</v>
      </c>
      <c r="AM121" s="434" t="n"/>
      <c r="AN121" s="434">
        <f>AF121*AG121+AH121*AI121+AJ121*AK121+AL121*AM121</f>
        <v/>
      </c>
    </row>
    <row r="122">
      <c r="I122" s="87" t="inlineStr">
        <is>
          <t>ЧРП/регулятор оборотов</t>
        </is>
      </c>
      <c r="J122" s="10" t="inlineStr">
        <is>
          <t>3ф</t>
        </is>
      </c>
      <c r="K122" s="53">
        <f>IF(AND(E31=0,E35=2),J89,"")</f>
        <v/>
      </c>
      <c r="L122" s="10">
        <f>IF(AND(E31=0,E35=2),Q89,"")</f>
        <v/>
      </c>
      <c r="M122" s="100">
        <f>IF(AND(E31=0,E35=2),R89,"")</f>
        <v/>
      </c>
      <c r="O122" s="53">
        <f>E65</f>
        <v/>
      </c>
      <c r="P122" s="259">
        <f>E78</f>
        <v/>
      </c>
      <c r="Q122" s="301" t="inlineStr">
        <is>
          <t>ПЭО</t>
        </is>
      </c>
      <c r="R122" s="10">
        <f>VLOOKUP(O124,I182:V229,13,FALSE)</f>
        <v/>
      </c>
      <c r="S122" s="181" t="n"/>
      <c r="T122" s="527" t="n"/>
      <c r="U122" s="527" t="n"/>
      <c r="V122" s="528" t="n"/>
      <c r="AD122" s="434" t="inlineStr">
        <is>
          <t>Ф177</t>
        </is>
      </c>
      <c r="AE122" s="79" t="inlineStr">
        <is>
          <t>Д2</t>
        </is>
      </c>
      <c r="AF122" s="434" t="n">
        <v>0</v>
      </c>
      <c r="AG122" s="79" t="n"/>
      <c r="AH122" s="434" t="n">
        <v>1</v>
      </c>
      <c r="AI122" s="239">
        <f>Материалы!H109</f>
        <v/>
      </c>
      <c r="AJ122" s="434" t="n">
        <v>1</v>
      </c>
      <c r="AK122" s="239">
        <f>Материалы!H110</f>
        <v/>
      </c>
      <c r="AL122" s="434" t="n">
        <v>1</v>
      </c>
      <c r="AM122" s="435">
        <f>Материалы!H116</f>
        <v/>
      </c>
      <c r="AN122" s="434">
        <f>AF122*AG122+AH122*AI122+AJ122*AK122+AL122*AM122</f>
        <v/>
      </c>
    </row>
    <row r="123">
      <c r="I123" s="88" t="inlineStr">
        <is>
          <t>Прямой пуск</t>
        </is>
      </c>
      <c r="J123" s="10" t="inlineStr">
        <is>
          <t>1ф</t>
        </is>
      </c>
      <c r="K123" s="53">
        <f>IF(AND(E31=1,E35=1),J104,"")</f>
        <v/>
      </c>
      <c r="L123" s="10">
        <f>IF(AND(E31=1,E35=1),S104,"")</f>
        <v/>
      </c>
      <c r="M123" s="100">
        <f>IF(AND(E31=1,E35=1),T104,"")</f>
        <v/>
      </c>
      <c r="O123" s="53">
        <f>D65</f>
        <v/>
      </c>
      <c r="P123" s="259">
        <f>E79</f>
        <v/>
      </c>
      <c r="Q123" s="61" t="inlineStr">
        <is>
          <t>Обозначение</t>
        </is>
      </c>
      <c r="AD123" s="434" t="inlineStr">
        <is>
          <t>Ф178</t>
        </is>
      </c>
      <c r="AE123" s="79" t="inlineStr">
        <is>
          <t>Д1</t>
        </is>
      </c>
      <c r="AF123" s="434" t="n">
        <v>1</v>
      </c>
      <c r="AG123" s="239">
        <f>Материалы!H109</f>
        <v/>
      </c>
      <c r="AH123" s="434" t="n">
        <v>1</v>
      </c>
      <c r="AI123" s="239">
        <f>Материалы!H109</f>
        <v/>
      </c>
      <c r="AJ123" s="434" t="n">
        <v>0</v>
      </c>
      <c r="AK123" s="79" t="n"/>
      <c r="AL123" s="434" t="n">
        <v>0</v>
      </c>
      <c r="AM123" s="434" t="n"/>
      <c r="AN123" s="434">
        <f>AF123*AG123+AH123*AI123+AJ123*AK123+AL123*AM123</f>
        <v/>
      </c>
    </row>
    <row r="124">
      <c r="I124" s="88" t="inlineStr">
        <is>
          <t>ЧРП/регулятор оборотов</t>
        </is>
      </c>
      <c r="J124" s="23" t="inlineStr">
        <is>
          <t>1ф</t>
        </is>
      </c>
      <c r="K124" s="3">
        <f>IF(AND(E31=1,E35=2),J104,"")</f>
        <v/>
      </c>
      <c r="L124" s="3">
        <f>IF(AND(E31=1,E35=2),S104,"")</f>
        <v/>
      </c>
      <c r="M124" s="3">
        <f>IF(AND(E31=1,E35=2),T104,"")</f>
        <v/>
      </c>
      <c r="O124" s="302">
        <f>IF(D1=1,O121,IF(D1=2,O122,O123))</f>
        <v/>
      </c>
      <c r="P124" s="303">
        <f>IF(D1=1,P121,IF(D1=2,P122,P123))</f>
        <v/>
      </c>
      <c r="Q124" s="61" t="inlineStr">
        <is>
          <t>В расчет</t>
        </is>
      </c>
      <c r="AD124" s="434" t="inlineStr">
        <is>
          <t>Ф178</t>
        </is>
      </c>
      <c r="AE124" s="79" t="inlineStr">
        <is>
          <t>Д2</t>
        </is>
      </c>
      <c r="AF124" s="434" t="n">
        <v>1</v>
      </c>
      <c r="AG124" s="239">
        <f>Материалы!H109</f>
        <v/>
      </c>
      <c r="AH124" s="434" t="n">
        <v>1</v>
      </c>
      <c r="AI124" s="239">
        <f>Материалы!H109</f>
        <v/>
      </c>
      <c r="AJ124" s="434" t="n">
        <v>0</v>
      </c>
      <c r="AK124" s="79" t="n"/>
      <c r="AL124" s="434" t="n">
        <v>1</v>
      </c>
      <c r="AM124" s="435">
        <f>Материалы!H116</f>
        <v/>
      </c>
      <c r="AN124" s="434">
        <f>AF124*AG124+AH124*AI124+AJ124*AK124+AL124*AM124</f>
        <v/>
      </c>
    </row>
    <row r="125">
      <c r="I125" s="89" t="inlineStr">
        <is>
          <t>ЕС</t>
        </is>
      </c>
      <c r="J125" s="23" t="inlineStr">
        <is>
          <t>1ф</t>
        </is>
      </c>
      <c r="K125" s="54">
        <f>IF(AND(E31=1,E35=3),J104,"")</f>
        <v/>
      </c>
      <c r="L125" s="23">
        <f>IF(AND(E31=1,E35=3),S104,"")</f>
        <v/>
      </c>
      <c r="M125" s="101">
        <f>IF(AND(E31=1,E35=3),T104,"")</f>
        <v/>
      </c>
      <c r="AD125" s="434" t="inlineStr">
        <is>
          <t>Ф179</t>
        </is>
      </c>
      <c r="AE125" s="79" t="inlineStr">
        <is>
          <t>Д1</t>
        </is>
      </c>
      <c r="AF125" s="434" t="n">
        <v>1</v>
      </c>
      <c r="AG125" s="239">
        <f>Материалы!H109</f>
        <v/>
      </c>
      <c r="AH125" s="434" t="n">
        <v>1</v>
      </c>
      <c r="AI125" s="239">
        <f>Материалы!H109</f>
        <v/>
      </c>
      <c r="AJ125" s="434" t="n">
        <v>0</v>
      </c>
      <c r="AK125" s="79" t="n"/>
      <c r="AL125" s="434" t="n">
        <v>0</v>
      </c>
      <c r="AM125" s="434" t="n"/>
      <c r="AN125" s="434">
        <f>AF125*AG125+AH125*AI125+AJ125*AK125+AL125*AM125</f>
        <v/>
      </c>
      <c r="AO125" s="320" t="n"/>
      <c r="AP125" s="320" t="n"/>
      <c r="AQ125" s="320" t="n"/>
      <c r="AR125" s="320" t="n"/>
    </row>
    <row r="126" ht="15.75" customHeight="1" s="552" thickBot="1">
      <c r="I126" s="123" t="inlineStr">
        <is>
          <t>Индекс двигателя</t>
        </is>
      </c>
      <c r="J126" s="124" t="n"/>
      <c r="K126" s="124">
        <f>INDEX(K120:K125,INDEX(MATCH(1=1,K120:K125&lt;&gt;"",),))</f>
        <v/>
      </c>
      <c r="L126" s="125">
        <f>INDEX(L120:L125,INDEX(MATCH(1=1,L120:L125&lt;&gt;"",),))</f>
        <v/>
      </c>
      <c r="M126" s="126">
        <f>INDEX(M120:M125,INDEX(MATCH(1=1,M120:M125&lt;&gt;"",),))</f>
        <v/>
      </c>
      <c r="AD126" s="434" t="inlineStr">
        <is>
          <t>Ф179</t>
        </is>
      </c>
      <c r="AE126" s="79" t="inlineStr">
        <is>
          <t>Д2</t>
        </is>
      </c>
      <c r="AF126" s="434" t="n">
        <v>1</v>
      </c>
      <c r="AG126" s="239">
        <f>Материалы!H109</f>
        <v/>
      </c>
      <c r="AH126" s="434" t="n">
        <v>1</v>
      </c>
      <c r="AI126" s="239">
        <f>Материалы!H109</f>
        <v/>
      </c>
      <c r="AJ126" s="434" t="n">
        <v>0</v>
      </c>
      <c r="AK126" s="79" t="n"/>
      <c r="AL126" s="434" t="n">
        <v>1</v>
      </c>
      <c r="AM126" s="435">
        <f>Материалы!H116</f>
        <v/>
      </c>
      <c r="AN126" s="434">
        <f>AF126*AG126+AH126*AI126+AJ126*AK126+AL126*AM126</f>
        <v/>
      </c>
      <c r="AO126" s="320" t="n"/>
      <c r="AP126" s="320" t="n"/>
      <c r="AQ126" s="320" t="n"/>
      <c r="AR126" s="320" t="n"/>
    </row>
    <row r="127" ht="15.75" customHeight="1" s="552" thickBot="1">
      <c r="I127" s="90" t="inlineStr">
        <is>
          <t>ОШИБКА (1-нет,0-ошибка)</t>
        </is>
      </c>
      <c r="J127" s="55" t="n"/>
      <c r="K127" s="55" t="n"/>
      <c r="L127" s="55" t="n"/>
      <c r="M127" s="56">
        <f>IFERROR(IF(AND(E62=1,M126="-"),0,1),0)</f>
        <v/>
      </c>
      <c r="AD127" s="434" t="inlineStr">
        <is>
          <t>Ф180</t>
        </is>
      </c>
      <c r="AE127" s="79" t="inlineStr">
        <is>
          <t>Д1</t>
        </is>
      </c>
      <c r="AF127" s="434" t="n">
        <v>1</v>
      </c>
      <c r="AG127" s="239">
        <f>Материалы!H109</f>
        <v/>
      </c>
      <c r="AH127" s="434" t="n">
        <v>1</v>
      </c>
      <c r="AI127" s="239">
        <f>Материалы!H109</f>
        <v/>
      </c>
      <c r="AJ127" s="434" t="n">
        <v>1</v>
      </c>
      <c r="AK127" s="239">
        <f>Материалы!H110</f>
        <v/>
      </c>
      <c r="AL127" s="434" t="n">
        <v>0</v>
      </c>
      <c r="AM127" s="79" t="n"/>
      <c r="AN127" s="434">
        <f>AF127*AG127+AH127*AI127+AJ127*AK127+AL127*AM127</f>
        <v/>
      </c>
    </row>
    <row r="128">
      <c r="AD128" s="434" t="inlineStr">
        <is>
          <t>Ф180</t>
        </is>
      </c>
      <c r="AE128" s="79" t="inlineStr">
        <is>
          <t>Д2</t>
        </is>
      </c>
      <c r="AF128" s="434" t="n">
        <v>1</v>
      </c>
      <c r="AG128" s="239">
        <f>Материалы!H109</f>
        <v/>
      </c>
      <c r="AH128" s="434" t="n">
        <v>1</v>
      </c>
      <c r="AI128" s="239">
        <f>Материалы!H109</f>
        <v/>
      </c>
      <c r="AJ128" s="434" t="n">
        <v>1</v>
      </c>
      <c r="AK128" s="239">
        <f>Материалы!H110</f>
        <v/>
      </c>
      <c r="AL128" s="434" t="n">
        <v>1</v>
      </c>
      <c r="AM128" s="239">
        <f>Материалы!H116</f>
        <v/>
      </c>
      <c r="AN128" s="434">
        <f>AF128*AG128+AH128*AI128+AJ128*AK128+AL128*AM128</f>
        <v/>
      </c>
    </row>
    <row r="129" ht="15.75" customHeight="1" s="552" thickBot="1">
      <c r="AD129" s="434" t="n"/>
      <c r="AE129" s="79" t="n"/>
      <c r="AF129" s="434" t="n"/>
      <c r="AG129" s="239" t="n"/>
      <c r="AH129" s="434" t="n"/>
      <c r="AI129" s="239" t="n"/>
      <c r="AJ129" s="434" t="n"/>
      <c r="AK129" s="239" t="n"/>
      <c r="AL129" s="434" t="n"/>
      <c r="AM129" s="239" t="n"/>
      <c r="AN129" s="434" t="n"/>
    </row>
    <row r="130">
      <c r="I130" s="102" t="inlineStr">
        <is>
          <t>Статус Констр.</t>
        </is>
      </c>
      <c r="J130" s="81" t="inlineStr">
        <is>
          <t>Статус ПЭО</t>
        </is>
      </c>
      <c r="K130" s="79" t="inlineStr">
        <is>
          <t>Статус Обозначение</t>
        </is>
      </c>
      <c r="L130" s="520" t="inlineStr">
        <is>
          <t>Ошибки</t>
        </is>
      </c>
      <c r="M130" s="305" t="inlineStr">
        <is>
          <t>Констр.</t>
        </is>
      </c>
      <c r="N130" s="305" t="n"/>
      <c r="O130" s="305" t="inlineStr">
        <is>
          <t>Констр.</t>
        </is>
      </c>
      <c r="P130" s="103" t="inlineStr">
        <is>
          <t>Ошибки</t>
        </is>
      </c>
      <c r="Q130" s="309" t="inlineStr">
        <is>
          <t>ПЭО</t>
        </is>
      </c>
      <c r="R130" s="3" t="n"/>
      <c r="S130" s="103" t="inlineStr">
        <is>
          <t>Ошибки</t>
        </is>
      </c>
      <c r="T130" s="81" t="inlineStr">
        <is>
          <t>Обозначение</t>
        </is>
      </c>
      <c r="U130" s="3" t="n"/>
      <c r="AD130" s="434" t="n"/>
      <c r="AE130" s="79" t="n"/>
      <c r="AF130" s="434" t="n"/>
      <c r="AG130" s="239" t="n"/>
      <c r="AH130" s="434" t="n"/>
      <c r="AI130" s="239" t="n"/>
      <c r="AJ130" s="434" t="n"/>
      <c r="AK130" s="239" t="n"/>
      <c r="AL130" s="434" t="n"/>
      <c r="AM130" s="239" t="n"/>
      <c r="AN130" s="434" t="n"/>
    </row>
    <row r="131">
      <c r="H131" s="263" t="inlineStr">
        <is>
          <t>Констр.1/ПЭО2</t>
        </is>
      </c>
      <c r="I131" s="306">
        <f>D1</f>
        <v/>
      </c>
      <c r="J131" s="249">
        <f>I131</f>
        <v/>
      </c>
      <c r="K131" s="261">
        <f>I131</f>
        <v/>
      </c>
      <c r="L131" s="521" t="n"/>
      <c r="M131" s="207" t="n"/>
      <c r="N131" s="35" t="n"/>
      <c r="O131" s="16" t="inlineStr">
        <is>
          <t>Сообщение</t>
        </is>
      </c>
      <c r="P131" s="205" t="n"/>
      <c r="Q131" s="35" t="n"/>
      <c r="R131" s="3" t="n"/>
      <c r="S131" s="3" t="n"/>
      <c r="T131" s="3" t="n"/>
      <c r="U131" s="3" t="n"/>
      <c r="AD131" s="434" t="n"/>
      <c r="AE131" s="79" t="n"/>
      <c r="AF131" s="434" t="n"/>
      <c r="AG131" s="239" t="n"/>
      <c r="AH131" s="434" t="n"/>
      <c r="AI131" s="239" t="n"/>
      <c r="AJ131" s="434" t="n"/>
      <c r="AK131" s="239" t="n"/>
      <c r="AL131" s="434" t="n"/>
      <c r="AM131" s="239" t="n"/>
      <c r="AN131" s="434" t="n"/>
    </row>
    <row r="132">
      <c r="I132" s="10">
        <f>IF(O132="",1,0)</f>
        <v/>
      </c>
      <c r="J132" s="197">
        <f>IF(Q132="",1,0)</f>
        <v/>
      </c>
      <c r="K132" s="79">
        <f>IF(Q132="",1,0)</f>
        <v/>
      </c>
      <c r="L132" s="522" t="inlineStr">
        <is>
          <t>Корпус шкафа</t>
        </is>
      </c>
      <c r="M132" s="62">
        <f>IFERROR(N132,"Выберите другой материал для корпуса шкафа")</f>
        <v/>
      </c>
      <c r="N132" s="62">
        <f>IF(AND(E61="П",M127=0),"Выберите другой материал для корпуса шкафа","")</f>
        <v/>
      </c>
      <c r="O132" s="296">
        <f>IF(I131=1,M132,"")</f>
        <v/>
      </c>
      <c r="P132" s="3">
        <f>IFERROR(N132,"Проверьте тип корпуса")</f>
        <v/>
      </c>
      <c r="Q132" s="441">
        <f>IF(I131=2,P132,"")</f>
        <v/>
      </c>
      <c r="R132" s="3" t="n"/>
      <c r="S132" s="3" t="n"/>
      <c r="T132" s="3" t="n"/>
      <c r="U132" s="3" t="n"/>
      <c r="AD132" s="434" t="n"/>
      <c r="AE132" s="79" t="n"/>
      <c r="AF132" s="434" t="n"/>
      <c r="AG132" s="239" t="n"/>
      <c r="AH132" s="434" t="n"/>
      <c r="AI132" s="239" t="n"/>
      <c r="AJ132" s="434" t="n"/>
      <c r="AK132" s="239" t="n"/>
      <c r="AL132" s="434" t="n"/>
      <c r="AM132" s="239" t="n"/>
      <c r="AN132" s="434" t="n"/>
    </row>
    <row r="133">
      <c r="I133" s="10">
        <f>IF(O133="",1,0)</f>
        <v/>
      </c>
      <c r="J133" s="198" t="n"/>
      <c r="K133" s="79" t="n"/>
      <c r="L133" s="522" t="inlineStr">
        <is>
          <t>Ток 3ф</t>
        </is>
      </c>
      <c r="M133" s="62">
        <f>IF(AND(B31=0,OR(0.6&gt;Главная!I19,Главная!I19&gt;69.9)),"Введите значение тока от 0,6 до 69,9А","")</f>
        <v/>
      </c>
      <c r="N133" s="62" t="n"/>
      <c r="O133" s="181">
        <f>IF(I131=1,M133,"")</f>
        <v/>
      </c>
      <c r="P133" s="3" t="n"/>
      <c r="Q133" s="53" t="n"/>
      <c r="R133" s="3" t="n"/>
      <c r="S133" s="3" t="n"/>
      <c r="T133" s="3" t="n"/>
      <c r="U133" s="3" t="n"/>
      <c r="AD133" s="434" t="n"/>
      <c r="AE133" s="79" t="n"/>
      <c r="AF133" s="434" t="n"/>
      <c r="AG133" s="239" t="n"/>
      <c r="AH133" s="434" t="n"/>
      <c r="AI133" s="239" t="n"/>
      <c r="AJ133" s="434" t="n"/>
      <c r="AK133" s="239" t="n"/>
      <c r="AL133" s="434" t="n"/>
      <c r="AM133" s="239" t="n"/>
      <c r="AN133" s="434" t="n"/>
    </row>
    <row r="134">
      <c r="I134" s="10">
        <f>IF(O134="",1,0)</f>
        <v/>
      </c>
      <c r="J134" s="198" t="n"/>
      <c r="K134" s="79" t="n"/>
      <c r="L134" s="522" t="inlineStr">
        <is>
          <t>Ток 1ф</t>
        </is>
      </c>
      <c r="M134" s="62">
        <f>IF(AND(B31=1,OR(0.25&gt;Главная!I19,Главная!I19&gt;4.9)),"Введите значение тока от 0,25 до 4,9А","")</f>
        <v/>
      </c>
      <c r="N134" s="62" t="n"/>
      <c r="O134" s="181">
        <f>IF(I131=1,M134,"")</f>
        <v/>
      </c>
      <c r="P134" s="3" t="n"/>
      <c r="Q134" s="53" t="n"/>
      <c r="R134" s="3" t="n"/>
      <c r="S134" s="3" t="n"/>
      <c r="T134" s="3" t="n"/>
      <c r="U134" s="3" t="n"/>
      <c r="AD134" s="434" t="n"/>
      <c r="AE134" s="79" t="n"/>
      <c r="AF134" s="434" t="n"/>
      <c r="AG134" s="239" t="n"/>
      <c r="AH134" s="434" t="n"/>
      <c r="AI134" s="239" t="n"/>
      <c r="AJ134" s="434" t="n"/>
      <c r="AK134" s="239" t="n"/>
      <c r="AL134" s="434" t="n"/>
      <c r="AM134" s="239" t="n"/>
      <c r="AN134" s="434" t="n"/>
    </row>
    <row r="135">
      <c r="I135" s="10">
        <f>IF(O135="",1,0)</f>
        <v/>
      </c>
      <c r="J135" s="198" t="n"/>
      <c r="K135" s="79" t="n"/>
      <c r="L135" s="522" t="inlineStr">
        <is>
          <t>Обогрев при наличии клапана</t>
        </is>
      </c>
      <c r="M135" s="62">
        <f>IF(AND(E44=0,E48=1),"Отсутствует воздушный клапан","")</f>
        <v/>
      </c>
      <c r="N135" s="62" t="n"/>
      <c r="O135" s="181">
        <f>IF(I131=1,M135,"")</f>
        <v/>
      </c>
      <c r="P135" s="3" t="n"/>
      <c r="Q135" s="53" t="n"/>
      <c r="R135" s="3" t="n"/>
      <c r="S135" s="3" t="n"/>
      <c r="T135" s="3" t="n"/>
      <c r="U135" s="3" t="n"/>
      <c r="AD135" s="434" t="n"/>
      <c r="AE135" s="79" t="n"/>
      <c r="AF135" s="434" t="n"/>
      <c r="AG135" s="239" t="n"/>
      <c r="AH135" s="434" t="n"/>
      <c r="AI135" s="239" t="n"/>
      <c r="AJ135" s="434" t="n"/>
      <c r="AK135" s="239" t="n"/>
      <c r="AL135" s="434" t="n"/>
      <c r="AM135" s="239" t="n"/>
      <c r="AN135" s="434" t="n"/>
    </row>
    <row r="136">
      <c r="I136" s="10" t="n"/>
      <c r="J136" s="198" t="n"/>
      <c r="K136" s="79" t="n"/>
      <c r="L136" s="522" t="inlineStr">
        <is>
          <t>При 1 ф выбран ЧРП</t>
        </is>
      </c>
      <c r="M136" s="3" t="n"/>
      <c r="N136" s="3" t="n"/>
      <c r="O136" s="62" t="n"/>
      <c r="P136" s="3" t="n"/>
      <c r="Q136" s="53" t="n"/>
      <c r="R136" s="3" t="n"/>
      <c r="S136" s="3" t="n"/>
      <c r="T136" s="3" t="n"/>
      <c r="U136" s="3" t="n"/>
      <c r="AD136" s="434" t="n"/>
      <c r="AE136" s="79" t="n"/>
      <c r="AF136" s="434" t="n"/>
      <c r="AG136" s="239" t="n"/>
      <c r="AH136" s="434" t="n"/>
      <c r="AI136" s="239" t="n"/>
      <c r="AJ136" s="434" t="n"/>
      <c r="AK136" s="239" t="n"/>
      <c r="AL136" s="434" t="n"/>
      <c r="AM136" s="239" t="n"/>
      <c r="AN136" s="434" t="n"/>
    </row>
    <row r="137">
      <c r="I137" s="10" t="n"/>
      <c r="J137" s="197">
        <f>IF(Q137="",1,0)</f>
        <v/>
      </c>
      <c r="K137" s="79">
        <f>IF(S137="",1,0)</f>
        <v/>
      </c>
      <c r="L137" s="523" t="inlineStr">
        <is>
          <t>ИТОГ ошибка ввода</t>
        </is>
      </c>
      <c r="M137" s="198" t="n"/>
      <c r="N137" s="198" t="n"/>
      <c r="O137" s="198" t="n"/>
      <c r="P137" s="198">
        <f>K22</f>
        <v/>
      </c>
      <c r="Q137" s="310">
        <f>IF(OR(I131=2,I131=3),P137,"")</f>
        <v/>
      </c>
      <c r="R137" s="198" t="n"/>
      <c r="S137" s="198">
        <f>K22</f>
        <v/>
      </c>
      <c r="T137" s="198">
        <f>IF(OR(I131=2,I131=3),P137,"")</f>
        <v/>
      </c>
      <c r="U137" s="198" t="n"/>
      <c r="AD137" s="434" t="n"/>
      <c r="AE137" s="79" t="n"/>
      <c r="AF137" s="434" t="n"/>
      <c r="AG137" s="239" t="n"/>
      <c r="AH137" s="434" t="n"/>
      <c r="AI137" s="239" t="n"/>
      <c r="AJ137" s="434" t="n"/>
      <c r="AK137" s="239" t="n"/>
      <c r="AL137" s="434" t="n"/>
      <c r="AM137" s="239" t="n"/>
      <c r="AN137" s="434" t="n"/>
    </row>
    <row r="138">
      <c r="I138" s="311">
        <f>IF(O138="",1,0)</f>
        <v/>
      </c>
      <c r="J138" s="311">
        <f>IF(Q138="",1,0)</f>
        <v/>
      </c>
      <c r="K138" s="79">
        <f>IF(T138="",1,0)</f>
        <v/>
      </c>
      <c r="L138" s="524" t="inlineStr">
        <is>
          <t>Проверка Доп.комп.</t>
        </is>
      </c>
      <c r="M138" s="312">
        <f>S121</f>
        <v/>
      </c>
      <c r="N138" s="312" t="n"/>
      <c r="O138" s="312">
        <f>IF(I131=1,M138,"")</f>
        <v/>
      </c>
      <c r="P138" s="312">
        <f>S121</f>
        <v/>
      </c>
      <c r="Q138" s="313">
        <f>IF(I131=2,P138,"")</f>
        <v/>
      </c>
      <c r="R138" s="312" t="n"/>
      <c r="S138" s="312">
        <f>S121</f>
        <v/>
      </c>
      <c r="T138" s="312">
        <f>IF(I131=3,S138,"")</f>
        <v/>
      </c>
      <c r="U138" s="312" t="n"/>
      <c r="AD138" s="434" t="n"/>
      <c r="AE138" s="79" t="n"/>
      <c r="AF138" s="434" t="n"/>
      <c r="AG138" s="239" t="n"/>
      <c r="AH138" s="434" t="n"/>
      <c r="AI138" s="239" t="n"/>
      <c r="AJ138" s="434" t="n"/>
      <c r="AK138" s="239" t="n"/>
      <c r="AL138" s="434" t="n"/>
      <c r="AM138" s="239" t="n"/>
      <c r="AN138" s="434" t="n"/>
    </row>
    <row r="139">
      <c r="I139" s="307">
        <f>I132*I133*I134*I135*I138</f>
        <v/>
      </c>
      <c r="J139" s="314">
        <f>J132*J137*J138</f>
        <v/>
      </c>
      <c r="K139" s="79">
        <f>K138*K132*K137</f>
        <v/>
      </c>
      <c r="L139" s="308" t="inlineStr">
        <is>
          <t>ИТОГ</t>
        </is>
      </c>
      <c r="AD139" s="434" t="n"/>
      <c r="AE139" s="79" t="n"/>
      <c r="AF139" s="434" t="n"/>
      <c r="AG139" s="239" t="n"/>
      <c r="AH139" s="434" t="n"/>
      <c r="AI139" s="239" t="n"/>
      <c r="AJ139" s="434" t="n"/>
      <c r="AK139" s="239" t="n"/>
      <c r="AL139" s="434" t="n"/>
      <c r="AM139" s="239" t="n"/>
      <c r="AN139" s="434" t="n"/>
    </row>
    <row r="140" ht="15.75" customHeight="1" s="552">
      <c r="I140" s="304" t="n"/>
      <c r="J140" s="315">
        <f>IF(I131=1,I139,IF(I131=2,J139,K139))</f>
        <v/>
      </c>
      <c r="L140" s="316" t="inlineStr">
        <is>
          <t>ИТОГ В ЦЕНА</t>
        </is>
      </c>
      <c r="AD140" s="434" t="n"/>
      <c r="AE140" s="79" t="n"/>
      <c r="AF140" s="434" t="n"/>
      <c r="AG140" s="239" t="n"/>
      <c r="AH140" s="434" t="n"/>
      <c r="AI140" s="239" t="n"/>
      <c r="AJ140" s="434" t="n"/>
      <c r="AK140" s="239" t="n"/>
      <c r="AL140" s="434" t="n"/>
      <c r="AM140" s="239" t="n"/>
      <c r="AN140" s="434" t="n"/>
    </row>
    <row r="141">
      <c r="AD141" s="434" t="n"/>
      <c r="AE141" s="79" t="n"/>
      <c r="AF141" s="434" t="n"/>
      <c r="AG141" s="239" t="n"/>
      <c r="AH141" s="434" t="n"/>
      <c r="AI141" s="239" t="n"/>
      <c r="AJ141" s="434" t="n"/>
      <c r="AK141" s="239" t="n"/>
      <c r="AL141" s="434" t="n"/>
      <c r="AM141" s="239" t="n"/>
      <c r="AN141" s="434" t="n"/>
    </row>
    <row r="142">
      <c r="AD142" s="434" t="n"/>
      <c r="AE142" s="79" t="n"/>
      <c r="AF142" s="434" t="n"/>
      <c r="AG142" s="239" t="n"/>
      <c r="AH142" s="434" t="n"/>
      <c r="AI142" s="239" t="n"/>
      <c r="AJ142" s="434" t="n"/>
      <c r="AK142" s="239" t="n"/>
      <c r="AL142" s="434" t="n"/>
      <c r="AM142" s="239" t="n"/>
      <c r="AN142" s="434" t="n"/>
    </row>
    <row r="143">
      <c r="K143" s="442" t="inlineStr">
        <is>
          <t>Констр.1/ПЭО2</t>
        </is>
      </c>
      <c r="AD143" s="434" t="n"/>
      <c r="AE143" s="79" t="n"/>
      <c r="AF143" s="434" t="n"/>
      <c r="AG143" s="239" t="n"/>
      <c r="AH143" s="434" t="n"/>
      <c r="AI143" s="239" t="n"/>
      <c r="AJ143" s="434" t="n"/>
      <c r="AK143" s="239" t="n"/>
      <c r="AL143" s="434" t="n"/>
      <c r="AM143" s="239" t="n"/>
      <c r="AN143" s="434" t="n"/>
    </row>
    <row r="144">
      <c r="I144" s="81" t="inlineStr">
        <is>
          <t>Ошибки</t>
        </is>
      </c>
      <c r="J144" s="186" t="inlineStr">
        <is>
          <t>Констр.</t>
        </is>
      </c>
      <c r="K144" s="186" t="inlineStr">
        <is>
          <t>Статус Констр.</t>
        </is>
      </c>
      <c r="L144" s="186" t="inlineStr">
        <is>
          <t>ПЭО</t>
        </is>
      </c>
      <c r="M144" s="499" t="inlineStr">
        <is>
          <t>Статус ПЭО</t>
        </is>
      </c>
      <c r="N144" s="501" t="inlineStr">
        <is>
          <t>Обозначение</t>
        </is>
      </c>
      <c r="O144" s="501" t="inlineStr">
        <is>
          <t>Статус Обоз</t>
        </is>
      </c>
      <c r="AD144" s="434" t="inlineStr">
        <is>
          <t>Ф181</t>
        </is>
      </c>
      <c r="AE144" s="79" t="inlineStr">
        <is>
          <t>Д1</t>
        </is>
      </c>
      <c r="AF144" s="434" t="n">
        <v>1</v>
      </c>
      <c r="AG144" s="239">
        <f>Материалы!H109</f>
        <v/>
      </c>
      <c r="AH144" s="434" t="n">
        <v>1</v>
      </c>
      <c r="AI144" s="239">
        <f>Материалы!H109</f>
        <v/>
      </c>
      <c r="AJ144" s="434" t="n">
        <v>1</v>
      </c>
      <c r="AK144" s="239">
        <f>Материалы!H110</f>
        <v/>
      </c>
      <c r="AL144" s="434" t="n">
        <v>0</v>
      </c>
      <c r="AM144" s="79" t="n"/>
      <c r="AN144" s="434">
        <f>AF144*AG144+AH144*AI144+AJ144*AK144+AL144*AM144</f>
        <v/>
      </c>
    </row>
    <row r="145">
      <c r="I145" s="81" t="n"/>
      <c r="J145" s="76" t="n"/>
      <c r="K145" s="249">
        <f>D1</f>
        <v/>
      </c>
      <c r="L145" s="76" t="n"/>
      <c r="M145" s="479">
        <f>K145</f>
        <v/>
      </c>
      <c r="N145" s="255" t="n"/>
      <c r="O145" s="261">
        <f>K145</f>
        <v/>
      </c>
      <c r="AD145" s="434" t="inlineStr">
        <is>
          <t>Ф181</t>
        </is>
      </c>
      <c r="AE145" s="79" t="inlineStr">
        <is>
          <t>Д2</t>
        </is>
      </c>
      <c r="AF145" s="434" t="n">
        <v>1</v>
      </c>
      <c r="AG145" s="239">
        <f>Материалы!H109</f>
        <v/>
      </c>
      <c r="AH145" s="434" t="n">
        <v>1</v>
      </c>
      <c r="AI145" s="239">
        <f>Материалы!H109</f>
        <v/>
      </c>
      <c r="AJ145" s="434" t="n">
        <v>1</v>
      </c>
      <c r="AK145" s="239">
        <f>Материалы!H110</f>
        <v/>
      </c>
      <c r="AL145" s="434" t="n">
        <v>1</v>
      </c>
      <c r="AM145" s="239">
        <f>Материалы!H116</f>
        <v/>
      </c>
      <c r="AN145" s="434">
        <f>AF145*AG145+AH145*AI145+AJ145*AK145+AL145*AM145</f>
        <v/>
      </c>
    </row>
    <row r="146">
      <c r="I146" s="91" t="inlineStr">
        <is>
          <t>Корпус шкафа</t>
        </is>
      </c>
      <c r="J146" s="62">
        <f>IFERROR(L146,"Проверьте тип корпуса")</f>
        <v/>
      </c>
      <c r="K146" s="42" t="n"/>
      <c r="L146" s="197" t="n"/>
      <c r="M146" s="500" t="n"/>
      <c r="N146" s="3" t="n"/>
      <c r="O146" s="3" t="n"/>
    </row>
    <row r="147">
      <c r="I147" s="91" t="inlineStr">
        <is>
          <t>Ток 3ф вент</t>
        </is>
      </c>
      <c r="J147" s="62">
        <f>IF(AND(B31=0,OR(0.6&gt;Главная!I19,Главная!I19&gt;69.9)),0,"")</f>
        <v/>
      </c>
      <c r="K147" s="42">
        <f>IF(J147=0,0,1)</f>
        <v/>
      </c>
      <c r="L147" s="197" t="n"/>
      <c r="M147" s="500" t="n"/>
      <c r="N147" s="3" t="n"/>
      <c r="O147" s="3" t="n"/>
    </row>
    <row r="148">
      <c r="I148" s="91" t="inlineStr">
        <is>
          <t>Ток 1ф вент</t>
        </is>
      </c>
      <c r="J148" s="62">
        <f>IF(AND(B31=1,OR(0.25&gt;Главная!I19,Главная!I19&gt;4.9)),0,"")</f>
        <v/>
      </c>
      <c r="K148" s="42">
        <f>IF(J148=0,0,1)</f>
        <v/>
      </c>
      <c r="L148" s="197" t="n"/>
      <c r="M148" s="500" t="n"/>
      <c r="N148" s="3" t="n"/>
      <c r="O148" s="3" t="n"/>
    </row>
    <row r="149">
      <c r="I149" s="443" t="inlineStr">
        <is>
          <t>Обогрев при наличии клапана</t>
        </is>
      </c>
      <c r="J149" s="3">
        <f>IF(AND(E44=0,E48=1),0,"")</f>
        <v/>
      </c>
      <c r="K149" s="42">
        <f>IF(J149=0,0,1)</f>
        <v/>
      </c>
      <c r="L149" s="197" t="n"/>
      <c r="M149" s="500" t="n"/>
      <c r="N149" s="3" t="n"/>
      <c r="O149" s="3" t="n"/>
    </row>
    <row r="150">
      <c r="I150" s="91" t="inlineStr">
        <is>
          <t>Ввод 1ф и 3ф ТО</t>
        </is>
      </c>
      <c r="J150" s="40" t="n"/>
      <c r="K150" s="42" t="n"/>
      <c r="L150" s="197" t="n"/>
      <c r="M150" s="500" t="n"/>
      <c r="N150" s="3" t="n"/>
      <c r="O150" s="3" t="n"/>
    </row>
    <row r="151">
      <c r="I151" s="91" t="inlineStr">
        <is>
          <t>Нет схемы Ф___</t>
        </is>
      </c>
      <c r="J151" s="62" t="n"/>
      <c r="K151" s="42" t="n"/>
      <c r="L151" s="197" t="n"/>
      <c r="M151" s="500" t="n"/>
      <c r="N151" s="3" t="n"/>
      <c r="O151" s="3" t="n"/>
      <c r="AC151" s="262" t="n"/>
      <c r="AF151" s="262" t="n"/>
    </row>
    <row r="152">
      <c r="I152" s="91" t="inlineStr">
        <is>
          <t>Для ТО и ЭК - индекс</t>
        </is>
      </c>
      <c r="J152" s="3" t="n"/>
      <c r="K152" s="53" t="n"/>
      <c r="L152" s="197" t="n"/>
      <c r="M152" s="500" t="n"/>
      <c r="N152" s="3" t="n"/>
      <c r="O152" s="3" t="n"/>
      <c r="AC152" s="262" t="n"/>
      <c r="AF152" s="262" t="n"/>
    </row>
    <row r="153">
      <c r="I153" s="91" t="inlineStr">
        <is>
          <t>Проверка маркировки</t>
        </is>
      </c>
      <c r="J153" s="3" t="n"/>
      <c r="K153" s="53" t="n"/>
      <c r="L153" s="197" t="n"/>
      <c r="M153" s="500" t="n"/>
      <c r="N153" s="3" t="n"/>
      <c r="O153" s="3" t="n"/>
      <c r="AC153" s="262" t="n"/>
      <c r="AF153" s="262" t="n"/>
    </row>
    <row r="154">
      <c r="I154" s="443" t="inlineStr">
        <is>
          <t>Тип корпуса</t>
        </is>
      </c>
      <c r="J154" s="3">
        <f>IF(M127=0,0,1)</f>
        <v/>
      </c>
      <c r="K154" s="10">
        <f>IF(J154=0,0,1)</f>
        <v/>
      </c>
      <c r="L154" s="3">
        <f>IF(M127=0,0,1)</f>
        <v/>
      </c>
      <c r="M154" s="3">
        <f>IF(L154=0,0,1)</f>
        <v/>
      </c>
      <c r="N154" s="3" t="n"/>
      <c r="O154" s="3" t="n"/>
      <c r="AF154" s="262" t="n"/>
    </row>
    <row r="155">
      <c r="AC155" s="258" t="n"/>
    </row>
    <row r="156">
      <c r="I156" s="444" t="inlineStr">
        <is>
          <t>Проверка Доп.комп.</t>
        </is>
      </c>
      <c r="J156" s="445" t="n"/>
      <c r="K156" s="446" t="n"/>
      <c r="M156" s="446" t="n"/>
      <c r="AB156" s="320" t="n"/>
      <c r="AC156" s="258" t="n"/>
    </row>
    <row r="157">
      <c r="I157" s="95" t="inlineStr">
        <is>
          <t>ИТОГ</t>
        </is>
      </c>
      <c r="K157" s="307">
        <f>K147*K148*K150*K151</f>
        <v/>
      </c>
      <c r="M157" s="447">
        <f>M149*J159*M150</f>
        <v/>
      </c>
      <c r="AB157" s="320" t="n"/>
      <c r="AC157" s="258" t="n"/>
    </row>
    <row r="158" ht="15.75" customHeight="1" s="552">
      <c r="I158" s="316" t="inlineStr">
        <is>
          <t>ИТОГ В ЦЕНА</t>
        </is>
      </c>
      <c r="M158" s="315">
        <f>IF(K145=1,K157,M157)</f>
        <v/>
      </c>
      <c r="AB158" s="320" t="n"/>
      <c r="AC158" s="258" t="n"/>
    </row>
    <row r="159">
      <c r="I159" s="57" t="inlineStr">
        <is>
          <t>Сообщения</t>
        </is>
      </c>
      <c r="J159" s="57" t="n"/>
      <c r="K159" s="57" t="inlineStr">
        <is>
          <t>Вывод на главную</t>
        </is>
      </c>
      <c r="AB159" s="320" t="n"/>
      <c r="AC159" s="258" t="n"/>
    </row>
    <row r="160">
      <c r="I160" s="132" t="inlineStr">
        <is>
          <t>Введите значение тока вентилятора от 0,6 до 69,9А</t>
        </is>
      </c>
      <c r="K160">
        <f>IF(K147=0,"Введите значение тока вентилятора от 0,6 до 69,9А","")</f>
        <v/>
      </c>
      <c r="AB160" s="320" t="n"/>
      <c r="AC160" s="258" t="n"/>
    </row>
    <row r="161">
      <c r="I161" s="132" t="inlineStr">
        <is>
          <t>Введите значение тока вентилятора от 0,25 до 4,9А</t>
        </is>
      </c>
      <c r="K161">
        <f>IF(K148=0,"Введите значение тока вентилятора от 0,25 до 4,9А","")</f>
        <v/>
      </c>
      <c r="AB161" s="320" t="n"/>
      <c r="AC161" s="258" t="n"/>
    </row>
    <row r="162">
      <c r="I162" s="132" t="inlineStr">
        <is>
          <t>Выберите другой материал для корпуса шкафа</t>
        </is>
      </c>
      <c r="K162">
        <f>IF(K154=0,I162,"")</f>
        <v/>
      </c>
      <c r="AB162" s="320" t="n"/>
      <c r="AC162" s="258" t="n"/>
    </row>
    <row r="163">
      <c r="I163" s="132" t="inlineStr">
        <is>
          <t>Проверьте введенные данные</t>
        </is>
      </c>
      <c r="K163">
        <f>IF(OR(N131=0,N132=0,N135=0),"Проверьте введенные данные","")</f>
        <v/>
      </c>
      <c r="AB163" s="320" t="n"/>
      <c r="AC163" s="258" t="n"/>
    </row>
    <row r="164">
      <c r="I164" t="inlineStr">
        <is>
          <t>Отсутствует воздушный клапан</t>
        </is>
      </c>
      <c r="K164">
        <f>IF(K149=0,"Отсутствует воздушный клапан","")</f>
        <v/>
      </c>
      <c r="AB164" s="320" t="n"/>
      <c r="AC164" s="258" t="n"/>
    </row>
    <row r="165">
      <c r="AB165" s="320" t="n"/>
      <c r="AC165" s="258" t="n"/>
    </row>
    <row r="166">
      <c r="AB166" s="320" t="n"/>
      <c r="AC166" s="258" t="n"/>
    </row>
    <row r="167">
      <c r="AB167" s="320" t="n"/>
      <c r="AC167" s="258" t="n"/>
    </row>
    <row r="168">
      <c r="AB168" s="320" t="n"/>
      <c r="AC168" s="258" t="n"/>
    </row>
    <row r="169">
      <c r="AB169" s="320" t="n"/>
      <c r="AC169" s="258" t="n"/>
    </row>
    <row r="170">
      <c r="AB170" s="320" t="n"/>
      <c r="AC170" s="258" t="n"/>
    </row>
    <row r="171">
      <c r="AB171" s="320" t="n"/>
      <c r="AC171" s="258" t="n"/>
    </row>
    <row r="172">
      <c r="I172" s="1" t="n"/>
      <c r="J172" s="304" t="n"/>
      <c r="AB172" s="320" t="n"/>
      <c r="AC172" s="258" t="n"/>
    </row>
    <row r="173">
      <c r="AB173" s="320" t="n"/>
      <c r="AC173" s="258" t="n"/>
    </row>
    <row r="174">
      <c r="AC174" s="258" t="n"/>
    </row>
    <row r="175">
      <c r="AC175" s="258" t="n"/>
    </row>
    <row r="176" ht="15.75" customHeight="1" s="552" thickBot="1">
      <c r="L176" t="inlineStr">
        <is>
          <t>Доп. комплектация не соответствует выбранному оборудованию</t>
        </is>
      </c>
      <c r="AC176" s="258" t="n"/>
    </row>
    <row r="177" ht="15.75" customHeight="1" s="552" thickBot="1">
      <c r="H177" s="9" t="n"/>
      <c r="I177" s="9" t="n"/>
      <c r="J177" s="9" t="n"/>
      <c r="K177" s="9" t="n"/>
      <c r="L177" s="9" t="n"/>
      <c r="M177" s="9" t="n"/>
      <c r="N177" s="9" t="n"/>
      <c r="O177" s="384" t="inlineStr">
        <is>
          <t>Реле</t>
        </is>
      </c>
      <c r="P177" s="384" t="inlineStr">
        <is>
          <t>Реле</t>
        </is>
      </c>
      <c r="Q177" s="382" t="n"/>
      <c r="R177" s="9" t="n"/>
      <c r="S177" s="32" t="n"/>
      <c r="T177" s="32" t="inlineStr">
        <is>
          <t>Конструктор</t>
        </is>
      </c>
      <c r="U177" s="62" t="n"/>
      <c r="Y177" s="1" t="inlineStr">
        <is>
          <t>Для выбора ГЛАВНАЯ</t>
        </is>
      </c>
      <c r="AC177" s="258" t="n"/>
    </row>
    <row r="178">
      <c r="H178" s="291" t="n"/>
      <c r="I178" s="291" t="n"/>
      <c r="J178" s="292" t="inlineStr">
        <is>
          <t>Запуск</t>
        </is>
      </c>
      <c r="K178" s="292" t="inlineStr">
        <is>
          <t>Питание</t>
        </is>
      </c>
      <c r="L178" s="292" t="inlineStr">
        <is>
          <t>Тип пуска</t>
        </is>
      </c>
      <c r="M178" s="292" t="inlineStr">
        <is>
          <t>Клапан</t>
        </is>
      </c>
      <c r="N178" s="292" t="inlineStr">
        <is>
          <t>Обогрев</t>
        </is>
      </c>
      <c r="O178" s="292" t="inlineStr">
        <is>
          <t>вентилятора</t>
        </is>
      </c>
      <c r="P178" s="292" t="inlineStr">
        <is>
          <t>фильтра</t>
        </is>
      </c>
      <c r="Q178" s="383" t="inlineStr">
        <is>
          <t>клеммы ПДУ</t>
        </is>
      </c>
      <c r="R178" s="292" t="inlineStr">
        <is>
          <t>Доп. компл</t>
        </is>
      </c>
      <c r="S178" s="293" t="inlineStr">
        <is>
          <t>Выбранная</t>
        </is>
      </c>
      <c r="T178" s="417" t="inlineStr">
        <is>
          <t>Проверка</t>
        </is>
      </c>
      <c r="U178" s="79" t="inlineStr">
        <is>
          <t>Проверка сост.</t>
        </is>
      </c>
      <c r="V178" s="262" t="n"/>
      <c r="Y178" s="44" t="inlineStr">
        <is>
          <t>А3Р00010</t>
        </is>
      </c>
      <c r="AC178" s="258" t="n"/>
      <c r="AD178" s="1" t="n"/>
    </row>
    <row r="179">
      <c r="H179" s="291" t="n"/>
      <c r="I179" s="291" t="inlineStr">
        <is>
          <t>№ схемы</t>
        </is>
      </c>
      <c r="J179" s="292" t="inlineStr">
        <is>
          <t>1-без сам</t>
        </is>
      </c>
      <c r="K179" s="292" t="inlineStr">
        <is>
          <t>3 - 3ф</t>
        </is>
      </c>
      <c r="L179" s="292" t="inlineStr">
        <is>
          <t>1-Пр Пуск</t>
        </is>
      </c>
      <c r="M179" s="292" t="inlineStr">
        <is>
          <t>0-нет</t>
        </is>
      </c>
      <c r="N179" s="292" t="inlineStr">
        <is>
          <t>0-нет</t>
        </is>
      </c>
      <c r="O179" s="292" t="inlineStr">
        <is>
          <t>0-нет</t>
        </is>
      </c>
      <c r="P179" s="292" t="inlineStr">
        <is>
          <t>0-нет</t>
        </is>
      </c>
      <c r="Q179" s="383" t="inlineStr">
        <is>
          <t>0-нет</t>
        </is>
      </c>
      <c r="R179" s="292" t="inlineStr">
        <is>
          <t>Д_ХХ</t>
        </is>
      </c>
      <c r="S179" s="294" t="inlineStr">
        <is>
          <t>Доп. компл</t>
        </is>
      </c>
      <c r="T179" s="256" t="inlineStr">
        <is>
          <t>состояния</t>
        </is>
      </c>
      <c r="U179" s="79" t="inlineStr">
        <is>
          <t>по номеру Ф и Д</t>
        </is>
      </c>
      <c r="V179" s="262" t="n"/>
      <c r="Y179" s="44" t="inlineStr">
        <is>
          <t>А3Р00016</t>
        </is>
      </c>
      <c r="AC179" s="258" t="n"/>
      <c r="AD179" s="262" t="n"/>
      <c r="AE179" s="262" t="n"/>
    </row>
    <row r="180">
      <c r="H180" s="291" t="n"/>
      <c r="I180" s="291" t="n"/>
      <c r="J180" s="292" t="inlineStr">
        <is>
          <t>2-с сам</t>
        </is>
      </c>
      <c r="K180" s="292" t="inlineStr">
        <is>
          <t>1 - 1ф</t>
        </is>
      </c>
      <c r="L180" s="292" t="inlineStr">
        <is>
          <t>2-ЧРП/Рег об</t>
        </is>
      </c>
      <c r="M180" s="292" t="inlineStr">
        <is>
          <t>1-да</t>
        </is>
      </c>
      <c r="N180" s="292" t="inlineStr">
        <is>
          <t>1-да</t>
        </is>
      </c>
      <c r="O180" s="292" t="inlineStr">
        <is>
          <t>1-да</t>
        </is>
      </c>
      <c r="P180" s="292" t="inlineStr">
        <is>
          <t>1-да</t>
        </is>
      </c>
      <c r="Q180" s="383" t="inlineStr">
        <is>
          <t>1-да</t>
        </is>
      </c>
      <c r="R180" s="291" t="n"/>
      <c r="S180" s="294" t="inlineStr">
        <is>
          <t>Д_ХХ КОНСТР</t>
        </is>
      </c>
      <c r="T180" s="256" t="inlineStr">
        <is>
          <t>по номеру Ф</t>
        </is>
      </c>
      <c r="U180" s="79" t="inlineStr">
        <is>
          <t>0-нет,1-да</t>
        </is>
      </c>
      <c r="V180" s="262" t="n"/>
      <c r="Y180" s="44" t="inlineStr">
        <is>
          <t>А3Р00025</t>
        </is>
      </c>
      <c r="AC180" s="258" t="n"/>
      <c r="AD180" s="262" t="n"/>
      <c r="AE180" s="262" t="n"/>
    </row>
    <row r="181">
      <c r="H181" s="70" t="n"/>
      <c r="I181" s="70" t="n"/>
      <c r="J181" s="243" t="n"/>
      <c r="K181" s="243" t="n"/>
      <c r="L181" s="243" t="inlineStr">
        <is>
          <t>3-ЕС</t>
        </is>
      </c>
      <c r="M181" s="243" t="n"/>
      <c r="N181" s="243" t="n"/>
      <c r="O181" s="243" t="n"/>
      <c r="P181" s="243" t="n"/>
      <c r="Q181" s="293" t="n"/>
      <c r="R181" s="70" t="n"/>
      <c r="S181" s="528" t="n"/>
      <c r="T181" s="53" t="n"/>
      <c r="U181" s="79" t="inlineStr">
        <is>
          <t>1ф или 1ф/3ф</t>
        </is>
      </c>
      <c r="V181" s="262" t="n"/>
      <c r="Y181" s="44" t="inlineStr">
        <is>
          <t>А3Р00040</t>
        </is>
      </c>
      <c r="AC181" s="258" t="n"/>
      <c r="AD181" s="262" t="n"/>
      <c r="AE181" s="262" t="n"/>
      <c r="AF181" s="1" t="n"/>
    </row>
    <row r="182">
      <c r="H182" s="246" t="inlineStr">
        <is>
          <t>3ф, 1ф</t>
        </is>
      </c>
      <c r="I182" s="246" t="inlineStr">
        <is>
          <t>Ф100</t>
        </is>
      </c>
      <c r="J182" s="259">
        <f>$E$26</f>
        <v/>
      </c>
      <c r="K182" s="79">
        <f>$E$31</f>
        <v/>
      </c>
      <c r="L182" s="79">
        <f>$E$35</f>
        <v/>
      </c>
      <c r="M182" s="79">
        <f>$E$44</f>
        <v/>
      </c>
      <c r="N182" s="79">
        <f>$E$48</f>
        <v/>
      </c>
      <c r="O182" s="79">
        <f>$E$40</f>
        <v/>
      </c>
      <c r="P182" s="58">
        <f>P198=$E$52</f>
        <v/>
      </c>
      <c r="Q182" s="79">
        <f>$E$55</f>
        <v/>
      </c>
      <c r="R182" s="256" t="n">
        <v>0</v>
      </c>
      <c r="S182" s="40">
        <f>$P$124</f>
        <v/>
      </c>
      <c r="T182" s="418" t="b">
        <v>1</v>
      </c>
      <c r="U182" s="40">
        <f>IF(AND(S182=0,T182=TRUE),1,0)</f>
        <v/>
      </c>
      <c r="Y182" s="44" t="inlineStr">
        <is>
          <t>А3Р00063</t>
        </is>
      </c>
      <c r="AC182" s="258" t="n"/>
      <c r="AE182" s="262" t="n"/>
      <c r="AF182" s="1" t="n"/>
    </row>
    <row r="183">
      <c r="H183" s="246" t="inlineStr">
        <is>
          <t xml:space="preserve"> пр пуск</t>
        </is>
      </c>
      <c r="I183" s="246" t="inlineStr">
        <is>
          <t>Ф101</t>
        </is>
      </c>
      <c r="J183" s="259">
        <f>$E$26</f>
        <v/>
      </c>
      <c r="K183" s="79">
        <f>$E$31</f>
        <v/>
      </c>
      <c r="L183" s="79">
        <f>$E$35</f>
        <v/>
      </c>
      <c r="M183" s="79">
        <f>$E$44</f>
        <v/>
      </c>
      <c r="N183" s="79">
        <f>$E$48</f>
        <v/>
      </c>
      <c r="O183" s="255">
        <f>$E$40</f>
        <v/>
      </c>
      <c r="P183" s="58">
        <f>$E$52</f>
        <v/>
      </c>
      <c r="Q183" s="79">
        <f>$E$55</f>
        <v/>
      </c>
      <c r="R183" s="256" t="inlineStr">
        <is>
          <t>0_1</t>
        </is>
      </c>
      <c r="S183" s="40">
        <f>$P$124</f>
        <v/>
      </c>
      <c r="T183" s="419">
        <f>IF(AND(OR(K183=1,K183=0),L183=1,M183=0,N183=0,O183=1,P183=0,Q183=0),TRUE,FALSE)</f>
        <v/>
      </c>
      <c r="U183" s="40">
        <f>IF(AND(OR(S183=0,S183=1),T183=TRUE),1,0)</f>
        <v/>
      </c>
      <c r="V183" s="1" t="n"/>
      <c r="Y183" s="44" t="inlineStr">
        <is>
          <t>А3Р00100</t>
        </is>
      </c>
      <c r="AC183" s="258" t="n"/>
      <c r="AF183" s="1" t="n"/>
    </row>
    <row r="184">
      <c r="I184" s="246" t="inlineStr">
        <is>
          <t>Ф102</t>
        </is>
      </c>
      <c r="J184" s="259">
        <f>$E$26</f>
        <v/>
      </c>
      <c r="K184" s="79">
        <f>$E$31</f>
        <v/>
      </c>
      <c r="L184" s="79">
        <f>$E$35</f>
        <v/>
      </c>
      <c r="M184" s="79">
        <f>$E$44</f>
        <v/>
      </c>
      <c r="N184" s="79">
        <f>$E$48</f>
        <v/>
      </c>
      <c r="O184" s="79">
        <f>$E$40</f>
        <v/>
      </c>
      <c r="P184" s="58">
        <f>$E$52</f>
        <v/>
      </c>
      <c r="Q184" s="255">
        <f>$E$55</f>
        <v/>
      </c>
      <c r="R184" s="256" t="inlineStr">
        <is>
          <t>0_1</t>
        </is>
      </c>
      <c r="S184" s="40">
        <f>$P$124</f>
        <v/>
      </c>
      <c r="T184" s="419">
        <f>IF(AND(OR(K184=1,K184=0),L184=1,M184=0,N184=0,O184=0,P184=0,Q184=1),TRUE,FALSE)</f>
        <v/>
      </c>
      <c r="U184" s="40">
        <f>IF(AND(OR(S184=0,S184=1),T184=TRUE),1,0)</f>
        <v/>
      </c>
      <c r="V184" s="1" t="n"/>
      <c r="Y184" s="44" t="inlineStr">
        <is>
          <t>А3Р00140</t>
        </is>
      </c>
      <c r="AC184" s="258" t="n"/>
      <c r="AE184" s="258" t="n"/>
      <c r="AF184" s="1" t="n"/>
    </row>
    <row r="185">
      <c r="I185" s="246" t="inlineStr">
        <is>
          <t>Ф103</t>
        </is>
      </c>
      <c r="J185" s="259">
        <f>$E$26</f>
        <v/>
      </c>
      <c r="K185" s="79">
        <f>$E$31</f>
        <v/>
      </c>
      <c r="L185" s="79">
        <f>$E$35</f>
        <v/>
      </c>
      <c r="M185" s="79">
        <f>$E$44</f>
        <v/>
      </c>
      <c r="N185" s="79">
        <f>$E$48</f>
        <v/>
      </c>
      <c r="O185" s="255">
        <f>$E$40</f>
        <v/>
      </c>
      <c r="P185" s="58">
        <f>$E$52</f>
        <v/>
      </c>
      <c r="Q185" s="255">
        <f>$E$55</f>
        <v/>
      </c>
      <c r="R185" s="256" t="inlineStr">
        <is>
          <t>0_1_2</t>
        </is>
      </c>
      <c r="S185" s="40">
        <f>$P$124</f>
        <v/>
      </c>
      <c r="T185" s="419">
        <f>IF(AND(OR(K185=1,K185=0),L185=1,M185=0,N185=0,O185=1,P183=0,Q185=1),TRUE,FALSE)</f>
        <v/>
      </c>
      <c r="U185" s="40">
        <f>IF(AND(OR(S185=0,S185=1,S185=2),T185=TRUE),1,0)</f>
        <v/>
      </c>
      <c r="V185" s="1" t="n"/>
      <c r="Y185" s="44" t="inlineStr">
        <is>
          <t>А3Р00160</t>
        </is>
      </c>
      <c r="AC185" s="258" t="n"/>
      <c r="AE185" s="1" t="n"/>
      <c r="AF185" s="1" t="n"/>
    </row>
    <row r="186">
      <c r="I186" s="246" t="inlineStr">
        <is>
          <t>Ф110</t>
        </is>
      </c>
      <c r="J186" s="259">
        <f>$E$26</f>
        <v/>
      </c>
      <c r="K186" s="79">
        <f>$E$31</f>
        <v/>
      </c>
      <c r="L186" s="79">
        <f>$E$35</f>
        <v/>
      </c>
      <c r="M186" s="255">
        <f>$E$44</f>
        <v/>
      </c>
      <c r="N186" s="79">
        <f>$E$48</f>
        <v/>
      </c>
      <c r="O186" s="79">
        <f>$E$40</f>
        <v/>
      </c>
      <c r="P186" s="58">
        <f>$E$52</f>
        <v/>
      </c>
      <c r="Q186" s="79">
        <f>$E$55</f>
        <v/>
      </c>
      <c r="R186" s="256" t="n">
        <v>0</v>
      </c>
      <c r="S186" s="40">
        <f>$P$124</f>
        <v/>
      </c>
      <c r="T186" s="419">
        <f>IF(AND(OR(K186=1,K186=0),L186=1,M186=1,N186=0,O186=0,P186=0,Q186=0),TRUE,FALSE)</f>
        <v/>
      </c>
      <c r="U186" s="40">
        <f>IF(AND(OR(S186=0),T186=TRUE),1,0)</f>
        <v/>
      </c>
      <c r="V186" s="1" t="n"/>
      <c r="Y186" s="44" t="inlineStr">
        <is>
          <t>А3Р00180</t>
        </is>
      </c>
      <c r="AC186" s="258" t="n"/>
      <c r="AE186" s="1" t="n"/>
      <c r="AF186" s="1" t="n"/>
    </row>
    <row r="187">
      <c r="I187" s="246" t="inlineStr">
        <is>
          <t>Ф111</t>
        </is>
      </c>
      <c r="J187" s="259">
        <f>$E$26</f>
        <v/>
      </c>
      <c r="K187" s="79">
        <f>$E$31</f>
        <v/>
      </c>
      <c r="L187" s="79">
        <f>$E$35</f>
        <v/>
      </c>
      <c r="M187" s="255">
        <f>$E$44</f>
        <v/>
      </c>
      <c r="N187" s="79">
        <f>$E$48</f>
        <v/>
      </c>
      <c r="O187" s="255">
        <f>$E$40</f>
        <v/>
      </c>
      <c r="P187" s="58">
        <f>$E$52</f>
        <v/>
      </c>
      <c r="Q187" s="79">
        <f>$E$55</f>
        <v/>
      </c>
      <c r="R187" s="256" t="inlineStr">
        <is>
          <t>0_1</t>
        </is>
      </c>
      <c r="S187" s="40">
        <f>$P$124</f>
        <v/>
      </c>
      <c r="T187" s="419">
        <f>IF(AND(OR(K187=1,K187=0),L187=1,M187=1,N187=0,O187=1,P187=0,Q187=0),TRUE,FALSE)</f>
        <v/>
      </c>
      <c r="U187" s="40">
        <f>IF(AND(OR(S187=0,S187=1),T187=TRUE),1,0)</f>
        <v/>
      </c>
      <c r="V187" s="1" t="n"/>
      <c r="Y187" s="44" t="inlineStr">
        <is>
          <t>А3Р00200</t>
        </is>
      </c>
      <c r="AC187" s="258" t="n"/>
      <c r="AE187" s="1" t="n"/>
      <c r="AF187" s="1" t="n"/>
    </row>
    <row r="188">
      <c r="I188" s="246" t="inlineStr">
        <is>
          <t>Ф112</t>
        </is>
      </c>
      <c r="J188" s="259">
        <f>$E$26</f>
        <v/>
      </c>
      <c r="K188" s="79">
        <f>$E$31</f>
        <v/>
      </c>
      <c r="L188" s="79">
        <f>$E$35</f>
        <v/>
      </c>
      <c r="M188" s="255">
        <f>$E$44</f>
        <v/>
      </c>
      <c r="N188" s="255">
        <f>$E$48</f>
        <v/>
      </c>
      <c r="O188" s="79">
        <f>$E$40</f>
        <v/>
      </c>
      <c r="P188" s="58">
        <f>$E$52</f>
        <v/>
      </c>
      <c r="Q188" s="79">
        <f>$E$55</f>
        <v/>
      </c>
      <c r="R188" s="256" t="n">
        <v>0</v>
      </c>
      <c r="S188" s="40">
        <f>$P$124</f>
        <v/>
      </c>
      <c r="T188" s="419">
        <f>IF(AND(OR(K188=1,K188=0),L188=1,M188=1,N188=1,O188=0,P188=0,Q188=0),TRUE,FALSE)</f>
        <v/>
      </c>
      <c r="U188" s="40">
        <f>IF(AND(OR(S188=0),T188=TRUE),1,0)</f>
        <v/>
      </c>
      <c r="V188" s="1" t="n"/>
      <c r="Y188" s="44" t="inlineStr">
        <is>
          <t>А3Р00250</t>
        </is>
      </c>
      <c r="AC188" s="258" t="n"/>
      <c r="AE188" s="1" t="n"/>
      <c r="AF188" s="1" t="n"/>
    </row>
    <row r="189">
      <c r="I189" s="246" t="inlineStr">
        <is>
          <t>Ф113</t>
        </is>
      </c>
      <c r="J189" s="259">
        <f>$E$26</f>
        <v/>
      </c>
      <c r="K189" s="79">
        <f>$E$31</f>
        <v/>
      </c>
      <c r="L189" s="79">
        <f>$E$35</f>
        <v/>
      </c>
      <c r="M189" s="255">
        <f>$E$44</f>
        <v/>
      </c>
      <c r="N189" s="255">
        <f>$E$48</f>
        <v/>
      </c>
      <c r="O189" s="255">
        <f>$E$40</f>
        <v/>
      </c>
      <c r="P189" s="58">
        <f>$E$52</f>
        <v/>
      </c>
      <c r="Q189" s="79">
        <f>$E$55</f>
        <v/>
      </c>
      <c r="R189" s="256" t="inlineStr">
        <is>
          <t>0_1</t>
        </is>
      </c>
      <c r="S189" s="40">
        <f>$P$124</f>
        <v/>
      </c>
      <c r="T189" s="419">
        <f>IF(AND(OR(K189=1,K189=0),L189=1,M189=1,N189=1,O189=1,P189=0,Q189=0),TRUE,FALSE)</f>
        <v/>
      </c>
      <c r="U189" s="40">
        <f>IF(AND(OR(S189=0,S189=1),T189=TRUE),1,0)</f>
        <v/>
      </c>
      <c r="V189" s="1" t="n"/>
      <c r="Y189" s="44" t="inlineStr">
        <is>
          <t>А3Р00320</t>
        </is>
      </c>
      <c r="AC189" s="258" t="n"/>
      <c r="AE189" s="1" t="n"/>
      <c r="AF189" s="1" t="n"/>
    </row>
    <row r="190">
      <c r="I190" s="246" t="inlineStr">
        <is>
          <t>Ф114</t>
        </is>
      </c>
      <c r="J190" s="259">
        <f>$E$26</f>
        <v/>
      </c>
      <c r="K190" s="79">
        <f>$E$31</f>
        <v/>
      </c>
      <c r="L190" s="79">
        <f>$E$35</f>
        <v/>
      </c>
      <c r="M190" s="255">
        <f>$E$44</f>
        <v/>
      </c>
      <c r="N190" s="79">
        <f>$E$48</f>
        <v/>
      </c>
      <c r="O190" s="79">
        <f>$E$40</f>
        <v/>
      </c>
      <c r="P190" s="58">
        <f>$E$52</f>
        <v/>
      </c>
      <c r="Q190" s="255">
        <f>$E$55</f>
        <v/>
      </c>
      <c r="R190" s="256" t="inlineStr">
        <is>
          <t>0_1</t>
        </is>
      </c>
      <c r="S190" s="40">
        <f>$P$124</f>
        <v/>
      </c>
      <c r="T190" s="419">
        <f>IF(AND(OR(K190=1,K190=0),L190=1,M190=1,N190=0,O190=0,P190=0,Q190=1),TRUE,FALSE)</f>
        <v/>
      </c>
      <c r="U190" s="40">
        <f>IF(AND(OR(S190=0,S190=1),T190=TRUE),1,0)</f>
        <v/>
      </c>
      <c r="V190" s="1" t="n"/>
      <c r="Y190" s="44" t="inlineStr">
        <is>
          <t>А3Р00400</t>
        </is>
      </c>
      <c r="AC190" s="258" t="n"/>
      <c r="AE190" s="1" t="n"/>
      <c r="AF190" s="1" t="n"/>
    </row>
    <row r="191">
      <c r="I191" s="246" t="inlineStr">
        <is>
          <t>Ф115</t>
        </is>
      </c>
      <c r="J191" s="259">
        <f>$E$26</f>
        <v/>
      </c>
      <c r="K191" s="79">
        <f>$E$31</f>
        <v/>
      </c>
      <c r="L191" s="79">
        <f>$E$35</f>
        <v/>
      </c>
      <c r="M191" s="255">
        <f>$E$44</f>
        <v/>
      </c>
      <c r="N191" s="79">
        <f>$E$48</f>
        <v/>
      </c>
      <c r="O191" s="255">
        <f>$E$40</f>
        <v/>
      </c>
      <c r="P191" s="58">
        <f>$E$52</f>
        <v/>
      </c>
      <c r="Q191" s="255">
        <f>$E$55</f>
        <v/>
      </c>
      <c r="R191" s="256" t="inlineStr">
        <is>
          <t>0_1_2</t>
        </is>
      </c>
      <c r="S191" s="40">
        <f>$P$124</f>
        <v/>
      </c>
      <c r="T191" s="419">
        <f>IF(AND(OR(K191=1,K191=0),L191=1,M191=1,N191=0,O191=1,P191=0,Q191=1),TRUE,FALSE)</f>
        <v/>
      </c>
      <c r="U191" s="40">
        <f>IF(AND(OR(S191=0,S191=1,S191=2),T191=TRUE),1,0)</f>
        <v/>
      </c>
      <c r="V191" s="1" t="n"/>
      <c r="Y191" s="44" t="inlineStr">
        <is>
          <t>А3Р00500</t>
        </is>
      </c>
      <c r="AC191" s="258" t="n"/>
      <c r="AE191" s="1" t="n"/>
      <c r="AF191" s="1" t="n"/>
    </row>
    <row r="192">
      <c r="I192" s="246" t="inlineStr">
        <is>
          <t>Ф116</t>
        </is>
      </c>
      <c r="J192" s="259">
        <f>$E$26</f>
        <v/>
      </c>
      <c r="K192" s="79">
        <f>$E$31</f>
        <v/>
      </c>
      <c r="L192" s="79">
        <f>$E$35</f>
        <v/>
      </c>
      <c r="M192" s="255">
        <f>$E$44</f>
        <v/>
      </c>
      <c r="N192" s="255">
        <f>$E$48</f>
        <v/>
      </c>
      <c r="O192" s="79">
        <f>$E$40</f>
        <v/>
      </c>
      <c r="P192" s="58">
        <f>$E$52</f>
        <v/>
      </c>
      <c r="Q192" s="255">
        <f>$E$55</f>
        <v/>
      </c>
      <c r="R192" s="256" t="inlineStr">
        <is>
          <t>0_1</t>
        </is>
      </c>
      <c r="S192" s="40">
        <f>$P$124</f>
        <v/>
      </c>
      <c r="T192" s="419">
        <f>IF(AND(OR(K192=1,K192=0),L192=1,M192=1,N192=1,O192=0,P192=0,Q192=1),TRUE,FALSE)</f>
        <v/>
      </c>
      <c r="U192" s="40">
        <f>IF(AND(OR(S192=0,S192=1),T192=TRUE),1,0)</f>
        <v/>
      </c>
      <c r="V192" s="1" t="n"/>
      <c r="Y192" s="44" t="inlineStr">
        <is>
          <t>А3Р00580</t>
        </is>
      </c>
      <c r="AC192" s="258" t="n"/>
      <c r="AE192" s="1" t="n"/>
      <c r="AF192" s="1" t="n"/>
    </row>
    <row r="193">
      <c r="I193" s="246" t="inlineStr">
        <is>
          <t>Ф117</t>
        </is>
      </c>
      <c r="J193" s="259">
        <f>$E$26</f>
        <v/>
      </c>
      <c r="K193" s="79">
        <f>$E$31</f>
        <v/>
      </c>
      <c r="L193" s="79">
        <f>$E$35</f>
        <v/>
      </c>
      <c r="M193" s="255">
        <f>$E$44</f>
        <v/>
      </c>
      <c r="N193" s="255">
        <f>$E$48</f>
        <v/>
      </c>
      <c r="O193" s="255">
        <f>$E$40</f>
        <v/>
      </c>
      <c r="P193" s="58">
        <f>$E$52</f>
        <v/>
      </c>
      <c r="Q193" s="255">
        <f>$E$55</f>
        <v/>
      </c>
      <c r="R193" s="256" t="inlineStr">
        <is>
          <t>0_1_2</t>
        </is>
      </c>
      <c r="S193" s="40">
        <f>$P$124</f>
        <v/>
      </c>
      <c r="T193" s="419">
        <f>IF(AND(OR(K193=1,K193=0),L193=1,M193=1,N193=1,O193=1,P193=0,Q193=1),TRUE,FALSE)</f>
        <v/>
      </c>
      <c r="U193" s="40">
        <f>IF(AND(OR(S193=0,S193=1,S193=2),T193=TRUE),1,0)</f>
        <v/>
      </c>
      <c r="V193" s="1" t="n"/>
      <c r="Y193" s="44" t="inlineStr">
        <is>
          <t>А3Р00630</t>
        </is>
      </c>
      <c r="AC193" s="258" t="n"/>
    </row>
    <row r="194">
      <c r="I194" s="246" t="inlineStr">
        <is>
          <t>Ф118</t>
        </is>
      </c>
      <c r="J194" s="385">
        <f>$E$26</f>
        <v/>
      </c>
      <c r="K194" s="10">
        <f>$E$31</f>
        <v/>
      </c>
      <c r="L194" s="10">
        <f>$E$35</f>
        <v/>
      </c>
      <c r="M194" s="76">
        <f>$E$44</f>
        <v/>
      </c>
      <c r="N194" s="10">
        <f>$E$48</f>
        <v/>
      </c>
      <c r="O194" s="76">
        <f>$E$40</f>
        <v/>
      </c>
      <c r="P194" s="76">
        <f>$E$52</f>
        <v/>
      </c>
      <c r="Q194" s="10">
        <f>$E$55</f>
        <v/>
      </c>
      <c r="R194" s="256" t="inlineStr">
        <is>
          <t>0_1</t>
        </is>
      </c>
      <c r="S194" s="10">
        <f>$P$124</f>
        <v/>
      </c>
      <c r="T194" s="419">
        <f>IF(AND(OR(K194=1,K194=0),L194=1,M194=1,N194=0,O194=1,P194=1,Q194=0),TRUE,FALSE)</f>
        <v/>
      </c>
      <c r="U194" s="40">
        <f>IF(AND(OR(S194=0,S194=1),T194=TRUE),1,0)</f>
        <v/>
      </c>
      <c r="Y194" s="44" t="inlineStr">
        <is>
          <t>А3Р00700</t>
        </is>
      </c>
      <c r="AC194" s="258" t="n"/>
    </row>
    <row r="195">
      <c r="I195" s="246" t="inlineStr">
        <is>
          <t>Ф119</t>
        </is>
      </c>
      <c r="J195" s="385">
        <f>$E$26</f>
        <v/>
      </c>
      <c r="K195" s="10">
        <f>$E$31</f>
        <v/>
      </c>
      <c r="L195" s="10">
        <f>$E$35</f>
        <v/>
      </c>
      <c r="M195" s="76">
        <f>$E$44</f>
        <v/>
      </c>
      <c r="N195" s="76">
        <f>$E$48</f>
        <v/>
      </c>
      <c r="O195" s="76">
        <f>$E$40</f>
        <v/>
      </c>
      <c r="P195" s="76">
        <f>$E$52</f>
        <v/>
      </c>
      <c r="Q195" s="10">
        <f>$E$55</f>
        <v/>
      </c>
      <c r="R195" s="256" t="inlineStr">
        <is>
          <t>0_1</t>
        </is>
      </c>
      <c r="S195" s="10">
        <f>$P$124</f>
        <v/>
      </c>
      <c r="T195" s="419">
        <f>IF(AND(OR(K195=1,K195=0),L195=1,M195=1,N195=1,O195=1,P195=1,Q195=0),TRUE,FALSE)</f>
        <v/>
      </c>
      <c r="U195" s="40">
        <f>IF(AND(OR(S195=0,S195=1),T195=TRUE),1,0)</f>
        <v/>
      </c>
      <c r="Y195" s="44" t="inlineStr">
        <is>
          <t>А3Н00040</t>
        </is>
      </c>
      <c r="AC195" s="258" t="n"/>
    </row>
    <row r="196">
      <c r="I196" s="246" t="inlineStr">
        <is>
          <t>Ф120</t>
        </is>
      </c>
      <c r="J196" s="385">
        <f>$E$26</f>
        <v/>
      </c>
      <c r="K196" s="10">
        <f>$E$31</f>
        <v/>
      </c>
      <c r="L196" s="10">
        <f>$E$35</f>
        <v/>
      </c>
      <c r="M196" s="76">
        <f>$E$44</f>
        <v/>
      </c>
      <c r="N196" s="10">
        <f>$E$48</f>
        <v/>
      </c>
      <c r="O196" s="76">
        <f>$E$40</f>
        <v/>
      </c>
      <c r="P196" s="76">
        <f>$E$52</f>
        <v/>
      </c>
      <c r="Q196" s="76">
        <f>$E$55</f>
        <v/>
      </c>
      <c r="R196" s="256" t="inlineStr">
        <is>
          <t>0_1_2</t>
        </is>
      </c>
      <c r="S196" s="10">
        <f>$P$124</f>
        <v/>
      </c>
      <c r="T196" s="419">
        <f>IF(AND(OR(K196=1,K196=0),L196=1,M196=1,N196=0,O196=1,P196=1,Q196=1),TRUE,FALSE)</f>
        <v/>
      </c>
      <c r="U196" s="40">
        <f>IF(AND(OR(S196=0,S196=1,S196=2),T196=TRUE),1,0)</f>
        <v/>
      </c>
      <c r="Y196" s="44" t="inlineStr">
        <is>
          <t>А3Н00060</t>
        </is>
      </c>
      <c r="AC196" s="258" t="n"/>
    </row>
    <row r="197">
      <c r="I197" s="246" t="inlineStr">
        <is>
          <t>Ф121</t>
        </is>
      </c>
      <c r="J197" s="385">
        <f>$E$26</f>
        <v/>
      </c>
      <c r="K197" s="10">
        <f>$E$31</f>
        <v/>
      </c>
      <c r="L197" s="10">
        <f>$E$35</f>
        <v/>
      </c>
      <c r="M197" s="76">
        <f>$E$44</f>
        <v/>
      </c>
      <c r="N197" s="76">
        <f>$E$48</f>
        <v/>
      </c>
      <c r="O197" s="76">
        <f>$E$40</f>
        <v/>
      </c>
      <c r="P197" s="76">
        <f>$E$52</f>
        <v/>
      </c>
      <c r="Q197" s="76">
        <f>$E$55</f>
        <v/>
      </c>
      <c r="R197" s="256" t="inlineStr">
        <is>
          <t>0_1_2</t>
        </is>
      </c>
      <c r="S197" s="10">
        <f>$P$124</f>
        <v/>
      </c>
      <c r="T197" s="419">
        <f>IF(AND(OR(K197=1,K197=0),L197=1,M197=1,N197=1,O197=1,P197=1,Q197=1),TRUE,FALSE)</f>
        <v/>
      </c>
      <c r="U197" s="40">
        <f>IF(AND(OR(S197=0,S197=1,S197=2),T197=TRUE),1,0)</f>
        <v/>
      </c>
      <c r="Y197" s="44" t="inlineStr">
        <is>
          <t>А3Н00100</t>
        </is>
      </c>
      <c r="AC197" s="258" t="n"/>
    </row>
    <row r="198">
      <c r="H198" s="246" t="inlineStr">
        <is>
          <t>3ф ЧРП</t>
        </is>
      </c>
      <c r="I198" s="400" t="inlineStr">
        <is>
          <t>Ф130</t>
        </is>
      </c>
      <c r="J198" s="260">
        <f>$E$26</f>
        <v/>
      </c>
      <c r="K198" s="261">
        <f>$E$31</f>
        <v/>
      </c>
      <c r="L198" s="261">
        <f>$E$35</f>
        <v/>
      </c>
      <c r="M198" s="261">
        <f>$E$44</f>
        <v/>
      </c>
      <c r="N198" s="251">
        <f>E48</f>
        <v/>
      </c>
      <c r="O198" s="251">
        <f>$E$40</f>
        <v/>
      </c>
      <c r="P198" s="10">
        <f>$E$52</f>
        <v/>
      </c>
      <c r="Q198" s="251">
        <f>$E$55</f>
        <v/>
      </c>
      <c r="R198" s="256" t="n">
        <v>0</v>
      </c>
      <c r="S198" s="251">
        <f>$P$124</f>
        <v/>
      </c>
      <c r="T198" s="420" t="b">
        <v>1</v>
      </c>
      <c r="U198" s="251">
        <f>IF(AND(S198=0,T198=TRUE),1,0)</f>
        <v/>
      </c>
      <c r="Y198" s="44" t="inlineStr">
        <is>
          <t>А3Н00160</t>
        </is>
      </c>
      <c r="AC198" s="258" t="n"/>
    </row>
    <row r="199">
      <c r="H199" s="1" t="inlineStr">
        <is>
          <t>1ф Рег Об</t>
        </is>
      </c>
      <c r="I199" s="246" t="inlineStr">
        <is>
          <t>Ф131</t>
        </is>
      </c>
      <c r="J199" s="259">
        <f>$E$26</f>
        <v/>
      </c>
      <c r="K199" s="79">
        <f>$E$31</f>
        <v/>
      </c>
      <c r="L199" s="79">
        <f>$E$35</f>
        <v/>
      </c>
      <c r="M199" s="79">
        <f>$E$44</f>
        <v/>
      </c>
      <c r="N199" s="10">
        <f>$E$48</f>
        <v/>
      </c>
      <c r="O199" s="76">
        <f>$E$40</f>
        <v/>
      </c>
      <c r="P199" s="10">
        <f>$E$52</f>
        <v/>
      </c>
      <c r="Q199" s="10">
        <f>$E$55</f>
        <v/>
      </c>
      <c r="R199" s="256" t="inlineStr">
        <is>
          <t>0_1</t>
        </is>
      </c>
      <c r="S199" s="60">
        <f>$P$124</f>
        <v/>
      </c>
      <c r="T199" s="421">
        <f>IF(AND(OR(K199=1,K199=0),L199=2,M199=0,N199=0,O199=1,P199=0,Q199=0),TRUE,FALSE)</f>
        <v/>
      </c>
      <c r="U199" s="60">
        <f>IF(AND(OR(S199=0,S199=1),T199=TRUE),1,0)</f>
        <v/>
      </c>
      <c r="Y199" s="44" t="inlineStr">
        <is>
          <t>А3Н00200</t>
        </is>
      </c>
      <c r="AC199" s="258" t="n"/>
    </row>
    <row r="200">
      <c r="I200" s="246" t="inlineStr">
        <is>
          <t>Ф132</t>
        </is>
      </c>
      <c r="J200" s="259">
        <f>$E$26</f>
        <v/>
      </c>
      <c r="K200" s="79">
        <f>$E$31</f>
        <v/>
      </c>
      <c r="L200" s="79">
        <f>$E$35</f>
        <v/>
      </c>
      <c r="M200" s="79">
        <f>$E$44</f>
        <v/>
      </c>
      <c r="N200" s="10">
        <f>$E$48</f>
        <v/>
      </c>
      <c r="O200" s="10">
        <f>$E$40</f>
        <v/>
      </c>
      <c r="P200" s="10">
        <f>$E$52</f>
        <v/>
      </c>
      <c r="Q200" s="76">
        <f>$E$55</f>
        <v/>
      </c>
      <c r="R200" s="256" t="inlineStr">
        <is>
          <t>0_1</t>
        </is>
      </c>
      <c r="S200" s="60">
        <f>$P$124</f>
        <v/>
      </c>
      <c r="T200" s="421">
        <f>IF(AND(OR(K200=1,K200=0),L200=2,M200=0,N200=0,O200=0,P200=0,Q200=1),TRUE,FALSE)</f>
        <v/>
      </c>
      <c r="U200" s="60">
        <f>IF(AND(OR(S200=0,S200=1),T200=TRUE),1,0)</f>
        <v/>
      </c>
      <c r="Y200" s="44" t="inlineStr">
        <is>
          <t>А3Н00400</t>
        </is>
      </c>
      <c r="AC200" s="258" t="n"/>
    </row>
    <row r="201">
      <c r="I201" s="246" t="inlineStr">
        <is>
          <t>Ф133</t>
        </is>
      </c>
      <c r="J201" s="259">
        <f>$E$26</f>
        <v/>
      </c>
      <c r="K201" s="79">
        <f>$E$31</f>
        <v/>
      </c>
      <c r="L201" s="79">
        <f>$E$35</f>
        <v/>
      </c>
      <c r="M201" s="79">
        <f>$E$44</f>
        <v/>
      </c>
      <c r="N201" s="10">
        <f>$E$48</f>
        <v/>
      </c>
      <c r="O201" s="76">
        <f>$E$40</f>
        <v/>
      </c>
      <c r="P201" s="10">
        <f>$E$52</f>
        <v/>
      </c>
      <c r="Q201" s="76">
        <f>$E$55</f>
        <v/>
      </c>
      <c r="R201" s="256" t="inlineStr">
        <is>
          <t>0_1_2</t>
        </is>
      </c>
      <c r="S201" s="60">
        <f>$P$124</f>
        <v/>
      </c>
      <c r="T201" s="421">
        <f>IF(AND(OR(K201=1,K201=0),L201=2,M201=0,N201=0,O201=1,P201=0,Q201=1),TRUE,FALSE)</f>
        <v/>
      </c>
      <c r="U201" s="60">
        <f>IF(AND(OR(S201=0,S201=1,S201=2),T201=TRUE),1,0)</f>
        <v/>
      </c>
      <c r="Y201" s="44" t="inlineStr">
        <is>
          <t>А3Н00630</t>
        </is>
      </c>
      <c r="AC201" s="258" t="n"/>
    </row>
    <row r="202" ht="15.75" customHeight="1" s="552" thickBot="1">
      <c r="I202" s="246" t="inlineStr">
        <is>
          <t>Ф140</t>
        </is>
      </c>
      <c r="J202" s="259">
        <f>$E$26</f>
        <v/>
      </c>
      <c r="K202" s="79">
        <f>$E$31</f>
        <v/>
      </c>
      <c r="L202" s="79">
        <f>$E$35</f>
        <v/>
      </c>
      <c r="M202" s="255">
        <f>$E$44</f>
        <v/>
      </c>
      <c r="N202" s="10">
        <f>$E$48</f>
        <v/>
      </c>
      <c r="O202" s="10">
        <f>$E$40</f>
        <v/>
      </c>
      <c r="P202" s="10">
        <f>$E$52</f>
        <v/>
      </c>
      <c r="Q202" s="10">
        <f>$E$55</f>
        <v/>
      </c>
      <c r="R202" s="79" t="n">
        <v>0</v>
      </c>
      <c r="S202" s="60">
        <f>$P$124</f>
        <v/>
      </c>
      <c r="T202" s="421">
        <f>IF(AND(OR(K202=1,K202=0),L202=2,M202=1,N202=0,O202=0,P202=0,Q202=0),TRUE,FALSE)</f>
        <v/>
      </c>
      <c r="U202" s="60">
        <f>IF(AND(OR(S202=0),T202=TRUE),1,0)</f>
        <v/>
      </c>
      <c r="Y202" s="322" t="inlineStr">
        <is>
          <t>А3Н00700</t>
        </is>
      </c>
      <c r="AC202" s="258" t="n"/>
    </row>
    <row r="203">
      <c r="I203" s="246" t="inlineStr">
        <is>
          <t>Ф141</t>
        </is>
      </c>
      <c r="J203" s="259">
        <f>$E$26</f>
        <v/>
      </c>
      <c r="K203" s="79">
        <f>$E$31</f>
        <v/>
      </c>
      <c r="L203" s="79">
        <f>$E$35</f>
        <v/>
      </c>
      <c r="M203" s="255">
        <f>$E$44</f>
        <v/>
      </c>
      <c r="N203" s="10">
        <f>$E$48</f>
        <v/>
      </c>
      <c r="O203" s="76">
        <f>$E$40</f>
        <v/>
      </c>
      <c r="P203" s="10">
        <f>$E$52</f>
        <v/>
      </c>
      <c r="Q203" s="10">
        <f>$E$55</f>
        <v/>
      </c>
      <c r="R203" s="79" t="inlineStr">
        <is>
          <t>0_1</t>
        </is>
      </c>
      <c r="S203" s="60">
        <f>$P$124</f>
        <v/>
      </c>
      <c r="T203" s="421">
        <f>IF(AND(OR(K203=1,K203=0),L203=2,M203=1,N203=0,O203=1,P203=0,Q203=0),TRUE,FALSE)</f>
        <v/>
      </c>
      <c r="U203" s="60">
        <f>IF(AND(OR(S203=0,S203=1),T203=TRUE),1,0)</f>
        <v/>
      </c>
      <c r="Y203" s="44" t="inlineStr">
        <is>
          <t>А1Н00010</t>
        </is>
      </c>
      <c r="AC203" s="258" t="n"/>
    </row>
    <row r="204">
      <c r="I204" s="246" t="inlineStr">
        <is>
          <t>Ф142</t>
        </is>
      </c>
      <c r="J204" s="259">
        <f>$E$26</f>
        <v/>
      </c>
      <c r="K204" s="79">
        <f>$E$31</f>
        <v/>
      </c>
      <c r="L204" s="79">
        <f>$E$35</f>
        <v/>
      </c>
      <c r="M204" s="255">
        <f>$E$44</f>
        <v/>
      </c>
      <c r="N204" s="76">
        <f>$E$48</f>
        <v/>
      </c>
      <c r="O204" s="10">
        <f>$E$40</f>
        <v/>
      </c>
      <c r="P204" s="10">
        <f>$E$52</f>
        <v/>
      </c>
      <c r="Q204" s="10">
        <f>$E$55</f>
        <v/>
      </c>
      <c r="R204" s="79" t="n">
        <v>0</v>
      </c>
      <c r="S204" s="60">
        <f>$P$124</f>
        <v/>
      </c>
      <c r="T204" s="421">
        <f>IF(AND(OR(K204=1,K204=0),L204=2,M204=1,N204=1,O204=0,P204=0,Q204=0),TRUE,FALSE)</f>
        <v/>
      </c>
      <c r="U204" s="60">
        <f>IF(AND(OR(S204=0),T204=TRUE),1,0)</f>
        <v/>
      </c>
      <c r="Y204" s="44" t="inlineStr">
        <is>
          <t>А1Н00020</t>
        </is>
      </c>
      <c r="AC204" s="258" t="n"/>
    </row>
    <row r="205">
      <c r="I205" s="246" t="inlineStr">
        <is>
          <t>Ф143</t>
        </is>
      </c>
      <c r="J205" s="259">
        <f>$E$26</f>
        <v/>
      </c>
      <c r="K205" s="79">
        <f>$E$31</f>
        <v/>
      </c>
      <c r="L205" s="79">
        <f>$E$35</f>
        <v/>
      </c>
      <c r="M205" s="255">
        <f>$E$44</f>
        <v/>
      </c>
      <c r="N205" s="76">
        <f>$E$48</f>
        <v/>
      </c>
      <c r="O205" s="76">
        <f>$E$40</f>
        <v/>
      </c>
      <c r="P205" s="10">
        <f>$E$52</f>
        <v/>
      </c>
      <c r="Q205" s="10">
        <f>$E$55</f>
        <v/>
      </c>
      <c r="R205" s="79" t="inlineStr">
        <is>
          <t>0_1</t>
        </is>
      </c>
      <c r="S205" s="60">
        <f>$P$124</f>
        <v/>
      </c>
      <c r="T205" s="421">
        <f>IF(AND(OR(K205=1,K205=0),L205=2,M205=1,N205=1,O205=1,P205=0,Q205=0),TRUE,FALSE)</f>
        <v/>
      </c>
      <c r="U205" s="60">
        <f>IF(AND(OR(S205=0,S205=1),T205=TRUE),1,0)</f>
        <v/>
      </c>
      <c r="Y205" s="44" t="inlineStr">
        <is>
          <t>А1Н00030</t>
        </is>
      </c>
    </row>
    <row r="206">
      <c r="I206" s="246" t="inlineStr">
        <is>
          <t>Ф144</t>
        </is>
      </c>
      <c r="J206" s="259">
        <f>$E$26</f>
        <v/>
      </c>
      <c r="K206" s="79">
        <f>$E$31</f>
        <v/>
      </c>
      <c r="L206" s="79">
        <f>$E$35</f>
        <v/>
      </c>
      <c r="M206" s="255">
        <f>$E$44</f>
        <v/>
      </c>
      <c r="N206" s="10">
        <f>$E$48</f>
        <v/>
      </c>
      <c r="O206" s="10">
        <f>$E$40</f>
        <v/>
      </c>
      <c r="P206" s="10">
        <f>$E$52</f>
        <v/>
      </c>
      <c r="Q206" s="76">
        <f>$E$55</f>
        <v/>
      </c>
      <c r="R206" s="79" t="inlineStr">
        <is>
          <t>0_1</t>
        </is>
      </c>
      <c r="S206" s="60">
        <f>$P$124</f>
        <v/>
      </c>
      <c r="T206" s="421">
        <f>IF(AND(OR(K206=1,K206=0),L206=2,M206=1,N206=0,O206=0,P206=0,Q206=1),TRUE,FALSE)</f>
        <v/>
      </c>
      <c r="U206" s="60">
        <f>IF(AND(OR(S206=0,S206=1),T206=TRUE),1,0)</f>
        <v/>
      </c>
      <c r="Y206" s="321" t="inlineStr">
        <is>
          <t>А1Н00050</t>
        </is>
      </c>
      <c r="Z206" s="1" t="n"/>
    </row>
    <row r="207">
      <c r="I207" s="246" t="inlineStr">
        <is>
          <t>Ф145</t>
        </is>
      </c>
      <c r="J207" s="259">
        <f>$E$26</f>
        <v/>
      </c>
      <c r="K207" s="79">
        <f>$E$31</f>
        <v/>
      </c>
      <c r="L207" s="79">
        <f>$E$35</f>
        <v/>
      </c>
      <c r="M207" s="255">
        <f>$E$44</f>
        <v/>
      </c>
      <c r="N207" s="10">
        <f>$E$48</f>
        <v/>
      </c>
      <c r="O207" s="76">
        <f>$E$40</f>
        <v/>
      </c>
      <c r="P207" s="10">
        <f>$E$52</f>
        <v/>
      </c>
      <c r="Q207" s="76">
        <f>$E$55</f>
        <v/>
      </c>
      <c r="R207" s="256" t="inlineStr">
        <is>
          <t>0_1_2</t>
        </is>
      </c>
      <c r="S207" s="60">
        <f>$P$124</f>
        <v/>
      </c>
      <c r="T207" s="421">
        <f>IF(AND(OR(K207=1,K207=0),L207=2,M207=1,N207=0,O207=1,P207=0,Q207=1),TRUE,FALSE)</f>
        <v/>
      </c>
      <c r="U207" s="60">
        <f>IF(AND(OR(S207=0,S207=1,S207=2),T207=TRUE),1,0)</f>
        <v/>
      </c>
      <c r="W207" s="1" t="n"/>
      <c r="X207" s="262" t="n"/>
      <c r="Y207" s="139" t="n"/>
    </row>
    <row r="208">
      <c r="I208" s="246" t="inlineStr">
        <is>
          <t>Ф146</t>
        </is>
      </c>
      <c r="J208" s="259">
        <f>$E$26</f>
        <v/>
      </c>
      <c r="K208" s="79">
        <f>$E$31</f>
        <v/>
      </c>
      <c r="L208" s="79">
        <f>$E$35</f>
        <v/>
      </c>
      <c r="M208" s="255">
        <f>$E$44</f>
        <v/>
      </c>
      <c r="N208" s="76">
        <f>$E$48</f>
        <v/>
      </c>
      <c r="O208" s="10">
        <f>$E$40</f>
        <v/>
      </c>
      <c r="P208" s="10">
        <f>$E$52</f>
        <v/>
      </c>
      <c r="Q208" s="76">
        <f>$E$55</f>
        <v/>
      </c>
      <c r="R208" s="79" t="inlineStr">
        <is>
          <t>0_1</t>
        </is>
      </c>
      <c r="S208" s="60">
        <f>$P$124</f>
        <v/>
      </c>
      <c r="T208" s="421">
        <f>IF(AND(OR(K208=1,K208=0),L208=2,M208=1,N208=1,O208=0,P208=0,Q208=1),TRUE,FALSE)</f>
        <v/>
      </c>
      <c r="U208" s="60">
        <f>IF(AND(OR(S208=0,S208=1),T208=TRUE),1,0)</f>
        <v/>
      </c>
      <c r="W208" s="1" t="n"/>
      <c r="X208" s="262" t="n"/>
      <c r="Y208" s="139" t="n"/>
      <c r="Z208" s="1" t="n"/>
    </row>
    <row r="209">
      <c r="I209" s="246" t="inlineStr">
        <is>
          <t>Ф147</t>
        </is>
      </c>
      <c r="J209" s="259">
        <f>$E$26</f>
        <v/>
      </c>
      <c r="K209" s="79">
        <f>$E$31</f>
        <v/>
      </c>
      <c r="L209" s="79">
        <f>$E$35</f>
        <v/>
      </c>
      <c r="M209" s="255">
        <f>$E$44</f>
        <v/>
      </c>
      <c r="N209" s="76">
        <f>$E$48</f>
        <v/>
      </c>
      <c r="O209" s="76">
        <f>$E$40</f>
        <v/>
      </c>
      <c r="P209" s="10">
        <f>$E$52</f>
        <v/>
      </c>
      <c r="Q209" s="76">
        <f>$E$55</f>
        <v/>
      </c>
      <c r="R209" s="402" t="inlineStr">
        <is>
          <t>0_1_2</t>
        </is>
      </c>
      <c r="S209" s="403">
        <f>$P$124</f>
        <v/>
      </c>
      <c r="T209" s="422">
        <f>IF(AND(OR(K209=1,K209=0),L209=2,M209=1,N209=1,O209=1,P209=0,Q209=1),TRUE,FALSE)</f>
        <v/>
      </c>
      <c r="U209" s="60">
        <f>IF(AND(OR(S209=0,S209=1,S209=2),T209=TRUE),1,0)</f>
        <v/>
      </c>
      <c r="W209" s="1" t="n"/>
      <c r="X209" s="262" t="n"/>
      <c r="Y209" s="139" t="n"/>
    </row>
    <row r="210">
      <c r="I210" s="246" t="inlineStr">
        <is>
          <t>Ф148</t>
        </is>
      </c>
      <c r="J210" s="259">
        <f>$E$26</f>
        <v/>
      </c>
      <c r="K210" s="79">
        <f>$E$31</f>
        <v/>
      </c>
      <c r="L210" s="79">
        <f>$E$35</f>
        <v/>
      </c>
      <c r="M210" s="401">
        <f>$E$44</f>
        <v/>
      </c>
      <c r="N210" s="10">
        <f>$E$48</f>
        <v/>
      </c>
      <c r="O210" s="76">
        <f>$E$40</f>
        <v/>
      </c>
      <c r="P210" s="76">
        <f>$E$52</f>
        <v/>
      </c>
      <c r="Q210" s="10">
        <f>$E$55</f>
        <v/>
      </c>
      <c r="R210" s="79" t="inlineStr">
        <is>
          <t>0_1</t>
        </is>
      </c>
      <c r="S210" s="10">
        <f>$P$124</f>
        <v/>
      </c>
      <c r="T210" s="422">
        <f>IF(AND(OR(K210=1,K210=0),L210=2,M210=1,N210=0,O210=1,P210=1,Q210=0),TRUE,FALSE)</f>
        <v/>
      </c>
      <c r="U210" s="60">
        <f>IF(AND(OR(S210=0,S210=1),T210=TRUE),1,0)</f>
        <v/>
      </c>
      <c r="Y210" s="139" t="n"/>
      <c r="Z210" s="1" t="n"/>
    </row>
    <row r="211">
      <c r="I211" s="246" t="inlineStr">
        <is>
          <t>Ф149</t>
        </is>
      </c>
      <c r="J211" s="259">
        <f>$E$26</f>
        <v/>
      </c>
      <c r="K211" s="79">
        <f>$E$31</f>
        <v/>
      </c>
      <c r="L211" s="79">
        <f>$E$35</f>
        <v/>
      </c>
      <c r="M211" s="401">
        <f>$E$44</f>
        <v/>
      </c>
      <c r="N211" s="76">
        <f>$E$48</f>
        <v/>
      </c>
      <c r="O211" s="76">
        <f>$E$40</f>
        <v/>
      </c>
      <c r="P211" s="76">
        <f>$E$52</f>
        <v/>
      </c>
      <c r="Q211" s="10">
        <f>$E$55</f>
        <v/>
      </c>
      <c r="R211" s="79" t="inlineStr">
        <is>
          <t>0_1</t>
        </is>
      </c>
      <c r="S211" s="10">
        <f>$P$124</f>
        <v/>
      </c>
      <c r="T211" s="422">
        <f>IF(AND(OR(K211=1,K211=0),L211=2,M211=1,N211=1,O211=1,P211=1,Q211=0),TRUE,FALSE)</f>
        <v/>
      </c>
      <c r="U211" s="60">
        <f>IF(AND(OR(S211=0,S211=1),T211=TRUE),1,0)</f>
        <v/>
      </c>
      <c r="Y211" s="139" t="n"/>
      <c r="Z211" s="1" t="n"/>
    </row>
    <row r="212">
      <c r="I212" s="246" t="inlineStr">
        <is>
          <t>Ф150</t>
        </is>
      </c>
      <c r="J212" s="259">
        <f>$E$26</f>
        <v/>
      </c>
      <c r="K212" s="79">
        <f>$E$31</f>
        <v/>
      </c>
      <c r="L212" s="79">
        <f>$E$35</f>
        <v/>
      </c>
      <c r="M212" s="401">
        <f>$E$44</f>
        <v/>
      </c>
      <c r="N212" s="10">
        <f>$E$48</f>
        <v/>
      </c>
      <c r="O212" s="76">
        <f>$E$40</f>
        <v/>
      </c>
      <c r="P212" s="76">
        <f>$E$52</f>
        <v/>
      </c>
      <c r="Q212" s="76">
        <f>$E$55</f>
        <v/>
      </c>
      <c r="R212" s="79" t="inlineStr">
        <is>
          <t>0_1_2</t>
        </is>
      </c>
      <c r="S212" s="10">
        <f>$P$124</f>
        <v/>
      </c>
      <c r="T212" s="422">
        <f>IF(AND(OR(K212=1,K212=0),L212=2,M212=1,N212=0,O212=1,P212=1,Q212=1),TRUE,FALSE)</f>
        <v/>
      </c>
      <c r="U212" s="60">
        <f>IF(AND(OR(S212=0,S212=1,S212=2),T212=TRUE),1,0)</f>
        <v/>
      </c>
      <c r="Y212" s="139" t="n"/>
      <c r="Z212" s="1" t="n"/>
    </row>
    <row r="213">
      <c r="I213" s="246" t="inlineStr">
        <is>
          <t>Ф151</t>
        </is>
      </c>
      <c r="J213" s="259">
        <f>$E$26</f>
        <v/>
      </c>
      <c r="K213" s="79">
        <f>$E$31</f>
        <v/>
      </c>
      <c r="L213" s="79">
        <f>$E$35</f>
        <v/>
      </c>
      <c r="M213" s="401">
        <f>$E$44</f>
        <v/>
      </c>
      <c r="N213" s="76">
        <f>$E$48</f>
        <v/>
      </c>
      <c r="O213" s="76">
        <f>$E$40</f>
        <v/>
      </c>
      <c r="P213" s="76">
        <f>$E$52</f>
        <v/>
      </c>
      <c r="Q213" s="76">
        <f>$E$55</f>
        <v/>
      </c>
      <c r="R213" s="79" t="inlineStr">
        <is>
          <t>0_1_2</t>
        </is>
      </c>
      <c r="S213" s="10">
        <f>$P$124</f>
        <v/>
      </c>
      <c r="T213" s="422">
        <f>IF(AND(OR(K213=1,K213=0),L213=2,M213=1,N213=1,O213=1,P213=1,Q213=1),TRUE,FALSE)</f>
        <v/>
      </c>
      <c r="U213" s="60">
        <f>IF(AND(OR(S213=0,S213=1,S213=2),T213=TRUE),1,0)</f>
        <v/>
      </c>
      <c r="Y213" s="139" t="n"/>
      <c r="Z213" s="1" t="n"/>
    </row>
    <row r="214">
      <c r="H214" s="246" t="inlineStr">
        <is>
          <t>3ф, 1ф ЕС</t>
        </is>
      </c>
      <c r="I214" s="400" t="inlineStr">
        <is>
          <t>Ф160</t>
        </is>
      </c>
      <c r="J214" s="260">
        <f>$E$26</f>
        <v/>
      </c>
      <c r="K214" s="261">
        <f>$E$31</f>
        <v/>
      </c>
      <c r="L214" s="261">
        <f>$E$35</f>
        <v/>
      </c>
      <c r="M214" s="261">
        <f>$E$44</f>
        <v/>
      </c>
      <c r="N214" s="251">
        <f>$E$48</f>
        <v/>
      </c>
      <c r="O214" s="251">
        <f>$E$40</f>
        <v/>
      </c>
      <c r="P214" s="10">
        <f>$E$52</f>
        <v/>
      </c>
      <c r="Q214" s="251">
        <f>$E$55</f>
        <v/>
      </c>
      <c r="R214" s="261" t="inlineStr">
        <is>
          <t>0_1</t>
        </is>
      </c>
      <c r="S214" s="251">
        <f>$P$124</f>
        <v/>
      </c>
      <c r="T214" s="420" t="b">
        <v>1</v>
      </c>
      <c r="U214" s="251">
        <f>IF(AND(OR(S214=0,S214=1),T214=TRUE),1,0)</f>
        <v/>
      </c>
      <c r="V214" s="416" t="n"/>
      <c r="Y214" s="139" t="n"/>
      <c r="Z214" s="1" t="n"/>
    </row>
    <row r="215">
      <c r="I215" s="246" t="inlineStr">
        <is>
          <t>Ф161</t>
        </is>
      </c>
      <c r="J215" s="259">
        <f>$E$26</f>
        <v/>
      </c>
      <c r="K215" s="79">
        <f>$E$31</f>
        <v/>
      </c>
      <c r="L215" s="79">
        <f>$E$35</f>
        <v/>
      </c>
      <c r="M215" s="79">
        <f>$E$44</f>
        <v/>
      </c>
      <c r="N215" s="10">
        <f>$E$48</f>
        <v/>
      </c>
      <c r="O215" s="76">
        <f>$E$40</f>
        <v/>
      </c>
      <c r="P215" s="10">
        <f>$E$52</f>
        <v/>
      </c>
      <c r="Q215" s="10">
        <f>$E$55</f>
        <v/>
      </c>
      <c r="R215" s="79" t="inlineStr">
        <is>
          <t>0_1_2</t>
        </is>
      </c>
      <c r="S215" s="197">
        <f>$P$124</f>
        <v/>
      </c>
      <c r="T215" s="310">
        <f>IF(AND(OR(K215=1,K215=0),L215=3,M215=0,N215=0,O215=1,P215=0,Q215=0),TRUE,FALSE)</f>
        <v/>
      </c>
      <c r="U215" s="197">
        <f>IF(AND(OR(S215=0,S215=1,S215=2),T215=TRUE),1,0)</f>
        <v/>
      </c>
      <c r="V215" s="1" t="n"/>
      <c r="Y215" s="139" t="n"/>
      <c r="Z215" s="1" t="n"/>
    </row>
    <row r="216">
      <c r="I216" s="246" t="inlineStr">
        <is>
          <t>Ф162</t>
        </is>
      </c>
      <c r="J216" s="259">
        <f>$E$26</f>
        <v/>
      </c>
      <c r="K216" s="79">
        <f>$E$31</f>
        <v/>
      </c>
      <c r="L216" s="79">
        <f>$E$35</f>
        <v/>
      </c>
      <c r="M216" s="79">
        <f>$E$44</f>
        <v/>
      </c>
      <c r="N216" s="10">
        <f>$E$48</f>
        <v/>
      </c>
      <c r="O216" s="10">
        <f>$E$40</f>
        <v/>
      </c>
      <c r="P216" s="10">
        <f>$E$52</f>
        <v/>
      </c>
      <c r="Q216" s="76">
        <f>$E$55</f>
        <v/>
      </c>
      <c r="R216" s="79" t="inlineStr">
        <is>
          <t>0_1_2</t>
        </is>
      </c>
      <c r="S216" s="197">
        <f>$P$124</f>
        <v/>
      </c>
      <c r="T216" s="310">
        <f>IF(AND(OR(K216=1,K216=0),L216=3,M216=0,N216=0,O216=0,P216=0,Q216=1),TRUE,FALSE)</f>
        <v/>
      </c>
      <c r="U216" s="197">
        <f>IF(AND(OR(S216=0,S216=1,S216=2),T216=TRUE),1,0)</f>
        <v/>
      </c>
      <c r="V216" s="1" t="n"/>
      <c r="Y216" s="139" t="n"/>
      <c r="Z216" s="1" t="n"/>
    </row>
    <row r="217">
      <c r="I217" s="246" t="inlineStr">
        <is>
          <t>Ф163</t>
        </is>
      </c>
      <c r="J217" s="259">
        <f>$E$26</f>
        <v/>
      </c>
      <c r="K217" s="79">
        <f>$E$31</f>
        <v/>
      </c>
      <c r="L217" s="79">
        <f>$E$35</f>
        <v/>
      </c>
      <c r="M217" s="79">
        <f>$E$44</f>
        <v/>
      </c>
      <c r="N217" s="10">
        <f>$E$48</f>
        <v/>
      </c>
      <c r="O217" s="76">
        <f>$E$40</f>
        <v/>
      </c>
      <c r="P217" s="10">
        <f>$E$52</f>
        <v/>
      </c>
      <c r="Q217" s="76">
        <f>$E$55</f>
        <v/>
      </c>
      <c r="R217" s="79" t="inlineStr">
        <is>
          <t>0_1_2</t>
        </is>
      </c>
      <c r="S217" s="197">
        <f>$P$124</f>
        <v/>
      </c>
      <c r="T217" s="310">
        <f>IF(AND(OR(K217=1,K217=0),L217=3,M217=0,N217=0,O217=1,P217=0,Q217=1),TRUE,FALSE)</f>
        <v/>
      </c>
      <c r="U217" s="197">
        <f>IF(AND(OR(S217=0,S217=1,S217=2),T217=TRUE),1,0)</f>
        <v/>
      </c>
      <c r="V217" s="1" t="n"/>
    </row>
    <row r="218">
      <c r="I218" s="246" t="inlineStr">
        <is>
          <t>Ф170</t>
        </is>
      </c>
      <c r="J218" s="259">
        <f>$E$26</f>
        <v/>
      </c>
      <c r="K218" s="79">
        <f>$E$31</f>
        <v/>
      </c>
      <c r="L218" s="79">
        <f>$E$35</f>
        <v/>
      </c>
      <c r="M218" s="255">
        <f>$E$44</f>
        <v/>
      </c>
      <c r="N218" s="10">
        <f>$E$48</f>
        <v/>
      </c>
      <c r="O218" s="10">
        <f>$E$40</f>
        <v/>
      </c>
      <c r="P218" s="10">
        <f>$E$52</f>
        <v/>
      </c>
      <c r="Q218" s="10">
        <f>$E$55</f>
        <v/>
      </c>
      <c r="R218" s="79" t="inlineStr">
        <is>
          <t>0_1</t>
        </is>
      </c>
      <c r="S218" s="197">
        <f>$P$124</f>
        <v/>
      </c>
      <c r="T218" s="310">
        <f>IF(AND(OR(K218=1,K218=0),L218=3,M218=1,N218=0,O218=0,P218=0,Q218=0),TRUE,FALSE)</f>
        <v/>
      </c>
      <c r="U218" s="197">
        <f>IF(AND(OR(S218=0,S218=1),T218=TRUE),1,0)</f>
        <v/>
      </c>
      <c r="V218" s="1" t="n"/>
    </row>
    <row r="219">
      <c r="I219" s="246" t="inlineStr">
        <is>
          <t>Ф171</t>
        </is>
      </c>
      <c r="J219" s="259">
        <f>$E$26</f>
        <v/>
      </c>
      <c r="K219" s="79">
        <f>$E$31</f>
        <v/>
      </c>
      <c r="L219" s="79">
        <f>$E$35</f>
        <v/>
      </c>
      <c r="M219" s="255">
        <f>$E$44</f>
        <v/>
      </c>
      <c r="N219" s="10">
        <f>$E$48</f>
        <v/>
      </c>
      <c r="O219" s="76">
        <f>$E$40</f>
        <v/>
      </c>
      <c r="P219" s="10">
        <f>$E$52</f>
        <v/>
      </c>
      <c r="Q219" s="10">
        <f>$E$55</f>
        <v/>
      </c>
      <c r="R219" s="79" t="inlineStr">
        <is>
          <t>0_1_2</t>
        </is>
      </c>
      <c r="S219" s="197">
        <f>$P$124</f>
        <v/>
      </c>
      <c r="T219" s="310">
        <f>IF(AND(OR(K219=1,K219=0),L219=3,M219=1,N219=0,O219=1,P219=0,Q219=0),TRUE,FALSE)</f>
        <v/>
      </c>
      <c r="U219" s="197">
        <f>IF(AND(OR(S219=0,S219=1,S219=2),T219=TRUE),1,0)</f>
        <v/>
      </c>
      <c r="V219" s="1" t="n"/>
    </row>
    <row r="220">
      <c r="I220" s="246" t="inlineStr">
        <is>
          <t>Ф172</t>
        </is>
      </c>
      <c r="J220" s="259">
        <f>$E$26</f>
        <v/>
      </c>
      <c r="K220" s="79">
        <f>$E$31</f>
        <v/>
      </c>
      <c r="L220" s="79">
        <f>$E$35</f>
        <v/>
      </c>
      <c r="M220" s="255">
        <f>$E$44</f>
        <v/>
      </c>
      <c r="N220" s="76">
        <f>$E$48</f>
        <v/>
      </c>
      <c r="O220" s="10">
        <f>$E$40</f>
        <v/>
      </c>
      <c r="P220" s="10">
        <f>$E$52</f>
        <v/>
      </c>
      <c r="Q220" s="10">
        <f>$E$55</f>
        <v/>
      </c>
      <c r="R220" s="79" t="inlineStr">
        <is>
          <t>0_1</t>
        </is>
      </c>
      <c r="S220" s="197">
        <f>$P$124</f>
        <v/>
      </c>
      <c r="T220" s="310">
        <f>IF(AND(OR(K220=1,K220=0),L220=3,M220=1,N220=1,O220=0,P220=0,Q220=0),TRUE,FALSE)</f>
        <v/>
      </c>
      <c r="U220" s="197">
        <f>IF(AND(OR(S220=0,S220=1),T220=TRUE),1,0)</f>
        <v/>
      </c>
      <c r="V220" s="1" t="n"/>
    </row>
    <row r="221">
      <c r="I221" s="246" t="inlineStr">
        <is>
          <t>Ф173</t>
        </is>
      </c>
      <c r="J221" s="259">
        <f>$E$26</f>
        <v/>
      </c>
      <c r="K221" s="79">
        <f>$E$31</f>
        <v/>
      </c>
      <c r="L221" s="79">
        <f>$E$35</f>
        <v/>
      </c>
      <c r="M221" s="255">
        <f>$E$44</f>
        <v/>
      </c>
      <c r="N221" s="76">
        <f>$E$48</f>
        <v/>
      </c>
      <c r="O221" s="76">
        <f>$E$40</f>
        <v/>
      </c>
      <c r="P221" s="10">
        <f>$E$52</f>
        <v/>
      </c>
      <c r="Q221" s="10">
        <f>$E$55</f>
        <v/>
      </c>
      <c r="R221" s="79" t="inlineStr">
        <is>
          <t>0_1_2</t>
        </is>
      </c>
      <c r="S221" s="197">
        <f>$P$124</f>
        <v/>
      </c>
      <c r="T221" s="310">
        <f>IF(AND(OR(K221=1,K221=0),L221=3,M221=1,N221=1,O221=1,P221=0,Q221=0),TRUE,FALSE)</f>
        <v/>
      </c>
      <c r="U221" s="197">
        <f>IF(AND(OR(S221=0,S221=1,S221=2),T221=TRUE),1,0)</f>
        <v/>
      </c>
      <c r="V221" s="1" t="n"/>
    </row>
    <row r="222">
      <c r="I222" s="246" t="inlineStr">
        <is>
          <t>Ф174</t>
        </is>
      </c>
      <c r="J222" s="259">
        <f>$E$26</f>
        <v/>
      </c>
      <c r="K222" s="79">
        <f>$E$31</f>
        <v/>
      </c>
      <c r="L222" s="79">
        <f>$E$35</f>
        <v/>
      </c>
      <c r="M222" s="255">
        <f>$E$44</f>
        <v/>
      </c>
      <c r="N222" s="10">
        <f>$E$48</f>
        <v/>
      </c>
      <c r="O222" s="10">
        <f>$E$40</f>
        <v/>
      </c>
      <c r="P222" s="10">
        <f>$E$52</f>
        <v/>
      </c>
      <c r="Q222" s="76">
        <f>$E$55</f>
        <v/>
      </c>
      <c r="R222" s="79" t="inlineStr">
        <is>
          <t>0_1_2</t>
        </is>
      </c>
      <c r="S222" s="197">
        <f>$P$124</f>
        <v/>
      </c>
      <c r="T222" s="310">
        <f>IF(AND(OR(K222=1,K222=0),L222=3,M222=1,N222=0,O222=0,P222=0,Q222=1),TRUE,FALSE)</f>
        <v/>
      </c>
      <c r="U222" s="197">
        <f>IF(AND(OR(S222=0,S222=1,S222=2),T222=TRUE),1,0)</f>
        <v/>
      </c>
      <c r="V222" s="1" t="n"/>
    </row>
    <row r="223">
      <c r="I223" s="246" t="inlineStr">
        <is>
          <t>Ф175</t>
        </is>
      </c>
      <c r="J223" s="259">
        <f>$E$26</f>
        <v/>
      </c>
      <c r="K223" s="79">
        <f>$E$31</f>
        <v/>
      </c>
      <c r="L223" s="79">
        <f>$E$35</f>
        <v/>
      </c>
      <c r="M223" s="255">
        <f>$E$44</f>
        <v/>
      </c>
      <c r="N223" s="10">
        <f>$E$48</f>
        <v/>
      </c>
      <c r="O223" s="76">
        <f>$E$40</f>
        <v/>
      </c>
      <c r="P223" s="10">
        <f>$E$52</f>
        <v/>
      </c>
      <c r="Q223" s="76">
        <f>$E$55</f>
        <v/>
      </c>
      <c r="R223" s="79" t="inlineStr">
        <is>
          <t>0_1_2</t>
        </is>
      </c>
      <c r="S223" s="197">
        <f>$P$124</f>
        <v/>
      </c>
      <c r="T223" s="310">
        <f>IF(AND(OR(K223=1,K223=0),L223=3,M223=1,N223=0,O223=1,P223=0,Q223=1),TRUE,FALSE)</f>
        <v/>
      </c>
      <c r="U223" s="197">
        <f>IF(AND(OR(S223=0,S223=1,S223=2),T223=TRUE),1,0)</f>
        <v/>
      </c>
      <c r="V223" s="1" t="n"/>
    </row>
    <row r="224">
      <c r="I224" s="246" t="inlineStr">
        <is>
          <t>Ф176</t>
        </is>
      </c>
      <c r="J224" s="259">
        <f>$E$26</f>
        <v/>
      </c>
      <c r="K224" s="79">
        <f>$E$31</f>
        <v/>
      </c>
      <c r="L224" s="79">
        <f>$E$35</f>
        <v/>
      </c>
      <c r="M224" s="255">
        <f>$E$44</f>
        <v/>
      </c>
      <c r="N224" s="76">
        <f>$E$48</f>
        <v/>
      </c>
      <c r="O224" s="10">
        <f>$E$40</f>
        <v/>
      </c>
      <c r="P224" s="10">
        <f>$E$52</f>
        <v/>
      </c>
      <c r="Q224" s="76">
        <f>$E$55</f>
        <v/>
      </c>
      <c r="R224" s="79" t="inlineStr">
        <is>
          <t>0_1_2</t>
        </is>
      </c>
      <c r="S224" s="197">
        <f>$P$124</f>
        <v/>
      </c>
      <c r="T224" s="310">
        <f>IF(AND(OR(K224=1,K224=0),L224=3,M224=1,N224=1,O224=0,P224=0,Q224=1),TRUE,FALSE)</f>
        <v/>
      </c>
      <c r="U224" s="197">
        <f>IF(AND(OR(S224=0,S224=1,S224=2),T224=TRUE),1,0)</f>
        <v/>
      </c>
      <c r="V224" s="1" t="n"/>
    </row>
    <row r="225">
      <c r="I225" s="246" t="inlineStr">
        <is>
          <t>Ф177</t>
        </is>
      </c>
      <c r="J225" s="259">
        <f>$E$26</f>
        <v/>
      </c>
      <c r="K225" s="79">
        <f>$E$31</f>
        <v/>
      </c>
      <c r="L225" s="79">
        <f>$E$35</f>
        <v/>
      </c>
      <c r="M225" s="255">
        <f>$E$44</f>
        <v/>
      </c>
      <c r="N225" s="76">
        <f>$E$48</f>
        <v/>
      </c>
      <c r="O225" s="76">
        <f>$E$40</f>
        <v/>
      </c>
      <c r="P225" s="10">
        <f>$E$52</f>
        <v/>
      </c>
      <c r="Q225" s="76">
        <f>$E$55</f>
        <v/>
      </c>
      <c r="R225" s="79" t="inlineStr">
        <is>
          <t>0_1_2</t>
        </is>
      </c>
      <c r="S225" s="197">
        <f>$P$124</f>
        <v/>
      </c>
      <c r="T225" s="310">
        <f>IF(AND(OR(K225=1,K225=0),L225=3,M225=1,N225=1,O225=1,P225=0,Q225=1),TRUE,FALSE)</f>
        <v/>
      </c>
      <c r="U225" s="197">
        <f>IF(AND(OR(S225=0,S225=1,S225=2),T225=TRUE),1,0)</f>
        <v/>
      </c>
      <c r="V225" s="1" t="n"/>
    </row>
    <row r="226">
      <c r="I226" s="246" t="inlineStr">
        <is>
          <t>Ф178</t>
        </is>
      </c>
      <c r="J226" s="259">
        <f>$E$26</f>
        <v/>
      </c>
      <c r="K226" s="79">
        <f>$E$31</f>
        <v/>
      </c>
      <c r="L226" s="79">
        <f>$E$35</f>
        <v/>
      </c>
      <c r="M226" s="255">
        <f>$E$44</f>
        <v/>
      </c>
      <c r="N226" s="10">
        <f>$E$48</f>
        <v/>
      </c>
      <c r="O226" s="76">
        <f>$E$40</f>
        <v/>
      </c>
      <c r="P226" s="76">
        <f>$E$52</f>
        <v/>
      </c>
      <c r="Q226" s="10">
        <f>$E$55</f>
        <v/>
      </c>
      <c r="R226" s="79" t="inlineStr">
        <is>
          <t>0_1_2</t>
        </is>
      </c>
      <c r="S226" s="197">
        <f>$P$124</f>
        <v/>
      </c>
      <c r="T226" s="310">
        <f>IF(AND(OR(K226=1,K226=0),L226=3,M226=1,N226=0,O226=1,P226=1,Q226=0),TRUE,FALSE)</f>
        <v/>
      </c>
      <c r="U226" s="197">
        <f>IF(AND(OR(S226=0,S226=1,S226=2),T226=TRUE),1,0)</f>
        <v/>
      </c>
    </row>
    <row r="227">
      <c r="I227" s="246" t="inlineStr">
        <is>
          <t>Ф179</t>
        </is>
      </c>
      <c r="J227" s="259">
        <f>$E$26</f>
        <v/>
      </c>
      <c r="K227" s="79">
        <f>$E$31</f>
        <v/>
      </c>
      <c r="L227" s="79">
        <f>$E$35</f>
        <v/>
      </c>
      <c r="M227" s="255">
        <f>$E$44</f>
        <v/>
      </c>
      <c r="N227" s="76">
        <f>$E$48</f>
        <v/>
      </c>
      <c r="O227" s="76">
        <f>$E$40</f>
        <v/>
      </c>
      <c r="P227" s="76">
        <f>$E$52</f>
        <v/>
      </c>
      <c r="Q227" s="10">
        <f>$E$55</f>
        <v/>
      </c>
      <c r="R227" s="79" t="inlineStr">
        <is>
          <t>0_1_2</t>
        </is>
      </c>
      <c r="S227" s="197">
        <f>$P$124</f>
        <v/>
      </c>
      <c r="T227" s="310">
        <f>IF(AND(OR(K227=1,K227=0),L227=3,M227=1,N227=1,O227=1,P227=1,Q227=0),TRUE,FALSE)</f>
        <v/>
      </c>
      <c r="U227" s="197">
        <f>IF(AND(OR(S227=0,S227=1,S227=2),T227=TRUE),1,0)</f>
        <v/>
      </c>
    </row>
    <row r="228">
      <c r="I228" s="404" t="inlineStr">
        <is>
          <t>Ф180</t>
        </is>
      </c>
      <c r="J228" s="259">
        <f>$E$26</f>
        <v/>
      </c>
      <c r="K228" s="79">
        <f>$E$31</f>
        <v/>
      </c>
      <c r="L228" s="79">
        <f>$E$35</f>
        <v/>
      </c>
      <c r="M228" s="255">
        <f>$E$44</f>
        <v/>
      </c>
      <c r="N228" s="10">
        <f>$E$48</f>
        <v/>
      </c>
      <c r="O228" s="76">
        <f>$E$40</f>
        <v/>
      </c>
      <c r="P228" s="76">
        <f>$E$52</f>
        <v/>
      </c>
      <c r="Q228" s="76">
        <f>$E$55</f>
        <v/>
      </c>
      <c r="R228" s="79" t="inlineStr">
        <is>
          <t>0_1_2</t>
        </is>
      </c>
      <c r="S228" s="197">
        <f>$P$124</f>
        <v/>
      </c>
      <c r="T228" s="310">
        <f>IF(AND(OR(K228=1,K228=0),L228=3,M228=1,N228=0,O228=1,P228=1,Q228=1),TRUE,FALSE)</f>
        <v/>
      </c>
      <c r="U228" s="197">
        <f>IF(AND(OR(S228=0,S228=1,S228=2),T228=TRUE),1,0)</f>
        <v/>
      </c>
    </row>
    <row r="229">
      <c r="I229" s="246" t="inlineStr">
        <is>
          <t>Ф181</t>
        </is>
      </c>
      <c r="J229" s="259">
        <f>$E$26</f>
        <v/>
      </c>
      <c r="K229" s="79">
        <f>$E$31</f>
        <v/>
      </c>
      <c r="L229" s="79">
        <f>$E$35</f>
        <v/>
      </c>
      <c r="M229" s="255">
        <f>$E$44</f>
        <v/>
      </c>
      <c r="N229" s="76">
        <f>$E$48</f>
        <v/>
      </c>
      <c r="O229" s="76">
        <f>$E$40</f>
        <v/>
      </c>
      <c r="P229" s="76">
        <f>$E$52</f>
        <v/>
      </c>
      <c r="Q229" s="76">
        <f>$E$55</f>
        <v/>
      </c>
      <c r="R229" s="79" t="inlineStr">
        <is>
          <t>0_1_2</t>
        </is>
      </c>
      <c r="S229" s="197">
        <f>$P$124</f>
        <v/>
      </c>
      <c r="T229" s="310">
        <f>IF(AND(OR(K229=1,K229=0),L229=3,M229=1,N229=1,O229=1,P229=1,Q229=1),TRUE,FALSE)</f>
        <v/>
      </c>
      <c r="U229" s="197">
        <f>IF(AND(OR(S229=0,S229=1,S229=2),T229=TRUE),1,0)</f>
        <v/>
      </c>
    </row>
    <row r="240">
      <c r="C240" s="320" t="n"/>
    </row>
    <row r="241">
      <c r="C241" s="320" t="n"/>
    </row>
    <row r="242">
      <c r="C242" s="320" t="n"/>
    </row>
    <row r="243">
      <c r="C243" s="320" t="n"/>
    </row>
    <row r="244">
      <c r="C244" s="320" t="n"/>
    </row>
    <row r="245">
      <c r="C245" s="320" t="n"/>
    </row>
    <row r="246">
      <c r="C246" s="320" t="n"/>
    </row>
    <row r="247">
      <c r="C247" s="320" t="n"/>
    </row>
    <row r="248">
      <c r="C248" s="320" t="n"/>
    </row>
    <row r="260">
      <c r="I260" s="34" t="n"/>
    </row>
    <row r="261">
      <c r="I261" s="34" t="n"/>
    </row>
    <row r="262">
      <c r="I262" s="34" t="n"/>
    </row>
    <row r="263">
      <c r="I263" s="34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B1:R118"/>
  <sheetViews>
    <sheetView topLeftCell="A25" workbookViewId="0">
      <selection activeCell="U97" sqref="U97"/>
    </sheetView>
  </sheetViews>
  <sheetFormatPr baseColWidth="8" defaultRowHeight="15"/>
  <cols>
    <col width="35.42578125" bestFit="1" customWidth="1" style="552" min="3" max="3"/>
    <col width="29.140625" customWidth="1" style="1" min="4" max="4"/>
    <col width="18.42578125" customWidth="1" style="1" min="5" max="5"/>
    <col width="15.28515625" bestFit="1" customWidth="1" style="552" min="6" max="6"/>
    <col width="11.140625" bestFit="1" customWidth="1" style="552" min="7" max="7"/>
    <col width="14.7109375" customWidth="1" style="1" min="8" max="8"/>
    <col width="12.7109375" customWidth="1" style="552" min="10" max="10"/>
    <col width="9.7109375" customWidth="1" style="552" min="11" max="11"/>
    <col width="10.140625" customWidth="1" style="552" min="12" max="12"/>
  </cols>
  <sheetData>
    <row r="1" ht="15.75" customHeight="1" s="552" thickBot="1">
      <c r="F1" s="356" t="inlineStr">
        <is>
          <t>Курс евро к бел.руб</t>
        </is>
      </c>
      <c r="G1" s="186" t="n">
        <v>1</v>
      </c>
    </row>
    <row r="2" ht="15.75" customHeight="1" s="552">
      <c r="B2" s="63" t="inlineStr">
        <is>
          <t>Позиция</t>
        </is>
      </c>
      <c r="C2" s="65" t="inlineStr">
        <is>
          <t>Наименование</t>
        </is>
      </c>
      <c r="D2" s="65" t="inlineStr">
        <is>
          <t>Характеристика</t>
        </is>
      </c>
      <c r="E2" s="65" t="inlineStr">
        <is>
          <t>Заказной номер</t>
        </is>
      </c>
      <c r="F2" s="65" t="inlineStr">
        <is>
          <t>Цена, бел.руб</t>
        </is>
      </c>
      <c r="G2" s="355" t="inlineStr">
        <is>
          <t>Курс евро</t>
        </is>
      </c>
      <c r="H2" s="187" t="inlineStr">
        <is>
          <t>Цена, руб РБ</t>
        </is>
      </c>
      <c r="I2" s="193" t="inlineStr">
        <is>
          <t>Масса</t>
        </is>
      </c>
      <c r="J2" s="193" t="inlineStr">
        <is>
          <t>Мощность</t>
        </is>
      </c>
    </row>
    <row r="3" ht="16.5" customHeight="1" s="552" thickBot="1">
      <c r="B3" s="64" t="n"/>
      <c r="C3" s="64" t="n"/>
      <c r="D3" s="66" t="n"/>
      <c r="E3" s="66" t="n"/>
      <c r="F3" s="66" t="inlineStr">
        <is>
          <t>без НДС</t>
        </is>
      </c>
      <c r="G3" s="66" t="n"/>
      <c r="H3" s="188" t="inlineStr">
        <is>
          <t>без НДС</t>
        </is>
      </c>
      <c r="I3" s="44" t="n"/>
      <c r="J3" s="357" t="inlineStr">
        <is>
          <t>кВт</t>
        </is>
      </c>
    </row>
    <row r="4" ht="16.5" customHeight="1" s="552" thickBot="1">
      <c r="B4" s="71" t="inlineStr">
        <is>
          <t>Автоматические выключатели для прямого пуска</t>
        </is>
      </c>
      <c r="C4" s="72" t="n"/>
      <c r="D4" s="73" t="n"/>
      <c r="E4" s="73" t="n"/>
      <c r="F4" s="73" t="n"/>
      <c r="G4" s="73" t="n"/>
      <c r="H4" s="73" t="n"/>
      <c r="I4" s="78" t="n"/>
    </row>
    <row r="5" ht="15.75" customHeight="1" s="552">
      <c r="B5" s="75" t="n"/>
      <c r="C5" s="70" t="inlineStr">
        <is>
          <t>Автомат защиты эл/дв</t>
        </is>
      </c>
      <c r="D5" s="58" t="inlineStr">
        <is>
          <t>0,25…0,40</t>
        </is>
      </c>
      <c r="E5" s="58" t="inlineStr">
        <is>
          <t>GV2ME03</t>
        </is>
      </c>
      <c r="F5" s="58" t="n">
        <v>36.43</v>
      </c>
      <c r="G5" s="121">
        <f>$G$1</f>
        <v/>
      </c>
      <c r="H5" s="189">
        <f>F5/G5</f>
        <v/>
      </c>
      <c r="I5" s="10" t="n">
        <v>0.35</v>
      </c>
    </row>
    <row r="6" ht="15.75" customHeight="1" s="552">
      <c r="B6" s="67" t="n"/>
      <c r="C6" s="3" t="inlineStr">
        <is>
          <t>Автомат защиты эл/дв</t>
        </is>
      </c>
      <c r="D6" s="10" t="inlineStr">
        <is>
          <t>0,40…0,63</t>
        </is>
      </c>
      <c r="E6" s="10" t="inlineStr">
        <is>
          <t>GV2ME04</t>
        </is>
      </c>
      <c r="F6" s="58" t="n">
        <v>36.72</v>
      </c>
      <c r="G6" s="121">
        <f>$G$1</f>
        <v/>
      </c>
      <c r="H6" s="189">
        <f>F6/G6</f>
        <v/>
      </c>
      <c r="I6" s="10" t="n">
        <v>0.35</v>
      </c>
    </row>
    <row r="7" ht="15.75" customHeight="1" s="552">
      <c r="B7" s="3" t="inlineStr">
        <is>
          <t>QF1</t>
        </is>
      </c>
      <c r="C7" s="3" t="inlineStr">
        <is>
          <t>Автомат защиты эл/дв</t>
        </is>
      </c>
      <c r="D7" s="10" t="inlineStr">
        <is>
          <t>0,63…1</t>
        </is>
      </c>
      <c r="E7" s="10" t="inlineStr">
        <is>
          <t>GV2ME05</t>
        </is>
      </c>
      <c r="F7" s="58" t="n">
        <v>47.01</v>
      </c>
      <c r="G7" s="121">
        <f>$G$1</f>
        <v/>
      </c>
      <c r="H7" s="189">
        <f>F7/G7</f>
        <v/>
      </c>
      <c r="I7" s="10" t="n">
        <v>0.35</v>
      </c>
    </row>
    <row r="8" ht="15.75" customHeight="1" s="552">
      <c r="B8" s="3" t="n"/>
      <c r="C8" s="3" t="inlineStr">
        <is>
          <t>Автомат защиты эл/дв</t>
        </is>
      </c>
      <c r="D8" s="10" t="inlineStr">
        <is>
          <t>1…1,6</t>
        </is>
      </c>
      <c r="E8" s="10" t="inlineStr">
        <is>
          <t>GV2ME06</t>
        </is>
      </c>
      <c r="F8" s="58" t="n">
        <v>57.42</v>
      </c>
      <c r="G8" s="121">
        <f>$G$1</f>
        <v/>
      </c>
      <c r="H8" s="189">
        <f>F8/G8</f>
        <v/>
      </c>
      <c r="I8" s="10" t="n">
        <v>0.35</v>
      </c>
    </row>
    <row r="9" ht="15.75" customHeight="1" s="552">
      <c r="B9" s="3" t="n"/>
      <c r="C9" s="3" t="inlineStr">
        <is>
          <t>Автомат защиты эл/дв</t>
        </is>
      </c>
      <c r="D9" s="10" t="inlineStr">
        <is>
          <t>1,6…2,5</t>
        </is>
      </c>
      <c r="E9" s="10" t="inlineStr">
        <is>
          <t>GV2ME07</t>
        </is>
      </c>
      <c r="F9" s="58" t="n">
        <v>40.65</v>
      </c>
      <c r="G9" s="121">
        <f>$G$1</f>
        <v/>
      </c>
      <c r="H9" s="189">
        <f>F9/G9</f>
        <v/>
      </c>
      <c r="I9" s="10" t="n">
        <v>0.35</v>
      </c>
    </row>
    <row r="10" ht="15.75" customHeight="1" s="552">
      <c r="B10" s="3" t="n"/>
      <c r="C10" s="3" t="inlineStr">
        <is>
          <t>Автомат защиты эл/дв</t>
        </is>
      </c>
      <c r="D10" s="10" t="inlineStr">
        <is>
          <t>2,5…4</t>
        </is>
      </c>
      <c r="E10" s="10" t="inlineStr">
        <is>
          <t>GV2ME08</t>
        </is>
      </c>
      <c r="F10" s="58" t="n">
        <v>40.31</v>
      </c>
      <c r="G10" s="121">
        <f>$G$1</f>
        <v/>
      </c>
      <c r="H10" s="189">
        <f>F10/G10</f>
        <v/>
      </c>
      <c r="I10" s="10" t="n">
        <v>0.35</v>
      </c>
    </row>
    <row r="11" ht="15.75" customHeight="1" s="552">
      <c r="B11" s="3" t="n"/>
      <c r="C11" s="3" t="inlineStr">
        <is>
          <t>Автомат защиты эл/дв</t>
        </is>
      </c>
      <c r="D11" s="10" t="inlineStr">
        <is>
          <t>4…6,3</t>
        </is>
      </c>
      <c r="E11" s="10" t="inlineStr">
        <is>
          <t>GV2ME10</t>
        </is>
      </c>
      <c r="F11" s="58" t="n">
        <v>51.19</v>
      </c>
      <c r="G11" s="121">
        <f>$G$1</f>
        <v/>
      </c>
      <c r="H11" s="189">
        <f>F11/G11</f>
        <v/>
      </c>
      <c r="I11" s="10" t="n">
        <v>0.35</v>
      </c>
    </row>
    <row r="12" ht="15.75" customHeight="1" s="552">
      <c r="B12" s="3" t="n"/>
      <c r="C12" s="3" t="inlineStr">
        <is>
          <t>Автомат защиты эл/дв</t>
        </is>
      </c>
      <c r="D12" s="10" t="inlineStr">
        <is>
          <t>6…10</t>
        </is>
      </c>
      <c r="E12" s="10" t="inlineStr">
        <is>
          <t>GV2ME14</t>
        </is>
      </c>
      <c r="F12" s="58" t="n">
        <v>83.26000000000001</v>
      </c>
      <c r="G12" s="121">
        <f>$G$1</f>
        <v/>
      </c>
      <c r="H12" s="189">
        <f>F12/G12</f>
        <v/>
      </c>
      <c r="I12" s="10" t="n">
        <v>0.35</v>
      </c>
    </row>
    <row r="13" ht="15.75" customHeight="1" s="552">
      <c r="B13" s="3" t="n"/>
      <c r="C13" s="3" t="inlineStr">
        <is>
          <t>Автомат защиты эл/дв</t>
        </is>
      </c>
      <c r="D13" s="10" t="inlineStr">
        <is>
          <t>9…14</t>
        </is>
      </c>
      <c r="E13" s="10" t="inlineStr">
        <is>
          <t>GV2ME16</t>
        </is>
      </c>
      <c r="F13" s="58" t="n">
        <v>62.17</v>
      </c>
      <c r="G13" s="121">
        <f>$G$1</f>
        <v/>
      </c>
      <c r="H13" s="189">
        <f>F13/G13</f>
        <v/>
      </c>
      <c r="I13" s="10" t="n">
        <v>0.35</v>
      </c>
    </row>
    <row r="14" ht="15.75" customHeight="1" s="552">
      <c r="B14" s="3" t="n"/>
      <c r="C14" s="3" t="inlineStr">
        <is>
          <t>Автомат защиты эл/дв</t>
        </is>
      </c>
      <c r="D14" s="10" t="inlineStr">
        <is>
          <t>13…18</t>
        </is>
      </c>
      <c r="E14" s="10" t="inlineStr">
        <is>
          <t>GV2ME20</t>
        </is>
      </c>
      <c r="F14" s="58" t="n">
        <v>62.17</v>
      </c>
      <c r="G14" s="121">
        <f>$G$1</f>
        <v/>
      </c>
      <c r="H14" s="189">
        <f>F14/G14</f>
        <v/>
      </c>
      <c r="I14" s="10" t="n">
        <v>0.35</v>
      </c>
    </row>
    <row r="15" ht="15.75" customHeight="1" s="552">
      <c r="B15" s="3" t="n"/>
      <c r="C15" s="3" t="inlineStr">
        <is>
          <t>Автомат защиты эл/дв</t>
        </is>
      </c>
      <c r="D15" s="10" t="inlineStr">
        <is>
          <t>17…23</t>
        </is>
      </c>
      <c r="E15" s="10" t="inlineStr">
        <is>
          <t>GV2ME21</t>
        </is>
      </c>
      <c r="F15" s="58" t="n">
        <v>74.53</v>
      </c>
      <c r="G15" s="121">
        <f>$G$1</f>
        <v/>
      </c>
      <c r="H15" s="189">
        <f>F15/G15</f>
        <v/>
      </c>
      <c r="I15" s="10" t="n">
        <v>0.35</v>
      </c>
    </row>
    <row r="16" ht="15.75" customHeight="1" s="552">
      <c r="B16" s="3" t="n"/>
      <c r="C16" s="3" t="inlineStr">
        <is>
          <t>Автомат защиты эл/дв</t>
        </is>
      </c>
      <c r="D16" s="10" t="inlineStr">
        <is>
          <t>20…25</t>
        </is>
      </c>
      <c r="E16" s="10" t="inlineStr">
        <is>
          <t>GV2ME22</t>
        </is>
      </c>
      <c r="F16" s="58" t="n">
        <v>74.98</v>
      </c>
      <c r="G16" s="121">
        <f>$G$1</f>
        <v/>
      </c>
      <c r="H16" s="189">
        <f>F16/G16</f>
        <v/>
      </c>
      <c r="I16" s="10" t="n">
        <v>0.35</v>
      </c>
    </row>
    <row r="17" ht="15.75" customHeight="1" s="552">
      <c r="B17" s="3" t="n"/>
      <c r="C17" s="3" t="inlineStr">
        <is>
          <t>Автомат защиты эл/дв</t>
        </is>
      </c>
      <c r="D17" s="10" t="inlineStr">
        <is>
          <t>24…32</t>
        </is>
      </c>
      <c r="E17" s="10" t="inlineStr">
        <is>
          <t>GV2ME32</t>
        </is>
      </c>
      <c r="F17" s="58" t="n">
        <v>105.25</v>
      </c>
      <c r="G17" s="121">
        <f>$G$1</f>
        <v/>
      </c>
      <c r="H17" s="189">
        <f>F17/G17</f>
        <v/>
      </c>
      <c r="I17" s="10" t="n">
        <v>0.35</v>
      </c>
    </row>
    <row r="18" ht="15.75" customHeight="1" s="552">
      <c r="B18" s="3" t="n"/>
      <c r="C18" s="3" t="inlineStr">
        <is>
          <t>Автомат защиты эл/дв</t>
        </is>
      </c>
      <c r="D18" s="10" t="inlineStr">
        <is>
          <t>30…40</t>
        </is>
      </c>
      <c r="E18" s="10" t="inlineStr">
        <is>
          <t>GV3P40</t>
        </is>
      </c>
      <c r="F18" s="58" t="n">
        <v>229.75</v>
      </c>
      <c r="G18" s="121">
        <f>$G$1</f>
        <v/>
      </c>
      <c r="H18" s="189">
        <f>F18/G18</f>
        <v/>
      </c>
      <c r="I18" s="10" t="n">
        <v>0.35</v>
      </c>
    </row>
    <row r="19" ht="15.75" customHeight="1" s="552">
      <c r="B19" s="3" t="n"/>
      <c r="C19" s="3" t="inlineStr">
        <is>
          <t>Автомат защиты эл/дв</t>
        </is>
      </c>
      <c r="D19" s="10" t="inlineStr">
        <is>
          <t>37…50</t>
        </is>
      </c>
      <c r="E19" s="10" t="inlineStr">
        <is>
          <t>GV3P50</t>
        </is>
      </c>
      <c r="F19" s="58" t="n">
        <v>398.41</v>
      </c>
      <c r="G19" s="121">
        <f>$G$1</f>
        <v/>
      </c>
      <c r="H19" s="189">
        <f>F19/G19</f>
        <v/>
      </c>
      <c r="I19" s="10" t="n">
        <v>0.35</v>
      </c>
    </row>
    <row r="20" ht="15.75" customHeight="1" s="552">
      <c r="B20" s="3" t="n"/>
      <c r="C20" s="3" t="inlineStr">
        <is>
          <t>Автомат защиты эл/дв</t>
        </is>
      </c>
      <c r="D20" s="10" t="inlineStr">
        <is>
          <t>48…65</t>
        </is>
      </c>
      <c r="E20" s="10" t="inlineStr">
        <is>
          <t>GV3P65</t>
        </is>
      </c>
      <c r="F20" s="135" t="n">
        <v>291.38</v>
      </c>
      <c r="G20" s="121">
        <f>$G$1</f>
        <v/>
      </c>
      <c r="H20" s="189">
        <f>F22/G20</f>
        <v/>
      </c>
      <c r="I20" s="10" t="n">
        <v>0.35</v>
      </c>
    </row>
    <row r="21" ht="15.75" customHeight="1" s="552">
      <c r="B21" s="3" t="n"/>
      <c r="C21" s="3" t="inlineStr">
        <is>
          <t>Автомат защиты эл/дв</t>
        </is>
      </c>
      <c r="D21" s="10" t="inlineStr">
        <is>
          <t>48…65</t>
        </is>
      </c>
      <c r="E21" s="10" t="inlineStr">
        <is>
          <t>GV3P65</t>
        </is>
      </c>
      <c r="F21" s="58" t="n">
        <v>401.85</v>
      </c>
      <c r="G21" s="121">
        <f>$G$1</f>
        <v/>
      </c>
      <c r="H21" s="189">
        <f>F21/G21</f>
        <v/>
      </c>
      <c r="I21" s="10" t="n">
        <v>0.35</v>
      </c>
    </row>
    <row r="22" ht="15.75" customHeight="1" s="552">
      <c r="B22" s="3" t="n"/>
      <c r="C22" s="3" t="inlineStr">
        <is>
          <t>Автомат защиты эл/дв</t>
        </is>
      </c>
      <c r="D22" s="10" t="inlineStr">
        <is>
          <t>62…73</t>
        </is>
      </c>
      <c r="E22" s="10" t="inlineStr">
        <is>
          <t>GV3P73</t>
        </is>
      </c>
      <c r="F22" s="58" t="n">
        <v>401.85</v>
      </c>
      <c r="G22" s="121">
        <f>$G$1</f>
        <v/>
      </c>
      <c r="H22" s="189">
        <f>F22/G22</f>
        <v/>
      </c>
      <c r="I22" s="10" t="n">
        <v>0.35</v>
      </c>
    </row>
    <row r="23" ht="15.75" customHeight="1" s="552">
      <c r="B23" s="3" t="n"/>
      <c r="C23" s="3" t="inlineStr">
        <is>
          <t>Доп. контакт для автомата мотор</t>
        </is>
      </c>
      <c r="D23" s="10" t="inlineStr">
        <is>
          <t>ДП_к_мотор</t>
        </is>
      </c>
      <c r="E23" s="10" t="inlineStr">
        <is>
          <t>ДП_к_мотор</t>
        </is>
      </c>
      <c r="F23" s="58" t="n">
        <v>8.210000000000001</v>
      </c>
      <c r="G23" s="121">
        <f>$G$1</f>
        <v/>
      </c>
      <c r="H23" s="189">
        <f>F23/G23</f>
        <v/>
      </c>
      <c r="I23" s="10" t="n">
        <v>0.2</v>
      </c>
    </row>
    <row r="24">
      <c r="B24" s="3" t="n"/>
      <c r="C24" s="3" t="n"/>
      <c r="D24" s="10" t="n"/>
      <c r="E24" s="10" t="n"/>
      <c r="F24" s="3" t="n"/>
      <c r="G24" s="3" t="n"/>
      <c r="H24" s="42" t="n"/>
      <c r="I24" s="10" t="n"/>
    </row>
    <row r="25">
      <c r="B25" s="3" t="n"/>
      <c r="C25" s="3" t="n"/>
      <c r="D25" s="10" t="n"/>
      <c r="E25" s="10" t="n"/>
      <c r="F25" s="3" t="n"/>
      <c r="G25" s="3" t="n"/>
      <c r="H25" s="42" t="n"/>
      <c r="I25" s="10" t="n"/>
    </row>
    <row r="26" ht="15.75" customHeight="1" s="552" thickBot="1">
      <c r="B26" s="9" t="n"/>
      <c r="C26" s="9" t="n"/>
      <c r="D26" s="23" t="n"/>
      <c r="E26" s="23" t="n"/>
      <c r="F26" s="9" t="n"/>
      <c r="G26" s="9" t="n"/>
      <c r="H26" s="190" t="n"/>
      <c r="I26" s="10" t="n"/>
    </row>
    <row r="27" ht="16.5" customHeight="1" s="552" thickBot="1">
      <c r="B27" s="71" t="inlineStr">
        <is>
          <t>Автоматические выключатели для ЧРП</t>
        </is>
      </c>
      <c r="C27" s="72" t="n"/>
      <c r="D27" s="73" t="n"/>
      <c r="E27" s="73" t="n"/>
      <c r="F27" s="74" t="n"/>
      <c r="G27" s="74" t="n"/>
      <c r="H27" s="175" t="n"/>
      <c r="I27" s="78" t="n"/>
    </row>
    <row r="28">
      <c r="B28" s="70" t="n"/>
      <c r="C28" s="70" t="inlineStr">
        <is>
          <t>Автоматический выключатель 3п "С"</t>
        </is>
      </c>
      <c r="D28" s="58" t="n">
        <v>6</v>
      </c>
      <c r="E28" s="58" t="inlineStr">
        <is>
          <t>6А 3п.</t>
        </is>
      </c>
      <c r="F28" s="58" t="n">
        <v>21.72</v>
      </c>
      <c r="G28" s="58">
        <f>$G$1</f>
        <v/>
      </c>
      <c r="H28" s="189">
        <f>F28/G28</f>
        <v/>
      </c>
      <c r="I28" s="10" t="n">
        <v>0.5</v>
      </c>
    </row>
    <row r="29">
      <c r="B29" s="3" t="n"/>
      <c r="C29" s="3" t="inlineStr">
        <is>
          <t>Автоматический выключатель 3п "С"</t>
        </is>
      </c>
      <c r="D29" s="10" t="n">
        <v>10</v>
      </c>
      <c r="E29" s="10" t="inlineStr">
        <is>
          <t>10А 3п.</t>
        </is>
      </c>
      <c r="F29" s="10" t="n">
        <v>16.69</v>
      </c>
      <c r="G29" s="58">
        <f>$G$1</f>
        <v/>
      </c>
      <c r="H29" s="189">
        <f>F29/G29</f>
        <v/>
      </c>
      <c r="I29" s="10" t="n">
        <v>0.5</v>
      </c>
    </row>
    <row r="30">
      <c r="B30" s="3" t="n"/>
      <c r="C30" s="3" t="inlineStr">
        <is>
          <t>Автоматический выключатель 3п "С"</t>
        </is>
      </c>
      <c r="D30" s="10" t="n">
        <v>16</v>
      </c>
      <c r="E30" s="10" t="inlineStr">
        <is>
          <t>16А 3п.</t>
        </is>
      </c>
      <c r="F30" s="10" t="n">
        <v>27.41</v>
      </c>
      <c r="G30" s="58">
        <f>$G$1</f>
        <v/>
      </c>
      <c r="H30" s="189">
        <f>F30/G30</f>
        <v/>
      </c>
      <c r="I30" s="10" t="n">
        <v>0.5</v>
      </c>
    </row>
    <row r="31">
      <c r="B31" s="3" t="n"/>
      <c r="C31" s="3" t="inlineStr">
        <is>
          <t>Автоматический выключатель 3п "С"</t>
        </is>
      </c>
      <c r="D31" s="10" t="n">
        <v>20</v>
      </c>
      <c r="E31" s="10" t="inlineStr">
        <is>
          <t>20А 3п.</t>
        </is>
      </c>
      <c r="F31" s="10" t="n">
        <v>30.1</v>
      </c>
      <c r="G31" s="58">
        <f>$G$1</f>
        <v/>
      </c>
      <c r="H31" s="189">
        <f>F31/G31</f>
        <v/>
      </c>
      <c r="I31" s="10" t="n">
        <v>0.5</v>
      </c>
    </row>
    <row r="32">
      <c r="B32" s="3" t="n"/>
      <c r="C32" s="3" t="inlineStr">
        <is>
          <t>Автоматический выключатель 3п "С"</t>
        </is>
      </c>
      <c r="D32" s="10" t="n">
        <v>32</v>
      </c>
      <c r="E32" s="10" t="inlineStr">
        <is>
          <t>32А 3п.</t>
        </is>
      </c>
      <c r="F32" s="10" t="n">
        <v>32</v>
      </c>
      <c r="G32" s="58" t="n">
        <v>1</v>
      </c>
      <c r="H32" s="189">
        <f>F32/G32</f>
        <v/>
      </c>
      <c r="I32" s="10" t="n">
        <v>0.5</v>
      </c>
    </row>
    <row r="33">
      <c r="B33" s="3" t="n"/>
      <c r="C33" s="3" t="inlineStr">
        <is>
          <t>Автоматический выключатель 3п "С"</t>
        </is>
      </c>
      <c r="D33" s="10" t="n">
        <v>40</v>
      </c>
      <c r="E33" s="10" t="inlineStr">
        <is>
          <t>40А 3п.</t>
        </is>
      </c>
      <c r="F33" s="10" t="n">
        <v>28.32</v>
      </c>
      <c r="G33" s="58">
        <f>$G$1</f>
        <v/>
      </c>
      <c r="H33" s="189">
        <f>F33/G33</f>
        <v/>
      </c>
      <c r="I33" s="10" t="n">
        <v>0.5</v>
      </c>
    </row>
    <row r="34">
      <c r="B34" s="3" t="n"/>
      <c r="C34" s="3" t="inlineStr">
        <is>
          <t>Автоматический выключатель 3п "С"</t>
        </is>
      </c>
      <c r="D34" s="10" t="n">
        <v>63</v>
      </c>
      <c r="E34" s="10" t="inlineStr">
        <is>
          <t>63А 3п.</t>
        </is>
      </c>
      <c r="F34" s="10" t="n">
        <v>47.06</v>
      </c>
      <c r="G34" s="58">
        <f>$G$1</f>
        <v/>
      </c>
      <c r="H34" s="189">
        <f>F34/G34</f>
        <v/>
      </c>
      <c r="I34" s="10" t="n">
        <v>0.5</v>
      </c>
    </row>
    <row r="35">
      <c r="B35" s="3" t="n"/>
      <c r="C35" s="3" t="inlineStr">
        <is>
          <t>Автоматический выключатель 3п "С"</t>
        </is>
      </c>
      <c r="D35" s="10" t="n">
        <v>80</v>
      </c>
      <c r="E35" s="10" t="inlineStr">
        <is>
          <t>80А 3п.</t>
        </is>
      </c>
      <c r="F35" s="10" t="n">
        <v>346.85</v>
      </c>
      <c r="G35" s="58">
        <f>$G$1</f>
        <v/>
      </c>
      <c r="H35" s="189">
        <f>F35/G35</f>
        <v/>
      </c>
      <c r="I35" s="10" t="n">
        <v>0.5</v>
      </c>
    </row>
    <row r="36">
      <c r="B36" s="3" t="n"/>
      <c r="C36" s="3" t="inlineStr">
        <is>
          <t>Автоматический выключатель 3п "С"</t>
        </is>
      </c>
      <c r="D36" s="10" t="n">
        <v>100</v>
      </c>
      <c r="E36" s="10" t="inlineStr">
        <is>
          <t>100А 3п.</t>
        </is>
      </c>
      <c r="F36" s="10" t="n">
        <v>200</v>
      </c>
      <c r="G36" s="58" t="n">
        <v>1</v>
      </c>
      <c r="H36" s="189">
        <f>F36/G36</f>
        <v/>
      </c>
      <c r="I36" s="10" t="n">
        <v>0.5</v>
      </c>
    </row>
    <row r="37">
      <c r="B37" s="3" t="n"/>
      <c r="C37" s="3" t="inlineStr">
        <is>
          <t>Автоматический выключатель 3п "С"</t>
        </is>
      </c>
      <c r="D37" s="10" t="n">
        <v>125</v>
      </c>
      <c r="E37" s="10" t="inlineStr">
        <is>
          <t>125А 3п.</t>
        </is>
      </c>
      <c r="F37" s="10" t="n">
        <v>250</v>
      </c>
      <c r="G37" s="58" t="n">
        <v>1</v>
      </c>
      <c r="H37" s="189">
        <f>F37/G37</f>
        <v/>
      </c>
      <c r="I37" s="10" t="n">
        <v>0.5</v>
      </c>
    </row>
    <row r="38">
      <c r="B38" s="3" t="n"/>
      <c r="C38" s="3" t="inlineStr">
        <is>
          <t>Доп. контакт для автомата 3п</t>
        </is>
      </c>
      <c r="D38" s="10" t="inlineStr">
        <is>
          <t>ДП_3п"С"</t>
        </is>
      </c>
      <c r="E38" s="10" t="inlineStr">
        <is>
          <t>ДП_3п"С"</t>
        </is>
      </c>
      <c r="F38" s="10" t="n">
        <v>11.85</v>
      </c>
      <c r="G38" s="58">
        <f>$G$1</f>
        <v/>
      </c>
      <c r="H38" s="189">
        <f>F38/G38</f>
        <v/>
      </c>
      <c r="I38" s="10" t="n">
        <v>0.2</v>
      </c>
    </row>
    <row r="39">
      <c r="B39" s="3" t="inlineStr">
        <is>
          <t>QF2</t>
        </is>
      </c>
      <c r="C39" s="3" t="inlineStr">
        <is>
          <t>Автомат. Выключатель 1п</t>
        </is>
      </c>
      <c r="D39" s="10" t="n">
        <v>6</v>
      </c>
      <c r="E39" s="10" t="inlineStr">
        <is>
          <t>6А 1п.</t>
        </is>
      </c>
      <c r="F39" s="10" t="n">
        <v>11.08</v>
      </c>
      <c r="G39" s="58">
        <f>$G$1</f>
        <v/>
      </c>
      <c r="H39" s="189">
        <f>F39/G39</f>
        <v/>
      </c>
      <c r="I39" s="10" t="n">
        <v>0.17</v>
      </c>
    </row>
    <row r="40">
      <c r="B40" s="3" t="inlineStr">
        <is>
          <t>QF3</t>
        </is>
      </c>
      <c r="C40" s="3" t="inlineStr">
        <is>
          <t>Автомат. Выключатель 1п</t>
        </is>
      </c>
      <c r="D40" s="10" t="n">
        <v>16</v>
      </c>
      <c r="E40" s="10" t="inlineStr">
        <is>
          <t>16А 1п.</t>
        </is>
      </c>
      <c r="F40" s="10" t="n">
        <v>7.31</v>
      </c>
      <c r="G40" s="58">
        <f>$G$1</f>
        <v/>
      </c>
      <c r="H40" s="189">
        <f>F40/G40</f>
        <v/>
      </c>
      <c r="I40" s="10" t="n">
        <v>0.17</v>
      </c>
    </row>
    <row r="41">
      <c r="B41" s="9" t="n"/>
      <c r="C41" s="3" t="inlineStr">
        <is>
          <t>Автомат. Выключатель 1п</t>
        </is>
      </c>
      <c r="D41" s="23" t="n">
        <v>1</v>
      </c>
      <c r="E41" s="10" t="inlineStr">
        <is>
          <t>1А 1п.</t>
        </is>
      </c>
      <c r="F41" s="23" t="n">
        <v>10.76</v>
      </c>
      <c r="G41" s="58">
        <f>$G$1</f>
        <v/>
      </c>
      <c r="H41" s="189">
        <f>F41/G41</f>
        <v/>
      </c>
      <c r="I41" s="10" t="n">
        <v>0.17</v>
      </c>
    </row>
    <row r="42">
      <c r="B42" s="9" t="n"/>
      <c r="C42" s="3" t="inlineStr">
        <is>
          <t>Автомат. Выключатель 1п</t>
        </is>
      </c>
      <c r="D42" s="23" t="n">
        <v>2</v>
      </c>
      <c r="E42" s="10" t="inlineStr">
        <is>
          <t>2А 1п.</t>
        </is>
      </c>
      <c r="F42" s="23" t="n">
        <v>13.14</v>
      </c>
      <c r="G42" s="58">
        <f>$G$1</f>
        <v/>
      </c>
      <c r="H42" s="189">
        <f>F42/G42</f>
        <v/>
      </c>
      <c r="I42" s="10" t="n">
        <v>0.17</v>
      </c>
    </row>
    <row r="43">
      <c r="B43" s="9" t="n"/>
      <c r="C43" s="3" t="inlineStr">
        <is>
          <t>Автомат. Выключатель 1п</t>
        </is>
      </c>
      <c r="D43" s="23" t="n">
        <v>4</v>
      </c>
      <c r="E43" s="10" t="inlineStr">
        <is>
          <t>4А 1п.</t>
        </is>
      </c>
      <c r="F43" s="23" t="n">
        <v>13.14</v>
      </c>
      <c r="G43" s="58">
        <f>$G$1</f>
        <v/>
      </c>
      <c r="H43" s="189">
        <f>F43/G43</f>
        <v/>
      </c>
      <c r="I43" s="10" t="n">
        <v>0.17</v>
      </c>
    </row>
    <row r="44" ht="15.75" customHeight="1" s="552" thickBot="1">
      <c r="B44" s="9" t="n"/>
      <c r="C44" s="9" t="n"/>
      <c r="D44" s="23" t="n"/>
      <c r="E44" s="23" t="n"/>
      <c r="F44" s="9" t="n"/>
      <c r="G44" s="9" t="n"/>
      <c r="H44" s="190" t="n"/>
      <c r="I44" s="10" t="n"/>
    </row>
    <row r="45" ht="16.5" customHeight="1" s="552" thickBot="1">
      <c r="B45" s="71" t="inlineStr">
        <is>
          <t>Контакторы</t>
        </is>
      </c>
      <c r="C45" s="72" t="n"/>
      <c r="D45" s="73" t="n"/>
      <c r="E45" s="73" t="n"/>
      <c r="F45" s="73" t="n"/>
      <c r="G45" s="73" t="n"/>
      <c r="H45" s="73" t="n"/>
      <c r="I45" s="78" t="n"/>
    </row>
    <row r="46">
      <c r="B46" s="70" t="inlineStr">
        <is>
          <t>KM1</t>
        </is>
      </c>
      <c r="C46" s="70" t="inlineStr">
        <is>
          <t>Контактор</t>
        </is>
      </c>
      <c r="D46" s="58" t="n">
        <v>9</v>
      </c>
      <c r="E46" s="58" t="inlineStr">
        <is>
          <t>LC1D09P7</t>
        </is>
      </c>
      <c r="F46" s="58" t="n">
        <v>21.49</v>
      </c>
      <c r="G46" s="58">
        <f>$G$1</f>
        <v/>
      </c>
      <c r="H46" s="189">
        <f>F46/G46</f>
        <v/>
      </c>
      <c r="I46" s="10" t="n">
        <v>0.32</v>
      </c>
      <c r="J46" s="10" t="n">
        <v>4</v>
      </c>
    </row>
    <row r="47">
      <c r="B47" s="3" t="n"/>
      <c r="C47" s="3" t="inlineStr">
        <is>
          <t>Контактор</t>
        </is>
      </c>
      <c r="D47" s="10" t="n">
        <v>12</v>
      </c>
      <c r="E47" s="10" t="inlineStr">
        <is>
          <t>LC1D12P7</t>
        </is>
      </c>
      <c r="F47" s="10" t="n">
        <v>31.86</v>
      </c>
      <c r="G47" s="58">
        <f>$G$1</f>
        <v/>
      </c>
      <c r="H47" s="189">
        <f>F47/G47</f>
        <v/>
      </c>
      <c r="I47" s="10" t="n">
        <v>0.32</v>
      </c>
      <c r="J47" s="10" t="n">
        <v>5.5</v>
      </c>
    </row>
    <row r="48">
      <c r="B48" s="3" t="n"/>
      <c r="C48" s="3" t="inlineStr">
        <is>
          <t>Контактор</t>
        </is>
      </c>
      <c r="D48" s="10" t="n">
        <v>18</v>
      </c>
      <c r="E48" s="10" t="inlineStr">
        <is>
          <t>LC1D18P7</t>
        </is>
      </c>
      <c r="F48" s="10" t="n">
        <v>39.14</v>
      </c>
      <c r="G48" s="58">
        <f>$G$1</f>
        <v/>
      </c>
      <c r="H48" s="189">
        <f>F48/G48</f>
        <v/>
      </c>
      <c r="I48" s="10" t="n">
        <v>0.32</v>
      </c>
      <c r="J48" s="10" t="n">
        <v>7.5</v>
      </c>
    </row>
    <row r="49">
      <c r="B49" s="3" t="n"/>
      <c r="C49" s="3" t="inlineStr">
        <is>
          <t>Контактор</t>
        </is>
      </c>
      <c r="D49" s="10" t="n">
        <v>25</v>
      </c>
      <c r="E49" s="10" t="inlineStr">
        <is>
          <t>LC1D25P7</t>
        </is>
      </c>
      <c r="F49" s="10" t="n">
        <v>83.31999999999999</v>
      </c>
      <c r="G49" s="58">
        <f>$G$1</f>
        <v/>
      </c>
      <c r="H49" s="189">
        <f>F49/G49</f>
        <v/>
      </c>
      <c r="I49" s="10" t="n">
        <v>0.37</v>
      </c>
      <c r="J49" s="10" t="n">
        <v>11</v>
      </c>
    </row>
    <row r="50">
      <c r="B50" s="3" t="n"/>
      <c r="C50" s="3" t="inlineStr">
        <is>
          <t>Контактор</t>
        </is>
      </c>
      <c r="D50" s="10" t="n">
        <v>32</v>
      </c>
      <c r="E50" s="10" t="inlineStr">
        <is>
          <t>LC1D32P7</t>
        </is>
      </c>
      <c r="F50" s="10" t="n">
        <v>63.6</v>
      </c>
      <c r="G50" s="58">
        <f>$G$1</f>
        <v/>
      </c>
      <c r="H50" s="189">
        <f>F50/G50</f>
        <v/>
      </c>
      <c r="I50" s="10" t="n">
        <v>0.38</v>
      </c>
      <c r="J50" s="10" t="n">
        <v>15</v>
      </c>
    </row>
    <row r="51">
      <c r="B51" s="3" t="n"/>
      <c r="C51" s="3" t="inlineStr">
        <is>
          <t>Контактор</t>
        </is>
      </c>
      <c r="D51" s="10" t="n">
        <v>40</v>
      </c>
      <c r="E51" s="10" t="inlineStr">
        <is>
          <t>LC1D40P7</t>
        </is>
      </c>
      <c r="F51" s="10" t="n">
        <v>81.75</v>
      </c>
      <c r="G51" s="58">
        <f>$G$1</f>
        <v/>
      </c>
      <c r="H51" s="189">
        <f>F51/G51</f>
        <v/>
      </c>
      <c r="I51" s="10" t="n">
        <v>1.4</v>
      </c>
      <c r="J51" s="10" t="n">
        <v>18.5</v>
      </c>
    </row>
    <row r="52">
      <c r="B52" s="3" t="n"/>
      <c r="C52" s="3" t="inlineStr">
        <is>
          <t>Контактор</t>
        </is>
      </c>
      <c r="D52" s="10" t="n">
        <v>50</v>
      </c>
      <c r="E52" s="10" t="inlineStr">
        <is>
          <t>LC1D50P7</t>
        </is>
      </c>
      <c r="F52" s="10" t="n">
        <v>122.8</v>
      </c>
      <c r="G52" s="58">
        <f>$G$1</f>
        <v/>
      </c>
      <c r="H52" s="189">
        <f>F52/G52</f>
        <v/>
      </c>
      <c r="I52" s="10" t="n">
        <v>1.4</v>
      </c>
      <c r="J52" s="10" t="n">
        <v>22</v>
      </c>
    </row>
    <row r="53">
      <c r="B53" s="3" t="n"/>
      <c r="C53" s="3" t="inlineStr">
        <is>
          <t>Контактор</t>
        </is>
      </c>
      <c r="D53" s="10" t="n">
        <v>65</v>
      </c>
      <c r="E53" s="10" t="inlineStr">
        <is>
          <t>LC1D65P7</t>
        </is>
      </c>
      <c r="F53" s="10" t="n">
        <v>158.29</v>
      </c>
      <c r="G53" s="58">
        <f>$G$1</f>
        <v/>
      </c>
      <c r="H53" s="189">
        <f>F53/G53</f>
        <v/>
      </c>
      <c r="I53" s="10" t="n">
        <v>1.4</v>
      </c>
      <c r="J53" s="10" t="n">
        <v>30</v>
      </c>
    </row>
    <row r="54">
      <c r="B54" s="3" t="n"/>
      <c r="C54" s="3" t="inlineStr">
        <is>
          <t>Контактор</t>
        </is>
      </c>
      <c r="D54" s="10" t="n">
        <v>80</v>
      </c>
      <c r="E54" s="10" t="inlineStr">
        <is>
          <t>LC1D80P7</t>
        </is>
      </c>
      <c r="F54" s="10" t="n">
        <v>231.72</v>
      </c>
      <c r="G54" s="58">
        <f>$G$1</f>
        <v/>
      </c>
      <c r="H54" s="189">
        <f>F54/G54</f>
        <v/>
      </c>
      <c r="I54" s="10" t="n">
        <v>1.6</v>
      </c>
      <c r="J54" s="10" t="n">
        <v>37</v>
      </c>
    </row>
    <row r="55" ht="15.75" customHeight="1" s="552" thickBot="1">
      <c r="B55" s="9" t="n"/>
      <c r="C55" s="9" t="n"/>
      <c r="D55" s="23" t="n"/>
      <c r="E55" s="23" t="n"/>
      <c r="F55" s="9" t="n"/>
      <c r="G55" s="9" t="n"/>
      <c r="H55" s="190" t="n"/>
      <c r="I55" s="10" t="n"/>
    </row>
    <row r="56" ht="16.5" customHeight="1" s="552" thickBot="1">
      <c r="B56" s="71" t="inlineStr">
        <is>
          <t>Реле</t>
        </is>
      </c>
      <c r="C56" s="72" t="n"/>
      <c r="D56" s="73" t="n"/>
      <c r="E56" s="73" t="n"/>
      <c r="F56" s="73" t="n"/>
      <c r="G56" s="73" t="n"/>
      <c r="H56" s="73" t="n"/>
      <c r="I56" s="78" t="n"/>
    </row>
    <row r="57">
      <c r="B57" s="70" t="n"/>
      <c r="C57" s="70" t="inlineStr">
        <is>
          <t>Реле промеж., 4пер.конт</t>
        </is>
      </c>
      <c r="D57" s="58" t="inlineStr">
        <is>
          <t>4СО, 230В</t>
        </is>
      </c>
      <c r="E57" s="58" t="inlineStr">
        <is>
          <t>Р_4_230</t>
        </is>
      </c>
      <c r="F57" s="58" t="n">
        <v>13.9</v>
      </c>
      <c r="G57" s="58">
        <f>$G$1</f>
        <v/>
      </c>
      <c r="H57" s="189">
        <f>F57/G57</f>
        <v/>
      </c>
      <c r="I57" s="10" t="n">
        <v>0.1</v>
      </c>
    </row>
    <row r="58">
      <c r="B58" s="3" t="n"/>
      <c r="C58" s="3" t="inlineStr">
        <is>
          <t>Реле промеж., 2пер.конт</t>
        </is>
      </c>
      <c r="D58" s="10" t="inlineStr">
        <is>
          <t>2СО, 230В</t>
        </is>
      </c>
      <c r="E58" s="10" t="inlineStr">
        <is>
          <t>Р_2_230</t>
        </is>
      </c>
      <c r="F58" s="10" t="n">
        <v>9.74</v>
      </c>
      <c r="G58" s="58">
        <f>$G$1</f>
        <v/>
      </c>
      <c r="H58" s="189">
        <f>F58/G58</f>
        <v/>
      </c>
      <c r="I58" s="10" t="n">
        <v>0.1</v>
      </c>
    </row>
    <row r="59">
      <c r="B59" s="3" t="n"/>
      <c r="C59" s="3" t="inlineStr">
        <is>
          <t>Реле времени</t>
        </is>
      </c>
      <c r="D59" s="10" t="inlineStr">
        <is>
          <t>Р_вр</t>
        </is>
      </c>
      <c r="E59" s="10" t="inlineStr">
        <is>
          <t>Р_вр</t>
        </is>
      </c>
      <c r="F59" s="10" t="n">
        <v>46.9</v>
      </c>
      <c r="G59" s="58">
        <f>$G$1</f>
        <v/>
      </c>
      <c r="H59" s="189">
        <f>F59/G59</f>
        <v/>
      </c>
      <c r="I59" s="10" t="n">
        <v>0.1</v>
      </c>
    </row>
    <row r="60" ht="15.75" customHeight="1" s="552" thickBot="1">
      <c r="B60" s="9" t="n"/>
      <c r="C60" s="9" t="n"/>
      <c r="D60" s="23" t="n"/>
      <c r="E60" s="23" t="n"/>
      <c r="F60" s="9" t="n"/>
      <c r="G60" s="9" t="n"/>
      <c r="H60" s="190" t="n"/>
      <c r="I60" s="10" t="n"/>
    </row>
    <row r="61" ht="16.5" customHeight="1" s="552" thickBot="1">
      <c r="B61" s="71" t="inlineStr">
        <is>
          <t>Клеммы</t>
        </is>
      </c>
      <c r="C61" s="72" t="n"/>
      <c r="D61" s="73" t="n"/>
      <c r="E61" s="73" t="n"/>
      <c r="F61" s="73" t="n"/>
      <c r="G61" s="73" t="n"/>
      <c r="H61" s="73" t="n"/>
      <c r="I61" s="78" t="n"/>
    </row>
    <row r="62">
      <c r="B62" s="70" t="n"/>
      <c r="C62" s="70" t="inlineStr">
        <is>
          <t>Клемма</t>
        </is>
      </c>
      <c r="D62" s="58" t="n">
        <v>2.5</v>
      </c>
      <c r="E62" s="58">
        <f>CONCATENATE(C62,D62)</f>
        <v/>
      </c>
      <c r="F62" s="58" t="n">
        <v>0.63</v>
      </c>
      <c r="G62" s="58">
        <f>$G$1</f>
        <v/>
      </c>
      <c r="H62" s="189">
        <f>F62/G62</f>
        <v/>
      </c>
      <c r="I62" s="10" t="n">
        <v>0.006</v>
      </c>
    </row>
    <row r="63">
      <c r="B63" s="3" t="n"/>
      <c r="C63" s="3" t="inlineStr">
        <is>
          <t>Клемма</t>
        </is>
      </c>
      <c r="D63" s="10" t="n">
        <v>4</v>
      </c>
      <c r="E63" s="10">
        <f>CONCATENATE(C63,D63)</f>
        <v/>
      </c>
      <c r="F63" s="10" t="n">
        <v>0.92</v>
      </c>
      <c r="G63" s="58">
        <f>$G$1</f>
        <v/>
      </c>
      <c r="H63" s="189">
        <f>F63/G63</f>
        <v/>
      </c>
      <c r="I63" s="10" t="n">
        <v>0.01</v>
      </c>
    </row>
    <row r="64">
      <c r="B64" s="3" t="n"/>
      <c r="C64" s="3" t="inlineStr">
        <is>
          <t>Клемма</t>
        </is>
      </c>
      <c r="D64" s="10" t="n">
        <v>6</v>
      </c>
      <c r="E64" s="10">
        <f>CONCATENATE(C64,D64)</f>
        <v/>
      </c>
      <c r="F64" s="10" t="n">
        <v>1.18</v>
      </c>
      <c r="G64" s="58">
        <f>$G$1</f>
        <v/>
      </c>
      <c r="H64" s="189">
        <f>F64/G64</f>
        <v/>
      </c>
      <c r="I64" s="10" t="n">
        <v>0.02</v>
      </c>
    </row>
    <row r="65">
      <c r="B65" s="3" t="n"/>
      <c r="C65" s="3" t="inlineStr">
        <is>
          <t>Клемма</t>
        </is>
      </c>
      <c r="D65" s="10" t="n">
        <v>10</v>
      </c>
      <c r="E65" s="10" t="inlineStr">
        <is>
          <t>KL10</t>
        </is>
      </c>
      <c r="F65" s="10" t="n">
        <v>1.77</v>
      </c>
      <c r="G65" s="58">
        <f>$G$1</f>
        <v/>
      </c>
      <c r="H65" s="189">
        <f>F65/G65</f>
        <v/>
      </c>
      <c r="I65" s="10" t="n">
        <v>0.03</v>
      </c>
    </row>
    <row r="66">
      <c r="B66" s="3" t="n"/>
      <c r="C66" s="3" t="inlineStr">
        <is>
          <t>Клемма</t>
        </is>
      </c>
      <c r="D66" s="10" t="n">
        <v>16</v>
      </c>
      <c r="E66" s="10">
        <f>CONCATENATE(C66,D66)</f>
        <v/>
      </c>
      <c r="F66" s="10" t="n">
        <v>2.95</v>
      </c>
      <c r="G66" s="58">
        <f>$G$1</f>
        <v/>
      </c>
      <c r="H66" s="189">
        <f>F66/G66</f>
        <v/>
      </c>
      <c r="I66" s="10" t="n">
        <v>0.04</v>
      </c>
    </row>
    <row r="67">
      <c r="B67" s="3" t="n"/>
      <c r="C67" s="3" t="inlineStr">
        <is>
          <t>Клемма</t>
        </is>
      </c>
      <c r="D67" s="10" t="n">
        <v>35</v>
      </c>
      <c r="E67" s="10">
        <f>CONCATENATE(C67,D67)</f>
        <v/>
      </c>
      <c r="F67" s="10" t="n">
        <v>2.76</v>
      </c>
      <c r="G67" s="58">
        <f>$G$1</f>
        <v/>
      </c>
      <c r="H67" s="189">
        <f>F67/G67</f>
        <v/>
      </c>
      <c r="I67" s="10" t="n">
        <v>0.06</v>
      </c>
    </row>
    <row r="68">
      <c r="B68" s="3" t="n"/>
      <c r="C68" s="3" t="inlineStr">
        <is>
          <t>Клемма N</t>
        </is>
      </c>
      <c r="D68" s="10" t="n">
        <v>2.5</v>
      </c>
      <c r="E68" s="10">
        <f>CONCATENATE(C68,D68)</f>
        <v/>
      </c>
      <c r="F68" s="10" t="n">
        <v>0.61</v>
      </c>
      <c r="G68" s="58">
        <f>$G$1</f>
        <v/>
      </c>
      <c r="H68" s="189">
        <f>F68/G68</f>
        <v/>
      </c>
      <c r="I68" s="10" t="n">
        <v>0.006</v>
      </c>
    </row>
    <row r="69">
      <c r="B69" s="3" t="n"/>
      <c r="C69" s="3" t="inlineStr">
        <is>
          <t>Клемма N</t>
        </is>
      </c>
      <c r="D69" s="10" t="n">
        <v>4</v>
      </c>
      <c r="E69" s="10">
        <f>CONCATENATE(C69,D69)</f>
        <v/>
      </c>
      <c r="F69" s="10" t="n">
        <v>1.14</v>
      </c>
      <c r="G69" s="58">
        <f>$G$1</f>
        <v/>
      </c>
      <c r="H69" s="189">
        <f>F69/G69</f>
        <v/>
      </c>
      <c r="I69" s="10" t="n">
        <v>0.01</v>
      </c>
    </row>
    <row r="70">
      <c r="B70" s="3" t="n"/>
      <c r="C70" s="3" t="inlineStr">
        <is>
          <t>Клемма N</t>
        </is>
      </c>
      <c r="D70" s="10" t="n">
        <v>6</v>
      </c>
      <c r="E70" s="10">
        <f>CONCATENATE(C70,D70)</f>
        <v/>
      </c>
      <c r="F70" s="10" t="n">
        <v>1.14</v>
      </c>
      <c r="G70" s="58">
        <f>$G$1</f>
        <v/>
      </c>
      <c r="H70" s="189">
        <f>F70/G70</f>
        <v/>
      </c>
      <c r="I70" s="10" t="n">
        <v>0.02</v>
      </c>
    </row>
    <row r="71">
      <c r="B71" s="3" t="n"/>
      <c r="C71" s="3" t="inlineStr">
        <is>
          <t>Клемма N</t>
        </is>
      </c>
      <c r="D71" s="10" t="n">
        <v>10</v>
      </c>
      <c r="E71" s="10">
        <f>CONCATENATE(C71,D71)</f>
        <v/>
      </c>
      <c r="F71" s="10" t="n">
        <v>2.63</v>
      </c>
      <c r="G71" s="58">
        <f>$G$1</f>
        <v/>
      </c>
      <c r="H71" s="189">
        <f>F71/G71</f>
        <v/>
      </c>
      <c r="I71" s="10" t="n">
        <v>0.03</v>
      </c>
    </row>
    <row r="72">
      <c r="B72" s="3" t="n"/>
      <c r="C72" s="3" t="inlineStr">
        <is>
          <t>Клемма N</t>
        </is>
      </c>
      <c r="D72" s="10" t="n">
        <v>16</v>
      </c>
      <c r="E72" s="10">
        <f>CONCATENATE(C72,D72)</f>
        <v/>
      </c>
      <c r="F72" s="10" t="n">
        <v>3.33</v>
      </c>
      <c r="G72" s="58">
        <f>$G$1</f>
        <v/>
      </c>
      <c r="H72" s="189">
        <f>F72/G72</f>
        <v/>
      </c>
      <c r="I72" s="10" t="n">
        <v>0.04</v>
      </c>
    </row>
    <row r="73">
      <c r="B73" s="3" t="n"/>
      <c r="C73" s="3" t="inlineStr">
        <is>
          <t>Клемма N</t>
        </is>
      </c>
      <c r="D73" s="10" t="n">
        <v>35</v>
      </c>
      <c r="E73" s="10">
        <f>CONCATENATE(C73,D73)</f>
        <v/>
      </c>
      <c r="F73" s="10" t="n">
        <v>4.08</v>
      </c>
      <c r="G73" s="58">
        <f>$G$1</f>
        <v/>
      </c>
      <c r="H73" s="189">
        <f>F73/G73</f>
        <v/>
      </c>
      <c r="I73" s="10" t="n">
        <v>0.06</v>
      </c>
    </row>
    <row r="74">
      <c r="B74" s="3" t="n"/>
      <c r="C74" s="3" t="inlineStr">
        <is>
          <t>Клемма PE</t>
        </is>
      </c>
      <c r="D74" s="10" t="n">
        <v>2.5</v>
      </c>
      <c r="E74" s="10">
        <f>CONCATENATE(C74,D74)</f>
        <v/>
      </c>
      <c r="F74" s="10" t="n">
        <v>1.24</v>
      </c>
      <c r="G74" s="58">
        <f>$G$1</f>
        <v/>
      </c>
      <c r="H74" s="189">
        <f>F74/G74</f>
        <v/>
      </c>
      <c r="I74" s="10" t="n">
        <v>0.006</v>
      </c>
    </row>
    <row r="75">
      <c r="B75" s="3" t="n"/>
      <c r="C75" s="3" t="inlineStr">
        <is>
          <t>Клемма PE</t>
        </is>
      </c>
      <c r="D75" s="10" t="n">
        <v>4</v>
      </c>
      <c r="E75" s="10">
        <f>CONCATENATE(C75,D75)</f>
        <v/>
      </c>
      <c r="F75" s="10" t="n">
        <v>2.91</v>
      </c>
      <c r="G75" s="58">
        <f>$G$1</f>
        <v/>
      </c>
      <c r="H75" s="189">
        <f>F75/G75</f>
        <v/>
      </c>
      <c r="I75" s="10" t="n">
        <v>0.01</v>
      </c>
    </row>
    <row r="76">
      <c r="B76" s="3" t="n"/>
      <c r="C76" s="3" t="inlineStr">
        <is>
          <t>Клемма PE</t>
        </is>
      </c>
      <c r="D76" s="10" t="n">
        <v>6</v>
      </c>
      <c r="E76" s="10">
        <f>CONCATENATE(C76,D76)</f>
        <v/>
      </c>
      <c r="F76" s="10" t="n">
        <v>3.17</v>
      </c>
      <c r="G76" s="58">
        <f>$G$1</f>
        <v/>
      </c>
      <c r="H76" s="189">
        <f>F76/G76</f>
        <v/>
      </c>
      <c r="I76" s="10" t="n">
        <v>0.02</v>
      </c>
    </row>
    <row r="77">
      <c r="B77" s="3" t="n"/>
      <c r="C77" s="3" t="inlineStr">
        <is>
          <t>Клемма PE</t>
        </is>
      </c>
      <c r="D77" s="10" t="n">
        <v>10</v>
      </c>
      <c r="E77" s="10">
        <f>CONCATENATE(C77,D77)</f>
        <v/>
      </c>
      <c r="F77" s="10" t="n">
        <v>2.96</v>
      </c>
      <c r="G77" s="58">
        <f>$G$1</f>
        <v/>
      </c>
      <c r="H77" s="189">
        <f>F77/G77</f>
        <v/>
      </c>
      <c r="I77" s="10" t="n">
        <v>0.03</v>
      </c>
    </row>
    <row r="78">
      <c r="B78" s="3" t="n"/>
      <c r="C78" s="3" t="inlineStr">
        <is>
          <t>Клемма PE</t>
        </is>
      </c>
      <c r="D78" s="10" t="n">
        <v>16</v>
      </c>
      <c r="E78" s="10">
        <f>CONCATENATE(C78,D78)</f>
        <v/>
      </c>
      <c r="F78" s="10" t="n">
        <v>4.19</v>
      </c>
      <c r="G78" s="58">
        <f>$G$1</f>
        <v/>
      </c>
      <c r="H78" s="189">
        <f>F78/G78</f>
        <v/>
      </c>
      <c r="I78" s="10" t="n">
        <v>0.04</v>
      </c>
    </row>
    <row r="79">
      <c r="B79" s="3" t="n"/>
      <c r="C79" s="3" t="inlineStr">
        <is>
          <t>Клемма PE</t>
        </is>
      </c>
      <c r="D79" s="10" t="n">
        <v>35</v>
      </c>
      <c r="E79" s="10">
        <f>CONCATENATE(C79,D79)</f>
        <v/>
      </c>
      <c r="F79" s="10" t="n">
        <v>7.52</v>
      </c>
      <c r="G79" s="58">
        <f>$G$1</f>
        <v/>
      </c>
      <c r="H79" s="189">
        <f>F79/G79</f>
        <v/>
      </c>
      <c r="I79" s="10" t="n">
        <v>0.06</v>
      </c>
    </row>
    <row r="80">
      <c r="B80" s="3" t="n"/>
      <c r="C80" s="3" t="inlineStr">
        <is>
          <t>Концевой стопор</t>
        </is>
      </c>
      <c r="D80" s="10" t="inlineStr">
        <is>
          <t>КС</t>
        </is>
      </c>
      <c r="E80" s="10" t="inlineStr">
        <is>
          <t>Кон_стопор</t>
        </is>
      </c>
      <c r="F80" s="10" t="n">
        <v>0.92</v>
      </c>
      <c r="G80" s="58">
        <f>$G$1</f>
        <v/>
      </c>
      <c r="H80" s="189">
        <f>F80/G80</f>
        <v/>
      </c>
      <c r="I80" s="10" t="n">
        <v>0.01</v>
      </c>
    </row>
    <row r="81">
      <c r="B81" s="3" t="n"/>
      <c r="C81" s="3" t="n"/>
      <c r="D81" s="10" t="n"/>
      <c r="E81" s="10" t="n"/>
      <c r="F81" s="3" t="n"/>
      <c r="G81" s="3" t="n"/>
      <c r="H81" s="42" t="n"/>
      <c r="I81" s="10" t="n"/>
    </row>
    <row r="82" ht="15.75" customHeight="1" s="552" thickBot="1">
      <c r="B82" s="9" t="n"/>
      <c r="C82" s="9" t="n"/>
      <c r="D82" s="23" t="n"/>
      <c r="E82" s="23" t="n"/>
      <c r="F82" s="9" t="n"/>
      <c r="G82" s="9" t="n"/>
      <c r="H82" s="190" t="n"/>
      <c r="I82" s="10" t="n"/>
    </row>
    <row r="83" ht="16.5" customHeight="1" s="552" thickBot="1">
      <c r="B83" s="71" t="inlineStr">
        <is>
          <t>Кнопки, переключатели</t>
        </is>
      </c>
      <c r="C83" s="72" t="n"/>
      <c r="D83" s="73" t="n"/>
      <c r="E83" s="73" t="n"/>
      <c r="F83" s="73" t="n"/>
      <c r="G83" s="73" t="n"/>
      <c r="H83" s="73" t="n"/>
      <c r="I83" s="78" t="n"/>
    </row>
    <row r="84">
      <c r="B84" s="70" t="n"/>
      <c r="C84" s="70" t="inlineStr">
        <is>
          <t>Индикатор СЕТЬ (желтый)</t>
        </is>
      </c>
      <c r="D84" s="58" t="inlineStr">
        <is>
          <t>желтый</t>
        </is>
      </c>
      <c r="E84" s="58" t="inlineStr">
        <is>
          <t>Ин_ж</t>
        </is>
      </c>
      <c r="F84" s="58" t="n">
        <v>1.53</v>
      </c>
      <c r="G84" s="58">
        <f>$G$1</f>
        <v/>
      </c>
      <c r="H84" s="189">
        <f>F84/G84</f>
        <v/>
      </c>
      <c r="I84" s="10" t="n">
        <v>0.2</v>
      </c>
    </row>
    <row r="85">
      <c r="B85" s="3" t="n"/>
      <c r="C85" s="3" t="inlineStr">
        <is>
          <t>Индикатор РАБОТА (зеленый)</t>
        </is>
      </c>
      <c r="D85" s="10" t="inlineStr">
        <is>
          <t>зеленый</t>
        </is>
      </c>
      <c r="E85" s="10" t="inlineStr">
        <is>
          <t>Ин_з</t>
        </is>
      </c>
      <c r="F85" s="10" t="n">
        <v>1.4</v>
      </c>
      <c r="G85" s="58">
        <f>$G$1</f>
        <v/>
      </c>
      <c r="H85" s="189">
        <f>F85/G85</f>
        <v/>
      </c>
      <c r="I85" s="10" t="n">
        <v>0.2</v>
      </c>
    </row>
    <row r="86">
      <c r="B86" s="3" t="n"/>
      <c r="C86" s="3" t="inlineStr">
        <is>
          <t>Индикатор АВАРИЯ (красный)</t>
        </is>
      </c>
      <c r="D86" s="10" t="inlineStr">
        <is>
          <t>красный</t>
        </is>
      </c>
      <c r="E86" s="10" t="inlineStr">
        <is>
          <t>Ин_кр</t>
        </is>
      </c>
      <c r="F86" s="10" t="n">
        <v>1.41</v>
      </c>
      <c r="G86" s="58">
        <f>$G$1</f>
        <v/>
      </c>
      <c r="H86" s="189">
        <f>F86/G86</f>
        <v/>
      </c>
      <c r="I86" s="10" t="n">
        <v>0.2</v>
      </c>
    </row>
    <row r="87">
      <c r="B87" s="3" t="n"/>
      <c r="C87" s="3" t="inlineStr">
        <is>
          <t>Кнопка ПУСК</t>
        </is>
      </c>
      <c r="D87" s="10" t="inlineStr">
        <is>
          <t>1NO</t>
        </is>
      </c>
      <c r="E87" s="10" t="inlineStr">
        <is>
          <t>ПУСК_1NO</t>
        </is>
      </c>
      <c r="F87" s="10" t="n">
        <v>9.26</v>
      </c>
      <c r="G87" s="58">
        <f>$G$1</f>
        <v/>
      </c>
      <c r="H87" s="189">
        <f>F87/G87</f>
        <v/>
      </c>
      <c r="I87" s="10" t="n">
        <v>0.2</v>
      </c>
      <c r="J87" s="192" t="inlineStr">
        <is>
          <t>Кнопка</t>
        </is>
      </c>
      <c r="K87" s="10" t="inlineStr">
        <is>
          <t>Адаптер</t>
        </is>
      </c>
      <c r="L87" s="10" t="inlineStr">
        <is>
          <t>Блок конт.</t>
        </is>
      </c>
      <c r="M87" s="10" t="inlineStr">
        <is>
          <t>ИТОГО</t>
        </is>
      </c>
    </row>
    <row r="88">
      <c r="B88" s="3" t="n"/>
      <c r="C88" s="3" t="inlineStr">
        <is>
          <t>Кнопка СТОП</t>
        </is>
      </c>
      <c r="D88" s="10" t="inlineStr">
        <is>
          <t>1NC</t>
        </is>
      </c>
      <c r="E88" s="10" t="inlineStr">
        <is>
          <t>ПУСК_1NC</t>
        </is>
      </c>
      <c r="F88" s="10" t="n">
        <v>9.26</v>
      </c>
      <c r="G88" s="58">
        <f>$G$1</f>
        <v/>
      </c>
      <c r="H88" s="189">
        <f>F88/G88</f>
        <v/>
      </c>
      <c r="I88" s="10" t="n">
        <v>0.2</v>
      </c>
      <c r="J88" s="192" t="n">
        <v>2.05</v>
      </c>
      <c r="K88" s="10" t="n">
        <v>2.42</v>
      </c>
      <c r="L88" s="10" t="n">
        <v>4.79</v>
      </c>
      <c r="M88" s="10">
        <f>J88+K88+L88</f>
        <v/>
      </c>
    </row>
    <row r="89">
      <c r="B89" s="3" t="n"/>
      <c r="C89" s="3" t="inlineStr">
        <is>
          <t>Переключатель 3 пол.</t>
        </is>
      </c>
      <c r="D89" s="10" t="inlineStr">
        <is>
          <t>1NO+1NC+1NO</t>
        </is>
      </c>
      <c r="E89" s="10" t="inlineStr">
        <is>
          <t>ПЕРЕКЛ_3пол</t>
        </is>
      </c>
      <c r="F89" s="10" t="n">
        <v>9.93</v>
      </c>
      <c r="G89" s="58">
        <f>$G$1</f>
        <v/>
      </c>
      <c r="H89" s="189">
        <f>F89/G89</f>
        <v/>
      </c>
      <c r="I89" s="10" t="n">
        <v>0.2</v>
      </c>
      <c r="J89" s="192" t="n">
        <v>2.72</v>
      </c>
      <c r="K89" s="10" t="n">
        <v>2.42</v>
      </c>
      <c r="L89" s="10" t="n">
        <v>4.79</v>
      </c>
      <c r="M89" s="10">
        <f>J89+K89+L89</f>
        <v/>
      </c>
    </row>
    <row r="90">
      <c r="B90" s="9" t="n"/>
      <c r="C90" s="9" t="inlineStr">
        <is>
          <t>Кнопка модульная</t>
        </is>
      </c>
      <c r="D90" s="10" t="inlineStr">
        <is>
          <t>1NO+1NC</t>
        </is>
      </c>
      <c r="E90" s="10" t="inlineStr">
        <is>
          <t>ПУСК_1NO_1NC</t>
        </is>
      </c>
      <c r="F90" s="23" t="n">
        <v>11.64</v>
      </c>
      <c r="G90" s="10">
        <f>$G$1</f>
        <v/>
      </c>
      <c r="H90" s="189">
        <f>F90/G90</f>
        <v/>
      </c>
      <c r="I90" s="10" t="n"/>
      <c r="J90" s="1" t="n"/>
      <c r="K90" s="1" t="n"/>
      <c r="L90" s="1" t="n"/>
      <c r="M90" s="1" t="n"/>
    </row>
    <row r="91">
      <c r="B91" s="9" t="n"/>
      <c r="C91" s="9" t="inlineStr">
        <is>
          <t>Лампа модульная</t>
        </is>
      </c>
      <c r="D91" s="58" t="inlineStr">
        <is>
          <t>желтый,красный</t>
        </is>
      </c>
      <c r="E91" s="10" t="inlineStr">
        <is>
          <t>ПУСК_1NO_1NC</t>
        </is>
      </c>
      <c r="F91" s="23" t="n">
        <v>11.64</v>
      </c>
      <c r="G91" s="135">
        <f>$G$1</f>
        <v/>
      </c>
      <c r="H91" s="189" t="n">
        <v>6.75</v>
      </c>
      <c r="I91" s="10" t="n"/>
      <c r="J91" s="1" t="n"/>
      <c r="K91" s="1" t="n"/>
      <c r="L91" s="1" t="n"/>
      <c r="M91" s="1" t="n"/>
    </row>
    <row r="92" ht="15.75" customHeight="1" s="552" thickBot="1">
      <c r="B92" s="9" t="n"/>
      <c r="C92" s="9" t="n"/>
      <c r="D92" s="23" t="n"/>
      <c r="E92" s="23" t="n"/>
      <c r="F92" s="9" t="n"/>
      <c r="G92" s="9" t="n"/>
      <c r="H92" s="190" t="n"/>
      <c r="I92" s="10" t="n"/>
    </row>
    <row r="93" ht="16.5" customHeight="1" s="552" thickBot="1">
      <c r="B93" s="71" t="inlineStr">
        <is>
          <t>Шкафы</t>
        </is>
      </c>
      <c r="C93" s="72" t="n"/>
      <c r="D93" s="73" t="n"/>
      <c r="E93" s="73" t="n"/>
      <c r="F93" s="73" t="n"/>
      <c r="G93" s="73" t="n"/>
      <c r="H93" s="73" t="n"/>
      <c r="I93" s="78" t="n"/>
    </row>
    <row r="94">
      <c r="B94" s="70" t="n"/>
      <c r="C94" s="70" t="inlineStr">
        <is>
          <t>Шкаф металл. 400х300х205</t>
        </is>
      </c>
      <c r="D94" s="58" t="inlineStr">
        <is>
          <t>400х300х200</t>
        </is>
      </c>
      <c r="E94" s="58" t="inlineStr">
        <is>
          <t>М_400х300х200</t>
        </is>
      </c>
      <c r="F94" s="58" t="n">
        <v>79.56</v>
      </c>
      <c r="G94" s="58">
        <f>$G$1</f>
        <v/>
      </c>
      <c r="H94" s="189">
        <f>F94/G94</f>
        <v/>
      </c>
      <c r="I94" s="10" t="n">
        <v>6.2</v>
      </c>
      <c r="M94" s="136" t="n"/>
      <c r="N94" s="137" t="n"/>
      <c r="O94" s="138" t="n"/>
      <c r="P94" s="1" t="n"/>
      <c r="Q94" s="1" t="n"/>
      <c r="R94" s="139" t="n"/>
    </row>
    <row r="95">
      <c r="B95" s="3" t="n"/>
      <c r="C95" s="3" t="inlineStr">
        <is>
          <t>Шкаф металл. 500х400х205</t>
        </is>
      </c>
      <c r="D95" s="10" t="inlineStr">
        <is>
          <t>500х400х200</t>
        </is>
      </c>
      <c r="E95" s="10" t="inlineStr">
        <is>
          <t>М_500х400х200</t>
        </is>
      </c>
      <c r="F95" s="10" t="n">
        <v>113.32</v>
      </c>
      <c r="G95" s="58">
        <f>$G$1</f>
        <v/>
      </c>
      <c r="H95" s="189">
        <f>F95/G95</f>
        <v/>
      </c>
      <c r="I95" s="10" t="n">
        <v>9.199999999999999</v>
      </c>
      <c r="M95" s="136" t="n"/>
      <c r="N95" s="137" t="n"/>
      <c r="O95" s="138" t="n"/>
      <c r="P95" s="1" t="n"/>
      <c r="Q95" s="1" t="n"/>
      <c r="R95" s="139" t="n"/>
    </row>
    <row r="96">
      <c r="B96" s="3" t="n"/>
      <c r="C96" s="181" t="inlineStr">
        <is>
          <t>Шкаф пласт. BNK 65-24-1</t>
        </is>
      </c>
      <c r="D96" s="182" t="inlineStr">
        <is>
          <t>410х300х155</t>
        </is>
      </c>
      <c r="E96" s="182" t="inlineStr">
        <is>
          <t>П_BNK 65-24-1</t>
        </is>
      </c>
      <c r="F96" s="182" t="n">
        <v>120.74</v>
      </c>
      <c r="G96" s="183">
        <f>$G$1</f>
        <v/>
      </c>
      <c r="H96" s="191">
        <f>F96/G96</f>
        <v/>
      </c>
      <c r="I96" s="10" t="n">
        <v>2.5</v>
      </c>
      <c r="J96" s="122" t="inlineStr">
        <is>
          <t>Требует уточнения</t>
        </is>
      </c>
      <c r="M96" s="136" t="n"/>
      <c r="N96" s="137" t="n"/>
      <c r="O96" s="138" t="n"/>
      <c r="P96" s="1" t="n"/>
      <c r="Q96" s="1" t="n"/>
      <c r="R96" s="139" t="n"/>
    </row>
    <row r="97">
      <c r="B97" s="3" t="n"/>
      <c r="C97" s="3" t="inlineStr">
        <is>
          <t>Шкаф не существует</t>
        </is>
      </c>
      <c r="D97" s="10" t="inlineStr">
        <is>
          <t>-</t>
        </is>
      </c>
      <c r="E97" s="10" t="inlineStr">
        <is>
          <t>не существует</t>
        </is>
      </c>
      <c r="F97" s="3" t="n">
        <v>0</v>
      </c>
      <c r="G97" s="58">
        <f>$G$1</f>
        <v/>
      </c>
      <c r="H97" s="42" t="n">
        <v>0</v>
      </c>
      <c r="I97" s="10" t="n"/>
      <c r="J97" s="57" t="inlineStr">
        <is>
          <t>Цена указывается "0", необходимо для расчета</t>
        </is>
      </c>
      <c r="M97" s="136" t="n"/>
      <c r="N97" s="137" t="n"/>
      <c r="O97" s="138" t="n"/>
      <c r="P97" s="1" t="n"/>
      <c r="Q97" s="1" t="n"/>
      <c r="R97" s="139" t="n"/>
    </row>
    <row r="98" ht="15.75" customHeight="1" s="552" thickBot="1">
      <c r="B98" s="9" t="n"/>
      <c r="C98" s="9" t="n"/>
      <c r="D98" s="23" t="n"/>
      <c r="E98" s="23" t="n"/>
      <c r="F98" s="9" t="n"/>
      <c r="G98" s="9" t="n"/>
      <c r="H98" s="190" t="n"/>
      <c r="I98" s="3" t="n"/>
      <c r="M98" s="136" t="n"/>
      <c r="N98" s="137" t="n"/>
      <c r="O98" s="138" t="n"/>
      <c r="P98" s="1" t="n"/>
      <c r="Q98" s="1" t="n"/>
      <c r="R98" s="139" t="n"/>
    </row>
    <row r="99" ht="16.5" customHeight="1" s="552" thickBot="1">
      <c r="B99" s="71" t="inlineStr">
        <is>
          <t>Провод монтажный</t>
        </is>
      </c>
      <c r="C99" s="72" t="n"/>
      <c r="D99" s="73" t="n"/>
      <c r="E99" s="73" t="n"/>
      <c r="F99" s="73" t="n"/>
      <c r="G99" s="73" t="n"/>
      <c r="H99" s="73" t="n"/>
      <c r="I99" s="77" t="n"/>
      <c r="M99" s="136" t="n"/>
      <c r="N99" s="137" t="n"/>
      <c r="O99" s="138" t="n"/>
      <c r="P99" s="1" t="n"/>
      <c r="Q99" s="1" t="n"/>
      <c r="R99" s="139" t="n"/>
    </row>
    <row r="100">
      <c r="B100" s="70" t="n"/>
      <c r="C100" s="70" t="inlineStr">
        <is>
          <t>Провод монтажный силовой</t>
        </is>
      </c>
      <c r="D100" s="58" t="n">
        <v>1.5</v>
      </c>
      <c r="E100" s="58" t="inlineStr">
        <is>
          <t>сила1,5</t>
        </is>
      </c>
      <c r="F100" s="70" t="n"/>
      <c r="G100" s="58">
        <f>$G$1</f>
        <v/>
      </c>
      <c r="H100" s="194" t="n"/>
      <c r="I100" s="3" t="n"/>
      <c r="M100" s="136" t="n"/>
      <c r="N100" s="137" t="n"/>
      <c r="O100" s="138" t="n"/>
      <c r="P100" s="1" t="n"/>
      <c r="Q100" s="1" t="n"/>
      <c r="R100" s="139" t="n"/>
    </row>
    <row r="101">
      <c r="B101" s="3" t="n"/>
      <c r="C101" s="3" t="inlineStr">
        <is>
          <t>Провод монтажный силовой</t>
        </is>
      </c>
      <c r="D101" s="10" t="n">
        <v>2.5</v>
      </c>
      <c r="E101" s="10" t="inlineStr">
        <is>
          <t>сила2,5</t>
        </is>
      </c>
      <c r="F101" s="3" t="n"/>
      <c r="G101" s="58">
        <f>$G$1</f>
        <v/>
      </c>
      <c r="H101" s="42" t="n"/>
      <c r="I101" s="3" t="n"/>
      <c r="M101" s="136" t="n"/>
      <c r="N101" s="137" t="n"/>
      <c r="O101" s="138" t="n"/>
      <c r="P101" s="1" t="n"/>
      <c r="Q101" s="1" t="n"/>
      <c r="R101" s="139" t="n"/>
    </row>
    <row r="102">
      <c r="B102" s="3" t="n"/>
      <c r="C102" s="3" t="inlineStr">
        <is>
          <t>Провод монтажный силовой</t>
        </is>
      </c>
      <c r="D102" s="10" t="n">
        <v>4</v>
      </c>
      <c r="E102" s="10" t="inlineStr">
        <is>
          <t>сила4</t>
        </is>
      </c>
      <c r="F102" s="3" t="n"/>
      <c r="G102" s="58">
        <f>$G$1</f>
        <v/>
      </c>
      <c r="H102" s="42" t="n"/>
      <c r="I102" s="3" t="n"/>
      <c r="M102" s="136" t="n"/>
      <c r="N102" s="137" t="n"/>
      <c r="O102" s="138" t="n"/>
      <c r="P102" s="1" t="n"/>
      <c r="Q102" s="1" t="n"/>
      <c r="R102" s="139" t="n"/>
    </row>
    <row r="103">
      <c r="B103" s="3" t="n"/>
      <c r="C103" s="3" t="inlineStr">
        <is>
          <t>Провод монтажный силовой</t>
        </is>
      </c>
      <c r="D103" s="10" t="n">
        <v>6</v>
      </c>
      <c r="E103" s="10" t="inlineStr">
        <is>
          <t>сила6</t>
        </is>
      </c>
      <c r="F103" s="3" t="n"/>
      <c r="G103" s="58">
        <f>$G$1</f>
        <v/>
      </c>
      <c r="H103" s="42" t="n"/>
      <c r="I103" s="3" t="n"/>
    </row>
    <row r="104">
      <c r="B104" s="3" t="n"/>
      <c r="C104" s="3" t="inlineStr">
        <is>
          <t>Провод монтажный силовой</t>
        </is>
      </c>
      <c r="D104" s="10" t="n">
        <v>10</v>
      </c>
      <c r="E104" s="10" t="inlineStr">
        <is>
          <t>сила10</t>
        </is>
      </c>
      <c r="F104" s="3" t="n"/>
      <c r="G104" s="58">
        <f>$G$1</f>
        <v/>
      </c>
      <c r="H104" s="42" t="n"/>
      <c r="I104" s="3" t="n"/>
    </row>
    <row r="105">
      <c r="B105" s="3" t="n"/>
      <c r="C105" s="3" t="inlineStr">
        <is>
          <t>Провод монтажный силовой</t>
        </is>
      </c>
      <c r="D105" s="10" t="n">
        <v>16</v>
      </c>
      <c r="E105" s="10" t="inlineStr">
        <is>
          <t>сила16</t>
        </is>
      </c>
      <c r="F105" s="3" t="n"/>
      <c r="G105" s="58">
        <f>$G$1</f>
        <v/>
      </c>
      <c r="H105" s="42" t="n"/>
      <c r="I105" s="3" t="n"/>
      <c r="K105" t="inlineStr">
        <is>
          <t>Цена для продажи</t>
        </is>
      </c>
    </row>
    <row r="106">
      <c r="B106" s="3" t="n"/>
      <c r="C106" s="3" t="inlineStr">
        <is>
          <t>Провод монтажный силовой</t>
        </is>
      </c>
      <c r="D106" s="10" t="n">
        <v>35</v>
      </c>
      <c r="E106" s="10" t="inlineStr">
        <is>
          <t>сила35</t>
        </is>
      </c>
      <c r="F106" s="3" t="n"/>
      <c r="G106" s="58">
        <f>$G$1</f>
        <v/>
      </c>
      <c r="H106" s="42" t="n"/>
      <c r="I106" s="3" t="n"/>
    </row>
    <row r="107" ht="15.75" customHeight="1" s="552" thickBot="1">
      <c r="B107" s="9" t="n"/>
      <c r="C107" s="9" t="inlineStr">
        <is>
          <t>Провод монтажный контрольный</t>
        </is>
      </c>
      <c r="D107" s="23" t="inlineStr">
        <is>
          <t>ПМК</t>
        </is>
      </c>
      <c r="E107" s="23" t="inlineStr">
        <is>
          <t>ПМК</t>
        </is>
      </c>
      <c r="F107" s="9" t="n"/>
      <c r="G107" s="135">
        <f>$G$1</f>
        <v/>
      </c>
      <c r="H107" s="190" t="n"/>
      <c r="I107" s="9" t="n"/>
      <c r="L107" t="inlineStr">
        <is>
          <t>для прайса делим на 2</t>
        </is>
      </c>
    </row>
    <row r="108" ht="16.5" customHeight="1" s="552" thickBot="1">
      <c r="B108" s="71" t="inlineStr">
        <is>
          <t>Дополнительная комплектация</t>
        </is>
      </c>
      <c r="C108" s="72" t="n"/>
      <c r="D108" s="73" t="n"/>
      <c r="E108" s="73" t="n"/>
      <c r="F108" s="73" t="n"/>
      <c r="G108" s="73" t="n"/>
      <c r="H108" s="73" t="n"/>
      <c r="I108" s="245" t="n"/>
      <c r="K108" s="10" t="inlineStr">
        <is>
          <t>евро</t>
        </is>
      </c>
      <c r="L108" s="10" t="inlineStr">
        <is>
          <t>евро</t>
        </is>
      </c>
      <c r="M108" s="10" t="inlineStr">
        <is>
          <t>руб РФ</t>
        </is>
      </c>
      <c r="N108" s="3" t="inlineStr">
        <is>
          <t>руб РБ</t>
        </is>
      </c>
    </row>
    <row r="109" ht="45" customHeight="1" s="552">
      <c r="B109" s="70" t="n"/>
      <c r="C109" s="242" t="inlineStr">
        <is>
          <t>Датчик-реле перепада воздуха с комплектом монтажных частей (IP65, -40…+85С, 100-1500Ра)</t>
        </is>
      </c>
      <c r="D109" s="58" t="n"/>
      <c r="E109" s="243" t="inlineStr">
        <is>
          <t>SR1500</t>
        </is>
      </c>
      <c r="F109" s="70" t="n"/>
      <c r="G109" s="243" t="n">
        <v>90</v>
      </c>
      <c r="H109" s="244">
        <f>N109</f>
        <v/>
      </c>
      <c r="I109" s="70" t="n"/>
      <c r="K109" s="239" t="n">
        <v>16.2</v>
      </c>
      <c r="L109" s="239">
        <f>K109/2</f>
        <v/>
      </c>
      <c r="M109" s="79">
        <f>L109*G109</f>
        <v/>
      </c>
      <c r="N109" s="79">
        <f>M109/Цена!F1</f>
        <v/>
      </c>
    </row>
    <row r="110" ht="46.5" customHeight="1" s="552">
      <c r="B110" s="3" t="n"/>
      <c r="C110" s="242" t="inlineStr">
        <is>
          <t>Пульт дистанционного управления (кнопки ПУСК, СТОП, индикация РАБОТА, АВАРИЯ, IP54, -5…+40С)</t>
        </is>
      </c>
      <c r="D110" s="10" t="n"/>
      <c r="E110" s="79" t="inlineStr">
        <is>
          <t>ПДУ_Б_С</t>
        </is>
      </c>
      <c r="F110" s="3" t="n"/>
      <c r="G110" s="79" t="n">
        <v>90</v>
      </c>
      <c r="H110" s="244">
        <f>N110</f>
        <v/>
      </c>
      <c r="I110" s="3" t="n"/>
      <c r="K110" s="239" t="n">
        <v>19</v>
      </c>
      <c r="L110" s="239">
        <f>K110/2</f>
        <v/>
      </c>
      <c r="M110" s="79">
        <f>L110*G110</f>
        <v/>
      </c>
      <c r="N110" s="79">
        <f>M110/Цена!F1</f>
        <v/>
      </c>
    </row>
    <row r="111" ht="45" customHeight="1" s="552">
      <c r="B111" s="3" t="n"/>
      <c r="C111" s="242" t="inlineStr">
        <is>
          <t>Пульт дистанционного управления (ключ ПУСК, СТОП, индикация РАБОТА, АВАРИЯ, IP54, -5…+40С)</t>
        </is>
      </c>
      <c r="D111" s="10" t="n"/>
      <c r="E111" s="79" t="inlineStr">
        <is>
          <t>ПДУ_С_С</t>
        </is>
      </c>
      <c r="F111" s="3" t="n"/>
      <c r="G111" s="79" t="n">
        <v>90</v>
      </c>
      <c r="H111" s="244">
        <f>N111</f>
        <v/>
      </c>
      <c r="I111" s="3" t="n"/>
      <c r="K111" s="239" t="n">
        <v>19</v>
      </c>
      <c r="L111" s="239">
        <f>K111/2</f>
        <v/>
      </c>
      <c r="M111" s="79">
        <f>L111*G111</f>
        <v/>
      </c>
      <c r="N111" s="79">
        <f>M111/Цена!F1</f>
        <v/>
      </c>
    </row>
    <row r="112">
      <c r="B112" s="3" t="n"/>
      <c r="C112" s="242" t="inlineStr">
        <is>
          <t>Регулятор скорости (до 0,9 А)</t>
        </is>
      </c>
      <c r="D112" s="10" t="n"/>
      <c r="E112" s="10" t="inlineStr">
        <is>
          <t>РГ_0,9</t>
        </is>
      </c>
      <c r="F112" s="240" t="n"/>
      <c r="G112" s="79" t="n">
        <v>90</v>
      </c>
      <c r="H112" s="244">
        <f>N112</f>
        <v/>
      </c>
      <c r="I112" s="3" t="n"/>
      <c r="K112" s="10" t="n">
        <v>50</v>
      </c>
      <c r="L112" s="239">
        <f>K112/2</f>
        <v/>
      </c>
      <c r="M112" s="79">
        <f>L112*G112</f>
        <v/>
      </c>
      <c r="N112" s="79">
        <f>M112/Цена!F1</f>
        <v/>
      </c>
    </row>
    <row r="113">
      <c r="B113" s="3" t="n"/>
      <c r="C113" s="242" t="inlineStr">
        <is>
          <t>Регулятор скорости (от 0,9 до 1,9 А)</t>
        </is>
      </c>
      <c r="D113" s="10" t="n"/>
      <c r="E113" s="10" t="inlineStr">
        <is>
          <t>РГ_1,9</t>
        </is>
      </c>
      <c r="F113" s="241" t="n"/>
      <c r="G113" s="79" t="n">
        <v>90</v>
      </c>
      <c r="H113" s="244">
        <f>N113</f>
        <v/>
      </c>
      <c r="I113" s="3" t="n"/>
      <c r="K113" s="140" t="n">
        <v>58.33</v>
      </c>
      <c r="L113" s="239">
        <f>K113/2</f>
        <v/>
      </c>
      <c r="M113" s="79">
        <f>L113*G113</f>
        <v/>
      </c>
      <c r="N113" s="79">
        <f>M113/Цена!F1</f>
        <v/>
      </c>
    </row>
    <row r="114">
      <c r="B114" s="3" t="n"/>
      <c r="C114" s="242" t="inlineStr">
        <is>
          <t>Регулятор скорости (от 1,9 до 2,9 А)</t>
        </is>
      </c>
      <c r="D114" s="10" t="n"/>
      <c r="E114" s="10" t="inlineStr">
        <is>
          <t>РГ_2,9</t>
        </is>
      </c>
      <c r="F114" s="241" t="n"/>
      <c r="G114" s="79" t="n">
        <v>90</v>
      </c>
      <c r="H114" s="244">
        <f>N114</f>
        <v/>
      </c>
      <c r="I114" s="3" t="n"/>
      <c r="K114" s="140" t="n">
        <v>63.33</v>
      </c>
      <c r="L114" s="239">
        <f>K114/2</f>
        <v/>
      </c>
      <c r="M114" s="79">
        <f>L114*G114</f>
        <v/>
      </c>
      <c r="N114" s="79">
        <f>M114/Цена!F1</f>
        <v/>
      </c>
    </row>
    <row r="115">
      <c r="B115" s="3" t="n"/>
      <c r="C115" s="242" t="inlineStr">
        <is>
          <t>Регулятор скорости (от 2,9 до 4,9 А)</t>
        </is>
      </c>
      <c r="D115" s="10" t="n"/>
      <c r="E115" s="10" t="inlineStr">
        <is>
          <t>РГ_4,9</t>
        </is>
      </c>
      <c r="F115" s="241" t="n"/>
      <c r="G115" s="79" t="n">
        <v>90</v>
      </c>
      <c r="H115" s="244">
        <f>N115</f>
        <v/>
      </c>
      <c r="I115" s="3" t="n"/>
      <c r="K115" s="10" t="n">
        <v>136</v>
      </c>
      <c r="L115" s="239">
        <f>K115/2</f>
        <v/>
      </c>
      <c r="M115" s="79">
        <f>L115*G115</f>
        <v/>
      </c>
      <c r="N115" s="79">
        <f>M115/Цена!F1</f>
        <v/>
      </c>
    </row>
    <row r="116">
      <c r="B116" s="3" t="n"/>
      <c r="C116" s="242" t="inlineStr">
        <is>
          <t>Потенциометр 0-10 В</t>
        </is>
      </c>
      <c r="D116" s="10" t="n"/>
      <c r="E116" s="10" t="inlineStr">
        <is>
          <t>ПОТ_10В</t>
        </is>
      </c>
      <c r="F116" s="241" t="n"/>
      <c r="G116" s="79" t="n">
        <v>90</v>
      </c>
      <c r="H116" s="244">
        <f>N116</f>
        <v/>
      </c>
      <c r="I116" s="3" t="n"/>
      <c r="K116" s="10" t="n">
        <v>73.5</v>
      </c>
      <c r="L116" s="239">
        <f>K116/2</f>
        <v/>
      </c>
      <c r="M116" s="79">
        <f>L116*G116</f>
        <v/>
      </c>
      <c r="N116" s="79">
        <f>M116/Цена!F1</f>
        <v/>
      </c>
    </row>
    <row r="117" ht="16.5" customHeight="1" s="552">
      <c r="C117" s="238" t="n"/>
    </row>
    <row r="118" ht="16.5" customHeight="1" s="552">
      <c r="C118" s="238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codeName="Лист4">
    <outlinePr summaryBelow="1" summaryRight="1"/>
    <pageSetUpPr/>
  </sheetPr>
  <dimension ref="B1:R127"/>
  <sheetViews>
    <sheetView zoomScale="85" zoomScaleNormal="85" workbookViewId="0">
      <pane ySplit="6" topLeftCell="A70" activePane="bottomLeft" state="frozen"/>
      <selection activeCell="U97" sqref="U97"/>
      <selection pane="bottomLeft" activeCell="U97" sqref="U97"/>
    </sheetView>
  </sheetViews>
  <sheetFormatPr baseColWidth="8" defaultRowHeight="15"/>
  <cols>
    <col width="11.42578125" customWidth="1" style="552" min="2" max="2"/>
    <col width="10.5703125" customWidth="1" style="552" min="3" max="3"/>
    <col width="41.7109375" customWidth="1" style="552" min="4" max="4"/>
    <col width="25.5703125" customWidth="1" style="552" min="5" max="5"/>
    <col width="25.5703125" customWidth="1" style="1" min="6" max="6"/>
    <col width="12.140625" bestFit="1" customWidth="1" style="1" min="7" max="7"/>
    <col width="12.140625" customWidth="1" style="1" min="8" max="9"/>
    <col width="16.85546875" customWidth="1" style="1" min="10" max="10"/>
    <col width="18.5703125" customWidth="1" style="1" min="11" max="11"/>
    <col width="9.140625" customWidth="1" style="1" min="12" max="14"/>
    <col width="14.140625" customWidth="1" style="552" min="15" max="15"/>
    <col width="12.42578125" bestFit="1" customWidth="1" style="552" min="16" max="16"/>
  </cols>
  <sheetData>
    <row r="1">
      <c r="D1" s="1" t="inlineStr">
        <is>
          <t>4 бел за 100 росс</t>
        </is>
      </c>
      <c r="E1" s="81" t="inlineStr">
        <is>
          <t>КУРС 1 руб. РБ к рос.руб.</t>
        </is>
      </c>
      <c r="F1" s="186" t="n">
        <v>25</v>
      </c>
      <c r="G1" s="326" t="n">
        <v>44704</v>
      </c>
      <c r="H1" s="35" t="n"/>
      <c r="I1" s="424" t="n"/>
    </row>
    <row r="2">
      <c r="C2" s="36" t="inlineStr">
        <is>
          <t>РАСЧЕТ ЦЕНЫ</t>
        </is>
      </c>
      <c r="E2" s="81" t="inlineStr">
        <is>
          <t>Коэф. для материалов</t>
        </is>
      </c>
      <c r="F2" s="186" t="n">
        <v>2.9</v>
      </c>
      <c r="G2" s="186" t="n"/>
      <c r="H2" s="8" t="n"/>
      <c r="I2" s="8" t="n"/>
      <c r="O2" s="36" t="n"/>
    </row>
    <row r="3">
      <c r="C3" s="36" t="n"/>
      <c r="E3" s="81" t="inlineStr">
        <is>
          <t>Коэф. для доп. комплектации</t>
        </is>
      </c>
      <c r="F3" s="186" t="n">
        <v>2</v>
      </c>
      <c r="G3" s="186" t="n"/>
      <c r="H3" s="8" t="n"/>
      <c r="I3" s="8" t="n"/>
    </row>
    <row r="4" ht="15.75" customHeight="1" s="552" thickBot="1">
      <c r="E4" s="1" t="n"/>
    </row>
    <row r="5" ht="15.75" customHeight="1" s="552" thickBot="1">
      <c r="B5" s="37" t="inlineStr">
        <is>
          <t>Статус</t>
        </is>
      </c>
      <c r="C5" s="37" t="inlineStr">
        <is>
          <t>Статус</t>
        </is>
      </c>
      <c r="D5" s="37" t="inlineStr">
        <is>
          <t>Наименование</t>
        </is>
      </c>
      <c r="E5" s="38" t="inlineStr">
        <is>
          <t>Обозначение</t>
        </is>
      </c>
      <c r="F5" s="37" t="inlineStr">
        <is>
          <t>Характеристика</t>
        </is>
      </c>
      <c r="G5" s="428" t="inlineStr">
        <is>
          <t>ИТОГО</t>
        </is>
      </c>
      <c r="H5" s="428" t="inlineStr">
        <is>
          <t>ИТОГО</t>
        </is>
      </c>
      <c r="I5" s="428" t="inlineStr">
        <is>
          <t>ИТОГО</t>
        </is>
      </c>
      <c r="J5" s="37" t="inlineStr">
        <is>
          <t>ЦЕНА В 1С</t>
        </is>
      </c>
      <c r="K5" s="37" t="inlineStr">
        <is>
          <t>СТОИМОСТЬ,</t>
        </is>
      </c>
      <c r="L5" s="37" t="inlineStr">
        <is>
          <t>Масса</t>
        </is>
      </c>
      <c r="M5" s="37" t="inlineStr">
        <is>
          <t>Масса</t>
        </is>
      </c>
      <c r="N5" s="275" t="n"/>
    </row>
    <row r="6" ht="30.75" customHeight="1" s="552" thickBot="1">
      <c r="B6" s="414" t="inlineStr">
        <is>
          <t>Для Ф100,Ф130, Ф160</t>
        </is>
      </c>
      <c r="C6" s="414" t="inlineStr">
        <is>
          <t>Для 
остальн. Ф</t>
        </is>
      </c>
      <c r="D6" s="92" t="n"/>
      <c r="E6" s="93" t="n"/>
      <c r="F6" s="94" t="n"/>
      <c r="G6" s="427" t="inlineStr">
        <is>
          <t>Количество, шт.</t>
        </is>
      </c>
      <c r="H6" s="425" t="inlineStr">
        <is>
          <t>Для Ф100,Ф130, Ф160</t>
        </is>
      </c>
      <c r="I6" s="425" t="inlineStr">
        <is>
          <t>Для остальных Ф</t>
        </is>
      </c>
      <c r="J6" s="94" t="inlineStr">
        <is>
          <t>руб РБ, без НДС</t>
        </is>
      </c>
      <c r="K6" s="94" t="inlineStr">
        <is>
          <t>руб РБ, без НДС</t>
        </is>
      </c>
      <c r="L6" s="185" t="inlineStr">
        <is>
          <t>1 шт.</t>
        </is>
      </c>
      <c r="M6" s="185" t="inlineStr">
        <is>
          <t>ИТОГО</t>
        </is>
      </c>
      <c r="N6" s="275" t="n"/>
    </row>
    <row r="7">
      <c r="C7" s="58" t="n"/>
      <c r="D7" s="114" t="inlineStr">
        <is>
          <t>Питание 3 фазы (3Р/N/PE)</t>
        </is>
      </c>
      <c r="E7" s="114" t="n"/>
      <c r="F7" s="112" t="n"/>
      <c r="G7" s="112" t="n"/>
      <c r="H7" s="112" t="n"/>
      <c r="I7" s="112" t="n"/>
      <c r="J7" s="112" t="n"/>
      <c r="K7" s="112" t="n"/>
      <c r="L7" s="76" t="n"/>
      <c r="M7" s="76" t="n"/>
      <c r="N7" s="35" t="n"/>
    </row>
    <row r="8">
      <c r="B8" s="1">
        <f>IF(AND(Расчет!E31=0,Расчет!E35=1,Расчет!E65="Ф100"),1,0)</f>
        <v/>
      </c>
      <c r="C8" s="10">
        <f>IF(AND(Расчет!E31=0,Расчет!E35=1,Расчет!E65&lt;&gt;"Ф100"),1,0)</f>
        <v/>
      </c>
      <c r="D8" s="95" t="inlineStr">
        <is>
          <t>Прямой пуск (учтены вводные клеммы и клеммы подключения)</t>
        </is>
      </c>
      <c r="E8" s="95" t="n"/>
      <c r="F8" s="78" t="n"/>
      <c r="G8" s="78" t="n"/>
      <c r="H8" s="78" t="n"/>
      <c r="I8" s="78" t="n"/>
      <c r="J8" s="78" t="n"/>
      <c r="K8" s="78" t="n"/>
      <c r="L8" s="78" t="n"/>
      <c r="M8" s="78" t="n"/>
      <c r="N8" s="276" t="n"/>
    </row>
    <row r="9">
      <c r="C9" s="10" t="n"/>
      <c r="D9" s="3" t="inlineStr">
        <is>
          <t>Автоматический выключатель</t>
        </is>
      </c>
      <c r="E9" s="3">
        <f>Расчет!N65</f>
        <v/>
      </c>
      <c r="F9" s="10">
        <f>Расчет!M65</f>
        <v/>
      </c>
      <c r="G9" s="10">
        <f>H9+I9</f>
        <v/>
      </c>
      <c r="H9" s="10">
        <f>1*$B$8</f>
        <v/>
      </c>
      <c r="I9" s="10">
        <f>1*$C$8</f>
        <v/>
      </c>
      <c r="J9" s="140">
        <f>IFERROR(VLOOKUP(E9,Материалы!E7:H22,4,FALSE),0)</f>
        <v/>
      </c>
      <c r="K9" s="140">
        <f>G9*J9</f>
        <v/>
      </c>
      <c r="L9" s="10">
        <f>VLOOKUP(E9,Материалы!E7:I23,5,FALSE)</f>
        <v/>
      </c>
      <c r="M9" s="10">
        <f>H9*L9</f>
        <v/>
      </c>
      <c r="P9" s="426" t="n"/>
    </row>
    <row r="10">
      <c r="C10" s="10" t="n"/>
      <c r="D10" s="3" t="inlineStr">
        <is>
          <t>Доп. контакт для автомата</t>
        </is>
      </c>
      <c r="E10" s="415">
        <f>Материалы!E23</f>
        <v/>
      </c>
      <c r="F10" s="10">
        <f>Материалы!E23</f>
        <v/>
      </c>
      <c r="G10" s="10">
        <f>H10+I10</f>
        <v/>
      </c>
      <c r="H10" s="10">
        <f>0*$B$8</f>
        <v/>
      </c>
      <c r="I10" s="10">
        <f>1*$C$8</f>
        <v/>
      </c>
      <c r="J10" s="140">
        <f>Материалы!H23</f>
        <v/>
      </c>
      <c r="K10" s="140">
        <f>G10*J10</f>
        <v/>
      </c>
      <c r="L10" s="10">
        <f>VLOOKUP(E10,Материалы!E7:I23,5,FALSE)</f>
        <v/>
      </c>
      <c r="M10" s="10">
        <f>G10*L10</f>
        <v/>
      </c>
      <c r="P10" s="36" t="n"/>
      <c r="R10" s="211" t="n"/>
    </row>
    <row r="11">
      <c r="C11" s="10" t="n"/>
      <c r="D11" s="3" t="inlineStr">
        <is>
          <t>Контактор</t>
        </is>
      </c>
      <c r="E11" s="3">
        <f>Расчет!P65</f>
        <v/>
      </c>
      <c r="F11" s="10">
        <f>Расчет!O65</f>
        <v/>
      </c>
      <c r="G11" s="10">
        <f>H11+I11</f>
        <v/>
      </c>
      <c r="H11" s="10">
        <f>1*$B$8</f>
        <v/>
      </c>
      <c r="I11" s="10">
        <f>1*$C$8</f>
        <v/>
      </c>
      <c r="J11" s="140">
        <f>IFERROR(VLOOKUP(E11,Материалы!E46:H54,4,FALSE),0)</f>
        <v/>
      </c>
      <c r="K11" s="140">
        <f>G11*J11</f>
        <v/>
      </c>
      <c r="L11" s="10">
        <f>VLOOKUP(E11,Материалы!E46:I54,5,FALSE)</f>
        <v/>
      </c>
      <c r="M11" s="10">
        <f>G11*L11</f>
        <v/>
      </c>
      <c r="P11" s="426" t="n"/>
    </row>
    <row r="12">
      <c r="C12" s="10" t="n"/>
      <c r="D12" s="3" t="inlineStr">
        <is>
          <t xml:space="preserve">Клемма </t>
        </is>
      </c>
      <c r="E12" s="3">
        <f>VLOOKUP(Расчет!Q65,Материалы!D62:E67,2)</f>
        <v/>
      </c>
      <c r="F12" s="10">
        <f>Расчет!Q65</f>
        <v/>
      </c>
      <c r="G12" s="10">
        <f>H12+I12</f>
        <v/>
      </c>
      <c r="H12" s="10">
        <f>3*$B$8</f>
        <v/>
      </c>
      <c r="I12" s="10">
        <f>3*$C$8</f>
        <v/>
      </c>
      <c r="J12" s="140">
        <f>IFERROR(VLOOKUP(E12,Материалы!E62:H67,4,FALSE),0)</f>
        <v/>
      </c>
      <c r="K12" s="140">
        <f>G12*J12</f>
        <v/>
      </c>
      <c r="L12" s="10">
        <f>VLOOKUP(E12,Материалы!E62:I67,5,FALSE)</f>
        <v/>
      </c>
      <c r="M12" s="10">
        <f>G12*L12</f>
        <v/>
      </c>
    </row>
    <row r="13">
      <c r="C13" s="10" t="n"/>
      <c r="D13" s="3" t="inlineStr">
        <is>
          <t>Клемма N</t>
        </is>
      </c>
      <c r="E13" s="3">
        <f>VLOOKUP(Расчет!Q65,Материалы!D68:E73,2)</f>
        <v/>
      </c>
      <c r="F13" s="10">
        <f>Расчет!Q65</f>
        <v/>
      </c>
      <c r="G13" s="10">
        <f>H13+I13</f>
        <v/>
      </c>
      <c r="H13" s="10">
        <f>1*$B$8</f>
        <v/>
      </c>
      <c r="I13" s="10">
        <f>1*$C$8</f>
        <v/>
      </c>
      <c r="J13" s="140">
        <f>IFERROR(VLOOKUP(E13,Материалы!E68:H73,4,FALSE),0)</f>
        <v/>
      </c>
      <c r="K13" s="140">
        <f>G13*J13</f>
        <v/>
      </c>
      <c r="L13" s="10">
        <f>VLOOKUP(E13,Материалы!E68:I73,5,FALSE)</f>
        <v/>
      </c>
      <c r="M13" s="10">
        <f>G13*L13</f>
        <v/>
      </c>
    </row>
    <row r="14">
      <c r="C14" s="10" t="n"/>
      <c r="D14" s="3" t="inlineStr">
        <is>
          <t>Клемма PE</t>
        </is>
      </c>
      <c r="E14" s="3">
        <f>VLOOKUP(Расчет!Q65,Материалы!D74:F79,2)</f>
        <v/>
      </c>
      <c r="F14" s="79">
        <f>Расчет!Q65</f>
        <v/>
      </c>
      <c r="G14" s="10">
        <f>H14+I14</f>
        <v/>
      </c>
      <c r="H14" s="10">
        <f>2*$B$8</f>
        <v/>
      </c>
      <c r="I14" s="10">
        <f>2*$C$8</f>
        <v/>
      </c>
      <c r="J14" s="140">
        <f>IFERROR(VLOOKUP(E14,Материалы!E74:H79,4,FALSE),0)</f>
        <v/>
      </c>
      <c r="K14" s="140">
        <f>G14*J14</f>
        <v/>
      </c>
      <c r="L14" s="10">
        <f>VLOOKUP(E14,Материалы!E74:I79,5,FALSE)</f>
        <v/>
      </c>
      <c r="M14" s="10">
        <f>G14*L14</f>
        <v/>
      </c>
    </row>
    <row r="15">
      <c r="C15" s="10" t="n"/>
      <c r="D15" s="3" t="inlineStr">
        <is>
          <t>Провод монтажный силовой</t>
        </is>
      </c>
      <c r="E15" s="3">
        <f>VLOOKUP(Расчет!R65,Материалы!D100:F106,2)</f>
        <v/>
      </c>
      <c r="F15" s="79">
        <f>Расчет!R65</f>
        <v/>
      </c>
      <c r="G15" s="10">
        <f>H15+I15</f>
        <v/>
      </c>
      <c r="H15" s="10">
        <f>1*$B$8</f>
        <v/>
      </c>
      <c r="I15" s="10">
        <f>1*$C$8</f>
        <v/>
      </c>
      <c r="J15" s="140" t="n"/>
      <c r="K15" s="140">
        <f>G15*J15</f>
        <v/>
      </c>
      <c r="L15" s="10" t="n"/>
      <c r="M15" s="10" t="n"/>
    </row>
    <row r="16">
      <c r="C16" s="10">
        <f>Расчет!E63</f>
        <v/>
      </c>
      <c r="D16" s="3" t="inlineStr">
        <is>
          <t>Шкаф металлический</t>
        </is>
      </c>
      <c r="E16" s="3">
        <f>VLOOKUP(Расчет!S65,Материалы!D94:E96,2,FALSE)</f>
        <v/>
      </c>
      <c r="F16" s="79">
        <f>Расчет!S65</f>
        <v/>
      </c>
      <c r="G16" s="10">
        <f>H16+I16</f>
        <v/>
      </c>
      <c r="H16" s="10">
        <f>1*$B$8*C16</f>
        <v/>
      </c>
      <c r="I16" s="10">
        <f>1*$C$8*C16</f>
        <v/>
      </c>
      <c r="J16" s="140">
        <f>IFERROR(VLOOKUP(E16,Материалы!E94:H95,4,FALSE),0)</f>
        <v/>
      </c>
      <c r="K16" s="140">
        <f>G16*J16</f>
        <v/>
      </c>
      <c r="L16" s="10">
        <f>VLOOKUP(E16,Материалы!E94:I95,5,FALSE)</f>
        <v/>
      </c>
      <c r="M16" s="10">
        <f>G16*L16</f>
        <v/>
      </c>
    </row>
    <row r="17">
      <c r="C17" s="10">
        <f>Расчет!E62</f>
        <v/>
      </c>
      <c r="D17" s="3" t="inlineStr">
        <is>
          <t>Шкаф пластик</t>
        </is>
      </c>
      <c r="E17" s="3">
        <f>VLOOKUP(Расчет!T65,Материалы!D96:E97,2,FALSE)</f>
        <v/>
      </c>
      <c r="F17" s="79">
        <f>Расчет!T65</f>
        <v/>
      </c>
      <c r="G17" s="10">
        <f>H17+I17</f>
        <v/>
      </c>
      <c r="H17" s="10">
        <f>1*$B$8*C17</f>
        <v/>
      </c>
      <c r="I17" s="10">
        <f>1*$C$8*C17</f>
        <v/>
      </c>
      <c r="J17" s="140">
        <f>IFERROR(VLOOKUP(E17,Материалы!E96:H97,4,FALSE),0)</f>
        <v/>
      </c>
      <c r="K17" s="140">
        <f>G17*J17</f>
        <v/>
      </c>
      <c r="L17" s="10">
        <f>VLOOKUP(E17,Материалы!E96:I97,5,FALSE)</f>
        <v/>
      </c>
      <c r="M17" s="10">
        <f>G17*L17</f>
        <v/>
      </c>
      <c r="O17" s="211">
        <f>SUM(K9:K17)</f>
        <v/>
      </c>
    </row>
    <row r="18">
      <c r="C18" s="10" t="n"/>
      <c r="D18" s="3" t="n"/>
      <c r="E18" s="3" t="n"/>
      <c r="F18" s="10" t="n"/>
      <c r="G18" s="10" t="n"/>
      <c r="H18" s="10" t="n"/>
      <c r="I18" s="10" t="n"/>
      <c r="J18" s="10" t="n"/>
      <c r="K18" s="10" t="n"/>
      <c r="L18" s="10" t="n"/>
      <c r="M18" s="10" t="n"/>
    </row>
    <row r="19">
      <c r="B19" s="1">
        <f>IF(AND(Расчет!E31=0,Расчет!E35=2,Расчет!E65="Ф130"),1,0)</f>
        <v/>
      </c>
      <c r="C19" s="10">
        <f>IF(AND(Расчет!E31=0,Расчет!E35=2,Расчет!E65&lt;&gt;"Ф130"),1,0)</f>
        <v/>
      </c>
      <c r="D19" s="95" t="inlineStr">
        <is>
          <t>Частотный преобразователь/регулятор оборотов  (учтены вводные клеммы и клеммы подключения)</t>
        </is>
      </c>
      <c r="E19" s="77" t="n"/>
      <c r="F19" s="78" t="n"/>
      <c r="G19" s="78" t="n"/>
      <c r="H19" s="78" t="n"/>
      <c r="I19" s="78" t="n"/>
      <c r="J19" s="78" t="n"/>
      <c r="K19" s="78" t="n"/>
      <c r="L19" s="78" t="n"/>
      <c r="M19" s="78" t="n"/>
      <c r="N19" s="276" t="n"/>
    </row>
    <row r="20">
      <c r="C20" s="10" t="n"/>
      <c r="D20" s="3" t="inlineStr">
        <is>
          <t>Автоматический выключатель</t>
        </is>
      </c>
      <c r="E20" s="3">
        <f>Расчет!N89</f>
        <v/>
      </c>
      <c r="F20" s="10">
        <f>Расчет!M89</f>
        <v/>
      </c>
      <c r="G20" s="10">
        <f>H20+I20</f>
        <v/>
      </c>
      <c r="H20" s="10">
        <f>1*$B$19</f>
        <v/>
      </c>
      <c r="I20" s="10">
        <f>1*$C$19</f>
        <v/>
      </c>
      <c r="J20" s="140">
        <f>IFERROR(VLOOKUP(E20,Материалы!E28:H37,4,FALSE),0)</f>
        <v/>
      </c>
      <c r="K20" s="140">
        <f>G20*J20</f>
        <v/>
      </c>
      <c r="L20" s="10">
        <f>VLOOKUP(E20,Материалы!E28:I37,5,FALSE)</f>
        <v/>
      </c>
      <c r="M20" s="10">
        <f>G20*L20</f>
        <v/>
      </c>
    </row>
    <row r="21">
      <c r="C21" s="10" t="n"/>
      <c r="D21" s="3" t="inlineStr">
        <is>
          <t>Доп. контакт для автомата 1</t>
        </is>
      </c>
      <c r="E21" s="3">
        <f>Материалы!E38</f>
        <v/>
      </c>
      <c r="F21" s="10">
        <f>Материалы!D38</f>
        <v/>
      </c>
      <c r="G21" s="10">
        <f>H21+I21</f>
        <v/>
      </c>
      <c r="H21" s="10">
        <f>0*$B$19</f>
        <v/>
      </c>
      <c r="I21" s="10">
        <f>1*$C$19</f>
        <v/>
      </c>
      <c r="J21" s="140">
        <f>Материалы!H38</f>
        <v/>
      </c>
      <c r="K21" s="140">
        <f>G21*J21</f>
        <v/>
      </c>
      <c r="L21" s="10">
        <f>VLOOKUP(E21,Материалы!E28:I38,5,FALSE)</f>
        <v/>
      </c>
      <c r="M21" s="10">
        <f>G21*L21</f>
        <v/>
      </c>
    </row>
    <row r="22">
      <c r="C22" s="10" t="n"/>
      <c r="D22" s="3" t="inlineStr">
        <is>
          <t>Реле промеж., 2пер.конт</t>
        </is>
      </c>
      <c r="E22" s="3">
        <f>Материалы!E58</f>
        <v/>
      </c>
      <c r="F22" s="10">
        <f>Материалы!D58</f>
        <v/>
      </c>
      <c r="G22" s="10">
        <f>H22+I22</f>
        <v/>
      </c>
      <c r="H22" s="10">
        <f>1*$B$19</f>
        <v/>
      </c>
      <c r="I22" s="10">
        <f>1*$C$19</f>
        <v/>
      </c>
      <c r="J22" s="140">
        <f>Материалы!H58</f>
        <v/>
      </c>
      <c r="K22" s="140">
        <f>G22*J22</f>
        <v/>
      </c>
      <c r="L22" s="10">
        <f>VLOOKUP(E22,Материалы!E57:I59,5,FALSE)</f>
        <v/>
      </c>
      <c r="M22" s="10">
        <f>G22*L22</f>
        <v/>
      </c>
    </row>
    <row r="23">
      <c r="C23" s="10" t="n"/>
      <c r="D23" s="3" t="inlineStr">
        <is>
          <t xml:space="preserve">Клемма </t>
        </is>
      </c>
      <c r="E23" s="3">
        <f>VLOOKUP(Расчет!O89,Материалы!D62:E67,2)</f>
        <v/>
      </c>
      <c r="F23" s="10">
        <f>Расчет!O89</f>
        <v/>
      </c>
      <c r="G23" s="10">
        <f>H23+I23</f>
        <v/>
      </c>
      <c r="H23" s="10">
        <f>6*$B$19</f>
        <v/>
      </c>
      <c r="I23" s="10">
        <f>6*$C$19</f>
        <v/>
      </c>
      <c r="J23" s="140">
        <f>IFERROR(VLOOKUP(E23,Материалы!E62:H67,4,FALSE),0)</f>
        <v/>
      </c>
      <c r="K23" s="140">
        <f>G23*J23</f>
        <v/>
      </c>
      <c r="L23" s="10">
        <f>VLOOKUP(E23,Материалы!E62:I67,5,FALSE)</f>
        <v/>
      </c>
      <c r="M23" s="10">
        <f>G23*L23</f>
        <v/>
      </c>
    </row>
    <row r="24">
      <c r="C24" s="10" t="n"/>
      <c r="D24" s="3" t="inlineStr">
        <is>
          <t>Клемма N</t>
        </is>
      </c>
      <c r="E24" s="3">
        <f>VLOOKUP(Расчет!O89,Материалы!D68:E73,2)</f>
        <v/>
      </c>
      <c r="F24" s="10">
        <f>Расчет!O89</f>
        <v/>
      </c>
      <c r="G24" s="10">
        <f>H24+I24</f>
        <v/>
      </c>
      <c r="H24" s="10">
        <f>1*$B$19</f>
        <v/>
      </c>
      <c r="I24" s="10">
        <f>1*$C$19</f>
        <v/>
      </c>
      <c r="J24" s="140">
        <f>IFERROR(VLOOKUP(E24,Материалы!E68:H73,4,FALSE),0)</f>
        <v/>
      </c>
      <c r="K24" s="140">
        <f>G24*J24</f>
        <v/>
      </c>
      <c r="L24" s="10">
        <f>VLOOKUP(E24,Материалы!E68:I73,5,FALSE)</f>
        <v/>
      </c>
      <c r="M24" s="10">
        <f>G24*L24</f>
        <v/>
      </c>
    </row>
    <row r="25">
      <c r="C25" s="10" t="n"/>
      <c r="D25" s="3" t="inlineStr">
        <is>
          <t>Клемма PE</t>
        </is>
      </c>
      <c r="E25" s="3">
        <f>VLOOKUP(Расчет!O89,Материалы!D74:F79,2)</f>
        <v/>
      </c>
      <c r="F25" s="10">
        <f>Расчет!O89</f>
        <v/>
      </c>
      <c r="G25" s="10">
        <f>H25+I25</f>
        <v/>
      </c>
      <c r="H25" s="10">
        <f>2*$B$19</f>
        <v/>
      </c>
      <c r="I25" s="10">
        <f>2*$C$19</f>
        <v/>
      </c>
      <c r="J25" s="140">
        <f>IFERROR(VLOOKUP(E25,Материалы!E74:H79,4,FALSE),0)</f>
        <v/>
      </c>
      <c r="K25" s="140">
        <f>G25*J25</f>
        <v/>
      </c>
      <c r="L25" s="10">
        <f>VLOOKUP(E25,Материалы!E74:I79,5,FALSE)</f>
        <v/>
      </c>
      <c r="M25" s="10">
        <f>G25*L25</f>
        <v/>
      </c>
    </row>
    <row r="26">
      <c r="C26" s="10" t="n"/>
      <c r="D26" s="3" t="inlineStr">
        <is>
          <t>Провод монтажный силовой</t>
        </is>
      </c>
      <c r="E26" s="3">
        <f>VLOOKUP(Расчет!P89,Материалы!D100:F106,2)</f>
        <v/>
      </c>
      <c r="F26" s="79">
        <f>Расчет!P89</f>
        <v/>
      </c>
      <c r="G26" s="10">
        <f>H26+I26</f>
        <v/>
      </c>
      <c r="H26" s="10">
        <f>1*$B$19</f>
        <v/>
      </c>
      <c r="I26" s="10">
        <f>1*$C$19</f>
        <v/>
      </c>
      <c r="J26" s="140" t="n"/>
      <c r="K26" s="140">
        <f>G26*J26</f>
        <v/>
      </c>
      <c r="L26" s="10" t="n"/>
      <c r="M26" s="10" t="n"/>
    </row>
    <row r="27">
      <c r="C27" s="10">
        <f>Расчет!E63</f>
        <v/>
      </c>
      <c r="D27" s="3" t="inlineStr">
        <is>
          <t>Шкаф металлический</t>
        </is>
      </c>
      <c r="E27" s="3">
        <f>VLOOKUP(Расчет!Q89,Материалы!D94:E96,2)</f>
        <v/>
      </c>
      <c r="F27" s="10">
        <f>Расчет!Q89</f>
        <v/>
      </c>
      <c r="G27" s="10">
        <f>H27+I27</f>
        <v/>
      </c>
      <c r="H27" s="10">
        <f>1*$B$19*C27</f>
        <v/>
      </c>
      <c r="I27" s="10">
        <f>1*$C$19*C27</f>
        <v/>
      </c>
      <c r="J27" s="140">
        <f>IFERROR(VLOOKUP(E27,Материалы!E94:H95,4,FALSE),0)</f>
        <v/>
      </c>
      <c r="K27" s="140">
        <f>G27*J27</f>
        <v/>
      </c>
      <c r="L27" s="10">
        <f>VLOOKUP(E27,Материалы!E94:I95,5,FALSE)</f>
        <v/>
      </c>
      <c r="M27" s="10">
        <f>G27*L27</f>
        <v/>
      </c>
    </row>
    <row r="28">
      <c r="C28" s="10">
        <f>Расчет!E62</f>
        <v/>
      </c>
      <c r="D28" s="3" t="inlineStr">
        <is>
          <t>Шкаф пластик</t>
        </is>
      </c>
      <c r="E28" s="3">
        <f>VLOOKUP(Расчет!R89,Материалы!D96:E97,2,FALSE)</f>
        <v/>
      </c>
      <c r="F28" s="10">
        <f>Расчет!R89</f>
        <v/>
      </c>
      <c r="G28" s="10">
        <f>H28+I28</f>
        <v/>
      </c>
      <c r="H28" s="10">
        <f>1*$B$19*C28</f>
        <v/>
      </c>
      <c r="I28" s="10">
        <f>1*$C$19*C28</f>
        <v/>
      </c>
      <c r="J28" s="140">
        <f>IFERROR(VLOOKUP(E28,Материалы!E96:H97,4,FALSE),0)</f>
        <v/>
      </c>
      <c r="K28" s="140">
        <f>G28*J28</f>
        <v/>
      </c>
      <c r="L28" s="10">
        <f>VLOOKUP(E28,Материалы!E96:I97,5,FALSE)</f>
        <v/>
      </c>
      <c r="M28" s="10">
        <f>G28*L28</f>
        <v/>
      </c>
      <c r="O28" s="211">
        <f>SUM(K20:K28)</f>
        <v/>
      </c>
    </row>
    <row r="29">
      <c r="C29" s="10" t="n"/>
      <c r="D29" s="3" t="n"/>
      <c r="E29" s="3" t="n"/>
      <c r="F29" s="10" t="n"/>
      <c r="G29" s="10" t="n"/>
      <c r="H29" s="10" t="n"/>
      <c r="I29" s="10" t="n"/>
      <c r="J29" s="10" t="n"/>
      <c r="K29" s="10" t="n"/>
      <c r="L29" s="10" t="n"/>
      <c r="M29" s="10" t="n"/>
    </row>
    <row r="30">
      <c r="B30" s="1">
        <f>IF(AND(Расчет!E31=0,Расчет!E35=3,Расчет!E65="Ф160"),1,0)</f>
        <v/>
      </c>
      <c r="C30" s="10">
        <f>IF(AND(Расчет!E31=0,Расчет!E35=3,Расчет!E65&lt;&gt;"Ф160"),1,0)</f>
        <v/>
      </c>
      <c r="D30" s="95" t="inlineStr">
        <is>
          <t>ЕС мотор и потенциометр  (учтены вводные клеммы и клеммы подключения)</t>
        </is>
      </c>
      <c r="E30" s="77" t="n"/>
      <c r="F30" s="78" t="n"/>
      <c r="G30" s="78" t="n"/>
      <c r="H30" s="78" t="n"/>
      <c r="I30" s="78" t="n"/>
      <c r="J30" s="78" t="n"/>
      <c r="K30" s="78" t="n"/>
      <c r="L30" s="78" t="n"/>
      <c r="M30" s="78" t="n"/>
      <c r="N30" s="276" t="n"/>
    </row>
    <row r="31">
      <c r="C31" s="10" t="n"/>
      <c r="D31" s="3" t="inlineStr">
        <is>
          <t>Автоматический выключатель</t>
        </is>
      </c>
      <c r="E31" s="3">
        <f>Расчет!N65</f>
        <v/>
      </c>
      <c r="F31" s="10">
        <f>Расчет!M65</f>
        <v/>
      </c>
      <c r="G31" s="10">
        <f>H31+I31</f>
        <v/>
      </c>
      <c r="H31" s="10">
        <f>1*$B$30</f>
        <v/>
      </c>
      <c r="I31" s="10">
        <f>1*$C$30</f>
        <v/>
      </c>
      <c r="J31" s="140">
        <f>IFERROR(VLOOKUP(E31,Материалы!E7:H22,4,FALSE),0)</f>
        <v/>
      </c>
      <c r="K31" s="140">
        <f>G31*J31</f>
        <v/>
      </c>
      <c r="L31" s="10">
        <f>VLOOKUP(E31,Материалы!E7:I23,5,FALSE)</f>
        <v/>
      </c>
      <c r="M31" s="10">
        <f>G31*L31</f>
        <v/>
      </c>
    </row>
    <row r="32">
      <c r="C32" s="10" t="n"/>
      <c r="D32" s="3" t="inlineStr">
        <is>
          <t>Доп. контакт для автомата</t>
        </is>
      </c>
      <c r="E32" s="3">
        <f>Материалы!E23</f>
        <v/>
      </c>
      <c r="F32" s="10">
        <f>Материалы!D23</f>
        <v/>
      </c>
      <c r="G32" s="10">
        <f>H32+I32</f>
        <v/>
      </c>
      <c r="H32" s="10">
        <f>0*$B$30</f>
        <v/>
      </c>
      <c r="I32" s="10">
        <f>1*$C$30</f>
        <v/>
      </c>
      <c r="J32" s="140">
        <f>Материалы!H23</f>
        <v/>
      </c>
      <c r="K32" s="140">
        <f>G32*J32</f>
        <v/>
      </c>
      <c r="L32" s="10">
        <f>VLOOKUP(E32,Материалы!E7:I23,5,FALSE)</f>
        <v/>
      </c>
      <c r="M32" s="10">
        <f>G32*L32</f>
        <v/>
      </c>
    </row>
    <row r="33">
      <c r="C33" s="10" t="n"/>
      <c r="D33" s="3" t="inlineStr">
        <is>
          <t>Контактор</t>
        </is>
      </c>
      <c r="E33" s="3">
        <f>Расчет!P65</f>
        <v/>
      </c>
      <c r="F33" s="10">
        <f>Расчет!O65</f>
        <v/>
      </c>
      <c r="G33" s="10">
        <f>H33+I33</f>
        <v/>
      </c>
      <c r="H33" s="10">
        <f>1*$B$30</f>
        <v/>
      </c>
      <c r="I33" s="10">
        <f>1*$C$30</f>
        <v/>
      </c>
      <c r="J33" s="140">
        <f>IFERROR(VLOOKUP(E33,Материалы!E46:H54,4,FALSE),0)</f>
        <v/>
      </c>
      <c r="K33" s="140">
        <f>G33*J33</f>
        <v/>
      </c>
      <c r="L33" s="10">
        <f>VLOOKUP(E33,Материалы!E46:I54,5,FALSE)</f>
        <v/>
      </c>
      <c r="M33" s="10">
        <f>G33*L33</f>
        <v/>
      </c>
    </row>
    <row r="34">
      <c r="C34" s="10" t="n"/>
      <c r="D34" s="3" t="inlineStr">
        <is>
          <t xml:space="preserve">Клемма </t>
        </is>
      </c>
      <c r="E34" s="3">
        <f>VLOOKUP(Расчет!Q65,Материалы!D62:E67,2)</f>
        <v/>
      </c>
      <c r="F34" s="10">
        <f>Расчет!Q65</f>
        <v/>
      </c>
      <c r="G34" s="10">
        <f>H34+I34</f>
        <v/>
      </c>
      <c r="H34" s="10">
        <f>3*$B$30</f>
        <v/>
      </c>
      <c r="I34" s="10">
        <f>3*$C$30</f>
        <v/>
      </c>
      <c r="J34" s="140">
        <f>IFERROR(VLOOKUP(E34,Материалы!E62:H67,4,FALSE),0)</f>
        <v/>
      </c>
      <c r="K34" s="140">
        <f>G34*J34</f>
        <v/>
      </c>
      <c r="L34" s="10">
        <f>VLOOKUP(E34,Материалы!E62:I67,5,FALSE)</f>
        <v/>
      </c>
      <c r="M34" s="10">
        <f>G34*L34</f>
        <v/>
      </c>
    </row>
    <row r="35">
      <c r="C35" s="10" t="n"/>
      <c r="D35" s="3" t="inlineStr">
        <is>
          <t>Клемма N</t>
        </is>
      </c>
      <c r="E35" s="3">
        <f>VLOOKUP(Расчет!Q65,Материалы!D68:E73,2)</f>
        <v/>
      </c>
      <c r="F35" s="79">
        <f>Расчет!Q65</f>
        <v/>
      </c>
      <c r="G35" s="10">
        <f>H35+I35</f>
        <v/>
      </c>
      <c r="H35" s="10">
        <f>1*$B$30</f>
        <v/>
      </c>
      <c r="I35" s="10">
        <f>1*$C$30</f>
        <v/>
      </c>
      <c r="J35" s="140">
        <f>IFERROR(VLOOKUP(E35,Материалы!E68:H73,4,FALSE),0)</f>
        <v/>
      </c>
      <c r="K35" s="140">
        <f>G35*J35</f>
        <v/>
      </c>
      <c r="L35" s="10">
        <f>VLOOKUP(E35,Материалы!E68:I73,5,FALSE)</f>
        <v/>
      </c>
      <c r="M35" s="10">
        <f>G35*L35</f>
        <v/>
      </c>
    </row>
    <row r="36">
      <c r="C36" s="10" t="n"/>
      <c r="D36" s="3" t="inlineStr">
        <is>
          <t>Клемма PE</t>
        </is>
      </c>
      <c r="E36" s="3">
        <f>VLOOKUP(Расчет!Q65,Материалы!D74:F79,2)</f>
        <v/>
      </c>
      <c r="F36" s="79">
        <f>Расчет!Q65</f>
        <v/>
      </c>
      <c r="G36" s="10">
        <f>H36+I36</f>
        <v/>
      </c>
      <c r="H36" s="10">
        <f>2*$B$30</f>
        <v/>
      </c>
      <c r="I36" s="10">
        <f>2*$C$30</f>
        <v/>
      </c>
      <c r="J36" s="140">
        <f>IFERROR(VLOOKUP(E36,Материалы!E74:H79,4,FALSE),0)</f>
        <v/>
      </c>
      <c r="K36" s="140">
        <f>G36*J36</f>
        <v/>
      </c>
      <c r="L36" s="10">
        <f>VLOOKUP(E36,Материалы!E74:I79,5,FALSE)</f>
        <v/>
      </c>
      <c r="M36" s="10">
        <f>G36*L36</f>
        <v/>
      </c>
    </row>
    <row r="37">
      <c r="C37" s="10" t="n"/>
      <c r="D37" s="3" t="inlineStr">
        <is>
          <t>Провод монтажный силовой</t>
        </is>
      </c>
      <c r="E37" s="3" t="n"/>
      <c r="F37" s="10">
        <f>Расчет!R65</f>
        <v/>
      </c>
      <c r="G37" s="10">
        <f>H37+I37</f>
        <v/>
      </c>
      <c r="H37" s="10">
        <f>1*$B$30</f>
        <v/>
      </c>
      <c r="I37" s="10">
        <f>1*$C$30</f>
        <v/>
      </c>
      <c r="J37" s="140" t="n"/>
      <c r="K37" s="140">
        <f>G37*J37</f>
        <v/>
      </c>
      <c r="L37" s="10" t="n"/>
      <c r="M37" s="10" t="n"/>
    </row>
    <row r="38">
      <c r="C38" s="10">
        <f>Расчет!E63</f>
        <v/>
      </c>
      <c r="D38" s="3" t="inlineStr">
        <is>
          <t>Шкаф металлический</t>
        </is>
      </c>
      <c r="E38" s="3">
        <f>VLOOKUP(Расчет!S65,Материалы!D94:E96,2)</f>
        <v/>
      </c>
      <c r="F38" s="10">
        <f>Расчет!S65</f>
        <v/>
      </c>
      <c r="G38" s="10">
        <f>H38+I38</f>
        <v/>
      </c>
      <c r="H38" s="10">
        <f>1*$B$30*C38</f>
        <v/>
      </c>
      <c r="I38" s="10">
        <f>1*$C$30*C38</f>
        <v/>
      </c>
      <c r="J38" s="140">
        <f>IFERROR(VLOOKUP(E38,Материалы!E94:H95,4,FALSE),0)</f>
        <v/>
      </c>
      <c r="K38" s="140">
        <f>G38*J38</f>
        <v/>
      </c>
      <c r="L38" s="10">
        <f>VLOOKUP(E38,Материалы!E94:I95,5,FALSE)</f>
        <v/>
      </c>
      <c r="M38" s="10">
        <f>G38*L38</f>
        <v/>
      </c>
    </row>
    <row r="39">
      <c r="C39" s="10">
        <f>Расчет!E62</f>
        <v/>
      </c>
      <c r="D39" s="3" t="inlineStr">
        <is>
          <t>Шкаф пластик</t>
        </is>
      </c>
      <c r="E39" s="3">
        <f>VLOOKUP(Расчет!T65,Материалы!D96:E97,2,FALSE)</f>
        <v/>
      </c>
      <c r="F39" s="10">
        <f>Расчет!T65</f>
        <v/>
      </c>
      <c r="G39" s="10">
        <f>H39+I39</f>
        <v/>
      </c>
      <c r="H39" s="10">
        <f>1*$B$30*C39</f>
        <v/>
      </c>
      <c r="I39" s="10">
        <f>1*$C$30*C39</f>
        <v/>
      </c>
      <c r="J39" s="140">
        <f>IFERROR(VLOOKUP(E39,Материалы!E96:H97,4,FALSE),0)</f>
        <v/>
      </c>
      <c r="K39" s="140">
        <f>G39*J39</f>
        <v/>
      </c>
      <c r="L39" s="10">
        <f>VLOOKUP(E39,Материалы!E96:I97,5,FALSE)</f>
        <v/>
      </c>
      <c r="M39" s="10">
        <f>G39*L39</f>
        <v/>
      </c>
      <c r="O39" s="211">
        <f>SUM(K31:K39)</f>
        <v/>
      </c>
    </row>
    <row r="40">
      <c r="C40" s="10" t="n"/>
      <c r="D40" s="3" t="n"/>
      <c r="E40" s="3" t="n"/>
      <c r="F40" s="10" t="n"/>
      <c r="G40" s="10" t="n"/>
      <c r="H40" s="10" t="n"/>
      <c r="I40" s="10" t="n"/>
      <c r="J40" s="10" t="n"/>
      <c r="K40" s="10" t="n"/>
      <c r="L40" s="10" t="n"/>
      <c r="M40" s="10" t="n"/>
    </row>
    <row r="41">
      <c r="B41" s="1">
        <f>IF(AND(Расчет!E31=1,OR(Расчет!E65="Ф100",Расчет!E65="Ф130",Расчет!E65="Ф160"),OR(Расчет!E35=1,Расчет!E35=2,Расчет!E35=3)),1,0)</f>
        <v/>
      </c>
      <c r="C41" s="10">
        <f>IF(AND(Расчет!E31=1,Расчет!E65&lt;&gt;"Ф100",Расчет!E65&lt;&gt;"Ф130",Расчет!E65&lt;&gt;"Ф160",OR(Расчет!E35=1,Расчет!E35=2,Расчет!E35=3)),1,0)</f>
        <v/>
      </c>
      <c r="D41" s="81" t="inlineStr">
        <is>
          <t>Питание 1 фаза (1Р/N/PE)</t>
        </is>
      </c>
      <c r="E41" s="61" t="n"/>
      <c r="F41" s="76" t="n"/>
      <c r="G41" s="76" t="n"/>
      <c r="H41" s="76" t="n"/>
      <c r="I41" s="76" t="n"/>
      <c r="J41" s="76" t="n"/>
      <c r="K41" s="76" t="n"/>
      <c r="L41" s="76" t="n"/>
      <c r="M41" s="76" t="n"/>
      <c r="N41" s="35" t="n"/>
    </row>
    <row r="42">
      <c r="C42" s="10" t="n"/>
      <c r="D42" s="95" t="inlineStr">
        <is>
          <t>Прямой пуск, ЕС (учтены вводные клеммы и клеммы подключения)</t>
        </is>
      </c>
      <c r="E42" s="77" t="n"/>
      <c r="F42" s="78" t="n"/>
      <c r="G42" s="78" t="n"/>
      <c r="H42" s="78" t="n"/>
      <c r="I42" s="78" t="n"/>
      <c r="J42" s="78" t="n"/>
      <c r="K42" s="78" t="n"/>
      <c r="L42" s="78" t="n"/>
      <c r="M42" s="78" t="n"/>
      <c r="N42" s="276" t="n"/>
    </row>
    <row r="43">
      <c r="C43" s="10" t="n"/>
      <c r="D43" s="3" t="inlineStr">
        <is>
          <t>Автоматический выключатель</t>
        </is>
      </c>
      <c r="E43" s="10">
        <f>Расчет!N104</f>
        <v/>
      </c>
      <c r="F43" s="10">
        <f>Расчет!M104</f>
        <v/>
      </c>
      <c r="G43" s="10">
        <f>H43+I43</f>
        <v/>
      </c>
      <c r="H43" s="10">
        <f>1*$B$41</f>
        <v/>
      </c>
      <c r="I43" s="10">
        <f>1*$C$41</f>
        <v/>
      </c>
      <c r="J43" s="140">
        <f>IFERROR(VLOOKUP(E43,Материалы!E39:H43,4,FALSE),0)</f>
        <v/>
      </c>
      <c r="K43" s="140">
        <f>G43*J43</f>
        <v/>
      </c>
      <c r="L43" s="10">
        <f>IFERROR(VLOOKUP(E43,Материалы!E7:I23,5,FALSE),0)</f>
        <v/>
      </c>
      <c r="M43" s="10">
        <f>G43*L43</f>
        <v/>
      </c>
    </row>
    <row r="44">
      <c r="C44" s="10" t="n"/>
      <c r="D44" s="3" t="inlineStr">
        <is>
          <t>Доп. контакт для автомата</t>
        </is>
      </c>
      <c r="E44" s="10">
        <f>Материалы!D38</f>
        <v/>
      </c>
      <c r="F44" s="10">
        <f>Материалы!E38</f>
        <v/>
      </c>
      <c r="G44" s="10">
        <f>H44+I44</f>
        <v/>
      </c>
      <c r="H44" s="10">
        <f>0*$B$41</f>
        <v/>
      </c>
      <c r="I44" s="10">
        <f>1*$C$41</f>
        <v/>
      </c>
      <c r="J44" s="140">
        <f>Материалы!H38</f>
        <v/>
      </c>
      <c r="K44" s="140">
        <f>G44*J44</f>
        <v/>
      </c>
      <c r="L44" s="10">
        <f>IFERROR(VLOOKUP(E44,Материалы!E7:I23,5,FALSE),0)</f>
        <v/>
      </c>
      <c r="M44" s="10">
        <f>G44*L44</f>
        <v/>
      </c>
    </row>
    <row r="45">
      <c r="C45" s="10" t="n"/>
      <c r="D45" s="3" t="inlineStr">
        <is>
          <t>Контактор</t>
        </is>
      </c>
      <c r="E45" s="10">
        <f>Расчет!P104</f>
        <v/>
      </c>
      <c r="F45" s="10">
        <f>Расчет!O104</f>
        <v/>
      </c>
      <c r="G45" s="10">
        <f>H45+I45</f>
        <v/>
      </c>
      <c r="H45" s="10">
        <f>1*$B$41</f>
        <v/>
      </c>
      <c r="I45" s="10">
        <f>1*$C$41</f>
        <v/>
      </c>
      <c r="J45" s="140">
        <f>IFERROR(VLOOKUP(E45,Материалы!E46:H54,4,FALSE),0)</f>
        <v/>
      </c>
      <c r="K45" s="140">
        <f>G45*J45</f>
        <v/>
      </c>
      <c r="L45" s="10">
        <f>IFERROR(VLOOKUP(E45,Материалы!E46:I54,5,FALSE),0)</f>
        <v/>
      </c>
      <c r="M45" s="10">
        <f>G45*L45</f>
        <v/>
      </c>
    </row>
    <row r="46">
      <c r="C46" s="10" t="n"/>
      <c r="D46" s="3" t="inlineStr">
        <is>
          <t xml:space="preserve">Клемма </t>
        </is>
      </c>
      <c r="E46" s="10">
        <f>VLOOKUP(Расчет!Q104,Материалы!D62:E67,2)</f>
        <v/>
      </c>
      <c r="F46" s="10">
        <f>Расчет!Q104</f>
        <v/>
      </c>
      <c r="G46" s="10">
        <f>H46+I46</f>
        <v/>
      </c>
      <c r="H46" s="10">
        <f>1*$B$41</f>
        <v/>
      </c>
      <c r="I46" s="10">
        <f>1*$C$41</f>
        <v/>
      </c>
      <c r="J46" s="140">
        <f>IFERROR(VLOOKUP(E46,Материалы!E62:H67,4,FALSE),0)</f>
        <v/>
      </c>
      <c r="K46" s="140">
        <f>G46*J46</f>
        <v/>
      </c>
      <c r="L46" s="10">
        <f>IFERROR(VLOOKUP(E46,Материалы!E62:I67,5,FALSE),0)</f>
        <v/>
      </c>
      <c r="M46" s="10">
        <f>G46*L46</f>
        <v/>
      </c>
    </row>
    <row r="47">
      <c r="C47" s="10" t="n"/>
      <c r="D47" s="3" t="inlineStr">
        <is>
          <t>Клемма N</t>
        </is>
      </c>
      <c r="E47" s="10">
        <f>VLOOKUP(Расчет!Q104,Материалы!D68:E73,2)</f>
        <v/>
      </c>
      <c r="F47" s="10">
        <f>Расчет!Q104</f>
        <v/>
      </c>
      <c r="G47" s="10">
        <f>H47+I47</f>
        <v/>
      </c>
      <c r="H47" s="10">
        <f>1*$B$41</f>
        <v/>
      </c>
      <c r="I47" s="10">
        <f>1*$C$41</f>
        <v/>
      </c>
      <c r="J47" s="140">
        <f>IFERROR(VLOOKUP(E47,Материалы!E68:H73,4,FALSE),0)</f>
        <v/>
      </c>
      <c r="K47" s="140">
        <f>G47*J47</f>
        <v/>
      </c>
      <c r="L47" s="10">
        <f>IFERROR(VLOOKUP(E47,Материалы!E68:I73,5,FALSE),0)</f>
        <v/>
      </c>
      <c r="M47" s="10">
        <f>G47*L47</f>
        <v/>
      </c>
    </row>
    <row r="48">
      <c r="C48" s="10" t="n"/>
      <c r="D48" s="3" t="inlineStr">
        <is>
          <t>Клемма PE</t>
        </is>
      </c>
      <c r="E48" s="10">
        <f>VLOOKUP(Расчет!Q104,Материалы!D74:F79,2)</f>
        <v/>
      </c>
      <c r="F48" s="10">
        <f>Расчет!Q104</f>
        <v/>
      </c>
      <c r="G48" s="10">
        <f>H48+I48</f>
        <v/>
      </c>
      <c r="H48" s="10">
        <f>2*$B$41</f>
        <v/>
      </c>
      <c r="I48" s="10">
        <f>2*$C$41</f>
        <v/>
      </c>
      <c r="J48" s="140">
        <f>IFERROR(VLOOKUP(E48,Материалы!E74:H79,4,FALSE),0)</f>
        <v/>
      </c>
      <c r="K48" s="140">
        <f>G48*J48</f>
        <v/>
      </c>
      <c r="L48" s="10">
        <f>IFERROR(VLOOKUP(E48,Материалы!E74:I79,5,FALSE),0)</f>
        <v/>
      </c>
      <c r="M48" s="10">
        <f>G48*L48</f>
        <v/>
      </c>
    </row>
    <row r="49">
      <c r="C49" s="10" t="n"/>
      <c r="D49" s="3" t="inlineStr">
        <is>
          <t>Провод монтажный силовой</t>
        </is>
      </c>
      <c r="E49" s="10" t="n"/>
      <c r="F49" s="10" t="n"/>
      <c r="G49" s="10" t="n"/>
      <c r="H49" s="10" t="n"/>
      <c r="I49" s="10" t="n"/>
      <c r="J49" s="140" t="n"/>
      <c r="K49" s="140">
        <f>G49*J49</f>
        <v/>
      </c>
      <c r="L49" s="10" t="n"/>
      <c r="M49" s="10">
        <f>G49*L49</f>
        <v/>
      </c>
    </row>
    <row r="50">
      <c r="C50" s="10">
        <f>Расчет!E63</f>
        <v/>
      </c>
      <c r="D50" s="3" t="inlineStr">
        <is>
          <t>Шкаф металлический</t>
        </is>
      </c>
      <c r="E50" s="10">
        <f>VLOOKUP(Расчет!S104,Материалы!D94:E96,2)</f>
        <v/>
      </c>
      <c r="F50" s="10">
        <f>Расчет!S104</f>
        <v/>
      </c>
      <c r="G50" s="10">
        <f>H50+I50</f>
        <v/>
      </c>
      <c r="H50" s="10">
        <f>1*$B$41*C50</f>
        <v/>
      </c>
      <c r="I50" s="10">
        <f>1*$C$41*C50</f>
        <v/>
      </c>
      <c r="J50" s="140">
        <f>IFERROR(VLOOKUP(E50,Материалы!E94:H95,4,FALSE),0)</f>
        <v/>
      </c>
      <c r="K50" s="140">
        <f>G50*J50</f>
        <v/>
      </c>
      <c r="L50" s="10">
        <f>IFERROR(VLOOKUP(E50,Материалы!E94:I95,5,FALSE),0)</f>
        <v/>
      </c>
      <c r="M50" s="10">
        <f>G50*L50</f>
        <v/>
      </c>
    </row>
    <row r="51">
      <c r="C51" s="10">
        <f>Расчет!E62</f>
        <v/>
      </c>
      <c r="D51" s="3" t="inlineStr">
        <is>
          <t>Шкаф пластик</t>
        </is>
      </c>
      <c r="E51" s="10">
        <f>VLOOKUP(Расчет!T104,Материалы!D96:E96,2)</f>
        <v/>
      </c>
      <c r="F51" s="10">
        <f>Расчет!T104</f>
        <v/>
      </c>
      <c r="G51" s="10">
        <f>H51+I51</f>
        <v/>
      </c>
      <c r="H51" s="10">
        <f>1*$B$41*C51</f>
        <v/>
      </c>
      <c r="I51" s="10">
        <f>1*$C$41*C51</f>
        <v/>
      </c>
      <c r="J51" s="140">
        <f>IFERROR(VLOOKUP(E51,Материалы!E96:H96,4,FALSE),0)</f>
        <v/>
      </c>
      <c r="K51" s="140">
        <f>G51*J51</f>
        <v/>
      </c>
      <c r="L51" s="10">
        <f>VLOOKUP(E39,Материалы!E96:I97,5,FALSE)</f>
        <v/>
      </c>
      <c r="M51" s="10">
        <f>G51*L51</f>
        <v/>
      </c>
      <c r="O51" s="211">
        <f>SUM(K43:K51)</f>
        <v/>
      </c>
    </row>
    <row r="52">
      <c r="C52" s="10" t="n"/>
      <c r="D52" s="3" t="n"/>
      <c r="E52" s="3" t="n"/>
      <c r="F52" s="10" t="n"/>
      <c r="G52" s="10" t="n"/>
      <c r="H52" s="10" t="n"/>
      <c r="I52" s="10" t="n"/>
      <c r="J52" s="10" t="n"/>
      <c r="K52" s="10" t="n"/>
      <c r="L52" s="10" t="n"/>
      <c r="M52" s="10" t="n"/>
    </row>
    <row r="53">
      <c r="C53" s="10" t="n"/>
      <c r="D53" s="3" t="n"/>
      <c r="E53" s="3" t="n"/>
      <c r="F53" s="10" t="n"/>
      <c r="G53" s="10" t="n"/>
      <c r="H53" s="10" t="n"/>
      <c r="I53" s="10" t="n"/>
      <c r="J53" s="10" t="n"/>
      <c r="K53" s="10" t="n"/>
      <c r="L53" s="10" t="n"/>
      <c r="M53" s="10" t="n"/>
    </row>
    <row r="54">
      <c r="C54" s="10">
        <f>IF(Расчет!E44=1,1,0)</f>
        <v/>
      </c>
      <c r="D54" s="81" t="inlineStr">
        <is>
          <t>Клапан</t>
        </is>
      </c>
      <c r="E54" s="61" t="n"/>
      <c r="F54" s="76" t="n"/>
      <c r="G54" s="76" t="n"/>
      <c r="H54" s="76" t="n"/>
      <c r="I54" s="76" t="n"/>
      <c r="J54" s="76" t="n"/>
      <c r="K54" s="76" t="n"/>
      <c r="L54" s="76" t="n"/>
      <c r="M54" s="76" t="n"/>
      <c r="N54" s="35" t="n"/>
    </row>
    <row r="55">
      <c r="C55" s="10" t="n"/>
      <c r="D55" s="3" t="inlineStr">
        <is>
          <t xml:space="preserve">Клемма </t>
        </is>
      </c>
      <c r="E55" s="80">
        <f>Материалы!E62</f>
        <v/>
      </c>
      <c r="F55" s="10">
        <f>Материалы!D62</f>
        <v/>
      </c>
      <c r="G55" s="10">
        <f>4*$C$54</f>
        <v/>
      </c>
      <c r="H55" s="10" t="n"/>
      <c r="I55" s="10" t="n"/>
      <c r="J55" s="140">
        <f>VLOOKUP(E55,Материалы!E62:H67,4,FALSE)</f>
        <v/>
      </c>
      <c r="K55" s="140">
        <f>G55*J55</f>
        <v/>
      </c>
      <c r="L55" s="10">
        <f>VLOOKUP(E55,Материалы!E62:I67,5,FALSE)</f>
        <v/>
      </c>
      <c r="M55" s="10">
        <f>G55*L55</f>
        <v/>
      </c>
    </row>
    <row r="56">
      <c r="C56" s="10" t="n"/>
      <c r="D56" s="3" t="inlineStr">
        <is>
          <t>Клемма N</t>
        </is>
      </c>
      <c r="E56" s="80">
        <f>Материалы!E68</f>
        <v/>
      </c>
      <c r="F56" s="10">
        <f>Материалы!D68</f>
        <v/>
      </c>
      <c r="G56" s="10">
        <f>1*$C$54</f>
        <v/>
      </c>
      <c r="H56" s="10" t="n"/>
      <c r="I56" s="10" t="n"/>
      <c r="J56" s="140">
        <f>Материалы!H68</f>
        <v/>
      </c>
      <c r="K56" s="140">
        <f>G56*J56</f>
        <v/>
      </c>
      <c r="L56" s="10">
        <f>VLOOKUP(E56,Материалы!E68:I73,5,FALSE)</f>
        <v/>
      </c>
      <c r="M56" s="10">
        <f>G56*L56</f>
        <v/>
      </c>
      <c r="O56" s="211">
        <f>SUM(K55:K56)</f>
        <v/>
      </c>
    </row>
    <row r="57">
      <c r="C57" s="10" t="n"/>
      <c r="D57" s="3" t="n"/>
      <c r="E57" s="3" t="n"/>
      <c r="F57" s="10" t="n"/>
      <c r="G57" s="10" t="n"/>
      <c r="H57" s="10" t="n"/>
      <c r="I57" s="10" t="n"/>
      <c r="J57" s="140" t="n"/>
      <c r="K57" s="140" t="n"/>
      <c r="L57" s="10" t="n"/>
      <c r="M57" s="10" t="n"/>
    </row>
    <row r="58">
      <c r="C58" s="10">
        <f>IF(AND(Расчет!E44=1,Расчет!E48=1),1,0)</f>
        <v/>
      </c>
      <c r="D58" s="81" t="inlineStr">
        <is>
          <t>Обогрев клапана</t>
        </is>
      </c>
      <c r="E58" s="61" t="n"/>
      <c r="F58" s="76" t="n"/>
      <c r="G58" s="76" t="n"/>
      <c r="H58" s="76" t="n"/>
      <c r="I58" s="76" t="n"/>
      <c r="J58" s="141" t="n"/>
      <c r="K58" s="141" t="n"/>
      <c r="L58" s="76" t="n"/>
      <c r="M58" s="76" t="n"/>
      <c r="N58" s="35" t="n"/>
    </row>
    <row r="59">
      <c r="C59" s="10" t="n"/>
      <c r="D59" s="3" t="inlineStr">
        <is>
          <t>Автоматический выключатель</t>
        </is>
      </c>
      <c r="E59" s="3">
        <f>Материалы!E40</f>
        <v/>
      </c>
      <c r="F59" s="10">
        <f>Материалы!D40</f>
        <v/>
      </c>
      <c r="G59" s="10">
        <f>1*$C$58</f>
        <v/>
      </c>
      <c r="H59" s="10" t="n"/>
      <c r="I59" s="10" t="n"/>
      <c r="J59" s="140">
        <f>Материалы!H40</f>
        <v/>
      </c>
      <c r="K59" s="140">
        <f>G59*J59</f>
        <v/>
      </c>
      <c r="L59" s="10">
        <f>VLOOKUP(E59,Материалы!E39:I40,5,FALSE)</f>
        <v/>
      </c>
      <c r="M59" s="10">
        <f>G59*L59</f>
        <v/>
      </c>
    </row>
    <row r="60">
      <c r="C60" s="10" t="n"/>
      <c r="D60" s="3" t="inlineStr">
        <is>
          <t xml:space="preserve">Клемма </t>
        </is>
      </c>
      <c r="E60" s="3">
        <f>Материалы!E62</f>
        <v/>
      </c>
      <c r="F60" s="10">
        <f>Материалы!D62</f>
        <v/>
      </c>
      <c r="G60" s="10">
        <f>1*$C$58</f>
        <v/>
      </c>
      <c r="H60" s="10" t="n"/>
      <c r="I60" s="10" t="n"/>
      <c r="J60" s="140">
        <f>VLOOKUP(E60,Материалы!E62:H67,4,FALSE)</f>
        <v/>
      </c>
      <c r="K60" s="140">
        <f>G60*J60</f>
        <v/>
      </c>
      <c r="L60" s="10">
        <f>VLOOKUP(E60,Материалы!E62:I67,5,FALSE)</f>
        <v/>
      </c>
      <c r="M60" s="10">
        <f>G60*L60</f>
        <v/>
      </c>
    </row>
    <row r="61">
      <c r="C61" s="10" t="n"/>
      <c r="D61" s="3" t="inlineStr">
        <is>
          <t>Клемма N</t>
        </is>
      </c>
      <c r="E61" s="3">
        <f>Материалы!E68</f>
        <v/>
      </c>
      <c r="F61" s="10">
        <f>Материалы!D68</f>
        <v/>
      </c>
      <c r="G61" s="10">
        <f>1*$C$58</f>
        <v/>
      </c>
      <c r="H61" s="10" t="n"/>
      <c r="I61" s="10" t="n"/>
      <c r="J61" s="140">
        <f>VLOOKUP(E61,Материалы!E68:H73,4,FALSE)</f>
        <v/>
      </c>
      <c r="K61" s="140">
        <f>G61*J61</f>
        <v/>
      </c>
      <c r="L61" s="10">
        <f>VLOOKUP(E61,Материалы!E68:I73,5,FALSE)</f>
        <v/>
      </c>
      <c r="M61" s="10">
        <f>G61*L61</f>
        <v/>
      </c>
    </row>
    <row r="62">
      <c r="C62" s="10" t="n"/>
      <c r="D62" s="3" t="inlineStr">
        <is>
          <t>Клемма PE</t>
        </is>
      </c>
      <c r="E62" s="3">
        <f>Материалы!E74</f>
        <v/>
      </c>
      <c r="F62" s="10">
        <f>Материалы!D74</f>
        <v/>
      </c>
      <c r="G62" s="10">
        <f>1*$C$58</f>
        <v/>
      </c>
      <c r="H62" s="10" t="n"/>
      <c r="I62" s="10" t="n"/>
      <c r="J62" s="140">
        <f>VLOOKUP(E62,Материалы!E74:H79,4,FALSE)</f>
        <v/>
      </c>
      <c r="K62" s="140">
        <f>G62*J62</f>
        <v/>
      </c>
      <c r="L62" s="10">
        <f>VLOOKUP(E62,Материалы!E74:I79,5,FALSE)</f>
        <v/>
      </c>
      <c r="M62" s="10">
        <f>G62*L62</f>
        <v/>
      </c>
      <c r="O62" s="211">
        <f>SUM(K59:K62)</f>
        <v/>
      </c>
    </row>
    <row r="63">
      <c r="C63" s="10" t="n"/>
      <c r="D63" s="3" t="n"/>
      <c r="E63" s="3" t="n"/>
      <c r="F63" s="10" t="n"/>
      <c r="G63" s="10" t="n"/>
      <c r="H63" s="10" t="n"/>
      <c r="I63" s="10" t="n"/>
      <c r="J63" s="140" t="n"/>
      <c r="K63" s="140" t="n"/>
      <c r="L63" s="10" t="n"/>
      <c r="M63" s="10" t="n"/>
    </row>
    <row r="64">
      <c r="C64" s="10">
        <f>IF(Расчет!E40=1,1,0)</f>
        <v/>
      </c>
      <c r="D64" s="81" t="inlineStr">
        <is>
          <t>Реле перепада давления вентилятора</t>
        </is>
      </c>
      <c r="E64" s="61" t="n"/>
      <c r="F64" s="76" t="n"/>
      <c r="G64" s="76" t="n"/>
      <c r="H64" s="76" t="n"/>
      <c r="I64" s="76" t="n"/>
      <c r="J64" s="141" t="n"/>
      <c r="K64" s="141" t="n"/>
      <c r="L64" s="76" t="n"/>
      <c r="M64" s="76" t="n"/>
      <c r="N64" s="35" t="n"/>
    </row>
    <row r="65">
      <c r="C65" s="10" t="n"/>
      <c r="D65" s="3">
        <f>Материалы!C59</f>
        <v/>
      </c>
      <c r="E65" s="3">
        <f>Материалы!E59</f>
        <v/>
      </c>
      <c r="F65" s="10">
        <f>Материалы!D59</f>
        <v/>
      </c>
      <c r="G65" s="10">
        <f>1*$C$64</f>
        <v/>
      </c>
      <c r="H65" s="10" t="n"/>
      <c r="I65" s="10" t="n"/>
      <c r="J65" s="140">
        <f>Материалы!H59</f>
        <v/>
      </c>
      <c r="K65" s="140">
        <f>G65*J65</f>
        <v/>
      </c>
      <c r="L65" s="10">
        <f>VLOOKUP(E65,Материалы!E57:I59,5,FALSE)</f>
        <v/>
      </c>
      <c r="M65" s="10">
        <f>G65*L65</f>
        <v/>
      </c>
    </row>
    <row r="66">
      <c r="C66" s="10" t="n"/>
      <c r="D66" s="3" t="inlineStr">
        <is>
          <t xml:space="preserve">Клемма </t>
        </is>
      </c>
      <c r="E66" s="3">
        <f>Материалы!E62</f>
        <v/>
      </c>
      <c r="F66" s="10">
        <f>Материалы!D62</f>
        <v/>
      </c>
      <c r="G66" s="10">
        <f>2*$C$64</f>
        <v/>
      </c>
      <c r="H66" s="10" t="n"/>
      <c r="I66" s="10" t="n"/>
      <c r="J66" s="140">
        <f>VLOOKUP(E66,Материалы!E62:H67,4,FALSE)</f>
        <v/>
      </c>
      <c r="K66" s="140">
        <f>G66*J66</f>
        <v/>
      </c>
      <c r="L66" s="10">
        <f>VLOOKUP(E66,Материалы!E62:I67,5,FALSE)</f>
        <v/>
      </c>
      <c r="M66" s="10">
        <f>G66*L66</f>
        <v/>
      </c>
      <c r="O66" s="211">
        <f>SUM(K65:K66)</f>
        <v/>
      </c>
    </row>
    <row r="67">
      <c r="C67" s="10" t="n"/>
      <c r="D67" s="3" t="n"/>
      <c r="E67" s="3" t="n"/>
      <c r="F67" s="10" t="n"/>
      <c r="G67" s="10" t="n"/>
      <c r="H67" s="10" t="n"/>
      <c r="I67" s="10" t="n"/>
      <c r="J67" s="140" t="n"/>
      <c r="K67" s="140" t="n"/>
      <c r="L67" s="10" t="n"/>
      <c r="M67" s="10" t="n"/>
    </row>
    <row r="68">
      <c r="C68" s="10">
        <f>IF(Расчет!E52=1,1,0)</f>
        <v/>
      </c>
      <c r="D68" s="81" t="inlineStr">
        <is>
          <t>Реле перепада давления фильтра</t>
        </is>
      </c>
      <c r="E68" s="61" t="n"/>
      <c r="F68" s="76" t="n"/>
      <c r="G68" s="76" t="n"/>
      <c r="H68" s="76" t="n"/>
      <c r="I68" s="76" t="n"/>
      <c r="J68" s="141" t="n"/>
      <c r="K68" s="141" t="n"/>
      <c r="L68" s="76" t="n"/>
      <c r="M68" s="76" t="n"/>
      <c r="N68" s="35" t="n"/>
    </row>
    <row r="69">
      <c r="C69" s="10" t="n"/>
      <c r="D69" s="3" t="inlineStr">
        <is>
          <t xml:space="preserve">Клемма </t>
        </is>
      </c>
      <c r="E69" s="3">
        <f>Материалы!E62</f>
        <v/>
      </c>
      <c r="F69" s="10">
        <f>Материалы!D62</f>
        <v/>
      </c>
      <c r="G69" s="10">
        <f>2*C68</f>
        <v/>
      </c>
      <c r="H69" s="10" t="n"/>
      <c r="I69" s="10" t="n"/>
      <c r="J69" s="140">
        <f>VLOOKUP(E66,Материалы!E62:H67,4,FALSE)</f>
        <v/>
      </c>
      <c r="K69" s="140">
        <f>G69*J69</f>
        <v/>
      </c>
      <c r="L69" s="10">
        <f>VLOOKUP(E66,Материалы!E62:I67,5,FALSE)</f>
        <v/>
      </c>
      <c r="M69" s="10">
        <f>G69*L69</f>
        <v/>
      </c>
    </row>
    <row r="70">
      <c r="C70" s="10" t="n"/>
      <c r="D70" s="3" t="inlineStr">
        <is>
          <t>Индикатор ФИЛЬТР (красный)</t>
        </is>
      </c>
      <c r="E70" s="3">
        <f>Материалы!E86</f>
        <v/>
      </c>
      <c r="F70" s="10">
        <f>Материалы!D86</f>
        <v/>
      </c>
      <c r="G70" s="10">
        <f>1*C68</f>
        <v/>
      </c>
      <c r="H70" s="10" t="n"/>
      <c r="I70" s="10" t="n"/>
      <c r="J70" s="140">
        <f>Материалы!H86</f>
        <v/>
      </c>
      <c r="K70" s="140">
        <f>G70*J70</f>
        <v/>
      </c>
      <c r="L70" s="10">
        <f>VLOOKUP(E92,Материалы!E84:I89,5,FALSE)</f>
        <v/>
      </c>
      <c r="M70" s="10">
        <f>G70*L70</f>
        <v/>
      </c>
    </row>
    <row r="71">
      <c r="C71" s="10" t="n"/>
      <c r="D71" s="3" t="n"/>
      <c r="E71" s="3" t="n"/>
      <c r="F71" s="10" t="n"/>
      <c r="G71" s="10" t="n"/>
      <c r="H71" s="10" t="n"/>
      <c r="I71" s="10" t="n"/>
      <c r="J71" s="140" t="n"/>
      <c r="K71" s="140" t="n"/>
      <c r="L71" s="10" t="n"/>
      <c r="M71" s="10" t="n"/>
    </row>
    <row r="72">
      <c r="C72" s="10" t="n"/>
      <c r="D72" s="3" t="n"/>
      <c r="E72" s="3" t="n"/>
      <c r="F72" s="10" t="n"/>
      <c r="G72" s="10" t="n"/>
      <c r="H72" s="10" t="n"/>
      <c r="I72" s="10" t="n"/>
      <c r="J72" s="140" t="n"/>
      <c r="K72" s="140" t="n"/>
      <c r="L72" s="10" t="n"/>
      <c r="M72" s="10" t="n"/>
    </row>
    <row r="73">
      <c r="C73" s="23">
        <f>IF(Расчет!E26=2,1,0)</f>
        <v/>
      </c>
      <c r="D73" s="201" t="inlineStr">
        <is>
          <t>С самозапускои</t>
        </is>
      </c>
      <c r="E73" s="202" t="n"/>
      <c r="F73" s="203" t="n"/>
      <c r="G73" s="203" t="n"/>
      <c r="H73" s="203" t="n"/>
      <c r="I73" s="203" t="n"/>
      <c r="J73" s="204" t="n"/>
      <c r="K73" s="204" t="n"/>
      <c r="L73" s="203" t="n"/>
      <c r="M73" s="203" t="n"/>
      <c r="N73" s="35" t="n"/>
    </row>
    <row r="74">
      <c r="B74" s="195" t="inlineStr">
        <is>
          <t>мет</t>
        </is>
      </c>
      <c r="C74" s="60">
        <f>Расчет!E63</f>
        <v/>
      </c>
      <c r="D74" s="195">
        <f>Материалы!C89</f>
        <v/>
      </c>
      <c r="E74" s="195">
        <f>Материалы!E89</f>
        <v/>
      </c>
      <c r="F74" s="60">
        <f>Материалы!D89</f>
        <v/>
      </c>
      <c r="G74" s="60">
        <f>1*$C$73*C74</f>
        <v/>
      </c>
      <c r="H74" s="60" t="n"/>
      <c r="I74" s="60" t="n"/>
      <c r="J74" s="196">
        <f>Материалы!H89</f>
        <v/>
      </c>
      <c r="K74" s="196">
        <f>G74*J74</f>
        <v/>
      </c>
      <c r="L74" s="60">
        <f>VLOOKUP(E74,Материалы!E84:I89,5,FALSE)</f>
        <v/>
      </c>
      <c r="M74" s="60">
        <f>G74*L74</f>
        <v/>
      </c>
      <c r="N74" s="277" t="n"/>
    </row>
    <row r="75">
      <c r="B75" s="195" t="inlineStr">
        <is>
          <t>1да</t>
        </is>
      </c>
      <c r="C75" s="10" t="n"/>
      <c r="D75" s="3" t="n"/>
      <c r="E75" s="3" t="n"/>
      <c r="F75" s="10" t="n"/>
      <c r="G75" s="10" t="n"/>
      <c r="H75" s="10" t="n"/>
      <c r="I75" s="10" t="n"/>
      <c r="J75" s="140" t="n"/>
      <c r="K75" s="140" t="n"/>
      <c r="L75" s="10" t="n"/>
      <c r="M75" s="10" t="n"/>
    </row>
    <row r="76">
      <c r="B76" s="198" t="inlineStr">
        <is>
          <t>пласт</t>
        </is>
      </c>
      <c r="C76" s="197">
        <f>Расчет!E62</f>
        <v/>
      </c>
      <c r="D76" s="198" t="inlineStr">
        <is>
          <t>выключатель для самозапуска</t>
        </is>
      </c>
      <c r="E76" s="198">
        <f>Материалы!E39</f>
        <v/>
      </c>
      <c r="F76" s="197">
        <f>Материалы!D39</f>
        <v/>
      </c>
      <c r="G76" s="197">
        <f>1*$C$76*$C$73</f>
        <v/>
      </c>
      <c r="H76" s="197" t="n"/>
      <c r="I76" s="197" t="n"/>
      <c r="J76" s="199">
        <f>Материалы!H39</f>
        <v/>
      </c>
      <c r="K76" s="199">
        <f>G76*J89</f>
        <v/>
      </c>
      <c r="L76" s="197">
        <f>VLOOKUP(E89,Материалы!E39:I40,5,FALSE)</f>
        <v/>
      </c>
      <c r="M76" s="197">
        <f>G76*L89</f>
        <v/>
      </c>
      <c r="N76" s="278" t="n"/>
    </row>
    <row r="77">
      <c r="B77" s="198" t="inlineStr">
        <is>
          <t>1да</t>
        </is>
      </c>
      <c r="C77" s="198" t="n"/>
      <c r="D77" s="198" t="n"/>
      <c r="E77" s="198" t="n"/>
      <c r="F77" s="197" t="n"/>
      <c r="G77" s="197" t="n"/>
      <c r="H77" s="197" t="n"/>
      <c r="I77" s="197" t="n"/>
      <c r="J77" s="197" t="n"/>
      <c r="K77" s="197" t="n"/>
      <c r="L77" s="197" t="n"/>
      <c r="M77" s="197" t="n"/>
      <c r="N77" s="278" t="n"/>
    </row>
    <row r="78">
      <c r="C78" s="3" t="n"/>
      <c r="D78" s="3" t="n"/>
      <c r="E78" s="3" t="n"/>
      <c r="F78" s="10" t="n"/>
      <c r="G78" s="10" t="n"/>
      <c r="H78" s="10" t="n"/>
      <c r="I78" s="10" t="n"/>
      <c r="J78" s="10" t="n"/>
      <c r="K78" s="10" t="n"/>
      <c r="L78" s="10" t="n"/>
      <c r="M78" s="10" t="n"/>
    </row>
    <row r="79">
      <c r="C79" s="135">
        <f>IF(Расчет!E26=1,1,0)</f>
        <v/>
      </c>
      <c r="D79" s="205" t="inlineStr">
        <is>
          <t>Без самозапуска</t>
        </is>
      </c>
      <c r="E79" s="206" t="n"/>
      <c r="F79" s="207" t="n"/>
      <c r="G79" s="207" t="n"/>
      <c r="H79" s="207" t="n"/>
      <c r="I79" s="207" t="n"/>
      <c r="J79" s="208" t="n"/>
      <c r="K79" s="208" t="n"/>
      <c r="L79" s="207" t="n"/>
      <c r="M79" s="207" t="n"/>
      <c r="N79" s="35" t="n"/>
    </row>
    <row r="80">
      <c r="B80" s="195" t="inlineStr">
        <is>
          <t>мет</t>
        </is>
      </c>
      <c r="C80" s="60">
        <f>Расчет!E63</f>
        <v/>
      </c>
      <c r="D80" s="195">
        <f>Материалы!C87</f>
        <v/>
      </c>
      <c r="E80" s="195">
        <f>Материалы!E87</f>
        <v/>
      </c>
      <c r="F80" s="60">
        <f>Материалы!D87</f>
        <v/>
      </c>
      <c r="G80" s="60">
        <f>1*$C$79*C80</f>
        <v/>
      </c>
      <c r="H80" s="60" t="n"/>
      <c r="I80" s="60" t="n"/>
      <c r="J80" s="196">
        <f>Материалы!H87</f>
        <v/>
      </c>
      <c r="K80" s="196">
        <f>G80*J80</f>
        <v/>
      </c>
      <c r="L80" s="60">
        <f>VLOOKUP(E80,Материалы!E84:I89,5,FALSE)</f>
        <v/>
      </c>
      <c r="M80" s="60">
        <f>G80*L80</f>
        <v/>
      </c>
      <c r="N80" s="277" t="n"/>
    </row>
    <row r="81">
      <c r="B81" s="195" t="inlineStr">
        <is>
          <t>1да</t>
        </is>
      </c>
      <c r="C81" s="60">
        <f>Расчет!E63</f>
        <v/>
      </c>
      <c r="D81" s="195">
        <f>Материалы!C88</f>
        <v/>
      </c>
      <c r="E81" s="195">
        <f>Материалы!E88</f>
        <v/>
      </c>
      <c r="F81" s="60">
        <f>Материалы!D88</f>
        <v/>
      </c>
      <c r="G81" s="60">
        <f>1*$C$79*C81</f>
        <v/>
      </c>
      <c r="H81" s="60" t="n"/>
      <c r="I81" s="60" t="n"/>
      <c r="J81" s="196">
        <f>Материалы!H88</f>
        <v/>
      </c>
      <c r="K81" s="196">
        <f>G81*J81</f>
        <v/>
      </c>
      <c r="L81" s="60">
        <f>VLOOKUP(E81,Материалы!E84:I89,5,FALSE)</f>
        <v/>
      </c>
      <c r="M81" s="60">
        <f>G81*L81</f>
        <v/>
      </c>
      <c r="N81" s="277" t="n"/>
    </row>
    <row r="82">
      <c r="B82" s="198" t="inlineStr">
        <is>
          <t>пласт</t>
        </is>
      </c>
      <c r="C82" s="197">
        <f>Расчет!E62</f>
        <v/>
      </c>
      <c r="D82" s="198" t="inlineStr">
        <is>
          <t>Кнопка модульная</t>
        </is>
      </c>
      <c r="E82" s="200" t="inlineStr">
        <is>
          <t>1NO+1NC</t>
        </is>
      </c>
      <c r="F82" s="197" t="inlineStr">
        <is>
          <t>ПУСК_1NO_1NC</t>
        </is>
      </c>
      <c r="G82" s="197">
        <f>2*C82*$C$79</f>
        <v/>
      </c>
      <c r="H82" s="197" t="n"/>
      <c r="I82" s="197" t="n"/>
      <c r="J82" s="199">
        <f>Материалы!H90</f>
        <v/>
      </c>
      <c r="K82" s="199">
        <f>G82*J82</f>
        <v/>
      </c>
      <c r="L82" s="197" t="n"/>
      <c r="M82" s="197" t="n"/>
      <c r="N82" s="278" t="n"/>
    </row>
    <row r="83">
      <c r="B83" s="198" t="inlineStr">
        <is>
          <t>1да</t>
        </is>
      </c>
      <c r="C83" s="197" t="n"/>
      <c r="D83" s="198" t="n"/>
      <c r="E83" s="198" t="n"/>
      <c r="F83" s="197" t="n"/>
      <c r="G83" s="197" t="n"/>
      <c r="H83" s="197" t="n"/>
      <c r="I83" s="197" t="n"/>
      <c r="J83" s="199" t="n"/>
      <c r="K83" s="199" t="n"/>
      <c r="L83" s="197" t="n"/>
      <c r="M83" s="197" t="n"/>
      <c r="N83" s="278" t="n"/>
    </row>
    <row r="84">
      <c r="C84" s="58" t="n"/>
      <c r="D84" s="70" t="n"/>
      <c r="E84" s="70" t="n"/>
      <c r="F84" s="58" t="n"/>
      <c r="G84" s="58" t="n"/>
      <c r="H84" s="58" t="n"/>
      <c r="I84" s="58" t="n"/>
      <c r="J84" s="134" t="n"/>
      <c r="K84" s="134" t="n"/>
      <c r="L84" s="58" t="n"/>
      <c r="M84" s="58" t="n"/>
    </row>
    <row r="85">
      <c r="B85" s="1">
        <f>IF(AND(Расчет!E55=0,OR(Расчет!E65="Ф100",Расчет!E65="Ф130",Расчет!E65="Ф160")),1,0)</f>
        <v/>
      </c>
      <c r="C85" s="10">
        <f>IF(AND(Расчет!E55=1,OR(Расчет!E65&lt;&gt;"Ф100",Расчет!E65&lt;&gt;"Ф130",Расчет!E65&lt;&gt;"Ф160")),1,0)</f>
        <v/>
      </c>
      <c r="D85" s="81" t="inlineStr">
        <is>
          <t>Сигнал дистанционного упр. (Пульт ПДУ и С.К. "ПУСК", "АВАРИЯ")</t>
        </is>
      </c>
      <c r="E85" s="61" t="n"/>
      <c r="F85" s="76" t="n"/>
      <c r="G85" s="76" t="n"/>
      <c r="H85" s="76" t="n"/>
      <c r="I85" s="76" t="n"/>
      <c r="J85" s="141" t="n"/>
      <c r="K85" s="141" t="n"/>
      <c r="L85" s="76" t="n"/>
      <c r="M85" s="76" t="n"/>
      <c r="N85" s="35" t="n"/>
    </row>
    <row r="86">
      <c r="C86" s="10" t="n"/>
      <c r="D86" s="3" t="inlineStr">
        <is>
          <t xml:space="preserve">Клемма </t>
        </is>
      </c>
      <c r="E86" s="3">
        <f>Материалы!E62</f>
        <v/>
      </c>
      <c r="F86" s="10">
        <f>Материалы!D62</f>
        <v/>
      </c>
      <c r="G86" s="10">
        <f>H86+I86</f>
        <v/>
      </c>
      <c r="H86" s="10">
        <f>0*$B$85</f>
        <v/>
      </c>
      <c r="I86" s="10">
        <f>10*$C$85</f>
        <v/>
      </c>
      <c r="J86" s="140">
        <f>VLOOKUP(E86,Материалы!E62:H67,4,FALSE)</f>
        <v/>
      </c>
      <c r="K86" s="140">
        <f>G86*J86</f>
        <v/>
      </c>
      <c r="L86" s="10">
        <f>VLOOKUP(E86,Материалы!E62:I67,5,FALSE)</f>
        <v/>
      </c>
      <c r="M86" s="10">
        <f>G86*L86</f>
        <v/>
      </c>
    </row>
    <row r="87">
      <c r="C87" s="10" t="n"/>
      <c r="D87" s="3" t="n"/>
      <c r="E87" s="3" t="n"/>
      <c r="F87" s="10" t="n"/>
      <c r="G87" s="10" t="n"/>
      <c r="H87" s="10" t="n"/>
      <c r="I87" s="10" t="n"/>
      <c r="J87" s="10" t="n"/>
      <c r="K87" s="10" t="n"/>
      <c r="L87" s="10" t="n"/>
      <c r="M87" s="10" t="n"/>
    </row>
    <row r="88">
      <c r="B88" s="1">
        <f>IF(OR(Расчет!E65="Ф100",Расчет!E65="Ф130",Расчет!E65="Ф160"),1,0)</f>
        <v/>
      </c>
      <c r="C88" s="10">
        <f>IF(OR(Расчет!E65="Ф100",Расчет!E65="Ф130",Расчет!E65="Ф160"),0,1)</f>
        <v/>
      </c>
      <c r="D88" s="81" t="inlineStr">
        <is>
          <t>Общие для всех</t>
        </is>
      </c>
      <c r="E88" s="61" t="n"/>
      <c r="F88" s="76" t="n"/>
      <c r="G88" s="76" t="n"/>
      <c r="H88" s="76" t="n"/>
      <c r="I88" s="76" t="n"/>
      <c r="J88" s="76" t="n"/>
      <c r="K88" s="76" t="n"/>
      <c r="L88" s="76" t="n"/>
      <c r="M88" s="76" t="n"/>
      <c r="N88" s="35" t="n"/>
    </row>
    <row r="89">
      <c r="C89" s="3" t="n"/>
      <c r="D89" s="3" t="inlineStr">
        <is>
          <t>Автоматический выключатель</t>
        </is>
      </c>
      <c r="E89" s="3">
        <f>Материалы!E39</f>
        <v/>
      </c>
      <c r="F89" s="10">
        <f>Материалы!D39</f>
        <v/>
      </c>
      <c r="G89" s="10">
        <f>H89+I89</f>
        <v/>
      </c>
      <c r="H89" s="10">
        <f>1*$B$88</f>
        <v/>
      </c>
      <c r="I89" s="10">
        <f>1*$C$88</f>
        <v/>
      </c>
      <c r="J89" s="140">
        <f>Материалы!H39</f>
        <v/>
      </c>
      <c r="K89" s="140">
        <f>G89*J89</f>
        <v/>
      </c>
      <c r="L89" s="10">
        <f>VLOOKUP(E89,Материалы!E39:I40,5,FALSE)</f>
        <v/>
      </c>
      <c r="M89" s="10">
        <f>G89*L89</f>
        <v/>
      </c>
    </row>
    <row r="90">
      <c r="C90" s="132" t="inlineStr">
        <is>
          <t>не будет</t>
        </is>
      </c>
      <c r="D90" s="132" t="inlineStr">
        <is>
          <t>Индикатор СЕТЬ (желтый)</t>
        </is>
      </c>
      <c r="E90" s="132">
        <f>Материалы!E84</f>
        <v/>
      </c>
      <c r="F90" s="133">
        <f>Материалы!D84</f>
        <v/>
      </c>
      <c r="G90" s="10">
        <f>H90+I90</f>
        <v/>
      </c>
      <c r="H90" s="133" t="n"/>
      <c r="I90" s="133" t="n"/>
      <c r="J90" s="142">
        <f>Материалы!H84</f>
        <v/>
      </c>
      <c r="K90" s="142">
        <f>G90*J90</f>
        <v/>
      </c>
      <c r="L90" s="10" t="n"/>
      <c r="M90" s="10" t="n"/>
    </row>
    <row r="91">
      <c r="B91" s="195" t="inlineStr">
        <is>
          <t>мет</t>
        </is>
      </c>
      <c r="C91" s="60">
        <f>Расчет!E63</f>
        <v/>
      </c>
      <c r="D91" s="195" t="inlineStr">
        <is>
          <t>Индикатор ПУСК (зеленый)</t>
        </is>
      </c>
      <c r="E91" s="195">
        <f>Материалы!E85</f>
        <v/>
      </c>
      <c r="F91" s="60">
        <f>Материалы!D85</f>
        <v/>
      </c>
      <c r="G91" s="10">
        <f>H91+I91</f>
        <v/>
      </c>
      <c r="H91" s="60">
        <f>1*$B$88*C91</f>
        <v/>
      </c>
      <c r="I91" s="60">
        <f>1*$C$88*C91</f>
        <v/>
      </c>
      <c r="J91" s="196">
        <f>Материалы!H85</f>
        <v/>
      </c>
      <c r="K91" s="196">
        <f>G91*J91</f>
        <v/>
      </c>
      <c r="L91" s="60">
        <f>VLOOKUP(E91,Материалы!E84:I89,5,FALSE)</f>
        <v/>
      </c>
      <c r="M91" s="60">
        <f>G91*L91</f>
        <v/>
      </c>
      <c r="N91" s="277" t="n"/>
    </row>
    <row r="92">
      <c r="B92" s="195" t="inlineStr">
        <is>
          <t>1да</t>
        </is>
      </c>
      <c r="C92" s="60">
        <f>Расчет!E63</f>
        <v/>
      </c>
      <c r="D92" s="195" t="inlineStr">
        <is>
          <t>Индикатор АВАРИЯ (красный)</t>
        </is>
      </c>
      <c r="E92" s="195">
        <f>Материалы!E86</f>
        <v/>
      </c>
      <c r="F92" s="60">
        <f>Материалы!D86</f>
        <v/>
      </c>
      <c r="G92" s="10">
        <f>H92+I92</f>
        <v/>
      </c>
      <c r="H92" s="60">
        <f>0*$B$88*C92</f>
        <v/>
      </c>
      <c r="I92" s="60">
        <f>1*$C$88*C92</f>
        <v/>
      </c>
      <c r="J92" s="196">
        <f>Материалы!H86</f>
        <v/>
      </c>
      <c r="K92" s="196">
        <f>G92*J92</f>
        <v/>
      </c>
      <c r="L92" s="60">
        <f>VLOOKUP(E92,Материалы!E84:I89,5,FALSE)</f>
        <v/>
      </c>
      <c r="M92" s="60">
        <f>G92*L92</f>
        <v/>
      </c>
      <c r="N92" s="277" t="n"/>
    </row>
    <row r="93">
      <c r="C93" s="10" t="n"/>
      <c r="D93" s="3" t="inlineStr">
        <is>
          <t>Реле промеж., 4пер.конт</t>
        </is>
      </c>
      <c r="E93" s="3">
        <f>Материалы!E57</f>
        <v/>
      </c>
      <c r="F93" s="10">
        <f>Материалы!D57</f>
        <v/>
      </c>
      <c r="G93" s="10">
        <f>H93+I93</f>
        <v/>
      </c>
      <c r="H93" s="10">
        <f>0*$B$88</f>
        <v/>
      </c>
      <c r="I93" s="10">
        <f>2*$C$88</f>
        <v/>
      </c>
      <c r="J93" s="140">
        <f>Материалы!H57</f>
        <v/>
      </c>
      <c r="K93" s="140">
        <f>G93*J93</f>
        <v/>
      </c>
      <c r="L93" s="10">
        <f>VLOOKUP(E93,Материалы!E57:I59,5,FALSE)</f>
        <v/>
      </c>
      <c r="M93" s="10">
        <f>G93*L93</f>
        <v/>
      </c>
    </row>
    <row r="94">
      <c r="C94" s="10" t="n"/>
      <c r="D94" s="3" t="inlineStr">
        <is>
          <t xml:space="preserve">Клемма </t>
        </is>
      </c>
      <c r="E94" s="3">
        <f>Материалы!E62</f>
        <v/>
      </c>
      <c r="F94" s="10">
        <f>Материалы!D62</f>
        <v/>
      </c>
      <c r="G94" s="10">
        <f>H94+I94</f>
        <v/>
      </c>
      <c r="H94" s="10">
        <f>5*$B$88</f>
        <v/>
      </c>
      <c r="I94" s="10">
        <f>5*$C$88</f>
        <v/>
      </c>
      <c r="J94" s="140">
        <f>VLOOKUP(E94,Материалы!E62:H67,4,FALSE)</f>
        <v/>
      </c>
      <c r="K94" s="140">
        <f>G94*J94</f>
        <v/>
      </c>
      <c r="L94" s="10">
        <f>VLOOKUP(E94,Материалы!E62:I67,5,FALSE)</f>
        <v/>
      </c>
      <c r="M94" s="10">
        <f>G94*L94</f>
        <v/>
      </c>
    </row>
    <row r="95">
      <c r="C95" s="23" t="n"/>
      <c r="D95" s="9" t="inlineStr">
        <is>
          <t>Концевой стопор</t>
        </is>
      </c>
      <c r="E95" s="209">
        <f>Материалы!E80</f>
        <v/>
      </c>
      <c r="F95" s="23">
        <f>Материалы!D80</f>
        <v/>
      </c>
      <c r="G95" s="10">
        <f>H95+I95</f>
        <v/>
      </c>
      <c r="H95" s="23">
        <f>4*$B$88</f>
        <v/>
      </c>
      <c r="I95" s="23">
        <f>4*$C$88</f>
        <v/>
      </c>
      <c r="J95" s="210">
        <f>Материалы!H80</f>
        <v/>
      </c>
      <c r="K95" s="210">
        <f>G95*J95</f>
        <v/>
      </c>
      <c r="L95" s="23">
        <f>VLOOKUP(E94,Материалы!E62:I80,5,FALSE)</f>
        <v/>
      </c>
      <c r="M95" s="23">
        <f>G95*L95</f>
        <v/>
      </c>
    </row>
    <row r="96">
      <c r="B96" s="198" t="inlineStr">
        <is>
          <t>пласт</t>
        </is>
      </c>
      <c r="C96" s="197">
        <f>Расчет!E62</f>
        <v/>
      </c>
      <c r="D96" s="198" t="inlineStr">
        <is>
          <t>Лампа модульная</t>
        </is>
      </c>
      <c r="E96" s="200" t="inlineStr">
        <is>
          <t>желтый,красный</t>
        </is>
      </c>
      <c r="F96" s="197" t="inlineStr">
        <is>
          <t>ПУСК_1NO_1NC</t>
        </is>
      </c>
      <c r="G96" s="10">
        <f>H96+I96</f>
        <v/>
      </c>
      <c r="H96" s="197">
        <f>1*C96*B88</f>
        <v/>
      </c>
      <c r="I96" s="197">
        <f>2*C96*C88</f>
        <v/>
      </c>
      <c r="J96" s="199">
        <f>Материалы!H91</f>
        <v/>
      </c>
      <c r="K96" s="199">
        <f>G96*J96</f>
        <v/>
      </c>
      <c r="L96" s="197" t="n"/>
      <c r="M96" s="197" t="n"/>
      <c r="N96" s="278" t="n"/>
      <c r="O96" s="211">
        <f>SUM(K89:K96)</f>
        <v/>
      </c>
    </row>
    <row r="97">
      <c r="B97" s="198" t="inlineStr">
        <is>
          <t>1да</t>
        </is>
      </c>
      <c r="C97" s="198" t="n"/>
      <c r="D97" s="198" t="n"/>
      <c r="E97" s="198" t="n"/>
      <c r="F97" s="197" t="n"/>
      <c r="G97" s="197" t="n"/>
      <c r="H97" s="197" t="n"/>
      <c r="I97" s="197" t="n"/>
      <c r="J97" s="197" t="n"/>
      <c r="K97" s="197" t="n"/>
      <c r="L97" s="197" t="n"/>
      <c r="M97" s="197" t="n"/>
      <c r="N97" s="278" t="n"/>
    </row>
    <row r="98">
      <c r="C98" s="3" t="n"/>
      <c r="D98" s="81" t="inlineStr">
        <is>
          <t>Дополнительная комплектация</t>
        </is>
      </c>
      <c r="E98" s="61" t="n"/>
      <c r="F98" s="76" t="n"/>
      <c r="G98" s="76" t="n"/>
      <c r="H98" s="76" t="n"/>
      <c r="I98" s="76" t="n"/>
      <c r="J98" s="141" t="n"/>
      <c r="K98" s="141" t="n"/>
      <c r="L98" s="76" t="n"/>
      <c r="M98" s="76" t="n"/>
      <c r="N98" s="35" t="n"/>
    </row>
    <row r="99">
      <c r="C99" s="3" t="n"/>
      <c r="D99" s="3" t="inlineStr">
        <is>
          <t>Код комплектации</t>
        </is>
      </c>
      <c r="E99" s="3">
        <f>Расчет!E76</f>
        <v/>
      </c>
      <c r="F99" s="10" t="n"/>
      <c r="G99" s="10" t="n">
        <v>1</v>
      </c>
      <c r="H99" s="10" t="n"/>
      <c r="I99" s="10" t="n"/>
      <c r="J99" s="140">
        <f>IFERROR(Расчет!AN63,0)</f>
        <v/>
      </c>
      <c r="K99" s="140">
        <f>G99*J99</f>
        <v/>
      </c>
      <c r="L99" s="10" t="n"/>
      <c r="M99" s="10" t="n"/>
    </row>
    <row r="104">
      <c r="E104" s="104" t="n"/>
      <c r="J104" s="139" t="n"/>
      <c r="K104" s="139" t="n"/>
    </row>
    <row r="105">
      <c r="E105" s="104" t="n"/>
      <c r="J105" s="139" t="n"/>
      <c r="K105" s="139" t="n"/>
    </row>
    <row r="106">
      <c r="E106" s="104" t="n"/>
      <c r="J106" s="139" t="n"/>
      <c r="K106" s="139" t="n"/>
    </row>
    <row r="108">
      <c r="M108" s="186" t="inlineStr">
        <is>
          <t>МАССА</t>
        </is>
      </c>
      <c r="N108" s="8" t="n"/>
    </row>
    <row r="109" ht="18.75" customHeight="1" s="552">
      <c r="D109" s="143" t="inlineStr">
        <is>
          <t>ЦЕНА</t>
        </is>
      </c>
      <c r="E109" s="144" t="n"/>
      <c r="F109" s="145" t="n"/>
      <c r="G109" s="145" t="n"/>
      <c r="H109" s="145" t="n"/>
      <c r="I109" s="145" t="n"/>
      <c r="J109" s="145" t="n"/>
      <c r="K109" s="150">
        <f>SUM(K7:K97)</f>
        <v/>
      </c>
      <c r="M109" s="150">
        <f>SUM(M9:M108)</f>
        <v/>
      </c>
      <c r="N109" s="279" t="n"/>
    </row>
    <row r="110" ht="18.75" customHeight="1" s="552">
      <c r="D110" s="146" t="inlineStr">
        <is>
          <t>ЦЕНА с учетом условий</t>
        </is>
      </c>
      <c r="E110" s="147" t="n"/>
      <c r="F110" s="148" t="n"/>
      <c r="G110" s="148" t="n"/>
      <c r="H110" s="423" t="n"/>
      <c r="I110" s="423" t="n"/>
      <c r="K110" s="149">
        <f>IF(AND(Расчет!D1=1,Расчет!B31=1,OR(0.25&gt;Главная!I19,Главная!I19&gt;4.9)),"Проверьте значения",K109)</f>
        <v/>
      </c>
    </row>
    <row r="111" ht="18.75" customHeight="1" s="552">
      <c r="D111" s="146" t="inlineStr">
        <is>
          <t>Статус, если шкаф пластик не в размере</t>
        </is>
      </c>
      <c r="E111" s="147" t="n"/>
      <c r="F111" s="148" t="n"/>
      <c r="G111" s="148" t="n"/>
      <c r="H111" s="148" t="n"/>
      <c r="I111" s="148" t="n"/>
      <c r="J111" s="148" t="n"/>
      <c r="K111" s="148">
        <f>IF(AND(Расчет!E61="П",OR(F17="-",F28="-",F39="-")),0,1)</f>
        <v/>
      </c>
    </row>
    <row r="112">
      <c r="Q112" s="79" t="inlineStr">
        <is>
          <t>рф</t>
        </is>
      </c>
      <c r="R112" s="79" t="inlineStr">
        <is>
          <t>рб</t>
        </is>
      </c>
    </row>
    <row r="113" ht="18.75" customHeight="1" s="552">
      <c r="D113" s="152" t="inlineStr">
        <is>
          <t>Стоимость материалов,руб РБ, без НДС</t>
        </is>
      </c>
      <c r="E113" s="153" t="n"/>
      <c r="F113" s="154" t="n"/>
      <c r="G113" s="154" t="n"/>
      <c r="H113" s="154" t="n"/>
      <c r="I113" s="154" t="n"/>
      <c r="J113" s="155" t="n"/>
      <c r="K113" s="150">
        <f>K110</f>
        <v/>
      </c>
      <c r="M113" s="467" t="inlineStr">
        <is>
          <t>Коэффициент</t>
        </is>
      </c>
      <c r="Q113" s="79" t="n">
        <v>100</v>
      </c>
      <c r="R113" s="79" t="n">
        <v>4</v>
      </c>
    </row>
    <row r="114" ht="18.75" customHeight="1" s="552">
      <c r="D114" s="156" t="inlineStr">
        <is>
          <t>Коэффициент для материалов</t>
        </is>
      </c>
      <c r="E114" s="157" t="n"/>
      <c r="F114" s="158" t="n"/>
      <c r="G114" s="158" t="n"/>
      <c r="H114" s="158" t="n"/>
      <c r="I114" s="158" t="n"/>
      <c r="J114" s="159" t="n"/>
      <c r="K114" s="151">
        <f>M117</f>
        <v/>
      </c>
      <c r="M114" s="10" t="n">
        <v>1.53</v>
      </c>
      <c r="N114" s="3" t="inlineStr">
        <is>
          <t>амортизация</t>
        </is>
      </c>
      <c r="Q114" s="79">
        <f>Q113*R114/R113</f>
        <v/>
      </c>
      <c r="R114" s="79" t="n">
        <v>1</v>
      </c>
    </row>
    <row r="115" ht="18.75" customHeight="1" s="552">
      <c r="D115" s="341" t="inlineStr">
        <is>
          <t>Стоимость комплектующих с коэфф., руб РБ, без НДС</t>
        </is>
      </c>
      <c r="E115" s="342" t="n"/>
      <c r="F115" s="343" t="n"/>
      <c r="G115" s="343" t="n"/>
      <c r="H115" s="343" t="n"/>
      <c r="I115" s="343" t="n"/>
      <c r="J115" s="344" t="n"/>
      <c r="K115" s="351">
        <f>K113*K114</f>
        <v/>
      </c>
      <c r="M115" s="10" t="n">
        <v>1.15</v>
      </c>
      <c r="N115" s="3" t="inlineStr">
        <is>
          <t>рентабельность</t>
        </is>
      </c>
      <c r="Q115" s="79">
        <f>Q113*R115/R113</f>
        <v/>
      </c>
      <c r="R115" s="239">
        <f>K119</f>
        <v/>
      </c>
    </row>
    <row r="116" ht="18.75" customHeight="1" s="552">
      <c r="D116" s="327" t="inlineStr">
        <is>
          <t>Стоимость доп. комплектции, руб РБ, без НДС</t>
        </is>
      </c>
      <c r="E116" s="328" t="n"/>
      <c r="F116" s="329" t="n"/>
      <c r="G116" s="329" t="n"/>
      <c r="H116" s="329" t="n"/>
      <c r="I116" s="329" t="n"/>
      <c r="J116" s="330" t="n"/>
      <c r="K116" s="331">
        <f>K99</f>
        <v/>
      </c>
      <c r="M116" s="10" t="n">
        <v>0.65</v>
      </c>
      <c r="N116" s="3" t="inlineStr">
        <is>
          <t>наценка филиала</t>
        </is>
      </c>
    </row>
    <row r="117" ht="18.75" customHeight="1" s="552">
      <c r="D117" s="332" t="inlineStr">
        <is>
          <t>Коэффициент для доп. комплектации</t>
        </is>
      </c>
      <c r="E117" s="333" t="n"/>
      <c r="F117" s="334" t="n"/>
      <c r="G117" s="334" t="n"/>
      <c r="H117" s="334" t="n"/>
      <c r="I117" s="334" t="n"/>
      <c r="J117" s="335" t="n"/>
      <c r="K117" s="336">
        <f>F3</f>
        <v/>
      </c>
      <c r="M117" s="466">
        <f>M114*M115/M116</f>
        <v/>
      </c>
      <c r="N117" s="466" t="inlineStr">
        <is>
          <t>ИТОГО</t>
        </is>
      </c>
    </row>
    <row r="118" ht="18.75" customHeight="1" s="552">
      <c r="D118" s="345" t="inlineStr">
        <is>
          <t>Стоимость доп. комплектации с коэфф. 2,0, руб РБ, без НДС</t>
        </is>
      </c>
      <c r="E118" s="346" t="n"/>
      <c r="F118" s="347" t="n"/>
      <c r="G118" s="347" t="n"/>
      <c r="H118" s="347" t="n"/>
      <c r="I118" s="347" t="n"/>
      <c r="J118" s="348" t="n"/>
      <c r="K118" s="352">
        <f>K116*K117</f>
        <v/>
      </c>
    </row>
    <row r="119" ht="18.75" customHeight="1" s="552">
      <c r="D119" s="337" t="inlineStr">
        <is>
          <t>Стоимость материалов и доп. комплектации с учетом коэффициентов</t>
        </is>
      </c>
      <c r="E119" s="338" t="n"/>
      <c r="F119" s="339" t="n"/>
      <c r="G119" s="339" t="n"/>
      <c r="H119" s="339" t="n"/>
      <c r="I119" s="339" t="n"/>
      <c r="J119" s="340" t="n"/>
      <c r="K119" s="353">
        <f>K115+K118</f>
        <v/>
      </c>
    </row>
    <row r="120" ht="18.75" customHeight="1" s="552">
      <c r="D120" s="363" t="inlineStr">
        <is>
          <t>Статус, если ошибка (см. РАСЧЕТ)</t>
        </is>
      </c>
      <c r="E120" s="364" t="n"/>
      <c r="F120" s="365" t="n"/>
      <c r="G120" s="365" t="n"/>
      <c r="H120" s="365" t="n"/>
      <c r="I120" s="365" t="n"/>
      <c r="J120" s="365" t="n"/>
      <c r="K120" s="365">
        <f>Расчет!J140</f>
        <v/>
      </c>
    </row>
    <row r="121" ht="18.75" customHeight="1" s="552">
      <c r="D121" s="359" t="inlineStr">
        <is>
          <t>Стоимость материалов и доп. комплектации с учетом коэффициентов и СТАТУСА</t>
        </is>
      </c>
      <c r="E121" s="360" t="n"/>
      <c r="F121" s="361" t="n"/>
      <c r="G121" s="361" t="n"/>
      <c r="H121" s="361" t="n"/>
      <c r="I121" s="361" t="n"/>
      <c r="J121" s="362" t="n"/>
      <c r="K121" s="366">
        <f>K119*K120</f>
        <v/>
      </c>
    </row>
    <row r="122" ht="18.75" customHeight="1" s="552">
      <c r="D122" s="156" t="inlineStr">
        <is>
          <t>Курс руб РФ</t>
        </is>
      </c>
      <c r="E122" s="157" t="n"/>
      <c r="F122" s="158" t="n"/>
      <c r="G122" s="158" t="n"/>
      <c r="H122" s="158" t="n"/>
      <c r="I122" s="158" t="n"/>
      <c r="J122" s="159" t="n"/>
      <c r="K122" s="151">
        <f>F1</f>
        <v/>
      </c>
    </row>
    <row r="123" ht="18.75" customHeight="1" s="552">
      <c r="D123" s="160" t="inlineStr">
        <is>
          <t>ИТОГО СТОИМОСТЬ руб РФ без НДС</t>
        </is>
      </c>
      <c r="E123" s="161" t="n"/>
      <c r="F123" s="162" t="n"/>
      <c r="G123" s="162" t="n"/>
      <c r="H123" s="162" t="n"/>
      <c r="I123" s="162" t="n"/>
      <c r="J123" s="163" t="n"/>
      <c r="K123" s="354">
        <f>K121*K122</f>
        <v/>
      </c>
    </row>
    <row r="125" ht="21" customHeight="1" s="552">
      <c r="D125" s="460" t="inlineStr">
        <is>
          <t>ИТОГО СТОИМОСТЬ руб РФ без НДС округление</t>
        </is>
      </c>
      <c r="E125" s="453" t="n"/>
      <c r="F125" s="454" t="n"/>
      <c r="G125" s="454" t="n"/>
      <c r="H125" s="454" t="n"/>
      <c r="I125" s="454" t="n"/>
      <c r="J125" s="455" t="n"/>
      <c r="K125" s="459">
        <f>CEILING(K123,5)</f>
        <v/>
      </c>
    </row>
    <row r="126" ht="21" customHeight="1" s="552">
      <c r="D126" s="460" t="inlineStr">
        <is>
          <t>НДС 20%</t>
        </is>
      </c>
      <c r="K126" s="468" t="n">
        <v>1.2</v>
      </c>
    </row>
    <row r="127" ht="21" customHeight="1" s="552">
      <c r="D127" s="461" t="inlineStr">
        <is>
          <t>ИТОГО СТОИМОСТЬ руб РФ c НДС округление</t>
        </is>
      </c>
      <c r="E127" s="456" t="n"/>
      <c r="F127" s="457" t="n"/>
      <c r="G127" s="457" t="n"/>
      <c r="H127" s="457" t="n"/>
      <c r="I127" s="457" t="n"/>
      <c r="J127" s="458" t="n"/>
      <c r="K127" s="462">
        <f>K125*K126</f>
        <v/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 codeName="Лист6">
    <outlinePr summaryBelow="1" summaryRight="1"/>
    <pageSetUpPr/>
  </sheetPr>
  <dimension ref="B2:Q90"/>
  <sheetViews>
    <sheetView zoomScale="70" zoomScaleNormal="70" workbookViewId="0">
      <selection activeCell="U97" sqref="U97"/>
    </sheetView>
  </sheetViews>
  <sheetFormatPr baseColWidth="8" defaultRowHeight="15"/>
  <cols>
    <col width="35.42578125" bestFit="1" customWidth="1" style="552" min="3" max="3"/>
    <col width="29.140625" customWidth="1" style="1" min="4" max="4"/>
    <col width="18.42578125" customWidth="1" style="1" min="5" max="5"/>
    <col width="17.140625" bestFit="1" customWidth="1" style="1" min="6" max="6"/>
    <col width="16.140625" customWidth="1" style="552" min="7" max="7"/>
    <col width="11.140625" bestFit="1" customWidth="1" style="552" min="8" max="8"/>
    <col width="12.140625" bestFit="1" customWidth="1" style="1" min="9" max="9"/>
    <col width="21.85546875" bestFit="1" customWidth="1" style="104" min="11" max="11"/>
    <col width="22.140625" customWidth="1" style="1" min="12" max="12"/>
    <col width="19.7109375" customWidth="1" style="1" min="13" max="13"/>
    <col width="12.85546875" bestFit="1" customWidth="1" style="1" min="14" max="14"/>
    <col width="12.28515625" bestFit="1" customWidth="1" style="1" min="15" max="15"/>
    <col width="17.85546875" bestFit="1" customWidth="1" style="552" min="16" max="16"/>
  </cols>
  <sheetData>
    <row r="1" ht="15.75" customHeight="1" s="552" thickBot="1"/>
    <row r="2" ht="16.5" customHeight="1" s="552" thickBot="1">
      <c r="B2" s="106" t="inlineStr">
        <is>
          <t>Позиция</t>
        </is>
      </c>
      <c r="C2" s="106" t="inlineStr">
        <is>
          <t>Наименование</t>
        </is>
      </c>
      <c r="D2" s="106" t="inlineStr">
        <is>
          <t>Характеристика</t>
        </is>
      </c>
      <c r="E2" s="106" t="inlineStr">
        <is>
          <t>Заказной номер</t>
        </is>
      </c>
      <c r="F2" s="106" t="inlineStr">
        <is>
          <t>Количество</t>
        </is>
      </c>
      <c r="G2" s="106" t="inlineStr">
        <is>
          <t>Цена, бел.руб</t>
        </is>
      </c>
      <c r="H2" s="106" t="inlineStr">
        <is>
          <t>Курс евро</t>
        </is>
      </c>
      <c r="I2" s="106" t="inlineStr">
        <is>
          <t>Цена, евро</t>
        </is>
      </c>
      <c r="K2" s="105" t="inlineStr">
        <is>
          <t>Наименование</t>
        </is>
      </c>
      <c r="L2" s="106" t="inlineStr">
        <is>
          <t>Характеристика</t>
        </is>
      </c>
      <c r="M2" s="106" t="inlineStr">
        <is>
          <t>Заказной номер</t>
        </is>
      </c>
      <c r="N2" s="106" t="inlineStr">
        <is>
          <t>Количество</t>
        </is>
      </c>
      <c r="O2" s="165" t="inlineStr">
        <is>
          <t>Цена, евро</t>
        </is>
      </c>
      <c r="P2" s="165" t="inlineStr">
        <is>
          <t>Стоимость, евро</t>
        </is>
      </c>
    </row>
    <row r="3" ht="15.75" customHeight="1" s="552">
      <c r="B3" s="110" t="n"/>
      <c r="C3" s="111">
        <f>Материалы!C5</f>
        <v/>
      </c>
      <c r="D3" s="112">
        <f>Материалы!D5</f>
        <v/>
      </c>
      <c r="E3" s="112">
        <f>Материалы!E5</f>
        <v/>
      </c>
      <c r="F3" s="112">
        <f>IFERROR(VLOOKUP(E3,Цена!$E$9:$G$17,3,FALSE),0)+IFERROR(VLOOKUP(E3,Цена!$E$20:$G$28,3,FALSE),0)+IFERROR(VLOOKUP(E3,Цена!$E$31:$G$39,3,FALSE),0)+IFERROR(VLOOKUP(E3,Цена!$E$43:$G$51,3,FALSE),0)</f>
        <v/>
      </c>
      <c r="G3" s="113" t="n"/>
      <c r="H3" s="113" t="n"/>
      <c r="I3" s="164">
        <f>Материалы!H5</f>
        <v/>
      </c>
      <c r="K3" s="107">
        <f t="array" ref="K3">IFERROR(INDEX(Общее!$C$3:$C$92,SMALL(IF(0&lt;&gt;Общее!$F$3:$F$92,ROW(Общее!$F$3:$F$92),""),ROW()-ROW(Общее!$F$2))-ROW(Общее!$F$2)),"")</f>
        <v/>
      </c>
      <c r="L3" s="58">
        <f t="array" ref="L3">INDEX(D3:D92,SMALL(IF(0&lt;&gt;F3:F92,ROW(F3:F92),""),ROW()-ROW($F$2))-ROW($F$2))</f>
        <v/>
      </c>
      <c r="M3" s="58">
        <f t="array" ref="M3">IFERROR(INDEX(Общее!$E$3:$E$92,SMALL(IF(0&lt;&gt;Общее!$F$3:$F$92,ROW(Общее!$F$3:$F$92),""),ROW()-ROW(Общее!$F$2))-ROW(Общее!$F$2)),"")</f>
        <v/>
      </c>
      <c r="N3" s="58">
        <f t="array" ref="N3">IFERROR(INDEX(Общее!$F$3:$F$92,SMALL(IF(0&lt;&gt;Общее!$F$3:$F$92,ROW(Общее!$F$3:$F$92),""),ROW()-ROW(Общее!$F$2))-ROW(Общее!$F$2)),"")</f>
        <v/>
      </c>
      <c r="O3" s="134">
        <f t="array" ref="O3">IFERROR(INDEX(Общее!$I3:$I92,SMALL(IF(0&lt;&gt;Общее!$F$3:$F$92,ROW(Общее!$F$3:$F$92),""),ROW()-ROW(Общее!$F$2))-ROW(Общее!$F$2)),"")</f>
        <v/>
      </c>
      <c r="P3" s="167">
        <f>IFERROR(N3*O3,0)</f>
        <v/>
      </c>
      <c r="Q3" t="n">
        <v>1</v>
      </c>
    </row>
    <row r="4" ht="15.75" customHeight="1" s="552">
      <c r="B4" s="67" t="n"/>
      <c r="C4" s="70">
        <f>Материалы!C6</f>
        <v/>
      </c>
      <c r="D4" s="10">
        <f>Материалы!D6</f>
        <v/>
      </c>
      <c r="E4" s="10">
        <f>Материалы!E6</f>
        <v/>
      </c>
      <c r="F4" s="58">
        <f>IFERROR(VLOOKUP(E4,Цена!$E$9:$G$17,3,FALSE),0)+IFERROR(VLOOKUP(E4,Цена!$E$20:$G$28,3,FALSE),0)+IFERROR(VLOOKUP(E4,Цена!$E$31:$G$39,3,FALSE),0)+IFERROR(VLOOKUP(E4,Цена!$E$43:$G$51,3,FALSE),0)</f>
        <v/>
      </c>
      <c r="G4" s="68" t="n"/>
      <c r="H4" s="68" t="n"/>
      <c r="I4" s="134">
        <f>Материалы!H6</f>
        <v/>
      </c>
      <c r="K4" s="108">
        <f t="array" ref="K4">IFERROR(INDEX(Общее!$C$3:$C$92,SMALL(IF(0&lt;&gt;Общее!$F$3:$F$92,ROW(Общее!$F$3:$F$92),""),ROW()-ROW(Общее!$F$2))-ROW(Общее!$F$2)),"")</f>
        <v/>
      </c>
      <c r="L4" s="10">
        <f t="array" ref="L4">INDEX(D3:D92,SMALL(IF(0&lt;&gt;F3:F92,ROW(F3:F92),""),ROW()-ROW($F$2))-ROW($F$2))</f>
        <v/>
      </c>
      <c r="M4" s="10">
        <f t="array" ref="M4">IFERROR(INDEX(Общее!$E$3:$E$92,SMALL(IF(0&lt;&gt;Общее!$F$3:$F$92,ROW(Общее!$F$3:$F$92),""),ROW()-ROW(Общее!$F$2))-ROW(Общее!$F$2)),"")</f>
        <v/>
      </c>
      <c r="N4" s="10">
        <f t="array" ref="N4">IFERROR(INDEX(Общее!$F$3:$F$92,SMALL(IF(0&lt;&gt;Общее!$F$3:$F$92,ROW(Общее!$F$3:$F$92),""),ROW()-ROW(Общее!$F$2))-ROW(Общее!$F$2)),"")</f>
        <v/>
      </c>
      <c r="O4" s="140">
        <f t="array" ref="O4">IFERROR(INDEX(Общее!$I3:$I92,SMALL(IF(0&lt;&gt;Общее!$F$3:$F$92,ROW(Общее!$F$3:$F$92),""),ROW()-ROW(Общее!$F$2))-ROW(Общее!$F$2)),"")</f>
        <v/>
      </c>
      <c r="P4" s="168">
        <f>IFERROR(N4*O4,0)</f>
        <v/>
      </c>
      <c r="Q4" t="n">
        <v>2</v>
      </c>
    </row>
    <row r="5">
      <c r="B5" s="3" t="inlineStr">
        <is>
          <t>QF1</t>
        </is>
      </c>
      <c r="C5" s="70">
        <f>Материалы!C7</f>
        <v/>
      </c>
      <c r="D5" s="10">
        <f>Материалы!D7</f>
        <v/>
      </c>
      <c r="E5" s="10">
        <f>Материалы!E7</f>
        <v/>
      </c>
      <c r="F5" s="58">
        <f>IFERROR(VLOOKUP(E5,Цена!$E$9:$G$17,3,FALSE),0)+IFERROR(VLOOKUP(E5,Цена!$E$20:$G$28,3,FALSE),0)+IFERROR(VLOOKUP(E5,Цена!$E$31:$G$39,3,FALSE),0)+IFERROR(VLOOKUP(E5,Цена!$E$43:$G$51,3,FALSE),0)</f>
        <v/>
      </c>
      <c r="G5" s="69" t="n"/>
      <c r="H5" s="3" t="n"/>
      <c r="I5" s="134">
        <f>Материалы!H7</f>
        <v/>
      </c>
      <c r="K5" s="108">
        <f t="array" ref="K5">IFERROR(INDEX(Общее!$C$3:$C$92,SMALL(IF(0&lt;&gt;Общее!$F$3:$F$92,ROW(Общее!$F$3:$F$92),""),ROW()-ROW(Общее!$F$2))-ROW(Общее!$F$2)),"")</f>
        <v/>
      </c>
      <c r="L5" s="10">
        <f t="array" ref="L5">INDEX(D3:D92,SMALL(IF(0&lt;&gt;F3:F92,ROW(F3:F92),""),ROW()-ROW($F$2))-ROW($F$2))</f>
        <v/>
      </c>
      <c r="M5" s="10">
        <f t="array" ref="M5">IFERROR(INDEX(Общее!$E$3:$E$92,SMALL(IF(0&lt;&gt;Общее!$F$3:$F$92,ROW(Общее!$F$3:$F$92),""),ROW()-ROW(Общее!$F$2))-ROW(Общее!$F$2)),"")</f>
        <v/>
      </c>
      <c r="N5" s="10">
        <f t="array" ref="N5">IFERROR(INDEX(Общее!$F$3:$F$92,SMALL(IF(0&lt;&gt;Общее!$F$3:$F$92,ROW(Общее!$F$3:$F$92),""),ROW()-ROW(Общее!$F$2))-ROW(Общее!$F$2)),"")</f>
        <v/>
      </c>
      <c r="O5" s="140">
        <f t="array" ref="O5">IFERROR(INDEX(Общее!$I3:$I92,SMALL(IF(0&lt;&gt;Общее!$F$3:$F$92,ROW(Общее!$F$3:$F$92),""),ROW()-ROW(Общее!$F$2))-ROW(Общее!$F$2)),"")</f>
        <v/>
      </c>
      <c r="P5" s="168">
        <f>IFERROR(N5*O5,0)</f>
        <v/>
      </c>
      <c r="Q5" t="n">
        <v>3</v>
      </c>
    </row>
    <row r="6">
      <c r="B6" s="3" t="n"/>
      <c r="C6" s="70">
        <f>Материалы!C8</f>
        <v/>
      </c>
      <c r="D6" s="10">
        <f>Материалы!D8</f>
        <v/>
      </c>
      <c r="E6" s="10">
        <f>Материалы!E8</f>
        <v/>
      </c>
      <c r="F6" s="58">
        <f>IFERROR(VLOOKUP(E6,Цена!$E$9:$G$17,3,FALSE),0)+IFERROR(VLOOKUP(E6,Цена!$E$20:$G$28,3,FALSE),0)+IFERROR(VLOOKUP(E6,Цена!$E$31:$G$39,3,FALSE),0)+IFERROR(VLOOKUP(E6,Цена!$E$43:$G$51,3,FALSE),0)</f>
        <v/>
      </c>
      <c r="G6" s="3" t="n"/>
      <c r="H6" s="3" t="n"/>
      <c r="I6" s="134">
        <f>Материалы!H8</f>
        <v/>
      </c>
      <c r="K6" s="108">
        <f t="array" ref="K6">IFERROR(INDEX(Общее!$C$3:$C$92,SMALL(IF(0&lt;&gt;Общее!$F$3:$F$92,ROW(Общее!$F$3:$F$92),""),ROW()-ROW(Общее!$F$2))-ROW(Общее!$F$2)),"")</f>
        <v/>
      </c>
      <c r="L6" s="10">
        <f t="array" ref="L6">INDEX(D3:D92,SMALL(IF(0&lt;&gt;F3:F92,ROW(F3:F92),""),ROW()-ROW($F$2))-ROW($F$2))</f>
        <v/>
      </c>
      <c r="M6" s="10">
        <f t="array" ref="M6">IFERROR(INDEX(Общее!$E$3:$E$92,SMALL(IF(0&lt;&gt;Общее!$F$3:$F$92,ROW(Общее!$F$3:$F$92),""),ROW()-ROW(Общее!$F$2))-ROW(Общее!$F$2)),"")</f>
        <v/>
      </c>
      <c r="N6" s="10">
        <f t="array" ref="N6">IFERROR(INDEX(Общее!$F$3:$F$92,SMALL(IF(0&lt;&gt;Общее!$F$3:$F$92,ROW(Общее!$F$3:$F$92),""),ROW()-ROW(Общее!$F$2))-ROW(Общее!$F$2)),"")</f>
        <v/>
      </c>
      <c r="O6" s="140">
        <f t="array" ref="O6">IFERROR(INDEX(Общее!$I3:$I92,SMALL(IF(0&lt;&gt;Общее!$F$3:$F$92,ROW(Общее!$F$3:$F$92),""),ROW()-ROW(Общее!$F$2))-ROW(Общее!$F$2)),"")</f>
        <v/>
      </c>
      <c r="P6" s="168">
        <f>IFERROR(N6*O6,0)</f>
        <v/>
      </c>
      <c r="Q6" t="n">
        <v>4</v>
      </c>
    </row>
    <row r="7">
      <c r="B7" s="3" t="n"/>
      <c r="C7" s="70">
        <f>Материалы!C9</f>
        <v/>
      </c>
      <c r="D7" s="10">
        <f>Материалы!D9</f>
        <v/>
      </c>
      <c r="E7" s="10">
        <f>Материалы!E9</f>
        <v/>
      </c>
      <c r="F7" s="58">
        <f>IFERROR(VLOOKUP(E7,Цена!$E$9:$G$17,3,FALSE),0)+IFERROR(VLOOKUP(E7,Цена!$E$20:$G$28,3,FALSE),0)+IFERROR(VLOOKUP(E7,Цена!$E$31:$G$39,3,FALSE),0)+IFERROR(VLOOKUP(E7,Цена!$E$43:$G$51,3,FALSE),0)</f>
        <v/>
      </c>
      <c r="G7" s="3" t="n"/>
      <c r="H7" s="3" t="n"/>
      <c r="I7" s="134">
        <f>Материалы!H9</f>
        <v/>
      </c>
      <c r="K7" s="108">
        <f t="array" ref="K7">IFERROR(INDEX(Общее!$C$3:$C$92,SMALL(IF(0&lt;&gt;Общее!$F$3:$F$92,ROW(Общее!$F$3:$F$92),""),ROW()-ROW(Общее!$F$2))-ROW(Общее!$F$2)),"")</f>
        <v/>
      </c>
      <c r="L7" s="10">
        <f t="array" ref="L7">INDEX(D3:D92,SMALL(IF(0&lt;&gt;F3:F92,ROW(F3:F92),""),ROW()-ROW($F$2))-ROW($F$2))</f>
        <v/>
      </c>
      <c r="M7" s="10">
        <f t="array" ref="M7">IFERROR(INDEX(Общее!$E$3:$E$92,SMALL(IF(0&lt;&gt;Общее!$F$3:$F$92,ROW(Общее!$F$3:$F$92),""),ROW()-ROW(Общее!$F$2))-ROW(Общее!$F$2)),"")</f>
        <v/>
      </c>
      <c r="N7" s="10">
        <f t="array" ref="N7">IFERROR(INDEX(Общее!$F$3:$F$92,SMALL(IF(0&lt;&gt;Общее!$F$3:$F$92,ROW(Общее!$F$3:$F$92),""),ROW()-ROW(Общее!$F$2))-ROW(Общее!$F$2)),"")</f>
        <v/>
      </c>
      <c r="O7" s="140">
        <f t="array" ref="O7">IFERROR(INDEX(Общее!$I3:$I92,SMALL(IF(0&lt;&gt;Общее!$F$3:$F$92,ROW(Общее!$F$3:$F$92),""),ROW()-ROW(Общее!$F$2))-ROW(Общее!$F$2)),"")</f>
        <v/>
      </c>
      <c r="P7" s="168">
        <f>IFERROR(N7*O7,0)</f>
        <v/>
      </c>
      <c r="Q7" t="n">
        <v>5</v>
      </c>
    </row>
    <row r="8">
      <c r="B8" s="3" t="n"/>
      <c r="C8" s="70">
        <f>Материалы!C10</f>
        <v/>
      </c>
      <c r="D8" s="10">
        <f>Материалы!D10</f>
        <v/>
      </c>
      <c r="E8" s="10">
        <f>Материалы!E10</f>
        <v/>
      </c>
      <c r="F8" s="58">
        <f>IFERROR(VLOOKUP(E8,Цена!$E$9:$G$17,3,FALSE),0)+IFERROR(VLOOKUP(E8,Цена!$E$20:$G$28,3,FALSE),0)+IFERROR(VLOOKUP(E8,Цена!$E$31:$G$39,3,FALSE),0)+IFERROR(VLOOKUP(E8,Цена!$E$43:$G$51,3,FALSE),0)</f>
        <v/>
      </c>
      <c r="G8" s="3" t="n"/>
      <c r="H8" s="3" t="n"/>
      <c r="I8" s="134">
        <f>Материалы!H10</f>
        <v/>
      </c>
      <c r="K8" s="108">
        <f t="array" ref="K8">IFERROR(INDEX(Общее!$C$3:$C$92,SMALL(IF(0&lt;&gt;Общее!$F$3:$F$92,ROW(Общее!$F$3:$F$92),""),ROW()-ROW(Общее!$F$2))-ROW(Общее!$F$2)),"")</f>
        <v/>
      </c>
      <c r="L8" s="10">
        <f t="array" ref="L8">INDEX(D3:D92,SMALL(IF(0&lt;&gt;F3:F92,ROW(F3:F92),""),ROW()-ROW($F$2))-ROW($F$2))</f>
        <v/>
      </c>
      <c r="M8" s="10">
        <f t="array" ref="M8">IFERROR(INDEX(Общее!$E$3:$E$92,SMALL(IF(0&lt;&gt;Общее!$F$3:$F$92,ROW(Общее!$F$3:$F$92),""),ROW()-ROW(Общее!$F$2))-ROW(Общее!$F$2)),"")</f>
        <v/>
      </c>
      <c r="N8" s="10">
        <f t="array" ref="N8">IFERROR(INDEX(Общее!$F$3:$F$92,SMALL(IF(0&lt;&gt;Общее!$F$3:$F$92,ROW(Общее!$F$3:$F$92),""),ROW()-ROW(Общее!$F$2))-ROW(Общее!$F$2)),"")</f>
        <v/>
      </c>
      <c r="O8" s="140">
        <f t="array" ref="O8">IFERROR(INDEX(Общее!$I3:$I92,SMALL(IF(0&lt;&gt;Общее!$F$3:$F$92,ROW(Общее!$F$3:$F$92),""),ROW()-ROW(Общее!$F$2))-ROW(Общее!$F$2)),"")</f>
        <v/>
      </c>
      <c r="P8" s="168">
        <f>IFERROR(N8*O8,0)</f>
        <v/>
      </c>
      <c r="Q8" t="n">
        <v>6</v>
      </c>
    </row>
    <row r="9">
      <c r="B9" s="3" t="n"/>
      <c r="C9" s="70">
        <f>Материалы!C11</f>
        <v/>
      </c>
      <c r="D9" s="10">
        <f>Материалы!D11</f>
        <v/>
      </c>
      <c r="E9" s="10">
        <f>Материалы!E11</f>
        <v/>
      </c>
      <c r="F9" s="58">
        <f>IFERROR(VLOOKUP(E9,Цена!$E$9:$G$17,3,FALSE),0)+IFERROR(VLOOKUP(E9,Цена!$E$20:$G$28,3,FALSE),0)+IFERROR(VLOOKUP(E9,Цена!$E$31:$G$39,3,FALSE),0)+IFERROR(VLOOKUP(E9,Цена!$E$43:$G$51,3,FALSE),0)</f>
        <v/>
      </c>
      <c r="G9" s="3" t="n"/>
      <c r="H9" s="3" t="n"/>
      <c r="I9" s="134">
        <f>Материалы!H11</f>
        <v/>
      </c>
      <c r="K9" s="108">
        <f t="array" ref="K9">IFERROR(INDEX(Общее!$C$3:$C$92,SMALL(IF(0&lt;&gt;Общее!$F$3:$F$92,ROW(Общее!$F$3:$F$92),""),ROW()-ROW(Общее!$F$2))-ROW(Общее!$F$2)),"")</f>
        <v/>
      </c>
      <c r="L9" s="10">
        <f t="array" ref="L9">INDEX(D3:D92,SMALL(IF(0&lt;&gt;F3:F92,ROW(F3:F92),""),ROW()-ROW($F$2))-ROW($F$2))</f>
        <v/>
      </c>
      <c r="M9" s="10">
        <f t="array" ref="M9">IFERROR(INDEX(Общее!$E$3:$E$92,SMALL(IF(0&lt;&gt;Общее!$F$3:$F$92,ROW(Общее!$F$3:$F$92),""),ROW()-ROW(Общее!$F$2))-ROW(Общее!$F$2)),"")</f>
        <v/>
      </c>
      <c r="N9" s="10">
        <f t="array" ref="N9">IFERROR(INDEX(Общее!$F$3:$F$92,SMALL(IF(0&lt;&gt;Общее!$F$3:$F$92,ROW(Общее!$F$3:$F$92),""),ROW()-ROW(Общее!$F$2))-ROW(Общее!$F$2)),"")</f>
        <v/>
      </c>
      <c r="O9" s="140">
        <f t="array" ref="O9">IFERROR(INDEX(Общее!$I3:$I92,SMALL(IF(0&lt;&gt;Общее!$F$3:$F$92,ROW(Общее!$F$3:$F$92),""),ROW()-ROW(Общее!$F$2))-ROW(Общее!$F$2)),"")</f>
        <v/>
      </c>
      <c r="P9" s="168">
        <f>IFERROR(N9*O9,0)</f>
        <v/>
      </c>
      <c r="Q9" t="n">
        <v>7</v>
      </c>
    </row>
    <row r="10">
      <c r="B10" s="3" t="n"/>
      <c r="C10" s="70">
        <f>Материалы!C12</f>
        <v/>
      </c>
      <c r="D10" s="10">
        <f>Материалы!D12</f>
        <v/>
      </c>
      <c r="E10" s="10">
        <f>Материалы!E12</f>
        <v/>
      </c>
      <c r="F10" s="58">
        <f>IFERROR(VLOOKUP(E10,Цена!$E$9:$G$17,3,FALSE),0)+IFERROR(VLOOKUP(E10,Цена!$E$20:$G$28,3,FALSE),0)+IFERROR(VLOOKUP(E10,Цена!$E$31:$G$39,3,FALSE),0)+IFERROR(VLOOKUP(E10,Цена!$E$43:$G$51,3,FALSE),0)</f>
        <v/>
      </c>
      <c r="G10" s="3" t="n"/>
      <c r="H10" s="3" t="n"/>
      <c r="I10" s="134">
        <f>Материалы!H12</f>
        <v/>
      </c>
      <c r="K10" s="108">
        <f t="array" ref="K10">IFERROR(INDEX(Общее!$C$3:$C$92,SMALL(IF(0&lt;&gt;Общее!$F$3:$F$92,ROW(Общее!$F$3:$F$92),""),ROW()-ROW(Общее!$F$2))-ROW(Общее!$F$2)),"")</f>
        <v/>
      </c>
      <c r="L10" s="10">
        <f t="array" ref="L10">INDEX(D3:D92,SMALL(IF(0&lt;&gt;F3:F92,ROW(F3:F92),""),ROW()-ROW($F$2))-ROW($F$2))</f>
        <v/>
      </c>
      <c r="M10" s="10">
        <f t="array" ref="M10">IFERROR(INDEX(Общее!$E$3:$E$92,SMALL(IF(0&lt;&gt;Общее!$F$3:$F$92,ROW(Общее!$F$3:$F$92),""),ROW()-ROW(Общее!$F$2))-ROW(Общее!$F$2)),"")</f>
        <v/>
      </c>
      <c r="N10" s="10">
        <f t="array" ref="N10">IFERROR(INDEX(Общее!$F$3:$F$92,SMALL(IF(0&lt;&gt;Общее!$F$3:$F$92,ROW(Общее!$F$3:$F$92),""),ROW()-ROW(Общее!$F$2))-ROW(Общее!$F$2)),"")</f>
        <v/>
      </c>
      <c r="O10" s="140">
        <f t="array" ref="O10">IFERROR(INDEX(Общее!$I3:$I92,SMALL(IF(0&lt;&gt;Общее!$F$3:$F$92,ROW(Общее!$F$3:$F$92),""),ROW()-ROW(Общее!$F$2))-ROW(Общее!$F$2)),"")</f>
        <v/>
      </c>
      <c r="P10" s="168">
        <f>IFERROR(N10*O10,0)</f>
        <v/>
      </c>
      <c r="Q10" t="n">
        <v>8</v>
      </c>
    </row>
    <row r="11">
      <c r="B11" s="3" t="n"/>
      <c r="C11" s="70">
        <f>Материалы!C13</f>
        <v/>
      </c>
      <c r="D11" s="10">
        <f>Материалы!D13</f>
        <v/>
      </c>
      <c r="E11" s="10">
        <f>Материалы!E13</f>
        <v/>
      </c>
      <c r="F11" s="58">
        <f>IFERROR(VLOOKUP(E11,Цена!$E$9:$G$17,3,FALSE),0)+IFERROR(VLOOKUP(E11,Цена!$E$20:$G$28,3,FALSE),0)+IFERROR(VLOOKUP(E11,Цена!$E$31:$G$39,3,FALSE),0)+IFERROR(VLOOKUP(E11,Цена!$E$43:$G$51,3,FALSE),0)</f>
        <v/>
      </c>
      <c r="G11" s="3" t="n"/>
      <c r="H11" s="3" t="n"/>
      <c r="I11" s="134">
        <f>Материалы!H13</f>
        <v/>
      </c>
      <c r="K11" s="108">
        <f t="array" ref="K11">IFERROR(INDEX(Общее!$C$3:$C$92,SMALL(IF(0&lt;&gt;Общее!$F$3:$F$92,ROW(Общее!$F$3:$F$92),""),ROW()-ROW(Общее!$F$2))-ROW(Общее!$F$2)),"")</f>
        <v/>
      </c>
      <c r="L11" s="10">
        <f t="array" ref="L11">INDEX(D3:D92,SMALL(IF(0&lt;&gt;F3:F92,ROW(F3:F92),""),ROW()-ROW($F$2))-ROW($F$2))</f>
        <v/>
      </c>
      <c r="M11" s="10">
        <f t="array" ref="M11">IFERROR(INDEX(Общее!$E$3:$E$92,SMALL(IF(0&lt;&gt;Общее!$F$3:$F$92,ROW(Общее!$F$3:$F$92),""),ROW()-ROW(Общее!$F$2))-ROW(Общее!$F$2)),"")</f>
        <v/>
      </c>
      <c r="N11" s="10">
        <f t="array" ref="N11">IFERROR(INDEX(Общее!$F$3:$F$92,SMALL(IF(0&lt;&gt;Общее!$F$3:$F$92,ROW(Общее!$F$3:$F$92),""),ROW()-ROW(Общее!$F$2))-ROW(Общее!$F$2)),"")</f>
        <v/>
      </c>
      <c r="O11" s="140">
        <f t="array" ref="O11">IFERROR(INDEX(Общее!$I3:$I92,SMALL(IF(0&lt;&gt;Общее!$F$3:$F$92,ROW(Общее!$F$3:$F$92),""),ROW()-ROW(Общее!$F$2))-ROW(Общее!$F$2)),"")</f>
        <v/>
      </c>
      <c r="P11" s="168">
        <f>IFERROR(N11*O11,0)</f>
        <v/>
      </c>
      <c r="Q11" t="n">
        <v>9</v>
      </c>
    </row>
    <row r="12">
      <c r="B12" s="3" t="n"/>
      <c r="C12" s="70">
        <f>Материалы!C14</f>
        <v/>
      </c>
      <c r="D12" s="10">
        <f>Материалы!D14</f>
        <v/>
      </c>
      <c r="E12" s="10">
        <f>Материалы!E14</f>
        <v/>
      </c>
      <c r="F12" s="58">
        <f>IFERROR(VLOOKUP(E12,Цена!$E$9:$G$17,3,FALSE),0)+IFERROR(VLOOKUP(E12,Цена!$E$20:$G$28,3,FALSE),0)+IFERROR(VLOOKUP(E12,Цена!$E$31:$G$39,3,FALSE),0)+IFERROR(VLOOKUP(E12,Цена!$E$43:$G$51,3,FALSE),0)</f>
        <v/>
      </c>
      <c r="G12" s="3" t="n"/>
      <c r="H12" s="3" t="n"/>
      <c r="I12" s="134">
        <f>Материалы!H14</f>
        <v/>
      </c>
      <c r="K12" s="108">
        <f t="array" ref="K12">IFERROR(INDEX(Общее!$C$3:$C$92,SMALL(IF(0&lt;&gt;Общее!$F$3:$F$92,ROW(Общее!$F$3:$F$92),""),ROW()-ROW(Общее!$F$2))-ROW(Общее!$F$2)),"")</f>
        <v/>
      </c>
      <c r="L12" s="10">
        <f t="array" ref="L12">INDEX(D3:D92,SMALL(IF(0&lt;&gt;F3:F92,ROW(F3:F92),""),ROW()-ROW($F$2))-ROW($F$2))</f>
        <v/>
      </c>
      <c r="M12" s="10">
        <f t="array" ref="M12">IFERROR(INDEX(Общее!$E$3:$E$92,SMALL(IF(0&lt;&gt;Общее!$F$3:$F$92,ROW(Общее!$F$3:$F$92),""),ROW()-ROW(Общее!$F$2))-ROW(Общее!$F$2)),"")</f>
        <v/>
      </c>
      <c r="N12" s="10">
        <f t="array" ref="N12">IFERROR(INDEX(Общее!$F$3:$F$92,SMALL(IF(0&lt;&gt;Общее!$F$3:$F$92,ROW(Общее!$F$3:$F$92),""),ROW()-ROW(Общее!$F$2))-ROW(Общее!$F$2)),"")</f>
        <v/>
      </c>
      <c r="O12" s="140">
        <f t="array" ref="O12">IFERROR(INDEX(Общее!$I3:$I92,SMALL(IF(0&lt;&gt;Общее!$F$3:$F$92,ROW(Общее!$F$3:$F$92),""),ROW()-ROW(Общее!$F$2))-ROW(Общее!$F$2)),"")</f>
        <v/>
      </c>
      <c r="P12" s="168">
        <f>IFERROR(N12*O12,0)</f>
        <v/>
      </c>
      <c r="Q12" t="n">
        <v>10</v>
      </c>
    </row>
    <row r="13">
      <c r="B13" s="3" t="n"/>
      <c r="C13" s="70">
        <f>Материалы!C15</f>
        <v/>
      </c>
      <c r="D13" s="10">
        <f>Материалы!D15</f>
        <v/>
      </c>
      <c r="E13" s="10">
        <f>Материалы!E15</f>
        <v/>
      </c>
      <c r="F13" s="58">
        <f>IFERROR(VLOOKUP(E13,Цена!$E$9:$G$17,3,FALSE),0)+IFERROR(VLOOKUP(E13,Цена!$E$20:$G$28,3,FALSE),0)+IFERROR(VLOOKUP(E13,Цена!$E$31:$G$39,3,FALSE),0)+IFERROR(VLOOKUP(E13,Цена!$E$43:$G$51,3,FALSE),0)</f>
        <v/>
      </c>
      <c r="G13" s="3" t="n"/>
      <c r="H13" s="3" t="n"/>
      <c r="I13" s="134">
        <f>Материалы!H15</f>
        <v/>
      </c>
      <c r="K13" s="108">
        <f t="array" ref="K13">IFERROR(INDEX(Общее!$C$3:$C$92,SMALL(IF(0&lt;&gt;Общее!$F$3:$F$92,ROW(Общее!$F$3:$F$92),""),ROW()-ROW(Общее!$F$2))-ROW(Общее!$F$2)),"")</f>
        <v/>
      </c>
      <c r="L13" s="10">
        <f t="array" ref="L13">INDEX(D3:D92,SMALL(IF(0&lt;&gt;F3:F92,ROW(F3:F92),""),ROW()-ROW($F$2))-ROW($F$2))</f>
        <v/>
      </c>
      <c r="M13" s="10">
        <f t="array" ref="M13">IFERROR(INDEX(Общее!$E$3:$E$92,SMALL(IF(0&lt;&gt;Общее!$F$3:$F$92,ROW(Общее!$F$3:$F$92),""),ROW()-ROW(Общее!$F$2))-ROW(Общее!$F$2)),"")</f>
        <v/>
      </c>
      <c r="N13" s="10">
        <f t="array" ref="N13">IFERROR(INDEX(Общее!$F$3:$F$92,SMALL(IF(0&lt;&gt;Общее!$F$3:$F$92,ROW(Общее!$F$3:$F$92),""),ROW()-ROW(Общее!$F$2))-ROW(Общее!$F$2)),"")</f>
        <v/>
      </c>
      <c r="O13" s="140">
        <f t="array" ref="O13">IFERROR(INDEX(Общее!$I3:$I92,SMALL(IF(0&lt;&gt;Общее!$F$3:$F$92,ROW(Общее!$F$3:$F$92),""),ROW()-ROW(Общее!$F$2))-ROW(Общее!$F$2)),"")</f>
        <v/>
      </c>
      <c r="P13" s="168">
        <f>IFERROR(N13*O13,0)</f>
        <v/>
      </c>
      <c r="Q13" t="n">
        <v>11</v>
      </c>
    </row>
    <row r="14">
      <c r="B14" s="3" t="n"/>
      <c r="C14" s="70">
        <f>Материалы!C16</f>
        <v/>
      </c>
      <c r="D14" s="10">
        <f>Материалы!D16</f>
        <v/>
      </c>
      <c r="E14" s="10">
        <f>Материалы!E16</f>
        <v/>
      </c>
      <c r="F14" s="58">
        <f>IFERROR(VLOOKUP(E14,Цена!$E$9:$G$17,3,FALSE),0)+IFERROR(VLOOKUP(E14,Цена!$E$20:$G$28,3,FALSE),0)+IFERROR(VLOOKUP(E14,Цена!$E$31:$G$39,3,FALSE),0)+IFERROR(VLOOKUP(E14,Цена!$E$43:$G$51,3,FALSE),0)</f>
        <v/>
      </c>
      <c r="G14" s="3" t="n"/>
      <c r="H14" s="3" t="n"/>
      <c r="I14" s="134">
        <f>Материалы!H16</f>
        <v/>
      </c>
      <c r="K14" s="108">
        <f t="array" ref="K14">IFERROR(INDEX(Общее!$C$3:$C$92,SMALL(IF(0&lt;&gt;Общее!$F$3:$F$92,ROW(Общее!$F$3:$F$92),""),ROW()-ROW(Общее!$F$2))-ROW(Общее!$F$2)),"")</f>
        <v/>
      </c>
      <c r="L14" s="10">
        <f t="array" ref="L14">INDEX(D3:D92,SMALL(IF(0&lt;&gt;F3:F92,ROW(F3:F92),""),ROW()-ROW($F$2))-ROW($F$2))</f>
        <v/>
      </c>
      <c r="M14" s="10">
        <f t="array" ref="M14">IFERROR(INDEX(Общее!$E$3:$E$92,SMALL(IF(0&lt;&gt;Общее!$F$3:$F$92,ROW(Общее!$F$3:$F$92),""),ROW()-ROW(Общее!$F$2))-ROW(Общее!$F$2)),"")</f>
        <v/>
      </c>
      <c r="N14" s="10">
        <f t="array" ref="N14">IFERROR(INDEX(Общее!$F$3:$F$92,SMALL(IF(0&lt;&gt;Общее!$F$3:$F$92,ROW(Общее!$F$3:$F$92),""),ROW()-ROW(Общее!$F$2))-ROW(Общее!$F$2)),"")</f>
        <v/>
      </c>
      <c r="O14" s="140">
        <f t="array" ref="O14">IFERROR(INDEX(Общее!$I3:$I92,SMALL(IF(0&lt;&gt;Общее!$F$3:$F$92,ROW(Общее!$F$3:$F$92),""),ROW()-ROW(Общее!$F$2))-ROW(Общее!$F$2)),"")</f>
        <v/>
      </c>
      <c r="P14" s="168">
        <f>IFERROR(N14*O14,0)</f>
        <v/>
      </c>
      <c r="Q14" t="n">
        <v>12</v>
      </c>
    </row>
    <row r="15">
      <c r="B15" s="3" t="n"/>
      <c r="C15" s="70">
        <f>Материалы!C17</f>
        <v/>
      </c>
      <c r="D15" s="10">
        <f>Материалы!D17</f>
        <v/>
      </c>
      <c r="E15" s="10">
        <f>Материалы!E17</f>
        <v/>
      </c>
      <c r="F15" s="58">
        <f>IFERROR(VLOOKUP(E15,Цена!$E$9:$G$17,3,FALSE),0)+IFERROR(VLOOKUP(E15,Цена!$E$20:$G$28,3,FALSE),0)+IFERROR(VLOOKUP(E15,Цена!$E$31:$G$39,3,FALSE),0)+IFERROR(VLOOKUP(E15,Цена!$E$43:$G$51,3,FALSE),0)</f>
        <v/>
      </c>
      <c r="G15" s="3" t="n"/>
      <c r="H15" s="3" t="n"/>
      <c r="I15" s="134">
        <f>Материалы!H17</f>
        <v/>
      </c>
      <c r="K15" s="108">
        <f t="array" ref="K15">IFERROR(INDEX(Общее!$C$3:$C$92,SMALL(IF(0&lt;&gt;Общее!$F$3:$F$92,ROW(Общее!$F$3:$F$92),""),ROW()-ROW(Общее!$F$2))-ROW(Общее!$F$2)),"")</f>
        <v/>
      </c>
      <c r="L15" s="10">
        <f t="array" ref="L15">IFERROR(INDEX(D3:D92,SMALL(IF(0&lt;&gt;F3:F92,ROW(F3:F92),""),ROW()-ROW($F$2))-ROW($F$2)),"")</f>
        <v/>
      </c>
      <c r="M15" s="10">
        <f t="array" ref="M15">IFERROR(INDEX(Общее!$E$3:$E$92,SMALL(IF(0&lt;&gt;Общее!$F$3:$F$92,ROW(Общее!$F$3:$F$92),""),ROW()-ROW(Общее!$F$2))-ROW(Общее!$F$2)),"")</f>
        <v/>
      </c>
      <c r="N15" s="10">
        <f t="array" ref="N15">IFERROR(INDEX(Общее!$F$3:$F$92,SMALL(IF(0&lt;&gt;Общее!$F$3:$F$92,ROW(Общее!$F$3:$F$92),""),ROW()-ROW(Общее!$F$2))-ROW(Общее!$F$2)),"")</f>
        <v/>
      </c>
      <c r="O15" s="140">
        <f t="array" ref="O15">IFERROR(INDEX(Общее!$I3:$I92,SMALL(IF(0&lt;&gt;Общее!$F$3:$F$92,ROW(Общее!$F$3:$F$92),""),ROW()-ROW(Общее!$F$2))-ROW(Общее!$F$2)),"")</f>
        <v/>
      </c>
      <c r="P15" s="168">
        <f>IFERROR(N15*O15,0)</f>
        <v/>
      </c>
      <c r="Q15" t="n">
        <v>13</v>
      </c>
    </row>
    <row r="16">
      <c r="B16" s="3" t="n"/>
      <c r="C16" s="70">
        <f>Материалы!C18</f>
        <v/>
      </c>
      <c r="D16" s="10">
        <f>Материалы!D18</f>
        <v/>
      </c>
      <c r="E16" s="10">
        <f>Материалы!E18</f>
        <v/>
      </c>
      <c r="F16" s="58">
        <f>IFERROR(VLOOKUP(E16,Цена!$E$9:$G$17,3,FALSE),0)+IFERROR(VLOOKUP(E16,Цена!$E$20:$G$28,3,FALSE),0)+IFERROR(VLOOKUP(E16,Цена!$E$31:$G$39,3,FALSE),0)+IFERROR(VLOOKUP(E16,Цена!$E$43:$G$51,3,FALSE),0)</f>
        <v/>
      </c>
      <c r="G16" s="3" t="n"/>
      <c r="H16" s="3" t="n"/>
      <c r="I16" s="134">
        <f>Материалы!H18</f>
        <v/>
      </c>
      <c r="K16" s="108">
        <f t="array" ref="K16">IFERROR(INDEX(Общее!$C$3:$C$92,SMALL(IF(0&lt;&gt;Общее!$F$3:$F$92,ROW(Общее!$F$3:$F$92),""),ROW()-ROW(Общее!$F$2))-ROW(Общее!$F$2)),"")</f>
        <v/>
      </c>
      <c r="L16" s="10">
        <f t="array" ref="L16">IFERROR(INDEX(D3:D92,SMALL(IF(0&lt;&gt;F3:F92,ROW(F3:F92),""),ROW()-ROW($F$2))-ROW($F$2)),"")</f>
        <v/>
      </c>
      <c r="M16" s="10">
        <f t="array" ref="M16">IFERROR(INDEX(Общее!$E$3:$E$92,SMALL(IF(0&lt;&gt;Общее!$F$3:$F$92,ROW(Общее!$F$3:$F$92),""),ROW()-ROW(Общее!$F$2))-ROW(Общее!$F$2)),"")</f>
        <v/>
      </c>
      <c r="N16" s="10">
        <f t="array" ref="N16">IFERROR(INDEX(Общее!$F$3:$F$92,SMALL(IF(0&lt;&gt;Общее!$F$3:$F$92,ROW(Общее!$F$3:$F$92),""),ROW()-ROW(Общее!$F$2))-ROW(Общее!$F$2)),"")</f>
        <v/>
      </c>
      <c r="O16" s="140">
        <f t="array" ref="O16">IFERROR(INDEX(Общее!$I3:$I92,SMALL(IF(0&lt;&gt;Общее!$F$3:$F$92,ROW(Общее!$F$3:$F$92),""),ROW()-ROW(Общее!$F$2))-ROW(Общее!$F$2)),"")</f>
        <v/>
      </c>
      <c r="P16" s="168">
        <f>IFERROR(N16*O16,0)</f>
        <v/>
      </c>
      <c r="Q16" t="n">
        <v>14</v>
      </c>
    </row>
    <row r="17">
      <c r="B17" s="3" t="n"/>
      <c r="C17" s="70">
        <f>Материалы!C19</f>
        <v/>
      </c>
      <c r="D17" s="10">
        <f>Материалы!D19</f>
        <v/>
      </c>
      <c r="E17" s="10">
        <f>Материалы!E19</f>
        <v/>
      </c>
      <c r="F17" s="58">
        <f>IFERROR(VLOOKUP(E17,Цена!$E$9:$G$17,3,FALSE),0)+IFERROR(VLOOKUP(E17,Цена!$E$20:$G$28,3,FALSE),0)+IFERROR(VLOOKUP(E17,Цена!$E$31:$G$39,3,FALSE),0)+IFERROR(VLOOKUP(E17,Цена!$E$43:$G$51,3,FALSE),0)</f>
        <v/>
      </c>
      <c r="G17" s="3" t="n"/>
      <c r="H17" s="3" t="n"/>
      <c r="I17" s="134">
        <f>Материалы!H19</f>
        <v/>
      </c>
      <c r="K17" s="108">
        <f t="array" ref="K17">IFERROR(INDEX(Общее!$C$3:$C$92,SMALL(IF(0&lt;&gt;Общее!$F$3:$F$92,ROW(Общее!$F$3:$F$92),""),ROW()-ROW(Общее!$F$2))-ROW(Общее!$F$2)),"")</f>
        <v/>
      </c>
      <c r="L17" s="10">
        <f t="array" ref="L17">IFERROR(INDEX(D3:D92,SMALL(IF(0&lt;&gt;F3:F92,ROW(F3:F92),""),ROW()-ROW($F$2))-ROW($F$2)),"")</f>
        <v/>
      </c>
      <c r="M17" s="10">
        <f t="array" ref="M17">IFERROR(INDEX(Общее!$E$3:$E$92,SMALL(IF(0&lt;&gt;Общее!$F$3:$F$92,ROW(Общее!$F$3:$F$92),""),ROW()-ROW(Общее!$F$2))-ROW(Общее!$F$2)),"")</f>
        <v/>
      </c>
      <c r="N17" s="10">
        <f t="array" ref="N17">IFERROR(INDEX(Общее!$F$3:$F$92,SMALL(IF(0&lt;&gt;Общее!$F$3:$F$92,ROW(Общее!$F$3:$F$92),""),ROW()-ROW(Общее!$F$2))-ROW(Общее!$F$2)),"")</f>
        <v/>
      </c>
      <c r="O17" s="140">
        <f t="array" ref="O17">IFERROR(INDEX(Общее!$I3:$I92,SMALL(IF(0&lt;&gt;Общее!$F$3:$F$92,ROW(Общее!$F$3:$F$92),""),ROW()-ROW(Общее!$F$2))-ROW(Общее!$F$2)),"")</f>
        <v/>
      </c>
      <c r="P17" s="168">
        <f>IFERROR(N17*O17,0)</f>
        <v/>
      </c>
      <c r="Q17" t="n">
        <v>15</v>
      </c>
    </row>
    <row r="18">
      <c r="B18" s="3" t="n"/>
      <c r="C18" s="70">
        <f>Материалы!C20</f>
        <v/>
      </c>
      <c r="D18" s="10">
        <f>Материалы!D20</f>
        <v/>
      </c>
      <c r="E18" s="10">
        <f>Материалы!E20</f>
        <v/>
      </c>
      <c r="F18" s="58">
        <f>IFERROR(VLOOKUP(E18,Цена!$E$9:$G$17,3,FALSE),0)+IFERROR(VLOOKUP(E18,Цена!$E$20:$G$28,3,FALSE),0)+IFERROR(VLOOKUP(E18,Цена!$E$31:$G$39,3,FALSE),0)+IFERROR(VLOOKUP(E18,Цена!$E$43:$G$51,3,FALSE),0)</f>
        <v/>
      </c>
      <c r="G18" s="3" t="n"/>
      <c r="H18" s="3" t="n"/>
      <c r="I18" s="134">
        <f>Материалы!H20</f>
        <v/>
      </c>
      <c r="K18" s="108">
        <f t="array" ref="K18">IFERROR(INDEX(Общее!$C$3:$C$92,SMALL(IF(0&lt;&gt;Общее!$F$3:$F$92,ROW(Общее!$F$3:$F$92),""),ROW()-ROW(Общее!$F$2))-ROW(Общее!$F$2)),"")</f>
        <v/>
      </c>
      <c r="L18" s="10">
        <f t="array" ref="L18">IFERROR(INDEX(D3:D92,SMALL(IF(0&lt;&gt;F3:F92,ROW(F3:F92),""),ROW()-ROW($F$2))-ROW($F$2)),"")</f>
        <v/>
      </c>
      <c r="M18" s="10">
        <f t="array" ref="M18">IFERROR(INDEX(Общее!$E$3:$E$92,SMALL(IF(0&lt;&gt;Общее!$F$3:$F$92,ROW(Общее!$F$3:$F$92),""),ROW()-ROW(Общее!$F$2))-ROW(Общее!$F$2)),"")</f>
        <v/>
      </c>
      <c r="N18" s="10">
        <f t="array" ref="N18">IFERROR(INDEX(Общее!$F$3:$F$92,SMALL(IF(0&lt;&gt;Общее!$F$3:$F$92,ROW(Общее!$F$3:$F$92),""),ROW()-ROW(Общее!$F$2))-ROW(Общее!$F$2)),"")</f>
        <v/>
      </c>
      <c r="O18" s="140">
        <f t="array" ref="O18">IFERROR(INDEX(Общее!$I3:$I92,SMALL(IF(0&lt;&gt;Общее!$F$3:$F$92,ROW(Общее!$F$3:$F$92),""),ROW()-ROW(Общее!$F$2))-ROW(Общее!$F$2)),"")</f>
        <v/>
      </c>
      <c r="P18" s="168">
        <f>IFERROR(N18*O18,0)</f>
        <v/>
      </c>
      <c r="Q18" t="n">
        <v>16</v>
      </c>
    </row>
    <row r="19">
      <c r="B19" s="3" t="n"/>
      <c r="C19" s="70">
        <f>Материалы!C21</f>
        <v/>
      </c>
      <c r="D19" s="10">
        <f>Материалы!D21</f>
        <v/>
      </c>
      <c r="E19" s="10">
        <f>Материалы!E21</f>
        <v/>
      </c>
      <c r="F19" s="58">
        <f>IFERROR(VLOOKUP(E19,Цена!$E$9:$G$17,3,FALSE),0)+IFERROR(VLOOKUP(E19,Цена!$E$20:$G$28,3,FALSE),0)+IFERROR(VLOOKUP(E19,Цена!$E$31:$G$39,3,FALSE),0)+IFERROR(VLOOKUP(E19,Цена!$E$43:$G$51,3,FALSE),0)</f>
        <v/>
      </c>
      <c r="G19" s="3" t="n"/>
      <c r="H19" s="3" t="n"/>
      <c r="I19" s="134">
        <f>Материалы!H21</f>
        <v/>
      </c>
      <c r="K19" s="108">
        <f t="array" ref="K19">IFERROR(INDEX(Общее!$C$3:$C$92,SMALL(IF(0&lt;&gt;Общее!$F$3:$F$92,ROW(Общее!$F$3:$F$92),""),ROW()-ROW(Общее!$F$2))-ROW(Общее!$F$2)),"")</f>
        <v/>
      </c>
      <c r="L19" s="10">
        <f t="array" ref="L19">IFERROR(INDEX(D3:D92,SMALL(IF(0&lt;&gt;F3:F92,ROW(F3:F92),""),ROW()-ROW($F$2))-ROW($F$2)),"")</f>
        <v/>
      </c>
      <c r="M19" s="10">
        <f t="array" ref="M19">IFERROR(INDEX(Общее!$E$3:$E$92,SMALL(IF(0&lt;&gt;Общее!$F$3:$F$92,ROW(Общее!$F$3:$F$92),""),ROW()-ROW(Общее!$F$2))-ROW(Общее!$F$2)),"")</f>
        <v/>
      </c>
      <c r="N19" s="10">
        <f t="array" ref="N19">IFERROR(INDEX(Общее!$F$3:$F$92,SMALL(IF(0&lt;&gt;Общее!$F$3:$F$92,ROW(Общее!$F$3:$F$92),""),ROW()-ROW(Общее!$F$2))-ROW(Общее!$F$2)),"")</f>
        <v/>
      </c>
      <c r="O19" s="140">
        <f t="array" ref="O19">IFERROR(INDEX(Общее!$I3:$I92,SMALL(IF(0&lt;&gt;Общее!$F$3:$F$92,ROW(Общее!$F$3:$F$92),""),ROW()-ROW(Общее!$F$2))-ROW(Общее!$F$2)),"")</f>
        <v/>
      </c>
      <c r="P19" s="168">
        <f>IFERROR(N19*O19,0)</f>
        <v/>
      </c>
      <c r="Q19" t="n">
        <v>17</v>
      </c>
    </row>
    <row r="20">
      <c r="B20" s="3" t="n"/>
      <c r="C20" s="70">
        <f>Материалы!C22</f>
        <v/>
      </c>
      <c r="D20" s="10">
        <f>Материалы!D22</f>
        <v/>
      </c>
      <c r="E20" s="10">
        <f>Материалы!E22</f>
        <v/>
      </c>
      <c r="F20" s="58">
        <f>IFERROR(VLOOKUP(E20,Цена!$E$9:$G$17,3,FALSE),0)+IFERROR(VLOOKUP(E20,Цена!$E$20:$G$28,3,FALSE),0)+IFERROR(VLOOKUP(E20,Цена!$E$31:$G$39,3,FALSE),0)+IFERROR(VLOOKUP(E20,Цена!$E$43:$G$51,3,FALSE),0)</f>
        <v/>
      </c>
      <c r="G20" s="3" t="n"/>
      <c r="H20" s="3" t="n"/>
      <c r="I20" s="134">
        <f>Материалы!H22</f>
        <v/>
      </c>
      <c r="K20" s="108">
        <f t="array" ref="K20">IFERROR(INDEX(Общее!$C$3:$C$92,SMALL(IF(0&lt;&gt;Общее!$F$3:$F$92,ROW(Общее!$F$3:$F$92),""),ROW()-ROW(Общее!$F$2))-ROW(Общее!$F$2)),"")</f>
        <v/>
      </c>
      <c r="L20" s="10">
        <f t="array" ref="L20">IFERROR(INDEX(D3:D92,SMALL(IF(0&lt;&gt;F3:F92,ROW(F3:F92),""),ROW()-ROW($F$2))-ROW($F$2)),"")</f>
        <v/>
      </c>
      <c r="M20" s="10">
        <f t="array" ref="M20">IFERROR(INDEX(Общее!$E$3:$E$92,SMALL(IF(0&lt;&gt;Общее!$F$3:$F$92,ROW(Общее!$F$3:$F$92),""),ROW()-ROW(Общее!$F$2))-ROW(Общее!$F$2)),"")</f>
        <v/>
      </c>
      <c r="N20" s="10">
        <f t="array" ref="N20">IFERROR(INDEX(Общее!$F$3:$F$92,SMALL(IF(0&lt;&gt;Общее!$F$3:$F$92,ROW(Общее!$F$3:$F$92),""),ROW()-ROW(Общее!$F$2))-ROW(Общее!$F$2)),"")</f>
        <v/>
      </c>
      <c r="O20" s="140">
        <f t="array" ref="O20">IFERROR(INDEX(Общее!$I3:$I92,SMALL(IF(0&lt;&gt;Общее!$F$3:$F$92,ROW(Общее!$F$3:$F$92),""),ROW()-ROW(Общее!$F$2))-ROW(Общее!$F$2)),"")</f>
        <v/>
      </c>
      <c r="P20" s="168">
        <f>IFERROR(N20*O20,0)</f>
        <v/>
      </c>
      <c r="Q20" t="n">
        <v>18</v>
      </c>
    </row>
    <row r="21">
      <c r="B21" s="3" t="n"/>
      <c r="C21" s="70">
        <f>Материалы!C23</f>
        <v/>
      </c>
      <c r="D21" s="10">
        <f>Материалы!D23</f>
        <v/>
      </c>
      <c r="E21" s="10">
        <f>Материалы!E23</f>
        <v/>
      </c>
      <c r="F21" s="58">
        <f>IFERROR(VLOOKUP(E21,Цена!$E$9:$G$17,3,FALSE),0)+IFERROR(VLOOKUP(E21,Цена!$E$20:$G$28,3,FALSE),0)+IFERROR(VLOOKUP(E21,Цена!$E$31:$G$39,3,FALSE),0)+IFERROR(VLOOKUP(E21,Цена!$E$43:$G$51,3,FALSE),0)</f>
        <v/>
      </c>
      <c r="G21" s="3" t="n"/>
      <c r="H21" s="3" t="n"/>
      <c r="I21" s="134">
        <f>Материалы!H23</f>
        <v/>
      </c>
      <c r="K21" s="108">
        <f t="array" ref="K21">IFERROR(INDEX(Общее!$C$3:$C$92,SMALL(IF(0&lt;&gt;Общее!$F$3:$F$92,ROW(Общее!$F$3:$F$92),""),ROW()-ROW(Общее!$F$2))-ROW(Общее!$F$2)),"")</f>
        <v/>
      </c>
      <c r="L21" s="10">
        <f t="array" ref="L21">IFERROR(INDEX(D3:D92,SMALL(IF(0&lt;&gt;F3:F92,ROW(F3:F92),""),ROW()-ROW($F$2))-ROW($F$2)),"")</f>
        <v/>
      </c>
      <c r="M21" s="10">
        <f t="array" ref="M21">IFERROR(INDEX(Общее!$E$3:$E$92,SMALL(IF(0&lt;&gt;Общее!$F$3:$F$92,ROW(Общее!$F$3:$F$92),""),ROW()-ROW(Общее!$F$2))-ROW(Общее!$F$2)),"")</f>
        <v/>
      </c>
      <c r="N21" s="10">
        <f t="array" ref="N21">IFERROR(INDEX(Общее!$F$3:$F$92,SMALL(IF(0&lt;&gt;Общее!$F$3:$F$92,ROW(Общее!$F$3:$F$92),""),ROW()-ROW(Общее!$F$2))-ROW(Общее!$F$2)),"")</f>
        <v/>
      </c>
      <c r="O21" s="140">
        <f t="array" ref="O21">IFERROR(INDEX(Общее!$I3:$I92,SMALL(IF(0&lt;&gt;Общее!$F$3:$F$92,ROW(Общее!$F$3:$F$92),""),ROW()-ROW(Общее!$F$2))-ROW(Общее!$F$2)),"")</f>
        <v/>
      </c>
      <c r="P21" s="168">
        <f>IFERROR(N21*O21,0)</f>
        <v/>
      </c>
      <c r="Q21" t="n">
        <v>19</v>
      </c>
    </row>
    <row r="22">
      <c r="B22" s="111" t="n"/>
      <c r="C22" s="111">
        <f>Материалы!C28</f>
        <v/>
      </c>
      <c r="D22" s="112">
        <f>Материалы!D28</f>
        <v/>
      </c>
      <c r="E22" s="112">
        <f>Материалы!E28</f>
        <v/>
      </c>
      <c r="F22" s="112">
        <f>IFERROR(VLOOKUP(E22,Цена!$E$20:$G$28,3,FALSE),0)</f>
        <v/>
      </c>
      <c r="G22" s="111" t="n"/>
      <c r="H22" s="111" t="n"/>
      <c r="I22" s="164">
        <f>Материалы!H28</f>
        <v/>
      </c>
      <c r="K22" s="108">
        <f t="array" ref="K22">IFERROR(INDEX(Общее!$C$3:$C$92,SMALL(IF(0&lt;&gt;Общее!$F$3:$F$92,ROW(Общее!$F$3:$F$92),""),ROW()-ROW(Общее!$F$2))-ROW(Общее!$F$2)),"")</f>
        <v/>
      </c>
      <c r="L22" s="10">
        <f t="array" ref="L22">IFERROR(INDEX(D3:D92,SMALL(IF(0&lt;&gt;F3:F92,ROW(F3:F92),""),ROW()-ROW($F$2))-ROW($F$2)),"")</f>
        <v/>
      </c>
      <c r="M22" s="10">
        <f t="array" ref="M22">IFERROR(INDEX(Общее!$E$3:$E$92,SMALL(IF(0&lt;&gt;Общее!$F$3:$F$92,ROW(Общее!$F$3:$F$92),""),ROW()-ROW(Общее!$F$2))-ROW(Общее!$F$2)),"")</f>
        <v/>
      </c>
      <c r="N22" s="10">
        <f t="array" ref="N22">IFERROR(INDEX(Общее!$F$3:$F$92,SMALL(IF(0&lt;&gt;Общее!$F$3:$F$92,ROW(Общее!$F$3:$F$92),""),ROW()-ROW(Общее!$F$2))-ROW(Общее!$F$2)),"")</f>
        <v/>
      </c>
      <c r="O22" s="140">
        <f t="array" ref="O22">IFERROR(INDEX(Общее!$I3:$I92,SMALL(IF(0&lt;&gt;Общее!$F$3:$F$92,ROW(Общее!$F$3:$F$92),""),ROW()-ROW(Общее!$F$2))-ROW(Общее!$F$2)),"")</f>
        <v/>
      </c>
      <c r="P22" s="168">
        <f>IFERROR(N22*O22,0)</f>
        <v/>
      </c>
      <c r="Q22" t="n">
        <v>20</v>
      </c>
    </row>
    <row r="23">
      <c r="B23" s="3" t="n"/>
      <c r="C23" s="70">
        <f>Материалы!C29</f>
        <v/>
      </c>
      <c r="D23" s="58">
        <f>Материалы!D29</f>
        <v/>
      </c>
      <c r="E23" s="58">
        <f>Материалы!E29</f>
        <v/>
      </c>
      <c r="F23" s="58">
        <f>IFERROR(VLOOKUP(E23,Цена!$E$20:$G$28,3,FALSE),0)</f>
        <v/>
      </c>
      <c r="G23" s="3" t="n"/>
      <c r="H23" s="3" t="n"/>
      <c r="I23" s="134">
        <f>Материалы!H29</f>
        <v/>
      </c>
      <c r="K23" s="108">
        <f t="array" ref="K23">IFERROR(INDEX(Общее!$C$3:$C$92,SMALL(IF(0&lt;&gt;Общее!$F$3:$F$92,ROW(Общее!$F$3:$F$92),""),ROW()-ROW(Общее!$F$2))-ROW(Общее!$F$2)),"")</f>
        <v/>
      </c>
      <c r="L23" s="10">
        <f t="array" ref="L23">IFERROR(INDEX(D3:D92,SMALL(IF(0&lt;&gt;F3:F92,ROW(F3:F92),""),ROW()-ROW($F$2))-ROW($F$2)),"")</f>
        <v/>
      </c>
      <c r="M23" s="10">
        <f t="array" ref="M23">IFERROR(INDEX(Общее!$E$3:$E$92,SMALL(IF(0&lt;&gt;Общее!$F$3:$F$92,ROW(Общее!$F$3:$F$92),""),ROW()-ROW(Общее!$F$2))-ROW(Общее!$F$2)),"")</f>
        <v/>
      </c>
      <c r="N23" s="10">
        <f t="array" ref="N23">IFERROR(INDEX(Общее!$F$3:$F$92,SMALL(IF(0&lt;&gt;Общее!$F$3:$F$92,ROW(Общее!$F$3:$F$92),""),ROW()-ROW(Общее!$F$2))-ROW(Общее!$F$2)),"")</f>
        <v/>
      </c>
      <c r="O23" s="140">
        <f t="array" ref="O23">IFERROR(INDEX(Общее!$I3:$I92,SMALL(IF(0&lt;&gt;Общее!$F$3:$F$92,ROW(Общее!$F$3:$F$92),""),ROW()-ROW(Общее!$F$2))-ROW(Общее!$F$2)),"")</f>
        <v/>
      </c>
      <c r="P23" s="168">
        <f>IFERROR(N23*O23,0)</f>
        <v/>
      </c>
      <c r="Q23" t="n">
        <v>21</v>
      </c>
    </row>
    <row r="24">
      <c r="B24" s="3" t="n"/>
      <c r="C24" s="70">
        <f>Материалы!C30</f>
        <v/>
      </c>
      <c r="D24" s="58">
        <f>Материалы!D30</f>
        <v/>
      </c>
      <c r="E24" s="58">
        <f>Материалы!E30</f>
        <v/>
      </c>
      <c r="F24" s="58">
        <f>IFERROR(VLOOKUP(E24,Цена!$E$20:$G$28,3,FALSE),0)</f>
        <v/>
      </c>
      <c r="G24" s="3" t="n"/>
      <c r="H24" s="3" t="n"/>
      <c r="I24" s="134">
        <f>Материалы!H30</f>
        <v/>
      </c>
      <c r="K24" s="108">
        <f t="array" ref="K24">IFERROR(INDEX(Общее!$C$3:$C$92,SMALL(IF(0&lt;&gt;Общее!$F$3:$F$92,ROW(Общее!$F$3:$F$92),""),ROW()-ROW(Общее!$F$2))-ROW(Общее!$F$2)),"")</f>
        <v/>
      </c>
      <c r="L24" s="10">
        <f t="array" ref="L24">IFERROR(INDEX(D3:D92,SMALL(IF(0&lt;&gt;F3:F92,ROW(F3:F92),""),ROW()-ROW($F$2))-ROW($F$2)),"")</f>
        <v/>
      </c>
      <c r="M24" s="10">
        <f t="array" ref="M24">IFERROR(INDEX(Общее!$E$3:$E$92,SMALL(IF(0&lt;&gt;Общее!$F$3:$F$92,ROW(Общее!$F$3:$F$92),""),ROW()-ROW(Общее!$F$2))-ROW(Общее!$F$2)),"")</f>
        <v/>
      </c>
      <c r="N24" s="10">
        <f t="array" ref="N24">IFERROR(INDEX(Общее!$F$3:$F$92,SMALL(IF(0&lt;&gt;Общее!$F$3:$F$92,ROW(Общее!$F$3:$F$92),""),ROW()-ROW(Общее!$F$2))-ROW(Общее!$F$2)),"")</f>
        <v/>
      </c>
      <c r="O24" s="140">
        <f t="array" ref="O24">IFERROR(INDEX(Общее!$I3:$I92,SMALL(IF(0&lt;&gt;Общее!$F$3:$F$92,ROW(Общее!$F$3:$F$92),""),ROW()-ROW(Общее!$F$2))-ROW(Общее!$F$2)),"")</f>
        <v/>
      </c>
      <c r="P24" s="168">
        <f>IFERROR(N24*O24,0)</f>
        <v/>
      </c>
      <c r="Q24" t="n">
        <v>22</v>
      </c>
    </row>
    <row r="25" ht="15.75" customHeight="1" s="552" thickBot="1">
      <c r="B25" s="3" t="n"/>
      <c r="C25" s="70">
        <f>Материалы!C31</f>
        <v/>
      </c>
      <c r="D25" s="10">
        <f>Материалы!D31</f>
        <v/>
      </c>
      <c r="E25" s="10">
        <f>Материалы!E31</f>
        <v/>
      </c>
      <c r="F25" s="10">
        <f>IFERROR(VLOOKUP(E25,Цена!$E$20:$G$28,3,FALSE),0)</f>
        <v/>
      </c>
      <c r="G25" s="3" t="n"/>
      <c r="H25" s="3" t="n"/>
      <c r="I25" s="134">
        <f>Материалы!H31</f>
        <v/>
      </c>
      <c r="K25" s="109">
        <f t="array" ref="K25">IFERROR(INDEX(Общее!$C$3:$C$92,SMALL(IF(0&lt;&gt;Общее!$F$3:$F$92,ROW(Общее!$F$3:$F$92),""),ROW()-ROW(Общее!$F$2))-ROW(Общее!$F$2)),"")</f>
        <v/>
      </c>
      <c r="L25" s="21">
        <f t="array" ref="L25">IFERROR(INDEX(D3:D92,SMALL(IF(0&lt;&gt;F3:F92,ROW(F3:F92),""),ROW()-ROW($F$2))-ROW($F$2)),"")</f>
        <v/>
      </c>
      <c r="M25" s="21">
        <f t="array" ref="M25">IFERROR(INDEX(Общее!$E$3:$E$92,SMALL(IF(0&lt;&gt;Общее!$F$3:$F$92,ROW(Общее!$F$3:$F$92),""),ROW()-ROW(Общее!$F$2))-ROW(Общее!$F$2)),"")</f>
        <v/>
      </c>
      <c r="N25" s="21">
        <f t="array" ref="N25">IFERROR(INDEX(Общее!$F$3:$F$92,SMALL(IF(0&lt;&gt;Общее!$F$3:$F$92,ROW(Общее!$F$3:$F$92),""),ROW()-ROW(Общее!$F$2))-ROW(Общее!$F$2)),"")</f>
        <v/>
      </c>
      <c r="O25" s="166">
        <f t="array" ref="O25">IFERROR(INDEX(Общее!$I3:$I92,SMALL(IF(0&lt;&gt;Общее!$F$3:$F$92,ROW(Общее!$F$3:$F$92),""),ROW()-ROW(Общее!$F$2))-ROW(Общее!$F$2)),"")</f>
        <v/>
      </c>
      <c r="P25" s="169">
        <f>IFERROR(N25*O25,0)</f>
        <v/>
      </c>
      <c r="Q25" t="n">
        <v>23</v>
      </c>
    </row>
    <row r="26">
      <c r="B26" s="3" t="n"/>
      <c r="C26" s="70">
        <f>Материалы!C32</f>
        <v/>
      </c>
      <c r="D26" s="10">
        <f>Материалы!D32</f>
        <v/>
      </c>
      <c r="E26" s="10">
        <f>Материалы!E32</f>
        <v/>
      </c>
      <c r="F26" s="10">
        <f>IFERROR(VLOOKUP(E26,Цена!$E$20:$G$28,3,FALSE),0)</f>
        <v/>
      </c>
      <c r="G26" s="3" t="n"/>
      <c r="H26" s="3" t="n"/>
      <c r="I26" s="134">
        <f>Материалы!H32</f>
        <v/>
      </c>
    </row>
    <row r="27">
      <c r="B27" s="3" t="n"/>
      <c r="C27" s="70">
        <f>Материалы!C33</f>
        <v/>
      </c>
      <c r="D27" s="10">
        <f>Материалы!D33</f>
        <v/>
      </c>
      <c r="E27" s="10">
        <f>Материалы!E33</f>
        <v/>
      </c>
      <c r="F27" s="10">
        <f>IFERROR(VLOOKUP(E27,Цена!$E$20:$G$28,3,FALSE),0)</f>
        <v/>
      </c>
      <c r="G27" s="3" t="n"/>
      <c r="H27" s="3" t="n"/>
      <c r="I27" s="134">
        <f>Материалы!H33</f>
        <v/>
      </c>
      <c r="P27" s="217">
        <f>SUM(P3:P22)</f>
        <v/>
      </c>
    </row>
    <row r="28">
      <c r="B28" s="3" t="n"/>
      <c r="C28" s="70">
        <f>Материалы!C34</f>
        <v/>
      </c>
      <c r="D28" s="10">
        <f>Материалы!D34</f>
        <v/>
      </c>
      <c r="E28" s="10">
        <f>Материалы!E34</f>
        <v/>
      </c>
      <c r="F28" s="10">
        <f>IFERROR(VLOOKUP(E28,Цена!$E$20:$G$28,3,FALSE),0)</f>
        <v/>
      </c>
      <c r="G28" s="3" t="n"/>
      <c r="H28" s="3" t="n"/>
      <c r="I28" s="134">
        <f>Материалы!H34</f>
        <v/>
      </c>
    </row>
    <row r="29">
      <c r="B29" s="3" t="n"/>
      <c r="C29" s="70">
        <f>Материалы!C35</f>
        <v/>
      </c>
      <c r="D29" s="10">
        <f>Материалы!D35</f>
        <v/>
      </c>
      <c r="E29" s="10">
        <f>Материалы!E35</f>
        <v/>
      </c>
      <c r="F29" s="10">
        <f>IFERROR(VLOOKUP(E29,Цена!$E$20:$G$28,3,FALSE),0)</f>
        <v/>
      </c>
      <c r="G29" s="3" t="n"/>
      <c r="H29" s="3" t="n"/>
      <c r="I29" s="134">
        <f>Материалы!H35</f>
        <v/>
      </c>
    </row>
    <row r="30">
      <c r="B30" s="3" t="n"/>
      <c r="C30" s="70">
        <f>Материалы!C36</f>
        <v/>
      </c>
      <c r="D30" s="58">
        <f>Материалы!D36</f>
        <v/>
      </c>
      <c r="E30" s="58">
        <f>Материалы!E36</f>
        <v/>
      </c>
      <c r="F30" s="58">
        <f>IFERROR(VLOOKUP(E30,Цена!$E$20:$G$28,3,FALSE),0)</f>
        <v/>
      </c>
      <c r="G30" s="3" t="n"/>
      <c r="H30" s="3" t="n"/>
      <c r="I30" s="134">
        <f>Материалы!H36</f>
        <v/>
      </c>
    </row>
    <row r="31">
      <c r="B31" s="3" t="n"/>
      <c r="C31" s="70">
        <f>Материалы!C37</f>
        <v/>
      </c>
      <c r="D31" s="58">
        <f>Материалы!D37</f>
        <v/>
      </c>
      <c r="E31" s="58">
        <f>Материалы!E37</f>
        <v/>
      </c>
      <c r="F31" s="58">
        <f>IFERROR(VLOOKUP(E31,Цена!$E$20:$G$28,3,FALSE),0)</f>
        <v/>
      </c>
      <c r="G31" s="3" t="n"/>
      <c r="H31" s="3" t="n"/>
      <c r="I31" s="134">
        <f>Материалы!H37</f>
        <v/>
      </c>
    </row>
    <row r="32">
      <c r="B32" s="3" t="n"/>
      <c r="C32" s="70">
        <f>Материалы!C38</f>
        <v/>
      </c>
      <c r="D32" s="10">
        <f>Материалы!D38</f>
        <v/>
      </c>
      <c r="E32" s="10">
        <f>Материалы!E38</f>
        <v/>
      </c>
      <c r="F32" s="58">
        <f>IFERROR(VLOOKUP(E32,Цена!$E$20:$G$28,3,FALSE),0)+IFERROR(VLOOKUP(E32,Цена!$E$44:$G$45,3,FALSE),0)</f>
        <v/>
      </c>
      <c r="G32" s="3" t="n"/>
      <c r="H32" s="3" t="n"/>
      <c r="I32" s="134">
        <f>Материалы!H38</f>
        <v/>
      </c>
    </row>
    <row r="33">
      <c r="B33" s="3" t="inlineStr">
        <is>
          <t>QF2</t>
        </is>
      </c>
      <c r="C33" s="70">
        <f>Материалы!C39</f>
        <v/>
      </c>
      <c r="D33" s="10">
        <f>Материалы!D39</f>
        <v/>
      </c>
      <c r="E33" s="10">
        <f>Материалы!E39</f>
        <v/>
      </c>
      <c r="F33" s="58">
        <f>IFERROR(VLOOKUP(E33,Цена!E89:G95,3,FALSE),0)+IFERROR(VLOOKUP(E35,Цена!E43:G45,3,FALSE),0)</f>
        <v/>
      </c>
      <c r="G33" s="3" t="n"/>
      <c r="H33" s="3" t="n"/>
      <c r="I33" s="134">
        <f>Материалы!H39</f>
        <v/>
      </c>
    </row>
    <row r="34">
      <c r="B34" s="3" t="inlineStr">
        <is>
          <t>QF3</t>
        </is>
      </c>
      <c r="C34" s="70">
        <f>Материалы!C40</f>
        <v/>
      </c>
      <c r="D34" s="10">
        <f>Материалы!D40</f>
        <v/>
      </c>
      <c r="E34" s="10">
        <f>Материалы!E40</f>
        <v/>
      </c>
      <c r="F34" s="58">
        <f>IFERROR(VLOOKUP(E34,Цена!E59:G62,3,FALSE),0)</f>
        <v/>
      </c>
      <c r="G34" s="3" t="n"/>
      <c r="H34" s="3" t="n"/>
      <c r="I34" s="134">
        <f>Материалы!H40</f>
        <v/>
      </c>
    </row>
    <row r="35">
      <c r="B35" s="70" t="n"/>
      <c r="C35" s="3" t="inlineStr">
        <is>
          <t>Автомат. Выключатель 1п</t>
        </is>
      </c>
      <c r="D35" s="23" t="n">
        <v>1</v>
      </c>
      <c r="E35" s="10" t="inlineStr">
        <is>
          <t>1А 1п.</t>
        </is>
      </c>
      <c r="F35" s="23">
        <f>IFERROR(VLOOKUP(E35,Цена!E43:G45,3,FALSE),0)</f>
        <v/>
      </c>
      <c r="G35" s="58" t="n"/>
      <c r="H35" s="189" t="n"/>
      <c r="I35" s="134">
        <f>Материалы!H41</f>
        <v/>
      </c>
    </row>
    <row r="36">
      <c r="B36" s="70" t="n"/>
      <c r="C36" s="3" t="inlineStr">
        <is>
          <t>Автомат. Выключатель 1п</t>
        </is>
      </c>
      <c r="D36" s="23" t="n">
        <v>2</v>
      </c>
      <c r="E36" s="10" t="inlineStr">
        <is>
          <t>2А 1п.</t>
        </is>
      </c>
      <c r="F36" s="23">
        <f>IFERROR(VLOOKUP(E36,Цена!E43:G45,3,FALSE),0)</f>
        <v/>
      </c>
      <c r="G36" s="58" t="n"/>
      <c r="H36" s="189" t="n"/>
      <c r="I36" s="134">
        <f>Материалы!H42</f>
        <v/>
      </c>
      <c r="J36" s="1" t="n"/>
    </row>
    <row r="37">
      <c r="B37" s="70" t="n"/>
      <c r="C37" s="3" t="inlineStr">
        <is>
          <t>Автомат. Выключатель 1п</t>
        </is>
      </c>
      <c r="D37" s="23" t="n">
        <v>4</v>
      </c>
      <c r="E37" s="10" t="inlineStr">
        <is>
          <t>4А 1п.</t>
        </is>
      </c>
      <c r="F37" s="10">
        <f>IFERROR(VLOOKUP(E37,Цена!E43:G45,3,FALSE),0)</f>
        <v/>
      </c>
      <c r="G37" s="58" t="n"/>
      <c r="H37" s="189" t="n"/>
      <c r="I37" s="134">
        <f>Материалы!H43</f>
        <v/>
      </c>
      <c r="J37" s="1" t="n"/>
    </row>
    <row r="38">
      <c r="B38" s="70" t="n"/>
      <c r="C38" s="70">
        <f>Материалы!C39</f>
        <v/>
      </c>
      <c r="D38" s="10">
        <f>Материалы!D39</f>
        <v/>
      </c>
      <c r="E38" s="10">
        <f>Материалы!E39</f>
        <v/>
      </c>
      <c r="F38" s="10">
        <f>IFERROR(VLOOKUP(E38,Цена!E43:G45,3,FALSE),0)</f>
        <v/>
      </c>
      <c r="G38" s="58" t="n"/>
      <c r="H38" s="189" t="n"/>
      <c r="I38" s="134">
        <f>Материалы!H39</f>
        <v/>
      </c>
      <c r="J38" s="1" t="n"/>
    </row>
    <row r="39">
      <c r="B39" s="111" t="inlineStr">
        <is>
          <t>KM1</t>
        </is>
      </c>
      <c r="C39" s="111">
        <f>Материалы!C46</f>
        <v/>
      </c>
      <c r="D39" s="112">
        <f>Материалы!D46</f>
        <v/>
      </c>
      <c r="E39" s="112">
        <f>Материалы!E46</f>
        <v/>
      </c>
      <c r="F39" s="112">
        <f>IFERROR(VLOOKUP(E39,Цена!$E$9:$G$17,3,FALSE),0)+IFERROR(VLOOKUP(E39,Цена!$E$20:$G$28,3,FALSE),0)+IFERROR(VLOOKUP(E39,Цена!$E$31:$G$39,3,FALSE),0)+IFERROR(VLOOKUP(E39,Цена!$E$43:$G$51,3,FALSE),0)</f>
        <v/>
      </c>
      <c r="G39" s="111" t="n"/>
      <c r="H39" s="111" t="n"/>
      <c r="I39" s="164">
        <f>Материалы!H46</f>
        <v/>
      </c>
      <c r="J39" s="1" t="n"/>
    </row>
    <row r="40">
      <c r="B40" s="3" t="n"/>
      <c r="C40" s="70">
        <f>Материалы!C47</f>
        <v/>
      </c>
      <c r="D40" s="58">
        <f>Материалы!D47</f>
        <v/>
      </c>
      <c r="E40" s="58">
        <f>Материалы!E47</f>
        <v/>
      </c>
      <c r="F40" s="58">
        <f>IFERROR(VLOOKUP(E40,Цена!$E$9:$G$17,3,FALSE),0)+IFERROR(VLOOKUP(E40,Цена!$E$20:$G$28,3,FALSE),0)+IFERROR(VLOOKUP(E40,Цена!$E$31:$G$39,3,FALSE),0)+IFERROR(VLOOKUP(E40,Цена!$E$43:$G$51,3,FALSE),0)</f>
        <v/>
      </c>
      <c r="G40" s="3" t="n"/>
      <c r="H40" s="3" t="n"/>
      <c r="I40" s="134">
        <f>Материалы!H47</f>
        <v/>
      </c>
      <c r="J40" s="1" t="n"/>
    </row>
    <row r="41">
      <c r="B41" s="3" t="n"/>
      <c r="C41" s="70">
        <f>Материалы!C48</f>
        <v/>
      </c>
      <c r="D41" s="58">
        <f>Материалы!D48</f>
        <v/>
      </c>
      <c r="E41" s="58">
        <f>Материалы!E48</f>
        <v/>
      </c>
      <c r="F41" s="58">
        <f>IFERROR(VLOOKUP(E41,Цена!$E$9:$G$17,3,FALSE),0)+IFERROR(VLOOKUP(E41,Цена!$E$20:$G$28,3,FALSE),0)+IFERROR(VLOOKUP(E41,Цена!$E$31:$G$39,3,FALSE),0)+IFERROR(VLOOKUP(E41,Цена!$E$43:$G$51,3,FALSE),0)</f>
        <v/>
      </c>
      <c r="G41" s="3" t="n"/>
      <c r="H41" s="3" t="n"/>
      <c r="I41" s="134">
        <f>Материалы!H48</f>
        <v/>
      </c>
      <c r="J41" s="1" t="n"/>
    </row>
    <row r="42">
      <c r="B42" s="3" t="n"/>
      <c r="C42" s="70">
        <f>Материалы!C49</f>
        <v/>
      </c>
      <c r="D42" s="58">
        <f>Материалы!D49</f>
        <v/>
      </c>
      <c r="E42" s="58">
        <f>Материалы!E49</f>
        <v/>
      </c>
      <c r="F42" s="58">
        <f>IFERROR(VLOOKUP(E42,Цена!$E$9:$G$17,3,FALSE),0)+IFERROR(VLOOKUP(E42,Цена!$E$20:$G$28,3,FALSE),0)+IFERROR(VLOOKUP(E42,Цена!$E$31:$G$39,3,FALSE),0)+IFERROR(VLOOKUP(E42,Цена!$E$43:$G$51,3,FALSE),0)</f>
        <v/>
      </c>
      <c r="G42" s="3" t="n"/>
      <c r="H42" s="3" t="n"/>
      <c r="I42" s="134">
        <f>Материалы!H49</f>
        <v/>
      </c>
      <c r="J42" s="1" t="n"/>
    </row>
    <row r="43">
      <c r="B43" s="3" t="n"/>
      <c r="C43" s="70">
        <f>Материалы!C50</f>
        <v/>
      </c>
      <c r="D43" s="58">
        <f>Материалы!D50</f>
        <v/>
      </c>
      <c r="E43" s="58">
        <f>Материалы!E50</f>
        <v/>
      </c>
      <c r="F43" s="58">
        <f>IFERROR(VLOOKUP(E43,Цена!$E$9:$G$17,3,FALSE),0)+IFERROR(VLOOKUP(E43,Цена!$E$20:$G$28,3,FALSE),0)+IFERROR(VLOOKUP(E43,Цена!$E$31:$G$39,3,FALSE),0)+IFERROR(VLOOKUP(E43,Цена!$E$43:$G$51,3,FALSE),0)</f>
        <v/>
      </c>
      <c r="G43" s="3" t="n"/>
      <c r="H43" s="3" t="n"/>
      <c r="I43" s="134">
        <f>Материалы!H50</f>
        <v/>
      </c>
      <c r="J43" s="1" t="n"/>
    </row>
    <row r="44">
      <c r="B44" s="3" t="n"/>
      <c r="C44" s="70">
        <f>Материалы!C51</f>
        <v/>
      </c>
      <c r="D44" s="58">
        <f>Материалы!D51</f>
        <v/>
      </c>
      <c r="E44" s="58">
        <f>Материалы!E51</f>
        <v/>
      </c>
      <c r="F44" s="58">
        <f>IFERROR(VLOOKUP(E44,Цена!$E$9:$G$17,3,FALSE),0)+IFERROR(VLOOKUP(E44,Цена!$E$20:$G$28,3,FALSE),0)+IFERROR(VLOOKUP(E44,Цена!$E$31:$G$39,3,FALSE),0)+IFERROR(VLOOKUP(E44,Цена!$E$43:$G$51,3,FALSE),0)</f>
        <v/>
      </c>
      <c r="G44" s="3" t="n"/>
      <c r="H44" s="3" t="n"/>
      <c r="I44" s="134">
        <f>Материалы!H51</f>
        <v/>
      </c>
      <c r="J44" s="1" t="n"/>
    </row>
    <row r="45">
      <c r="B45" s="3" t="n"/>
      <c r="C45" s="70">
        <f>Материалы!C52</f>
        <v/>
      </c>
      <c r="D45" s="58">
        <f>Материалы!D52</f>
        <v/>
      </c>
      <c r="E45" s="58">
        <f>Материалы!E52</f>
        <v/>
      </c>
      <c r="F45" s="58">
        <f>IFERROR(VLOOKUP(E45,Цена!$E$9:$G$17,3,FALSE),0)+IFERROR(VLOOKUP(E45,Цена!$E$20:$G$28,3,FALSE),0)+IFERROR(VLOOKUP(E45,Цена!$E$31:$G$39,3,FALSE),0)+IFERROR(VLOOKUP(E45,Цена!$E$43:$G$51,3,FALSE),0)</f>
        <v/>
      </c>
      <c r="G45" s="3" t="n"/>
      <c r="H45" s="3" t="n"/>
      <c r="I45" s="134">
        <f>Материалы!H52</f>
        <v/>
      </c>
    </row>
    <row r="46">
      <c r="B46" s="3" t="n"/>
      <c r="C46" s="70">
        <f>Материалы!C53</f>
        <v/>
      </c>
      <c r="D46" s="58">
        <f>Материалы!D53</f>
        <v/>
      </c>
      <c r="E46" s="58">
        <f>Материалы!E53</f>
        <v/>
      </c>
      <c r="F46" s="58">
        <f>IFERROR(VLOOKUP(E46,Цена!$E$9:$G$17,3,FALSE),0)+IFERROR(VLOOKUP(E46,Цена!$E$20:$G$28,3,FALSE),0)+IFERROR(VLOOKUP(E46,Цена!$E$31:$G$39,3,FALSE),0)+IFERROR(VLOOKUP(E46,Цена!$E$43:$G$51,3,FALSE),0)</f>
        <v/>
      </c>
      <c r="G46" s="3" t="n"/>
      <c r="H46" s="3" t="n"/>
      <c r="I46" s="134">
        <f>Материалы!H53</f>
        <v/>
      </c>
    </row>
    <row r="47">
      <c r="B47" s="3" t="n"/>
      <c r="C47" s="70">
        <f>Материалы!C54</f>
        <v/>
      </c>
      <c r="D47" s="58">
        <f>Материалы!D54</f>
        <v/>
      </c>
      <c r="E47" s="58">
        <f>Материалы!E54</f>
        <v/>
      </c>
      <c r="F47" s="58">
        <f>IFERROR(VLOOKUP(E47,Цена!$E$9:$G$17,3,FALSE),0)+IFERROR(VLOOKUP(E47,Цена!$E$20:$G$28,3,FALSE),0)+IFERROR(VLOOKUP(E47,Цена!$E$31:$G$39,3,FALSE),0)+IFERROR(VLOOKUP(E47,Цена!$E$43:$G$51,3,FALSE),0)</f>
        <v/>
      </c>
      <c r="G47" s="3" t="n"/>
      <c r="H47" s="3" t="n"/>
      <c r="I47" s="134">
        <f>Материалы!H54</f>
        <v/>
      </c>
    </row>
    <row r="48">
      <c r="B48" s="111" t="n"/>
      <c r="C48" s="111">
        <f>Материалы!C57</f>
        <v/>
      </c>
      <c r="D48" s="112">
        <f>Материалы!D57</f>
        <v/>
      </c>
      <c r="E48" s="112">
        <f>Материалы!E57</f>
        <v/>
      </c>
      <c r="F48" s="112">
        <f>IFERROR(VLOOKUP(E48,Цена!E89:G95,3,FALSE),0)</f>
        <v/>
      </c>
      <c r="G48" s="111" t="n"/>
      <c r="H48" s="111" t="n"/>
      <c r="I48" s="164">
        <f>Материалы!H57</f>
        <v/>
      </c>
    </row>
    <row r="49">
      <c r="B49" s="3" t="n"/>
      <c r="C49" s="70">
        <f>Материалы!C58</f>
        <v/>
      </c>
      <c r="D49" s="10">
        <f>Материалы!D58</f>
        <v/>
      </c>
      <c r="E49" s="10">
        <f>Материалы!E58</f>
        <v/>
      </c>
      <c r="F49" s="10">
        <f>IFERROR(VLOOKUP(E49,Цена!E20:G28,3,FALSE),0)</f>
        <v/>
      </c>
      <c r="G49" s="3" t="n"/>
      <c r="H49" s="3" t="n"/>
      <c r="I49" s="134">
        <f>Материалы!H58</f>
        <v/>
      </c>
    </row>
    <row r="50">
      <c r="B50" s="3" t="n"/>
      <c r="C50" s="70">
        <f>Материалы!C59</f>
        <v/>
      </c>
      <c r="D50" s="10">
        <f>Материалы!D59</f>
        <v/>
      </c>
      <c r="E50" s="10">
        <f>Материалы!E59</f>
        <v/>
      </c>
      <c r="F50" s="10">
        <f>IFERROR(VLOOKUP(E50,Цена!E65:G65,3,FALSE),0)</f>
        <v/>
      </c>
      <c r="G50" s="3" t="n"/>
      <c r="H50" s="3" t="n"/>
      <c r="I50" s="134">
        <f>Материалы!H59</f>
        <v/>
      </c>
    </row>
    <row r="51">
      <c r="B51" s="111" t="n"/>
      <c r="C51" s="111">
        <f>Материалы!C62</f>
        <v/>
      </c>
      <c r="D51" s="112">
        <f>Материалы!D62</f>
        <v/>
      </c>
      <c r="E51" s="112">
        <f>Материалы!E62</f>
        <v/>
      </c>
      <c r="F51" s="112">
        <f>IFERROR(VLOOKUP(E51,Цена!$E$9:$G$17,3,FALSE),0)+IFERROR(VLOOKUP(E51,Цена!$E$20:$G$28,3,FALSE),0)+IFERROR(VLOOKUP(E51,Цена!$E$31:$G$39,3,FALSE),0)+IFERROR(VLOOKUP(E51,Цена!$E$43:$G$51,3,FALSE),0)
+IFERROR(VLOOKUP(E51,Цена!E55:G56,3,FALSE),0)+IFERROR(VLOOKUP(E51,Цена!E60:G62,3,FALSE),0)+IFERROR(VLOOKUP(E51,Цена!E66:J66,3,FALSE),0)+IFERROR(VLOOKUP(E51,Цена!E86:G86,3,FALSE),0)+IFERROR(VLOOKUP(E51,Цена!E94:G94,3,FALSE),0)+IFERROR(VLOOKUP(E51,Цена!E69:G69,3,FALSE),0)</f>
        <v/>
      </c>
      <c r="G51" s="111" t="n"/>
      <c r="H51" s="111" t="n"/>
      <c r="I51" s="164">
        <f>Материалы!H62</f>
        <v/>
      </c>
    </row>
    <row r="52">
      <c r="B52" s="3" t="n"/>
      <c r="C52" s="70">
        <f>Материалы!C63</f>
        <v/>
      </c>
      <c r="D52" s="58">
        <f>Материалы!D63</f>
        <v/>
      </c>
      <c r="E52" s="58">
        <f>Материалы!E63</f>
        <v/>
      </c>
      <c r="F52" s="58">
        <f>IFERROR(VLOOKUP(E52,Цена!$E$9:$G$17,3,FALSE),0)+IFERROR(VLOOKUP(E52,Цена!$E$20:$G$28,3,FALSE),0)+IFERROR(VLOOKUP(E52,Цена!$E$31:$G$39,3,FALSE),0)+IFERROR(VLOOKUP(E52,Цена!$E$43:$G$51,3,FALSE),0)</f>
        <v/>
      </c>
      <c r="G52" s="3" t="n"/>
      <c r="H52" s="3" t="n"/>
      <c r="I52" s="134">
        <f>Материалы!H63</f>
        <v/>
      </c>
    </row>
    <row r="53">
      <c r="B53" s="3" t="n"/>
      <c r="C53" s="70">
        <f>Материалы!C64</f>
        <v/>
      </c>
      <c r="D53" s="58">
        <f>Материалы!D64</f>
        <v/>
      </c>
      <c r="E53" s="58">
        <f>Материалы!E64</f>
        <v/>
      </c>
      <c r="F53" s="58">
        <f>IFERROR(VLOOKUP(E53,Цена!$E$9:$G$17,3,FALSE),0)+IFERROR(VLOOKUP(E53,Цена!$E$20:$G$28,3,FALSE),0)+IFERROR(VLOOKUP(E53,Цена!$E$31:$G$39,3,FALSE),0)+IFERROR(VLOOKUP(E53,Цена!$E$43:$G$51,3,FALSE),0)</f>
        <v/>
      </c>
      <c r="G53" s="3" t="n"/>
      <c r="H53" s="3" t="n"/>
      <c r="I53" s="134">
        <f>Материалы!H64</f>
        <v/>
      </c>
    </row>
    <row r="54">
      <c r="B54" s="3" t="n"/>
      <c r="C54" s="70">
        <f>Материалы!C65</f>
        <v/>
      </c>
      <c r="D54" s="58">
        <f>Материалы!D65</f>
        <v/>
      </c>
      <c r="E54" s="58">
        <f>Материалы!E65</f>
        <v/>
      </c>
      <c r="F54" s="58">
        <f>IFERROR(VLOOKUP(E54,Цена!$E$9:$G$17,3,FALSE),0)+IFERROR(VLOOKUP(E54,Цена!$E$20:$G$28,3,FALSE),0)+IFERROR(VLOOKUP(E54,Цена!$E$31:$G$39,3,FALSE),0)+IFERROR(VLOOKUP(E54,Цена!$E$43:$G$51,3,FALSE),0)</f>
        <v/>
      </c>
      <c r="G54" s="3" t="n"/>
      <c r="H54" s="3" t="n"/>
      <c r="I54" s="134">
        <f>Материалы!H65</f>
        <v/>
      </c>
    </row>
    <row r="55">
      <c r="B55" s="3" t="n"/>
      <c r="C55" s="70">
        <f>Материалы!C66</f>
        <v/>
      </c>
      <c r="D55" s="58">
        <f>Материалы!D66</f>
        <v/>
      </c>
      <c r="E55" s="58">
        <f>Материалы!E66</f>
        <v/>
      </c>
      <c r="F55" s="58">
        <f>IFERROR(VLOOKUP(E55,Цена!$E$9:$G$17,3,FALSE),0)+IFERROR(VLOOKUP(E55,Цена!$E$20:$G$28,3,FALSE),0)+IFERROR(VLOOKUP(E55,Цена!$E$31:$G$39,3,FALSE),0)+IFERROR(VLOOKUP(E55,Цена!$E$43:$G$51,3,FALSE),0)</f>
        <v/>
      </c>
      <c r="G55" s="3" t="n"/>
      <c r="H55" s="3" t="n"/>
      <c r="I55" s="134">
        <f>Материалы!H66</f>
        <v/>
      </c>
    </row>
    <row r="56">
      <c r="B56" s="3" t="n"/>
      <c r="C56" s="70">
        <f>Материалы!C67</f>
        <v/>
      </c>
      <c r="D56" s="58">
        <f>Материалы!D67</f>
        <v/>
      </c>
      <c r="E56" s="58">
        <f>Материалы!E67</f>
        <v/>
      </c>
      <c r="F56" s="58">
        <f>IFERROR(VLOOKUP(E56,Цена!$E$9:$G$17,3,FALSE),0)+IFERROR(VLOOKUP(E56,Цена!$E$20:$G$28,3,FALSE),0)+IFERROR(VLOOKUP(E56,Цена!$E$31:$G$39,3,FALSE),0)+IFERROR(VLOOKUP(E56,Цена!$E$43:$G$51,3,FALSE),0)</f>
        <v/>
      </c>
      <c r="G56" s="3" t="n"/>
      <c r="H56" s="3" t="n"/>
      <c r="I56" s="134">
        <f>Материалы!H67</f>
        <v/>
      </c>
    </row>
    <row r="57">
      <c r="B57" s="3" t="n"/>
      <c r="C57" s="70">
        <f>Материалы!C68</f>
        <v/>
      </c>
      <c r="D57" s="58">
        <f>Материалы!D68</f>
        <v/>
      </c>
      <c r="E57" s="58">
        <f>Материалы!E68</f>
        <v/>
      </c>
      <c r="F57" s="10">
        <f>IFERROR(VLOOKUP(E57,Цена!$E$9:$G$17,3,FALSE),0)+IFERROR(VLOOKUP(E57,Цена!$E$20:$G$28,3,FALSE),0)+IFERROR(VLOOKUP(E57,Цена!$E$31:$G$39,3,FALSE),0)+IFERROR(VLOOKUP(E57,Цена!$E$43:$G$51,3,FALSE),0)
+IFERROR(VLOOKUP(E57,Цена!E55:G56,3,FALSE),0)+IFERROR(VLOOKUP(E57,Цена!E60:G62,3,FALSE),0)+IFERROR(VLOOKUP(E57,Цена!E66:J66,3,FALSE),0)+IFERROR(VLOOKUP(E57,Цена!E86:G86,3,FALSE),0)+IFERROR(VLOOKUP(E57,Цена!E94:G94,3,FALSE),0)</f>
        <v/>
      </c>
      <c r="G57" s="3" t="n"/>
      <c r="H57" s="3" t="n"/>
      <c r="I57" s="134">
        <f>Материалы!H68</f>
        <v/>
      </c>
    </row>
    <row r="58">
      <c r="B58" s="3" t="n"/>
      <c r="C58" s="70">
        <f>Материалы!C69</f>
        <v/>
      </c>
      <c r="D58" s="58">
        <f>Материалы!D69</f>
        <v/>
      </c>
      <c r="E58" s="58">
        <f>Материалы!E69</f>
        <v/>
      </c>
      <c r="F58" s="10">
        <f>IFERROR(VLOOKUP(E58,Цена!$E$9:$G$17,3,FALSE),0)+IFERROR(VLOOKUP(E58,Цена!$E$20:$G$28,3,FALSE),0)+IFERROR(VLOOKUP(E58,Цена!$E$31:$G$39,3,FALSE),0)+IFERROR(VLOOKUP(E58,Цена!$E$43:$G$51,3,FALSE),0)
+IFERROR(VLOOKUP(E58,Цена!E56:G57,3,FALSE),0)+IFERROR(VLOOKUP(E58,Цена!E61:G63,3,FALSE),0)+IFERROR(VLOOKUP(E58,Цена!E72:J72,3,FALSE),0)+IFERROR(VLOOKUP(E58,Цена!E87:G87,3,FALSE),0)+IFERROR(VLOOKUP(E58,Цена!E95:G95,3,FALSE),0)</f>
        <v/>
      </c>
      <c r="G58" s="3" t="n"/>
      <c r="H58" s="3" t="n"/>
      <c r="I58" s="134">
        <f>Материалы!H69</f>
        <v/>
      </c>
    </row>
    <row r="59">
      <c r="B59" s="3" t="n"/>
      <c r="C59" s="70">
        <f>Материалы!C70</f>
        <v/>
      </c>
      <c r="D59" s="58">
        <f>Материалы!D70</f>
        <v/>
      </c>
      <c r="E59" s="58">
        <f>Материалы!E70</f>
        <v/>
      </c>
      <c r="F59" s="10">
        <f>IFERROR(VLOOKUP(E59,Цена!$E$9:$G$17,3,FALSE),0)+IFERROR(VLOOKUP(E59,Цена!$E$20:$G$28,3,FALSE),0)+IFERROR(VLOOKUP(E59,Цена!$E$31:$G$39,3,FALSE),0)+IFERROR(VLOOKUP(E59,Цена!$E$43:$G$51,3,FALSE),0)
+IFERROR(VLOOKUP(E59,Цена!E57:G58,3,FALSE),0)+IFERROR(VLOOKUP(E59,Цена!E62:G64,3,FALSE),0)+IFERROR(VLOOKUP(E59,Цена!E73:J73,3,FALSE),0)+IFERROR(VLOOKUP(E59,Цена!E88:G88,3,FALSE),0)+IFERROR(VLOOKUP(E59,Цена!E107:G107,3,FALSE),0)</f>
        <v/>
      </c>
      <c r="G59" s="3" t="n"/>
      <c r="H59" s="3" t="n"/>
      <c r="I59" s="134">
        <f>Материалы!H70</f>
        <v/>
      </c>
    </row>
    <row r="60">
      <c r="B60" s="3" t="n"/>
      <c r="C60" s="70">
        <f>Материалы!C71</f>
        <v/>
      </c>
      <c r="D60" s="58">
        <f>Материалы!D71</f>
        <v/>
      </c>
      <c r="E60" s="58">
        <f>Материалы!E71</f>
        <v/>
      </c>
      <c r="F60" s="10">
        <f>IFERROR(VLOOKUP(E60,Цена!$E$9:$G$17,3,FALSE),0)+IFERROR(VLOOKUP(E60,Цена!$E$20:$G$28,3,FALSE),0)+IFERROR(VLOOKUP(E60,Цена!$E$31:$G$39,3,FALSE),0)+IFERROR(VLOOKUP(E60,Цена!$E$43:$G$51,3,FALSE),0)
+IFERROR(VLOOKUP(E60,Цена!E58:G59,3,FALSE),0)+IFERROR(VLOOKUP(E60,Цена!E63:G65,3,FALSE),0)+IFERROR(VLOOKUP(E60,Цена!E74:J74,3,FALSE),0)+IFERROR(VLOOKUP(E60,Цена!E89:G89,3,FALSE),0)+IFERROR(VLOOKUP(E60,Цена!E108:G108,3,FALSE),0)</f>
        <v/>
      </c>
      <c r="G60" s="3" t="n"/>
      <c r="H60" s="3" t="n"/>
      <c r="I60" s="134">
        <f>Материалы!H71</f>
        <v/>
      </c>
    </row>
    <row r="61">
      <c r="B61" s="3" t="n"/>
      <c r="C61" s="70">
        <f>Материалы!C72</f>
        <v/>
      </c>
      <c r="D61" s="58">
        <f>Материалы!D72</f>
        <v/>
      </c>
      <c r="E61" s="58">
        <f>Материалы!E72</f>
        <v/>
      </c>
      <c r="F61" s="10">
        <f>IFERROR(VLOOKUP(E61,Цена!$E$9:$G$17,3,FALSE),0)+IFERROR(VLOOKUP(E61,Цена!$E$20:$G$28,3,FALSE),0)+IFERROR(VLOOKUP(E61,Цена!$E$31:$G$39,3,FALSE),0)+IFERROR(VLOOKUP(E61,Цена!$E$43:$G$51,3,FALSE),0)
+IFERROR(VLOOKUP(E61,Цена!E59:G60,3,FALSE),0)+IFERROR(VLOOKUP(E61,Цена!E64:G66,3,FALSE),0)+IFERROR(VLOOKUP(E61,Цена!E75:J75,3,FALSE),0)+IFERROR(VLOOKUP(E61,Цена!E90:G90,3,FALSE),0)+IFERROR(VLOOKUP(E61,Цена!E109:G109,3,FALSE),0)</f>
        <v/>
      </c>
      <c r="G61" s="3" t="n"/>
      <c r="H61" s="3" t="n"/>
      <c r="I61" s="134">
        <f>Материалы!H72</f>
        <v/>
      </c>
    </row>
    <row r="62">
      <c r="B62" s="3" t="n"/>
      <c r="C62" s="70">
        <f>Материалы!C73</f>
        <v/>
      </c>
      <c r="D62" s="58">
        <f>Материалы!D73</f>
        <v/>
      </c>
      <c r="E62" s="58">
        <f>Материалы!E73</f>
        <v/>
      </c>
      <c r="F62" s="10">
        <f>IFERROR(VLOOKUP(E62,Цена!$E$9:$G$17,3,FALSE),0)+IFERROR(VLOOKUP(E62,Цена!$E$20:$G$28,3,FALSE),0)+IFERROR(VLOOKUP(E62,Цена!$E$31:$G$39,3,FALSE),0)+IFERROR(VLOOKUP(E62,Цена!$E$43:$G$51,3,FALSE),0)
+IFERROR(VLOOKUP(E62,Цена!E60:G61,3,FALSE),0)+IFERROR(VLOOKUP(E62,Цена!E65:G72,3,FALSE),0)+IFERROR(VLOOKUP(E62,Цена!E79:J79,3,FALSE),0)+IFERROR(VLOOKUP(E62,Цена!E91:G91,3,FALSE),0)+IFERROR(VLOOKUP(E62,Цена!E110:G110,3,FALSE),0)</f>
        <v/>
      </c>
      <c r="G62" s="3" t="n"/>
      <c r="H62" s="3" t="n"/>
      <c r="I62" s="134">
        <f>Материалы!H73</f>
        <v/>
      </c>
    </row>
    <row r="63">
      <c r="B63" s="3" t="n"/>
      <c r="C63" s="70">
        <f>Материалы!C74</f>
        <v/>
      </c>
      <c r="D63" s="58">
        <f>Материалы!D74</f>
        <v/>
      </c>
      <c r="E63" s="58">
        <f>Материалы!E74</f>
        <v/>
      </c>
      <c r="F63" s="10">
        <f>IFERROR(VLOOKUP(E63,Цена!$E$9:$G$17,3,FALSE),0)+IFERROR(VLOOKUP(E63,Цена!$E$20:$G$28,3,FALSE),0)+IFERROR(VLOOKUP(E63,Цена!$E$31:$G$39,3,FALSE),0)+IFERROR(VLOOKUP(E63,Цена!$E$43:$G$51,3,FALSE),0)
+IFERROR(VLOOKUP(E63,Цена!E55:G56,3,FALSE),0)+IFERROR(VLOOKUP(E63,Цена!E60:G62,3,FALSE),0)+IFERROR(VLOOKUP(E63,Цена!E66:J66,3,FALSE),0)+IFERROR(VLOOKUP(E63,Цена!E86:G86,3,FALSE),0)+IFERROR(VLOOKUP(E63,Цена!E94:G94,3,FALSE),0)</f>
        <v/>
      </c>
      <c r="G63" s="3" t="n"/>
      <c r="H63" s="3" t="n"/>
      <c r="I63" s="134">
        <f>Материалы!H74</f>
        <v/>
      </c>
    </row>
    <row r="64">
      <c r="B64" s="3" t="n"/>
      <c r="C64" s="70">
        <f>Материалы!C75</f>
        <v/>
      </c>
      <c r="D64" s="58">
        <f>Материалы!D75</f>
        <v/>
      </c>
      <c r="E64" s="58">
        <f>Материалы!E75</f>
        <v/>
      </c>
      <c r="F64" s="10">
        <f>IFERROR(VLOOKUP(E64,Цена!$E$9:$G$17,3,FALSE),0)+IFERROR(VLOOKUP(E64,Цена!$E$20:$G$28,3,FALSE),0)+IFERROR(VLOOKUP(E64,Цена!$E$31:$G$39,3,FALSE),0)+IFERROR(VLOOKUP(E64,Цена!$E$43:$G$51,3,FALSE),0)
+IFERROR(VLOOKUP(E64,Цена!E56:G57,3,FALSE),0)+IFERROR(VLOOKUP(E64,Цена!E61:G63,3,FALSE),0)+IFERROR(VLOOKUP(E64,Цена!E72:J72,3,FALSE),0)+IFERROR(VLOOKUP(E64,Цена!E87:G87,3,FALSE),0)+IFERROR(VLOOKUP(E64,Цена!E95:G95,3,FALSE),0)</f>
        <v/>
      </c>
      <c r="G64" s="3" t="n"/>
      <c r="H64" s="3" t="n"/>
      <c r="I64" s="134">
        <f>Материалы!H75</f>
        <v/>
      </c>
    </row>
    <row r="65">
      <c r="B65" s="3" t="n"/>
      <c r="C65" s="70">
        <f>Материалы!C76</f>
        <v/>
      </c>
      <c r="D65" s="58">
        <f>Материалы!D76</f>
        <v/>
      </c>
      <c r="E65" s="58">
        <f>Материалы!E76</f>
        <v/>
      </c>
      <c r="F65" s="10">
        <f>IFERROR(VLOOKUP(E65,Цена!$E$9:$G$17,3,FALSE),0)+IFERROR(VLOOKUP(E65,Цена!$E$20:$G$28,3,FALSE),0)+IFERROR(VLOOKUP(E65,Цена!$E$31:$G$39,3,FALSE),0)+IFERROR(VLOOKUP(E65,Цена!$E$43:$G$51,3,FALSE),0)
+IFERROR(VLOOKUP(E65,Цена!E57:G58,3,FALSE),0)+IFERROR(VLOOKUP(E65,Цена!E62:G64,3,FALSE),0)+IFERROR(VLOOKUP(E65,Цена!E73:J73,3,FALSE),0)+IFERROR(VLOOKUP(E65,Цена!E88:G88,3,FALSE),0)+IFERROR(VLOOKUP(E65,Цена!E107:G107,3,FALSE),0)</f>
        <v/>
      </c>
      <c r="G65" s="3" t="n"/>
      <c r="H65" s="3" t="n"/>
      <c r="I65" s="134">
        <f>Материалы!H76</f>
        <v/>
      </c>
    </row>
    <row r="66">
      <c r="B66" s="3" t="n"/>
      <c r="C66" s="70">
        <f>Материалы!C77</f>
        <v/>
      </c>
      <c r="D66" s="58">
        <f>Материалы!D77</f>
        <v/>
      </c>
      <c r="E66" s="58">
        <f>Материалы!E77</f>
        <v/>
      </c>
      <c r="F66" s="10">
        <f>IFERROR(VLOOKUP(E66,Цена!$E$9:$G$17,3,FALSE),0)+IFERROR(VLOOKUP(E66,Цена!$E$20:$G$28,3,FALSE),0)+IFERROR(VLOOKUP(E66,Цена!$E$31:$G$39,3,FALSE),0)+IFERROR(VLOOKUP(E66,Цена!$E$43:$G$51,3,FALSE),0)
+IFERROR(VLOOKUP(E66,Цена!E58:G59,3,FALSE),0)+IFERROR(VLOOKUP(E66,Цена!E63:G65,3,FALSE),0)+IFERROR(VLOOKUP(E66,Цена!E74:J74,3,FALSE),0)+IFERROR(VLOOKUP(E66,Цена!E89:G89,3,FALSE),0)+IFERROR(VLOOKUP(E66,Цена!E108:G108,3,FALSE),0)</f>
        <v/>
      </c>
      <c r="G66" s="3" t="n"/>
      <c r="H66" s="3" t="n"/>
      <c r="I66" s="134">
        <f>Материалы!H77</f>
        <v/>
      </c>
    </row>
    <row r="67">
      <c r="B67" s="3" t="n"/>
      <c r="C67" s="70">
        <f>Материалы!C78</f>
        <v/>
      </c>
      <c r="D67" s="58">
        <f>Материалы!D78</f>
        <v/>
      </c>
      <c r="E67" s="58">
        <f>Материалы!E78</f>
        <v/>
      </c>
      <c r="F67" s="10">
        <f>IFERROR(VLOOKUP(E67,Цена!$E$9:$G$17,3,FALSE),0)+IFERROR(VLOOKUP(E67,Цена!$E$20:$G$28,3,FALSE),0)+IFERROR(VLOOKUP(E67,Цена!$E$31:$G$39,3,FALSE),0)+IFERROR(VLOOKUP(E67,Цена!$E$43:$G$51,3,FALSE),0)
+IFERROR(VLOOKUP(E67,Цена!E59:G60,3,FALSE),0)+IFERROR(VLOOKUP(E67,Цена!E64:G66,3,FALSE),0)+IFERROR(VLOOKUP(E67,Цена!E75:J75,3,FALSE),0)+IFERROR(VLOOKUP(E67,Цена!E90:G90,3,FALSE),0)+IFERROR(VLOOKUP(E67,Цена!E109:G109,3,FALSE),0)</f>
        <v/>
      </c>
      <c r="G67" s="3" t="n"/>
      <c r="H67" s="3" t="n"/>
      <c r="I67" s="134">
        <f>Материалы!H78</f>
        <v/>
      </c>
    </row>
    <row r="68">
      <c r="B68" s="3" t="n"/>
      <c r="C68" s="70">
        <f>Материалы!C79</f>
        <v/>
      </c>
      <c r="D68" s="58">
        <f>Материалы!D79</f>
        <v/>
      </c>
      <c r="E68" s="58">
        <f>Материалы!E79</f>
        <v/>
      </c>
      <c r="F68" s="10">
        <f>IFERROR(VLOOKUP(E68,Цена!$E$9:$G$17,3,FALSE),0)+IFERROR(VLOOKUP(E68,Цена!$E$20:$G$28,3,FALSE),0)+IFERROR(VLOOKUP(E68,Цена!$E$31:$G$39,3,FALSE),0)+IFERROR(VLOOKUP(E68,Цена!$E$43:$G$51,3,FALSE),0)
+IFERROR(VLOOKUP(E68,Цена!E60:G61,3,FALSE),0)+IFERROR(VLOOKUP(E68,Цена!E65:G72,3,FALSE),0)+IFERROR(VLOOKUP(E68,Цена!E79:J79,3,FALSE),0)+IFERROR(VLOOKUP(E68,Цена!E91:G91,3,FALSE),0)+IFERROR(VLOOKUP(E68,Цена!E110:G110,3,FALSE),0)</f>
        <v/>
      </c>
      <c r="G68" s="3" t="n"/>
      <c r="H68" s="3" t="n"/>
      <c r="I68" s="134">
        <f>Материалы!H79</f>
        <v/>
      </c>
    </row>
    <row r="69">
      <c r="B69" s="3" t="n"/>
      <c r="C69" s="70">
        <f>Материалы!C80</f>
        <v/>
      </c>
      <c r="D69" s="10">
        <f>Материалы!D80</f>
        <v/>
      </c>
      <c r="E69" s="10">
        <f>Материалы!E80</f>
        <v/>
      </c>
      <c r="F69" s="10">
        <f>Цена!G95</f>
        <v/>
      </c>
      <c r="G69" s="3" t="n"/>
      <c r="H69" s="3" t="n"/>
      <c r="I69" s="134">
        <f>Материалы!H80</f>
        <v/>
      </c>
    </row>
    <row r="70">
      <c r="B70" s="111" t="n"/>
      <c r="C70" s="111">
        <f>Материалы!C84</f>
        <v/>
      </c>
      <c r="D70" s="112">
        <f>Материалы!D84</f>
        <v/>
      </c>
      <c r="E70" s="112">
        <f>Материалы!E84</f>
        <v/>
      </c>
      <c r="F70" s="112">
        <f>Цена!G90</f>
        <v/>
      </c>
      <c r="G70" s="111" t="n"/>
      <c r="H70" s="111" t="n"/>
      <c r="I70" s="164">
        <f>Материалы!H84</f>
        <v/>
      </c>
    </row>
    <row r="71">
      <c r="B71" s="3" t="n"/>
      <c r="C71" s="212">
        <f>Материалы!C85</f>
        <v/>
      </c>
      <c r="D71" s="59">
        <f>Материалы!D85</f>
        <v/>
      </c>
      <c r="E71" s="59">
        <f>Материалы!E85</f>
        <v/>
      </c>
      <c r="F71" s="60">
        <f>Цена!G91</f>
        <v/>
      </c>
      <c r="G71" s="195" t="n"/>
      <c r="H71" s="195" t="n"/>
      <c r="I71" s="213">
        <f>Материалы!H85</f>
        <v/>
      </c>
    </row>
    <row r="72">
      <c r="B72" s="3" t="n"/>
      <c r="C72" s="212">
        <f>Материалы!C86</f>
        <v/>
      </c>
      <c r="D72" s="59">
        <f>Материалы!D86</f>
        <v/>
      </c>
      <c r="E72" s="59">
        <f>Материалы!E86</f>
        <v/>
      </c>
      <c r="F72" s="60">
        <f>Цена!G92+Цена!G70</f>
        <v/>
      </c>
      <c r="G72" s="195" t="n"/>
      <c r="H72" s="195" t="n"/>
      <c r="I72" s="213">
        <f>Материалы!H86</f>
        <v/>
      </c>
    </row>
    <row r="73">
      <c r="B73" s="3" t="n"/>
      <c r="C73" s="212">
        <f>Материалы!C87</f>
        <v/>
      </c>
      <c r="D73" s="59">
        <f>Материалы!D87</f>
        <v/>
      </c>
      <c r="E73" s="59">
        <f>Материалы!E87</f>
        <v/>
      </c>
      <c r="F73" s="60">
        <f>IFERROR(VLOOKUP(E73,Цена!$E$80:$G$82,3,FALSE),0)</f>
        <v/>
      </c>
      <c r="G73" s="195" t="n"/>
      <c r="H73" s="195" t="n"/>
      <c r="I73" s="213">
        <f>Материалы!H87</f>
        <v/>
      </c>
    </row>
    <row r="74">
      <c r="B74" s="3" t="n"/>
      <c r="C74" s="212">
        <f>Материалы!C88</f>
        <v/>
      </c>
      <c r="D74" s="59">
        <f>Материалы!D88</f>
        <v/>
      </c>
      <c r="E74" s="59">
        <f>Материалы!E88</f>
        <v/>
      </c>
      <c r="F74" s="60">
        <f>IFERROR(VLOOKUP(E74,Цена!$E$80:$G$82,3,FALSE),0)</f>
        <v/>
      </c>
      <c r="G74" s="195" t="n"/>
      <c r="H74" s="195" t="n"/>
      <c r="I74" s="213">
        <f>Материалы!H88</f>
        <v/>
      </c>
    </row>
    <row r="75">
      <c r="B75" s="3" t="n"/>
      <c r="C75" s="212">
        <f>Материалы!C89</f>
        <v/>
      </c>
      <c r="D75" s="59">
        <f>Материалы!D89</f>
        <v/>
      </c>
      <c r="E75" s="59">
        <f>Материалы!E89</f>
        <v/>
      </c>
      <c r="F75" s="60">
        <f>IFERROR(VLOOKUP(E75,Цена!$E$74:$G$76,3,FALSE),0)</f>
        <v/>
      </c>
      <c r="G75" s="195" t="n"/>
      <c r="H75" s="195" t="n"/>
      <c r="I75" s="213">
        <f>Материалы!H89</f>
        <v/>
      </c>
    </row>
    <row r="76">
      <c r="B76" s="70" t="n"/>
      <c r="C76" s="214" t="inlineStr">
        <is>
          <t>Кнопка модульная</t>
        </is>
      </c>
      <c r="D76" s="197" t="inlineStr">
        <is>
          <t>1NO+1NC</t>
        </is>
      </c>
      <c r="E76" s="197" t="inlineStr">
        <is>
          <t>ПУСК_1NO_1NC</t>
        </is>
      </c>
      <c r="F76" s="197">
        <f>Цена!G82</f>
        <v/>
      </c>
      <c r="G76" s="197" t="n"/>
      <c r="H76" s="199" t="n"/>
      <c r="I76" s="199">
        <f>Материалы!H90</f>
        <v/>
      </c>
    </row>
    <row r="77">
      <c r="B77" s="70" t="n"/>
      <c r="C77" s="214" t="inlineStr">
        <is>
          <t>Лампа модульная</t>
        </is>
      </c>
      <c r="D77" s="215" t="inlineStr">
        <is>
          <t>желтый,красный</t>
        </is>
      </c>
      <c r="E77" s="197" t="inlineStr">
        <is>
          <t>ПУСК_1NO_1NC</t>
        </is>
      </c>
      <c r="F77" s="197">
        <f>Цена!G96</f>
        <v/>
      </c>
      <c r="G77" s="197" t="n"/>
      <c r="H77" s="199" t="n"/>
      <c r="I77" s="199">
        <f>Материалы!H91</f>
        <v/>
      </c>
    </row>
    <row r="78">
      <c r="B78" s="70" t="n"/>
      <c r="C78" s="200" t="inlineStr">
        <is>
          <t>выключатель для самозапуска</t>
        </is>
      </c>
      <c r="D78" s="197">
        <f>Цена!E76</f>
        <v/>
      </c>
      <c r="E78" s="197">
        <f>Цена!F76</f>
        <v/>
      </c>
      <c r="F78" s="197">
        <f>Цена!G76</f>
        <v/>
      </c>
      <c r="G78" s="197" t="n"/>
      <c r="H78" s="199" t="n"/>
      <c r="I78" s="216">
        <f>Материалы!H39</f>
        <v/>
      </c>
    </row>
    <row r="79">
      <c r="B79" s="111" t="n"/>
      <c r="C79" s="111">
        <f>Материалы!C94</f>
        <v/>
      </c>
      <c r="D79" s="112">
        <f>Материалы!D94</f>
        <v/>
      </c>
      <c r="E79" s="112">
        <f>Материалы!E94</f>
        <v/>
      </c>
      <c r="F79" s="112">
        <f>IFERROR(VLOOKUP(E79,Цена!$E$9:$G$17,3,FALSE),0)+IFERROR(VLOOKUP(E79,Цена!$E$20:$G$28,3,FALSE),0)+IFERROR(VLOOKUP(E79,Цена!$E$31:$G$39,3,FALSE),0)+IFERROR(VLOOKUP(E79,Цена!$E$43:$G$51,3,FALSE),0)</f>
        <v/>
      </c>
      <c r="G79" s="111" t="n"/>
      <c r="H79" s="111" t="n"/>
      <c r="I79" s="164">
        <f>Материалы!H94</f>
        <v/>
      </c>
      <c r="J79" s="57" t="n"/>
    </row>
    <row r="80">
      <c r="B80" s="3" t="n"/>
      <c r="C80" s="70">
        <f>Материалы!C95</f>
        <v/>
      </c>
      <c r="D80" s="58">
        <f>Материалы!D95</f>
        <v/>
      </c>
      <c r="E80" s="58">
        <f>Материалы!E95</f>
        <v/>
      </c>
      <c r="F80" s="58">
        <f>IFERROR(VLOOKUP(E80,Цена!$E$9:$G$17,3,FALSE),0)+IFERROR(VLOOKUP(E80,Цена!$E$20:$G$28,3,FALSE),0)+IFERROR(VLOOKUP(E80,Цена!$E$31:$G$39,3,FALSE),0)+IFERROR(VLOOKUP(E80,Цена!$E$43:$G$51,3,FALSE),0)</f>
        <v/>
      </c>
      <c r="G80" s="3" t="n"/>
      <c r="H80" s="3" t="n"/>
      <c r="I80" s="134">
        <f>Материалы!H95</f>
        <v/>
      </c>
    </row>
    <row r="81">
      <c r="B81" s="3" t="n"/>
      <c r="C81" s="70">
        <f>Материалы!C96</f>
        <v/>
      </c>
      <c r="D81" s="58">
        <f>Материалы!D96</f>
        <v/>
      </c>
      <c r="E81" s="58">
        <f>Материалы!E96</f>
        <v/>
      </c>
      <c r="F81" s="58">
        <f>IFERROR(VLOOKUP(E81,Цена!$E$9:$G$17,3,FALSE),0)+IFERROR(VLOOKUP(E81,Цена!$E$20:$G$28,3,FALSE),0)+IFERROR(VLOOKUP(E81,Цена!$E$31:$G$39,3,FALSE),0)+IFERROR(VLOOKUP(E81,Цена!$E$43:$G$51,3,FALSE),0)</f>
        <v/>
      </c>
      <c r="G81" s="3" t="n"/>
      <c r="H81" s="3" t="n"/>
      <c r="I81" s="134">
        <f>Материалы!H96</f>
        <v/>
      </c>
    </row>
    <row r="82">
      <c r="B82" s="3" t="n"/>
      <c r="C82" s="70">
        <f>Материалы!C97</f>
        <v/>
      </c>
      <c r="D82" s="58">
        <f>Материалы!D97</f>
        <v/>
      </c>
      <c r="E82" s="58">
        <f>Материалы!E97</f>
        <v/>
      </c>
      <c r="F82" s="58">
        <f>IFERROR(VLOOKUP(E82,Цена!$E$9:$G$17,3,FALSE),0)+IFERROR(VLOOKUP(E82,Цена!$E$20:$G$28,3,FALSE),0)+IFERROR(VLOOKUP(E82,Цена!$E$31:$G$39,3,FALSE),0)+IFERROR(VLOOKUP(E82,Цена!$E$43:$G$51,3,FALSE),0)</f>
        <v/>
      </c>
      <c r="G82" s="3" t="n"/>
      <c r="H82" s="3" t="n"/>
      <c r="I82" s="134">
        <f>Материалы!H97</f>
        <v/>
      </c>
    </row>
    <row r="83">
      <c r="B83" s="111" t="n"/>
      <c r="C83" s="111">
        <f>Материалы!C100</f>
        <v/>
      </c>
      <c r="D83" s="112">
        <f>Материалы!D100</f>
        <v/>
      </c>
      <c r="E83" s="112">
        <f>Материалы!E100</f>
        <v/>
      </c>
      <c r="F83" s="112" t="n"/>
      <c r="G83" s="111" t="n"/>
      <c r="H83" s="111" t="n"/>
      <c r="I83" s="112" t="n"/>
    </row>
    <row r="84">
      <c r="B84" s="3" t="n"/>
      <c r="C84" s="70">
        <f>Материалы!C101</f>
        <v/>
      </c>
      <c r="D84" s="58">
        <f>Материалы!D101</f>
        <v/>
      </c>
      <c r="E84" s="58">
        <f>Материалы!E101</f>
        <v/>
      </c>
      <c r="F84" s="10" t="n"/>
      <c r="G84" s="3" t="n"/>
      <c r="H84" s="3" t="n"/>
      <c r="I84" s="10" t="n"/>
    </row>
    <row r="85">
      <c r="B85" s="3" t="n"/>
      <c r="C85" s="70">
        <f>Материалы!C102</f>
        <v/>
      </c>
      <c r="D85" s="58">
        <f>Материалы!D102</f>
        <v/>
      </c>
      <c r="E85" s="58">
        <f>Материалы!E102</f>
        <v/>
      </c>
      <c r="F85" s="10" t="n"/>
      <c r="G85" s="3" t="n"/>
      <c r="H85" s="3" t="n"/>
      <c r="I85" s="10" t="n"/>
    </row>
    <row r="86">
      <c r="B86" s="3" t="n"/>
      <c r="C86" s="70">
        <f>Материалы!C103</f>
        <v/>
      </c>
      <c r="D86" s="58">
        <f>Материалы!D103</f>
        <v/>
      </c>
      <c r="E86" s="58">
        <f>Материалы!E103</f>
        <v/>
      </c>
      <c r="F86" s="10" t="n"/>
      <c r="G86" s="3" t="n"/>
      <c r="H86" s="3" t="n"/>
      <c r="I86" s="10" t="n"/>
    </row>
    <row r="87">
      <c r="B87" s="3" t="n"/>
      <c r="C87" s="70">
        <f>Материалы!C104</f>
        <v/>
      </c>
      <c r="D87" s="58">
        <f>Материалы!D104</f>
        <v/>
      </c>
      <c r="E87" s="58">
        <f>Материалы!E104</f>
        <v/>
      </c>
      <c r="F87" s="10" t="n"/>
      <c r="G87" s="3" t="n"/>
      <c r="H87" s="3" t="n"/>
      <c r="I87" s="10" t="n"/>
    </row>
    <row r="88">
      <c r="B88" s="3" t="n"/>
      <c r="C88" s="70">
        <f>Материалы!C105</f>
        <v/>
      </c>
      <c r="D88" s="58">
        <f>Материалы!D105</f>
        <v/>
      </c>
      <c r="E88" s="58">
        <f>Материалы!E105</f>
        <v/>
      </c>
      <c r="F88" s="10" t="n"/>
      <c r="G88" s="3" t="n"/>
      <c r="H88" s="3" t="n"/>
      <c r="I88" s="10" t="n"/>
    </row>
    <row r="89">
      <c r="B89" s="3" t="n"/>
      <c r="C89" s="70">
        <f>Материалы!C106</f>
        <v/>
      </c>
      <c r="D89" s="58">
        <f>Материалы!D106</f>
        <v/>
      </c>
      <c r="E89" s="58">
        <f>Материалы!E106</f>
        <v/>
      </c>
      <c r="F89" s="10" t="n"/>
      <c r="G89" s="3" t="n"/>
      <c r="H89" s="3" t="n"/>
      <c r="I89" s="10" t="n"/>
    </row>
    <row r="90">
      <c r="B90" s="3" t="n"/>
      <c r="C90" s="70">
        <f>Материалы!C107</f>
        <v/>
      </c>
      <c r="D90" s="58">
        <f>Материалы!D107</f>
        <v/>
      </c>
      <c r="E90" s="58">
        <f>Материалы!E107</f>
        <v/>
      </c>
      <c r="F90" s="10" t="n"/>
      <c r="G90" s="3" t="n"/>
      <c r="H90" s="3" t="n"/>
      <c r="I90" s="10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 codeName="Лист5">
    <outlinePr summaryBelow="1" summaryRight="1"/>
    <pageSetUpPr/>
  </sheetPr>
  <dimension ref="A2:G31"/>
  <sheetViews>
    <sheetView workbookViewId="0">
      <selection activeCell="U97" sqref="U97"/>
    </sheetView>
  </sheetViews>
  <sheetFormatPr baseColWidth="8" defaultRowHeight="15"/>
  <cols>
    <col width="32" bestFit="1" customWidth="1" style="552" min="2" max="2"/>
    <col width="17.85546875" bestFit="1" customWidth="1" style="1" min="3" max="3"/>
    <col width="17.28515625" bestFit="1" customWidth="1" style="552" min="4" max="4"/>
    <col width="12.5703125" bestFit="1" customWidth="1" style="552" min="5" max="5"/>
    <col width="15.28515625" customWidth="1" style="552" min="6" max="6"/>
    <col width="20.7109375" customWidth="1" style="1" min="7" max="7"/>
    <col width="17.140625" customWidth="1" style="552" min="8" max="8"/>
    <col width="17.28515625" customWidth="1" style="552" min="9" max="9"/>
  </cols>
  <sheetData>
    <row r="1" ht="15.75" customHeight="1" s="552" thickBot="1"/>
    <row r="2" ht="16.5" customHeight="1" s="552" thickBot="1">
      <c r="B2" s="106" t="inlineStr">
        <is>
          <t>Наименование</t>
        </is>
      </c>
      <c r="C2" s="106" t="inlineStr">
        <is>
          <t>Заказной номер</t>
        </is>
      </c>
      <c r="D2" s="106" t="inlineStr">
        <is>
          <t>Характеристика</t>
        </is>
      </c>
      <c r="E2" s="106" t="inlineStr">
        <is>
          <t>Количество</t>
        </is>
      </c>
      <c r="F2" s="106" t="inlineStr">
        <is>
          <t>Цена, руб РБ</t>
        </is>
      </c>
      <c r="G2" s="106" t="inlineStr">
        <is>
          <t>Стоимость, руб РБ</t>
        </is>
      </c>
    </row>
    <row r="3">
      <c r="A3" t="n">
        <v>1</v>
      </c>
      <c r="B3" s="107">
        <f t="array" ref="B3">IFERROR(INDEX(Общее!$C$3:$C$92,SMALL(IF(0&lt;&gt;Общее!$F$3:$F$92,ROW(Общее!$F$3:$F$92),""),ROW()-ROW(Общее!$F$2))-ROW(Общее!$F$2)),"")</f>
        <v/>
      </c>
      <c r="C3" s="58">
        <f t="array" ref="C3">IFERROR(INDEX(Общее!$E$3:$E$92,SMALL(IF(0&lt;&gt;Общее!$F$3:$F$92,ROW(Общее!$F$3:$F$92),""),ROW()-ROW(Общее!$F$2))-ROW(Общее!$F$2)),"")</f>
        <v/>
      </c>
      <c r="D3" s="58">
        <f t="array" ref="D3">IFERROR(INDEX(Общее!$D$3:$D$92,SMALL(IF(0&lt;&gt;Общее!$F$3:$F$92,ROW(Общее!$F$3:$F$92),""),ROW()-ROW(Общее!$F$2))-ROW(Общее!$F$2)),"")</f>
        <v/>
      </c>
      <c r="E3" s="58">
        <f t="array" ref="E3">IFERROR(INDEX(Общее!$F$3:$F$92,SMALL(IF(0&lt;&gt;Общее!$F$3:$F$92,ROW(Общее!$F$3:$F$92),""),ROW()-ROW(Общее!$F$2))-ROW(Общее!$F$2)),"")</f>
        <v/>
      </c>
      <c r="F3" s="134">
        <f t="array" ref="F3">IFERROR(INDEX(Общее!$I3:$I92,SMALL(IF(0&lt;&gt;Общее!$F$3:$F$92,ROW(Общее!$F$3:$F$92),""),ROW()-ROW(Общее!$F$2))-ROW(Общее!$F$2)),"")</f>
        <v/>
      </c>
      <c r="G3" s="167">
        <f>IFERROR(E3*F3,"")</f>
        <v/>
      </c>
    </row>
    <row r="4">
      <c r="A4" t="n">
        <v>2</v>
      </c>
      <c r="B4" s="108">
        <f t="array" ref="B4:B25">IFERROR(INDEX(Общее!$C$3:$C$92,SMALL(IF(0&lt;&gt;Общее!$F$3:$F$92,ROW(Общее!$F$3:$F$92),""),ROW()-ROW(Общее!$F$2))-ROW(Общее!$F$2)),"")</f>
        <v/>
      </c>
      <c r="C4" s="10">
        <f t="array" ref="C4:C25">IFERROR(INDEX(Общее!$E$3:$E$92,SMALL(IF(0&lt;&gt;Общее!$F$3:$F$92,ROW(Общее!$F$3:$F$92),""),ROW()-ROW(Общее!$F$2))-ROW(Общее!$F$2)),"")</f>
        <v/>
      </c>
      <c r="D4" s="10">
        <f t="array" ref="D4:D25">IFERROR(INDEX(Общее!$D$3:$D$92,SMALL(IF(0&lt;&gt;Общее!$F$3:$F$92,ROW(Общее!$F$3:$F$92),""),ROW()-ROW(Общее!$F$2))-ROW(Общее!$F$2)),"")</f>
        <v/>
      </c>
      <c r="E4" s="10">
        <f t="array" ref="E4:E25">IFERROR(INDEX(Общее!$F$3:$F$92,SMALL(IF(0&lt;&gt;Общее!$F$3:$F$92,ROW(Общее!$F$3:$F$92),""),ROW()-ROW(Общее!$F$2))-ROW(Общее!$F$2)),"")</f>
        <v/>
      </c>
      <c r="F4" s="140">
        <f t="array" ref="F4:F25">IFERROR(INDEX(Общее!$I3:$I92,SMALL(IF(0&lt;&gt;Общее!$F$3:$F$92,ROW(Общее!$F$3:$F$92),""),ROW()-ROW(Общее!$F$2))-ROW(Общее!$F$2)),"")</f>
        <v/>
      </c>
      <c r="G4" s="167">
        <f>IFERROR(E4*F4,"")</f>
        <v/>
      </c>
    </row>
    <row r="5">
      <c r="A5" t="n">
        <v>3</v>
      </c>
      <c r="B5" s="108" t="inlineStr">
        <is>
          <t>Автомат. Выключатель 1п</t>
        </is>
      </c>
      <c r="C5" s="10" t="inlineStr">
        <is>
          <t>6А 1п.</t>
        </is>
      </c>
      <c r="D5" s="10" t="n">
        <v>6</v>
      </c>
      <c r="E5" s="10" t="n">
        <v>1</v>
      </c>
      <c r="F5" s="140" t="n">
        <v>11.08</v>
      </c>
      <c r="G5" s="167">
        <f>IFERROR(E5*F5,"")</f>
        <v/>
      </c>
    </row>
    <row r="6">
      <c r="A6" t="n">
        <v>4</v>
      </c>
      <c r="B6" s="108" t="inlineStr">
        <is>
          <t>Реле промеж., 4пер.конт</t>
        </is>
      </c>
      <c r="C6" s="10" t="inlineStr">
        <is>
          <t>Р_4_230</t>
        </is>
      </c>
      <c r="D6" s="10" t="inlineStr">
        <is>
          <t>4СО, 230В</t>
        </is>
      </c>
      <c r="E6" s="10" t="n">
        <v>2</v>
      </c>
      <c r="F6" s="140" t="n">
        <v>13.9</v>
      </c>
      <c r="G6" s="167">
        <f>IFERROR(E6*F6,"")</f>
        <v/>
      </c>
    </row>
    <row r="7">
      <c r="A7" t="n">
        <v>5</v>
      </c>
      <c r="B7" s="108" t="inlineStr">
        <is>
          <t>Реле промеж., 2пер.конт</t>
        </is>
      </c>
      <c r="C7" s="10" t="inlineStr">
        <is>
          <t>Р_2_230</t>
        </is>
      </c>
      <c r="D7" s="10" t="inlineStr">
        <is>
          <t>2СО, 230В</t>
        </is>
      </c>
      <c r="E7" s="10" t="n">
        <v>1</v>
      </c>
      <c r="F7" s="140" t="n">
        <v>9.74</v>
      </c>
      <c r="G7" s="167">
        <f>IFERROR(E7*F7,"")</f>
        <v/>
      </c>
    </row>
    <row r="8">
      <c r="A8" t="n">
        <v>6</v>
      </c>
      <c r="B8" s="108" t="inlineStr">
        <is>
          <t>Реле времени</t>
        </is>
      </c>
      <c r="C8" s="10" t="inlineStr">
        <is>
          <t>Р_вр</t>
        </is>
      </c>
      <c r="D8" s="10" t="inlineStr">
        <is>
          <t>Р_вр</t>
        </is>
      </c>
      <c r="E8" s="10" t="n">
        <v>1</v>
      </c>
      <c r="F8" s="140" t="n">
        <v>46.9</v>
      </c>
      <c r="G8" s="167">
        <f>IFERROR(E8*F8,"")</f>
        <v/>
      </c>
    </row>
    <row r="9">
      <c r="A9" t="n">
        <v>7</v>
      </c>
      <c r="B9" s="108" t="inlineStr">
        <is>
          <t>Клемма</t>
        </is>
      </c>
      <c r="C9" s="10" t="inlineStr">
        <is>
          <t>Клемма2,5</t>
        </is>
      </c>
      <c r="D9" s="10" t="n">
        <v>2.5</v>
      </c>
      <c r="E9" s="10" t="n">
        <v>29</v>
      </c>
      <c r="F9" s="140" t="n">
        <v>0.63</v>
      </c>
      <c r="G9" s="167">
        <f>IFERROR(E9*F9,"")</f>
        <v/>
      </c>
    </row>
    <row r="10">
      <c r="A10" t="n">
        <v>8</v>
      </c>
      <c r="B10" s="108" t="inlineStr">
        <is>
          <t>Клемма N</t>
        </is>
      </c>
      <c r="C10" s="10" t="inlineStr">
        <is>
          <t>Клемма N2,5</t>
        </is>
      </c>
      <c r="D10" s="10" t="n">
        <v>2.5</v>
      </c>
      <c r="E10" s="10" t="n">
        <v>2</v>
      </c>
      <c r="F10" s="140" t="n">
        <v>0.61</v>
      </c>
      <c r="G10" s="167">
        <f>IFERROR(E10*F10,"")</f>
        <v/>
      </c>
    </row>
    <row r="11">
      <c r="A11" t="n">
        <v>9</v>
      </c>
      <c r="B11" s="108" t="inlineStr">
        <is>
          <t>Клемма PE</t>
        </is>
      </c>
      <c r="C11" s="10" t="inlineStr">
        <is>
          <t>Клемма PE2,5</t>
        </is>
      </c>
      <c r="D11" s="10" t="n">
        <v>2.5</v>
      </c>
      <c r="E11" s="10" t="n">
        <v>2</v>
      </c>
      <c r="F11" s="140" t="n">
        <v>1.24</v>
      </c>
      <c r="G11" s="167">
        <f>IFERROR(E11*F11,"")</f>
        <v/>
      </c>
    </row>
    <row r="12">
      <c r="A12" t="n">
        <v>10</v>
      </c>
      <c r="B12" s="108" t="inlineStr">
        <is>
          <t>Концевой стопор</t>
        </is>
      </c>
      <c r="C12" s="10" t="inlineStr">
        <is>
          <t>Кон_стопор</t>
        </is>
      </c>
      <c r="D12" s="10" t="inlineStr">
        <is>
          <t>КС</t>
        </is>
      </c>
      <c r="E12" s="10" t="n">
        <v>4</v>
      </c>
      <c r="F12" s="140" t="n">
        <v>0.92</v>
      </c>
      <c r="G12" s="167">
        <f>IFERROR(E12*F12,"")</f>
        <v/>
      </c>
    </row>
    <row r="13">
      <c r="A13" t="n">
        <v>11</v>
      </c>
      <c r="B13" s="108" t="inlineStr">
        <is>
          <t>Индикатор РАБОТА (зеленый)</t>
        </is>
      </c>
      <c r="C13" s="10" t="inlineStr">
        <is>
          <t>Ин_з</t>
        </is>
      </c>
      <c r="D13" s="10" t="inlineStr">
        <is>
          <t>зеленый</t>
        </is>
      </c>
      <c r="E13" s="10" t="n">
        <v>1</v>
      </c>
      <c r="F13" s="140" t="n">
        <v>1.4</v>
      </c>
      <c r="G13" s="167">
        <f>IFERROR(E13*F13,"")</f>
        <v/>
      </c>
    </row>
    <row r="14">
      <c r="A14" t="n">
        <v>12</v>
      </c>
      <c r="B14" s="108" t="inlineStr">
        <is>
          <t>Индикатор АВАРИЯ (красный)</t>
        </is>
      </c>
      <c r="C14" s="10" t="inlineStr">
        <is>
          <t>Ин_кр</t>
        </is>
      </c>
      <c r="D14" s="10" t="inlineStr">
        <is>
          <t>красный</t>
        </is>
      </c>
      <c r="E14" s="10" t="n">
        <v>2</v>
      </c>
      <c r="F14" s="140" t="n">
        <v>1.41</v>
      </c>
      <c r="G14" s="167">
        <f>IFERROR(E14*F14,"")</f>
        <v/>
      </c>
    </row>
    <row r="15">
      <c r="A15" t="n">
        <v>13</v>
      </c>
      <c r="B15" s="108" t="inlineStr">
        <is>
          <t>Переключатель 3 пол.</t>
        </is>
      </c>
      <c r="C15" s="10" t="inlineStr">
        <is>
          <t>ПЕРЕКЛ_3пол</t>
        </is>
      </c>
      <c r="D15" s="10" t="inlineStr">
        <is>
          <t>1NO+1NC+1NO</t>
        </is>
      </c>
      <c r="E15" s="10" t="n">
        <v>1</v>
      </c>
      <c r="F15" s="140" t="n">
        <v>9.93</v>
      </c>
      <c r="G15" s="167">
        <f>IFERROR(E15*F15,"")</f>
        <v/>
      </c>
    </row>
    <row r="16">
      <c r="A16" t="n">
        <v>14</v>
      </c>
      <c r="B16" s="108" t="inlineStr">
        <is>
          <t>Шкаф металл. 400х300х205</t>
        </is>
      </c>
      <c r="C16" s="10" t="inlineStr">
        <is>
          <t>М_400х300х200</t>
        </is>
      </c>
      <c r="D16" s="10" t="inlineStr">
        <is>
          <t>400х300х200</t>
        </is>
      </c>
      <c r="E16" s="10" t="n">
        <v>1</v>
      </c>
      <c r="F16" s="140" t="n">
        <v>79.56</v>
      </c>
      <c r="G16" s="167">
        <f>IFERROR(E16*F16,"")</f>
        <v/>
      </c>
    </row>
    <row r="17">
      <c r="A17" t="n">
        <v>15</v>
      </c>
      <c r="B17" s="108" t="str"/>
      <c r="C17" s="10" t="str"/>
      <c r="D17" s="10" t="str"/>
      <c r="E17" s="10" t="str"/>
      <c r="F17" s="140" t="str"/>
      <c r="G17" s="167">
        <f>IFERROR(E17*F17,"")</f>
        <v/>
      </c>
    </row>
    <row r="18">
      <c r="A18" t="n">
        <v>16</v>
      </c>
      <c r="B18" s="108" t="str"/>
      <c r="C18" s="10" t="str"/>
      <c r="D18" s="10" t="str"/>
      <c r="E18" s="10" t="str"/>
      <c r="F18" s="140" t="str"/>
      <c r="G18" s="167">
        <f>IFERROR(E18*F18,"")</f>
        <v/>
      </c>
    </row>
    <row r="19">
      <c r="A19" t="n">
        <v>17</v>
      </c>
      <c r="B19" s="108" t="str"/>
      <c r="C19" s="10" t="str"/>
      <c r="D19" s="10" t="str"/>
      <c r="E19" s="10" t="str"/>
      <c r="F19" s="140" t="str"/>
      <c r="G19" s="167">
        <f>IFERROR(E19*F19,"")</f>
        <v/>
      </c>
    </row>
    <row r="20">
      <c r="A20" t="n">
        <v>18</v>
      </c>
      <c r="B20" s="108" t="str"/>
      <c r="C20" s="10" t="str"/>
      <c r="D20" s="10" t="str"/>
      <c r="E20" s="10" t="str"/>
      <c r="F20" s="140" t="str"/>
      <c r="G20" s="167">
        <f>IFERROR(E20*F20,"")</f>
        <v/>
      </c>
    </row>
    <row r="21">
      <c r="A21" t="n">
        <v>19</v>
      </c>
      <c r="B21" s="108" t="str"/>
      <c r="C21" s="10" t="str"/>
      <c r="D21" s="10" t="str"/>
      <c r="E21" s="10" t="str"/>
      <c r="F21" s="140" t="str"/>
      <c r="G21" s="167">
        <f>IFERROR(E21*F21,"")</f>
        <v/>
      </c>
    </row>
    <row r="22">
      <c r="A22" t="n">
        <v>20</v>
      </c>
      <c r="B22" s="108" t="str"/>
      <c r="C22" s="10" t="str"/>
      <c r="D22" s="10" t="str"/>
      <c r="E22" s="10" t="str"/>
      <c r="F22" s="140" t="str"/>
      <c r="G22" s="167">
        <f>IFERROR(E22*F22,"")</f>
        <v/>
      </c>
    </row>
    <row r="23">
      <c r="A23" t="n">
        <v>21</v>
      </c>
      <c r="B23" s="108" t="str"/>
      <c r="C23" s="10" t="str"/>
      <c r="D23" s="10" t="str"/>
      <c r="E23" s="10" t="str"/>
      <c r="F23" s="140" t="str"/>
      <c r="G23" s="167">
        <f>IFERROR(E23*F23,"")</f>
        <v/>
      </c>
    </row>
    <row r="24">
      <c r="A24" t="n">
        <v>22</v>
      </c>
      <c r="B24" s="108" t="str"/>
      <c r="C24" s="10" t="str"/>
      <c r="D24" s="10" t="str"/>
      <c r="E24" s="10" t="str"/>
      <c r="F24" s="140" t="str"/>
      <c r="G24" s="167">
        <f>IFERROR(E24*F24,"")</f>
        <v/>
      </c>
    </row>
    <row r="25" ht="15.75" customHeight="1" s="552" thickBot="1">
      <c r="A25" t="n">
        <v>23</v>
      </c>
      <c r="B25" s="109" t="str"/>
      <c r="C25" s="21" t="str"/>
      <c r="D25" s="21" t="str"/>
      <c r="E25" s="21" t="str"/>
      <c r="F25" s="166" t="str"/>
      <c r="G25" s="170">
        <f>IFERROR(E25*F25,"")</f>
        <v/>
      </c>
    </row>
    <row r="26" ht="15.75" customHeight="1" s="552" thickBot="1">
      <c r="B26" s="104" t="n"/>
      <c r="D26" s="1" t="n"/>
      <c r="E26" s="1" t="n"/>
      <c r="F26" s="1" t="n"/>
    </row>
    <row r="27" ht="19.5" customHeight="1" s="552" thickBot="1">
      <c r="B27" s="171" t="inlineStr">
        <is>
          <t>Стоимость материалов</t>
        </is>
      </c>
      <c r="C27" s="172" t="n"/>
      <c r="D27" s="172" t="n"/>
      <c r="E27" s="172" t="n"/>
      <c r="F27" s="172" t="n"/>
      <c r="G27" s="173">
        <f>SUM(G3:G22)</f>
        <v/>
      </c>
    </row>
    <row r="28" ht="19.5" customHeight="1" s="552" thickBot="1">
      <c r="B28" s="174" t="inlineStr">
        <is>
          <t>Коэффициент</t>
        </is>
      </c>
      <c r="C28" s="175" t="n"/>
      <c r="D28" s="74" t="n"/>
      <c r="E28" s="74" t="n"/>
      <c r="F28" s="74" t="n"/>
      <c r="G28" s="176" t="n">
        <v>2.9</v>
      </c>
    </row>
    <row r="29" ht="19.5" customHeight="1" s="552" thickBot="1">
      <c r="B29" s="177" t="inlineStr">
        <is>
          <t>ИТОГО СТОИМОСТЬ</t>
        </is>
      </c>
      <c r="C29" s="178" t="n"/>
      <c r="D29" s="179" t="n"/>
      <c r="E29" s="179" t="n"/>
      <c r="F29" s="179" t="n"/>
      <c r="G29" s="180">
        <f>G27*G28</f>
        <v/>
      </c>
    </row>
    <row r="30" ht="19.5" customHeight="1" s="552" thickBot="1">
      <c r="B30" s="448" t="inlineStr">
        <is>
          <t>курс</t>
        </is>
      </c>
      <c r="C30" s="450" t="n"/>
      <c r="D30" s="451" t="n"/>
      <c r="E30" s="451" t="n"/>
      <c r="F30" s="451" t="n"/>
      <c r="G30" s="452">
        <f>Цена!F1</f>
        <v/>
      </c>
    </row>
    <row r="31" ht="19.5" customHeight="1" s="552" thickBot="1">
      <c r="B31" s="449" t="inlineStr">
        <is>
          <t>Стоимость в руб РФ</t>
        </is>
      </c>
      <c r="C31" s="35" t="n"/>
      <c r="D31" s="16" t="n"/>
      <c r="E31" s="16" t="n"/>
      <c r="F31" s="16" t="n"/>
      <c r="G31" s="35">
        <f>G29*G30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Руслан М. Кабаев</dc:creator>
  <dcterms:created xmlns:dcterms="http://purl.org/dc/terms/" xmlns:xsi="http://www.w3.org/2001/XMLSchema-instance" xsi:type="dcterms:W3CDTF">2022-02-28T13:00:34Z</dcterms:created>
  <dcterms:modified xmlns:dcterms="http://purl.org/dc/terms/" xmlns:xsi="http://www.w3.org/2001/XMLSchema-instance" xsi:type="dcterms:W3CDTF">2022-12-27T13:04:09Z</dcterms:modified>
  <cp:lastModifiedBy>Овчинников Александр Николаевич</cp:lastModifiedBy>
</cp:coreProperties>
</file>