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ovchinnikov\Documents\Python\21 AUTOMATA\working_files\ВЕРСА\"/>
    </mc:Choice>
  </mc:AlternateContent>
  <xr:revisionPtr revIDLastSave="0" documentId="13_ncr:1_{7CEBEB49-81F2-42D6-BEBF-C38263AB4722}" xr6:coauthVersionLast="47" xr6:coauthVersionMax="47" xr10:uidLastSave="{00000000-0000-0000-0000-000000000000}"/>
  <workbookProtection workbookPassword="C7D3" lockStructure="1"/>
  <bookViews>
    <workbookView xWindow="17925" yWindow="4005" windowWidth="21600" windowHeight="11385" xr2:uid="{00000000-000D-0000-FFFF-FFFF00000000}"/>
  </bookViews>
  <sheets>
    <sheet name="Главная" sheetId="3" r:id="rId1"/>
    <sheet name="Рекомендации" sheetId="11" r:id="rId2"/>
    <sheet name="Расчет" sheetId="4" state="hidden" r:id="rId3"/>
    <sheet name="Расчет_ЭК" sheetId="10" state="hidden" r:id="rId4"/>
    <sheet name="Материалы" sheetId="1" state="hidden" r:id="rId5"/>
    <sheet name="Цена" sheetId="5" state="hidden" r:id="rId6"/>
    <sheet name="Общее" sheetId="7" state="hidden" r:id="rId7"/>
    <sheet name="Спецификация" sheetId="6" state="hidden" r:id="rId8"/>
    <sheet name="Лист1" sheetId="8" state="hidden" r:id="rId9"/>
    <sheet name="Лист2" sheetId="9" state="hidden" r:id="rId10"/>
  </sheets>
  <definedNames>
    <definedName name="_xlnm._FilterDatabase" localSheetId="6" hidden="1">Общее!$B$2:$I$20</definedName>
    <definedName name="_xlnm.Criteria" localSheetId="6">Общее!$F:$F</definedName>
    <definedName name="СУ">Расчет!$AJ$239:$AJ$249</definedName>
    <definedName name="СУ1">Главная!#REF!</definedName>
    <definedName name="Ф100">Расчет!$I$44:$I$52</definedName>
    <definedName name="Ф101">Расчет!$J$44:$J$52</definedName>
  </definedNames>
  <calcPr calcId="191029"/>
</workbook>
</file>

<file path=xl/calcChain.xml><?xml version="1.0" encoding="utf-8"?>
<calcChain xmlns="http://schemas.openxmlformats.org/spreadsheetml/2006/main">
  <c r="H128" i="4" l="1"/>
  <c r="H119" i="4"/>
  <c r="H114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15" i="4" l="1"/>
  <c r="Z18" i="10" l="1"/>
  <c r="Z17" i="10"/>
  <c r="Z16" i="10"/>
  <c r="Z15" i="10"/>
  <c r="M224" i="4" l="1"/>
  <c r="L224" i="4"/>
  <c r="M220" i="4"/>
  <c r="H161" i="7"/>
  <c r="H160" i="7"/>
  <c r="H159" i="7"/>
  <c r="H158" i="7"/>
  <c r="H157" i="7"/>
  <c r="G155" i="7"/>
  <c r="G154" i="7"/>
  <c r="H154" i="7" s="1"/>
  <c r="H153" i="7"/>
  <c r="H152" i="7"/>
  <c r="G152" i="7"/>
  <c r="G151" i="7"/>
  <c r="H151" i="7" s="1"/>
  <c r="G150" i="7"/>
  <c r="H150" i="7" s="1"/>
  <c r="G149" i="7"/>
  <c r="H149" i="7" s="1"/>
  <c r="G148" i="7"/>
  <c r="H148" i="7" s="1"/>
  <c r="G147" i="7"/>
  <c r="H147" i="7" s="1"/>
  <c r="H146" i="7"/>
  <c r="H143" i="7"/>
  <c r="H142" i="7"/>
  <c r="G138" i="7"/>
  <c r="H138" i="7" s="1"/>
  <c r="G137" i="7"/>
  <c r="H137" i="7" s="1"/>
  <c r="G136" i="7"/>
  <c r="H136" i="7" s="1"/>
  <c r="H133" i="7"/>
  <c r="G133" i="7"/>
  <c r="G131" i="7"/>
  <c r="H131" i="7" s="1"/>
  <c r="G130" i="7"/>
  <c r="H130" i="7" s="1"/>
  <c r="H129" i="7"/>
  <c r="G129" i="7"/>
  <c r="G128" i="7"/>
  <c r="H128" i="7" s="1"/>
  <c r="H127" i="7"/>
  <c r="G127" i="7"/>
  <c r="G126" i="7"/>
  <c r="H126" i="7" s="1"/>
  <c r="H125" i="7"/>
  <c r="G125" i="7"/>
  <c r="G123" i="7"/>
  <c r="H123" i="7" s="1"/>
  <c r="G122" i="7"/>
  <c r="H122" i="7" s="1"/>
  <c r="G121" i="7"/>
  <c r="H121" i="7" s="1"/>
  <c r="G120" i="7"/>
  <c r="H120" i="7" s="1"/>
  <c r="H119" i="7"/>
  <c r="G119" i="7"/>
  <c r="G118" i="7"/>
  <c r="H118" i="7" s="1"/>
  <c r="G117" i="7"/>
  <c r="H117" i="7" s="1"/>
  <c r="G113" i="7"/>
  <c r="H113" i="7" s="1"/>
  <c r="G112" i="7"/>
  <c r="H112" i="7" s="1"/>
  <c r="H111" i="7"/>
  <c r="G111" i="7"/>
  <c r="G110" i="7"/>
  <c r="G109" i="7"/>
  <c r="H109" i="7" s="1"/>
  <c r="G108" i="7"/>
  <c r="H108" i="7" s="1"/>
  <c r="G107" i="7"/>
  <c r="H107" i="7" s="1"/>
  <c r="G106" i="7"/>
  <c r="H106" i="7" s="1"/>
  <c r="H103" i="7"/>
  <c r="H102" i="7"/>
  <c r="H101" i="7"/>
  <c r="H100" i="7"/>
  <c r="H99" i="7"/>
  <c r="H98" i="7"/>
  <c r="H97" i="7"/>
  <c r="H96" i="7"/>
  <c r="H95" i="7"/>
  <c r="G92" i="7"/>
  <c r="H92" i="7" s="1"/>
  <c r="G91" i="7"/>
  <c r="H91" i="7" s="1"/>
  <c r="G90" i="7"/>
  <c r="H90" i="7" s="1"/>
  <c r="G89" i="7"/>
  <c r="H89" i="7" s="1"/>
  <c r="G88" i="7"/>
  <c r="H88" i="7" s="1"/>
  <c r="G87" i="7"/>
  <c r="H87" i="7" s="1"/>
  <c r="G86" i="7"/>
  <c r="H86" i="7" s="1"/>
  <c r="G85" i="7"/>
  <c r="H85" i="7" s="1"/>
  <c r="H82" i="7"/>
  <c r="H79" i="7"/>
  <c r="G78" i="7"/>
  <c r="H78" i="7" s="1"/>
  <c r="G77" i="7"/>
  <c r="H77" i="7" s="1"/>
  <c r="E77" i="7"/>
  <c r="G76" i="7"/>
  <c r="H76" i="7" s="1"/>
  <c r="E76" i="7"/>
  <c r="G75" i="7"/>
  <c r="H75" i="7" s="1"/>
  <c r="E75" i="7"/>
  <c r="G74" i="7"/>
  <c r="H74" i="7" s="1"/>
  <c r="E74" i="7"/>
  <c r="G73" i="7"/>
  <c r="H73" i="7" s="1"/>
  <c r="E73" i="7"/>
  <c r="G72" i="7"/>
  <c r="H72" i="7" s="1"/>
  <c r="E72" i="7"/>
  <c r="G71" i="7"/>
  <c r="H71" i="7" s="1"/>
  <c r="E71" i="7"/>
  <c r="G70" i="7"/>
  <c r="H70" i="7" s="1"/>
  <c r="E70" i="7"/>
  <c r="G69" i="7"/>
  <c r="H69" i="7" s="1"/>
  <c r="E69" i="7"/>
  <c r="G68" i="7"/>
  <c r="H68" i="7" s="1"/>
  <c r="E68" i="7"/>
  <c r="G67" i="7"/>
  <c r="H67" i="7" s="1"/>
  <c r="E67" i="7"/>
  <c r="G66" i="7"/>
  <c r="H66" i="7" s="1"/>
  <c r="E66" i="7"/>
  <c r="H65" i="7"/>
  <c r="E65" i="7"/>
  <c r="H64" i="7"/>
  <c r="E64" i="7"/>
  <c r="G63" i="7"/>
  <c r="H63" i="7" s="1"/>
  <c r="E63" i="7"/>
  <c r="G62" i="7"/>
  <c r="H62" i="7" s="1"/>
  <c r="E62" i="7"/>
  <c r="G61" i="7"/>
  <c r="H61" i="7" s="1"/>
  <c r="G60" i="7"/>
  <c r="H60" i="7" s="1"/>
  <c r="E60" i="7"/>
  <c r="G59" i="7"/>
  <c r="H59" i="7" s="1"/>
  <c r="E59" i="7"/>
  <c r="G58" i="7"/>
  <c r="H58" i="7" s="1"/>
  <c r="E58" i="7"/>
  <c r="G55" i="7"/>
  <c r="H55" i="7" s="1"/>
  <c r="G54" i="7"/>
  <c r="H54" i="7" s="1"/>
  <c r="G53" i="7"/>
  <c r="H53" i="7" s="1"/>
  <c r="G50" i="7"/>
  <c r="H50" i="7" s="1"/>
  <c r="G49" i="7"/>
  <c r="H49" i="7" s="1"/>
  <c r="G48" i="7"/>
  <c r="H48" i="7" s="1"/>
  <c r="G47" i="7"/>
  <c r="H47" i="7" s="1"/>
  <c r="G46" i="7"/>
  <c r="H46" i="7" s="1"/>
  <c r="G45" i="7"/>
  <c r="H45" i="7" s="1"/>
  <c r="G44" i="7"/>
  <c r="H44" i="7" s="1"/>
  <c r="G43" i="7"/>
  <c r="H43" i="7" s="1"/>
  <c r="G42" i="7"/>
  <c r="H42" i="7" s="1"/>
  <c r="H39" i="7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H32" i="7"/>
  <c r="H31" i="7"/>
  <c r="G30" i="7"/>
  <c r="H30" i="7" s="1"/>
  <c r="G29" i="7"/>
  <c r="H29" i="7" s="1"/>
  <c r="H28" i="7"/>
  <c r="G28" i="7"/>
  <c r="H27" i="7"/>
  <c r="G26" i="7"/>
  <c r="H26" i="7" s="1"/>
  <c r="G25" i="7"/>
  <c r="H25" i="7" s="1"/>
  <c r="G24" i="7"/>
  <c r="H24" i="7" s="1"/>
  <c r="G23" i="7"/>
  <c r="H23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H11" i="7"/>
  <c r="G11" i="7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G4" i="7"/>
  <c r="H4" i="7" s="1"/>
  <c r="G3" i="7"/>
  <c r="H3" i="7" s="1"/>
  <c r="F57" i="5"/>
  <c r="K21" i="7"/>
  <c r="K22" i="7"/>
  <c r="K40" i="7"/>
  <c r="K41" i="7"/>
  <c r="K51" i="7"/>
  <c r="K52" i="7"/>
  <c r="K56" i="7"/>
  <c r="K57" i="7"/>
  <c r="K80" i="7"/>
  <c r="K81" i="7"/>
  <c r="K83" i="7"/>
  <c r="K84" i="7"/>
  <c r="K93" i="7"/>
  <c r="K94" i="7"/>
  <c r="K104" i="7"/>
  <c r="K105" i="7"/>
  <c r="K114" i="7"/>
  <c r="K115" i="7"/>
  <c r="K116" i="7"/>
  <c r="K124" i="7"/>
  <c r="K132" i="7"/>
  <c r="K135" i="7"/>
  <c r="K139" i="7"/>
  <c r="K140" i="7"/>
  <c r="K145" i="7"/>
  <c r="K156" i="7"/>
  <c r="E22" i="10"/>
  <c r="E23" i="10"/>
  <c r="D22" i="10"/>
  <c r="H68" i="1"/>
  <c r="G23" i="10" s="1"/>
  <c r="H23" i="10" s="1"/>
  <c r="S18" i="10" s="1"/>
  <c r="E68" i="1"/>
  <c r="D23" i="10" s="1"/>
  <c r="H67" i="1"/>
  <c r="G22" i="10" s="1"/>
  <c r="H22" i="10" s="1"/>
  <c r="S17" i="10" s="1"/>
  <c r="E67" i="1"/>
  <c r="E21" i="10"/>
  <c r="E20" i="10"/>
  <c r="L220" i="4" l="1"/>
  <c r="L221" i="4"/>
  <c r="L222" i="4"/>
  <c r="L223" i="4"/>
  <c r="L219" i="4"/>
  <c r="G4" i="10" l="1"/>
  <c r="U131" i="4" l="1"/>
  <c r="U130" i="4"/>
  <c r="U129" i="4"/>
  <c r="U128" i="4"/>
  <c r="U127" i="4"/>
  <c r="T131" i="4"/>
  <c r="T130" i="4"/>
  <c r="T129" i="4"/>
  <c r="T128" i="4"/>
  <c r="T127" i="4"/>
  <c r="AU225" i="4" l="1"/>
  <c r="AS225" i="4"/>
  <c r="AO225" i="4"/>
  <c r="AM225" i="4"/>
  <c r="AK225" i="4"/>
  <c r="AU223" i="4"/>
  <c r="AS223" i="4"/>
  <c r="AO223" i="4"/>
  <c r="AM223" i="4"/>
  <c r="AK223" i="4"/>
  <c r="AU221" i="4"/>
  <c r="AS221" i="4"/>
  <c r="AO221" i="4"/>
  <c r="AM221" i="4"/>
  <c r="AK221" i="4"/>
  <c r="AB221" i="4"/>
  <c r="AU219" i="4"/>
  <c r="AS219" i="4"/>
  <c r="AO219" i="4"/>
  <c r="AM219" i="4"/>
  <c r="AK219" i="4"/>
  <c r="AB219" i="4"/>
  <c r="AU217" i="4"/>
  <c r="AS217" i="4"/>
  <c r="AO217" i="4"/>
  <c r="AM217" i="4"/>
  <c r="AK217" i="4"/>
  <c r="AB217" i="4"/>
  <c r="AU215" i="4"/>
  <c r="AS215" i="4"/>
  <c r="AO215" i="4"/>
  <c r="AM215" i="4"/>
  <c r="AK215" i="4"/>
  <c r="AB215" i="4"/>
  <c r="AU213" i="4"/>
  <c r="AS213" i="4"/>
  <c r="AO213" i="4"/>
  <c r="AM213" i="4"/>
  <c r="AK213" i="4"/>
  <c r="AB213" i="4"/>
  <c r="AU211" i="4"/>
  <c r="AS211" i="4"/>
  <c r="AO211" i="4"/>
  <c r="AM211" i="4"/>
  <c r="AK211" i="4"/>
  <c r="AB211" i="4"/>
  <c r="AU209" i="4"/>
  <c r="AS209" i="4"/>
  <c r="AO209" i="4"/>
  <c r="AM209" i="4"/>
  <c r="AK209" i="4"/>
  <c r="AB209" i="4"/>
  <c r="AU207" i="4"/>
  <c r="AS207" i="4"/>
  <c r="AO207" i="4"/>
  <c r="AM207" i="4"/>
  <c r="AK207" i="4"/>
  <c r="AB207" i="4"/>
  <c r="AU205" i="4"/>
  <c r="AS205" i="4"/>
  <c r="AO205" i="4"/>
  <c r="AM205" i="4"/>
  <c r="AK205" i="4"/>
  <c r="AB205" i="4"/>
  <c r="AU203" i="4"/>
  <c r="AS203" i="4"/>
  <c r="AO203" i="4"/>
  <c r="AM203" i="4"/>
  <c r="AK203" i="4"/>
  <c r="AB203" i="4"/>
  <c r="AU201" i="4"/>
  <c r="AS201" i="4"/>
  <c r="AO201" i="4"/>
  <c r="AM201" i="4"/>
  <c r="AK201" i="4"/>
  <c r="AB201" i="4"/>
  <c r="AU199" i="4"/>
  <c r="AS199" i="4"/>
  <c r="AO199" i="4"/>
  <c r="AM199" i="4"/>
  <c r="AK199" i="4"/>
  <c r="AB199" i="4"/>
  <c r="AU197" i="4"/>
  <c r="AS197" i="4"/>
  <c r="AO197" i="4"/>
  <c r="AM197" i="4"/>
  <c r="AK197" i="4"/>
  <c r="AB197" i="4"/>
  <c r="AU195" i="4"/>
  <c r="AS195" i="4"/>
  <c r="AO195" i="4"/>
  <c r="AM195" i="4"/>
  <c r="AK195" i="4"/>
  <c r="AB195" i="4"/>
  <c r="AU193" i="4"/>
  <c r="AS193" i="4"/>
  <c r="AO193" i="4"/>
  <c r="AM193" i="4"/>
  <c r="AK193" i="4"/>
  <c r="AB193" i="4"/>
  <c r="AU191" i="4"/>
  <c r="AS191" i="4"/>
  <c r="AO191" i="4"/>
  <c r="AM191" i="4"/>
  <c r="AK191" i="4"/>
  <c r="AB191" i="4"/>
  <c r="AU189" i="4"/>
  <c r="AS189" i="4"/>
  <c r="AO189" i="4"/>
  <c r="AM189" i="4"/>
  <c r="AK189" i="4"/>
  <c r="AB189" i="4"/>
  <c r="AU187" i="4"/>
  <c r="AS187" i="4"/>
  <c r="AO187" i="4"/>
  <c r="AM187" i="4"/>
  <c r="AK187" i="4"/>
  <c r="AB187" i="4"/>
  <c r="AU185" i="4"/>
  <c r="AS185" i="4"/>
  <c r="AO185" i="4"/>
  <c r="AM185" i="4"/>
  <c r="AK185" i="4"/>
  <c r="AB185" i="4"/>
  <c r="AU183" i="4"/>
  <c r="AS183" i="4"/>
  <c r="AO183" i="4"/>
  <c r="AM183" i="4"/>
  <c r="AK183" i="4"/>
  <c r="AB183" i="4"/>
  <c r="AU181" i="4"/>
  <c r="AS181" i="4"/>
  <c r="AO181" i="4"/>
  <c r="AM181" i="4"/>
  <c r="AK181" i="4"/>
  <c r="AB181" i="4"/>
  <c r="AU179" i="4"/>
  <c r="AS179" i="4"/>
  <c r="AO179" i="4"/>
  <c r="AM179" i="4"/>
  <c r="AK179" i="4"/>
  <c r="AB179" i="4"/>
  <c r="AU177" i="4"/>
  <c r="AS177" i="4"/>
  <c r="AO177" i="4"/>
  <c r="AM177" i="4"/>
  <c r="AK177" i="4"/>
  <c r="AB177" i="4"/>
  <c r="AU175" i="4"/>
  <c r="AS175" i="4"/>
  <c r="AO175" i="4"/>
  <c r="AM175" i="4"/>
  <c r="AK175" i="4"/>
  <c r="AB175" i="4"/>
  <c r="AU173" i="4"/>
  <c r="AS173" i="4"/>
  <c r="AO173" i="4"/>
  <c r="AM173" i="4"/>
  <c r="AK173" i="4"/>
  <c r="AB173" i="4"/>
  <c r="AU171" i="4"/>
  <c r="AS171" i="4"/>
  <c r="AO171" i="4"/>
  <c r="AM171" i="4"/>
  <c r="AK171" i="4"/>
  <c r="AB171" i="4"/>
  <c r="AU169" i="4"/>
  <c r="AS169" i="4"/>
  <c r="AO169" i="4"/>
  <c r="AM169" i="4"/>
  <c r="AK169" i="4"/>
  <c r="AB169" i="4"/>
  <c r="AU167" i="4"/>
  <c r="AS167" i="4"/>
  <c r="AO167" i="4"/>
  <c r="AM167" i="4"/>
  <c r="AK167" i="4"/>
  <c r="AB167" i="4"/>
  <c r="AU165" i="4"/>
  <c r="AS165" i="4"/>
  <c r="AO165" i="4"/>
  <c r="AM165" i="4"/>
  <c r="AK165" i="4"/>
  <c r="AB165" i="4"/>
  <c r="AU163" i="4"/>
  <c r="AS163" i="4"/>
  <c r="AO163" i="4"/>
  <c r="AM163" i="4"/>
  <c r="AK163" i="4"/>
  <c r="AB163" i="4"/>
  <c r="AU161" i="4"/>
  <c r="AS161" i="4"/>
  <c r="AO161" i="4"/>
  <c r="AM161" i="4"/>
  <c r="AK161" i="4"/>
  <c r="AB161" i="4"/>
  <c r="AU159" i="4"/>
  <c r="AS159" i="4"/>
  <c r="AO159" i="4"/>
  <c r="AM159" i="4"/>
  <c r="AK159" i="4"/>
  <c r="AB159" i="4"/>
  <c r="AU157" i="4"/>
  <c r="AS157" i="4"/>
  <c r="AO157" i="4"/>
  <c r="AM157" i="4"/>
  <c r="AK157" i="4"/>
  <c r="AB157" i="4"/>
  <c r="AU155" i="4"/>
  <c r="AS155" i="4"/>
  <c r="AO155" i="4"/>
  <c r="AM155" i="4"/>
  <c r="AK155" i="4"/>
  <c r="AB155" i="4"/>
  <c r="AU153" i="4"/>
  <c r="AS153" i="4"/>
  <c r="AO153" i="4"/>
  <c r="AM153" i="4"/>
  <c r="AK153" i="4"/>
  <c r="AB153" i="4"/>
  <c r="AU151" i="4"/>
  <c r="AS151" i="4"/>
  <c r="AO151" i="4"/>
  <c r="AM151" i="4"/>
  <c r="AK151" i="4"/>
  <c r="AB151" i="4"/>
  <c r="AU149" i="4"/>
  <c r="AS149" i="4"/>
  <c r="AO149" i="4"/>
  <c r="AM149" i="4"/>
  <c r="AK149" i="4"/>
  <c r="AB149" i="4"/>
  <c r="AU147" i="4"/>
  <c r="AS147" i="4"/>
  <c r="AO147" i="4"/>
  <c r="AM147" i="4"/>
  <c r="AK147" i="4"/>
  <c r="AB147" i="4"/>
  <c r="AU145" i="4"/>
  <c r="AS145" i="4"/>
  <c r="AO145" i="4"/>
  <c r="AM145" i="4"/>
  <c r="AK145" i="4"/>
  <c r="AB145" i="4"/>
  <c r="AU143" i="4"/>
  <c r="AS143" i="4"/>
  <c r="AO143" i="4"/>
  <c r="AM143" i="4"/>
  <c r="AK143" i="4"/>
  <c r="AB143" i="4"/>
  <c r="AU141" i="4"/>
  <c r="AS141" i="4"/>
  <c r="AO141" i="4"/>
  <c r="AM141" i="4"/>
  <c r="AK141" i="4"/>
  <c r="AB141" i="4"/>
  <c r="AU139" i="4"/>
  <c r="AS139" i="4"/>
  <c r="AO139" i="4"/>
  <c r="AM139" i="4"/>
  <c r="AK139" i="4"/>
  <c r="AB139" i="4"/>
  <c r="AU137" i="4"/>
  <c r="AS137" i="4"/>
  <c r="AO137" i="4"/>
  <c r="AM137" i="4"/>
  <c r="AK137" i="4"/>
  <c r="AB137" i="4"/>
  <c r="AU135" i="4"/>
  <c r="AS135" i="4"/>
  <c r="AO135" i="4"/>
  <c r="AM135" i="4"/>
  <c r="AK135" i="4"/>
  <c r="AB135" i="4"/>
  <c r="AU133" i="4"/>
  <c r="AS133" i="4"/>
  <c r="AO133" i="4"/>
  <c r="AM133" i="4"/>
  <c r="AK133" i="4"/>
  <c r="AB133" i="4"/>
  <c r="AU131" i="4"/>
  <c r="AS131" i="4"/>
  <c r="AO131" i="4"/>
  <c r="AM131" i="4"/>
  <c r="AK131" i="4"/>
  <c r="AB131" i="4"/>
  <c r="AU129" i="4"/>
  <c r="AS129" i="4"/>
  <c r="AO129" i="4"/>
  <c r="AM129" i="4"/>
  <c r="AK129" i="4"/>
  <c r="AB129" i="4"/>
  <c r="AU127" i="4"/>
  <c r="AS127" i="4"/>
  <c r="AO127" i="4"/>
  <c r="AM127" i="4"/>
  <c r="AK127" i="4"/>
  <c r="AB127" i="4"/>
  <c r="AU125" i="4"/>
  <c r="AS125" i="4"/>
  <c r="AO125" i="4"/>
  <c r="AM125" i="4"/>
  <c r="AK125" i="4"/>
  <c r="AB125" i="4"/>
  <c r="AU123" i="4"/>
  <c r="AS123" i="4"/>
  <c r="AO123" i="4"/>
  <c r="AM123" i="4"/>
  <c r="AK123" i="4"/>
  <c r="AB123" i="4"/>
  <c r="AU121" i="4"/>
  <c r="AS121" i="4"/>
  <c r="AO121" i="4"/>
  <c r="AM121" i="4"/>
  <c r="AK121" i="4"/>
  <c r="AB121" i="4"/>
  <c r="AU119" i="4"/>
  <c r="AS119" i="4"/>
  <c r="AO119" i="4"/>
  <c r="AM119" i="4"/>
  <c r="AK119" i="4"/>
  <c r="AB119" i="4"/>
  <c r="AU117" i="4"/>
  <c r="AS117" i="4"/>
  <c r="AO117" i="4"/>
  <c r="AM117" i="4"/>
  <c r="AK117" i="4"/>
  <c r="AB117" i="4"/>
  <c r="AU115" i="4"/>
  <c r="AS115" i="4"/>
  <c r="AO115" i="4"/>
  <c r="AM115" i="4"/>
  <c r="AK115" i="4"/>
  <c r="AB115" i="4"/>
  <c r="AU113" i="4"/>
  <c r="AS113" i="4"/>
  <c r="AO113" i="4"/>
  <c r="AM113" i="4"/>
  <c r="AK113" i="4"/>
  <c r="AB113" i="4"/>
  <c r="AU111" i="4"/>
  <c r="AS111" i="4"/>
  <c r="AO111" i="4"/>
  <c r="AM111" i="4"/>
  <c r="AK111" i="4"/>
  <c r="AB111" i="4"/>
  <c r="AU109" i="4"/>
  <c r="AS109" i="4"/>
  <c r="AO109" i="4"/>
  <c r="AM109" i="4"/>
  <c r="AK109" i="4"/>
  <c r="AB109" i="4"/>
  <c r="AU107" i="4"/>
  <c r="AS107" i="4"/>
  <c r="AO107" i="4"/>
  <c r="AM107" i="4"/>
  <c r="AK107" i="4"/>
  <c r="AB107" i="4"/>
  <c r="AU103" i="4"/>
  <c r="AS103" i="4"/>
  <c r="AO103" i="4"/>
  <c r="AM103" i="4"/>
  <c r="AK103" i="4"/>
  <c r="AB103" i="4"/>
  <c r="AU101" i="4"/>
  <c r="AS101" i="4"/>
  <c r="AO101" i="4"/>
  <c r="AM101" i="4"/>
  <c r="AK101" i="4"/>
  <c r="AB101" i="4"/>
  <c r="AU99" i="4"/>
  <c r="AS99" i="4"/>
  <c r="AO99" i="4"/>
  <c r="AM99" i="4"/>
  <c r="AK99" i="4"/>
  <c r="AB99" i="4"/>
  <c r="AU97" i="4"/>
  <c r="AS97" i="4"/>
  <c r="AO97" i="4"/>
  <c r="AM97" i="4"/>
  <c r="AK97" i="4"/>
  <c r="AB97" i="4"/>
  <c r="AU95" i="4"/>
  <c r="AS95" i="4"/>
  <c r="AO95" i="4"/>
  <c r="AM95" i="4"/>
  <c r="AK95" i="4"/>
  <c r="AB95" i="4"/>
  <c r="AU93" i="4"/>
  <c r="AS93" i="4"/>
  <c r="AO93" i="4"/>
  <c r="AM93" i="4"/>
  <c r="AK93" i="4"/>
  <c r="AB93" i="4"/>
  <c r="AU91" i="4"/>
  <c r="AS91" i="4"/>
  <c r="AO91" i="4"/>
  <c r="AM91" i="4"/>
  <c r="AK91" i="4"/>
  <c r="AB91" i="4"/>
  <c r="AU89" i="4"/>
  <c r="AS89" i="4"/>
  <c r="AO89" i="4"/>
  <c r="AM89" i="4"/>
  <c r="AK89" i="4"/>
  <c r="AB89" i="4"/>
  <c r="AU87" i="4"/>
  <c r="AS87" i="4"/>
  <c r="AO87" i="4"/>
  <c r="AM87" i="4"/>
  <c r="AK87" i="4"/>
  <c r="AB87" i="4"/>
  <c r="AU83" i="4"/>
  <c r="AS83" i="4"/>
  <c r="AO83" i="4"/>
  <c r="AM83" i="4"/>
  <c r="AK83" i="4"/>
  <c r="AB83" i="4"/>
  <c r="AU85" i="4"/>
  <c r="AS85" i="4"/>
  <c r="AO85" i="4"/>
  <c r="AM85" i="4"/>
  <c r="AK85" i="4"/>
  <c r="AU105" i="4"/>
  <c r="AS105" i="4"/>
  <c r="AO105" i="4"/>
  <c r="AM105" i="4"/>
  <c r="AK105" i="4"/>
  <c r="AB105" i="4"/>
  <c r="F9" i="5"/>
  <c r="E9" i="5"/>
  <c r="D9" i="5"/>
  <c r="H106" i="1"/>
  <c r="T45" i="10"/>
  <c r="T46" i="10"/>
  <c r="T47" i="10"/>
  <c r="T48" i="10"/>
  <c r="T49" i="10"/>
  <c r="T50" i="10"/>
  <c r="T51" i="10"/>
  <c r="T52" i="10"/>
  <c r="T53" i="10"/>
  <c r="T54" i="10"/>
  <c r="T55" i="10"/>
  <c r="T44" i="10"/>
  <c r="K91" i="10"/>
  <c r="F199" i="5" l="1"/>
  <c r="F200" i="5"/>
  <c r="E199" i="5"/>
  <c r="E200" i="5"/>
  <c r="F198" i="5"/>
  <c r="E198" i="5"/>
  <c r="F197" i="5"/>
  <c r="E197" i="5"/>
  <c r="H162" i="1"/>
  <c r="H164" i="1"/>
  <c r="H163" i="1"/>
  <c r="H161" i="1"/>
  <c r="H160" i="1"/>
  <c r="F54" i="5" l="1"/>
  <c r="E54" i="5"/>
  <c r="F53" i="5"/>
  <c r="E53" i="5"/>
  <c r="F176" i="5"/>
  <c r="E176" i="5"/>
  <c r="F96" i="5"/>
  <c r="E96" i="5"/>
  <c r="F95" i="5"/>
  <c r="E95" i="5"/>
  <c r="O145" i="4"/>
  <c r="O146" i="4"/>
  <c r="O170" i="4"/>
  <c r="O171" i="4"/>
  <c r="AB84" i="4"/>
  <c r="AB86" i="4"/>
  <c r="AB88" i="4"/>
  <c r="AB90" i="4"/>
  <c r="AB92" i="4"/>
  <c r="AB94" i="4"/>
  <c r="AB96" i="4"/>
  <c r="AB98" i="4"/>
  <c r="AB100" i="4"/>
  <c r="AB102" i="4"/>
  <c r="AB104" i="4"/>
  <c r="AB106" i="4"/>
  <c r="AB108" i="4"/>
  <c r="AB110" i="4"/>
  <c r="AB112" i="4"/>
  <c r="AB114" i="4"/>
  <c r="AB116" i="4"/>
  <c r="AB118" i="4"/>
  <c r="AB120" i="4"/>
  <c r="AB122" i="4"/>
  <c r="AB124" i="4"/>
  <c r="AB126" i="4"/>
  <c r="AB128" i="4"/>
  <c r="AB130" i="4"/>
  <c r="AB132" i="4"/>
  <c r="AB134" i="4"/>
  <c r="AB136" i="4"/>
  <c r="AB138" i="4"/>
  <c r="AB140" i="4"/>
  <c r="AB142" i="4"/>
  <c r="AB144" i="4"/>
  <c r="AB146" i="4"/>
  <c r="AB148" i="4"/>
  <c r="AB150" i="4"/>
  <c r="AB152" i="4"/>
  <c r="AB154" i="4"/>
  <c r="AB156" i="4"/>
  <c r="AB158" i="4"/>
  <c r="AB160" i="4"/>
  <c r="AB162" i="4"/>
  <c r="AB164" i="4"/>
  <c r="AB166" i="4"/>
  <c r="AB168" i="4"/>
  <c r="AB170" i="4"/>
  <c r="AB172" i="4"/>
  <c r="AB174" i="4"/>
  <c r="AB176" i="4"/>
  <c r="AB178" i="4"/>
  <c r="AB180" i="4"/>
  <c r="AB182" i="4"/>
  <c r="AB184" i="4"/>
  <c r="AB186" i="4"/>
  <c r="AB188" i="4"/>
  <c r="AB190" i="4"/>
  <c r="AB192" i="4"/>
  <c r="AB194" i="4"/>
  <c r="AB196" i="4"/>
  <c r="AB198" i="4"/>
  <c r="AB200" i="4"/>
  <c r="AB202" i="4"/>
  <c r="AB204" i="4"/>
  <c r="AB206" i="4"/>
  <c r="AB208" i="4"/>
  <c r="AB210" i="4"/>
  <c r="AB212" i="4"/>
  <c r="AB214" i="4"/>
  <c r="AB216" i="4"/>
  <c r="AB218" i="4"/>
  <c r="AB220" i="4"/>
  <c r="AB82" i="4"/>
  <c r="D50" i="10" l="1"/>
  <c r="D49" i="10"/>
  <c r="D48" i="10"/>
  <c r="D37" i="10"/>
  <c r="D36" i="10"/>
  <c r="F188" i="5"/>
  <c r="E188" i="5"/>
  <c r="F195" i="5"/>
  <c r="E195" i="5"/>
  <c r="E178" i="5"/>
  <c r="D178" i="5"/>
  <c r="E175" i="5"/>
  <c r="H30" i="1" l="1"/>
  <c r="H34" i="1"/>
  <c r="H35" i="1"/>
  <c r="H42" i="1"/>
  <c r="F177" i="5"/>
  <c r="F135" i="5"/>
  <c r="E177" i="5"/>
  <c r="F175" i="5"/>
  <c r="D175" i="5"/>
  <c r="H146" i="1"/>
  <c r="J73" i="10"/>
  <c r="E73" i="10"/>
  <c r="D73" i="10"/>
  <c r="E30" i="10"/>
  <c r="D30" i="10"/>
  <c r="E29" i="10"/>
  <c r="D29" i="10"/>
  <c r="E28" i="10"/>
  <c r="D28" i="10"/>
  <c r="D27" i="10"/>
  <c r="D26" i="10"/>
  <c r="E27" i="10"/>
  <c r="E26" i="10"/>
  <c r="H156" i="1"/>
  <c r="E25" i="10"/>
  <c r="D25" i="10"/>
  <c r="E62" i="10" l="1"/>
  <c r="D62" i="10"/>
  <c r="E54" i="10"/>
  <c r="D54" i="10"/>
  <c r="J41" i="10"/>
  <c r="E41" i="10"/>
  <c r="D41" i="10"/>
  <c r="E61" i="10"/>
  <c r="E196" i="5"/>
  <c r="F196" i="5"/>
  <c r="O20" i="5"/>
  <c r="O19" i="5"/>
  <c r="O67" i="5"/>
  <c r="O66" i="5"/>
  <c r="O109" i="5"/>
  <c r="O108" i="5"/>
  <c r="X96" i="9"/>
  <c r="H149" i="1"/>
  <c r="G73" i="10" s="1"/>
  <c r="H73" i="10" s="1"/>
  <c r="M131" i="4"/>
  <c r="M130" i="4"/>
  <c r="M173" i="4"/>
  <c r="M148" i="4"/>
  <c r="W86" i="9"/>
  <c r="E53" i="10"/>
  <c r="E40" i="10"/>
  <c r="J40" i="10"/>
  <c r="N110" i="5" l="1"/>
  <c r="N21" i="5"/>
  <c r="N68" i="5"/>
  <c r="L226" i="5"/>
  <c r="I224" i="5" s="1"/>
  <c r="AU84" i="4"/>
  <c r="AU86" i="4"/>
  <c r="AU88" i="4"/>
  <c r="AU90" i="4"/>
  <c r="AU92" i="4"/>
  <c r="AU94" i="4"/>
  <c r="AU96" i="4"/>
  <c r="AU98" i="4"/>
  <c r="AU100" i="4"/>
  <c r="AU102" i="4"/>
  <c r="AU104" i="4"/>
  <c r="AU106" i="4"/>
  <c r="AU108" i="4"/>
  <c r="AU110" i="4"/>
  <c r="AU112" i="4"/>
  <c r="AU114" i="4"/>
  <c r="AU116" i="4"/>
  <c r="AU118" i="4"/>
  <c r="AU120" i="4"/>
  <c r="AU122" i="4"/>
  <c r="AU124" i="4"/>
  <c r="AU126" i="4"/>
  <c r="AU128" i="4"/>
  <c r="AU130" i="4"/>
  <c r="AU132" i="4"/>
  <c r="AU134" i="4"/>
  <c r="AU136" i="4"/>
  <c r="AU138" i="4"/>
  <c r="AU140" i="4"/>
  <c r="AU142" i="4"/>
  <c r="AU144" i="4"/>
  <c r="AU146" i="4"/>
  <c r="AU148" i="4"/>
  <c r="AU150" i="4"/>
  <c r="AU152" i="4"/>
  <c r="AU154" i="4"/>
  <c r="AU156" i="4"/>
  <c r="AU158" i="4"/>
  <c r="AU160" i="4"/>
  <c r="AU162" i="4"/>
  <c r="AU164" i="4"/>
  <c r="AU166" i="4"/>
  <c r="AU168" i="4"/>
  <c r="AU170" i="4"/>
  <c r="AU172" i="4"/>
  <c r="AU174" i="4"/>
  <c r="AU176" i="4"/>
  <c r="AU178" i="4"/>
  <c r="AU180" i="4"/>
  <c r="AU182" i="4"/>
  <c r="AU184" i="4"/>
  <c r="AU186" i="4"/>
  <c r="AU188" i="4"/>
  <c r="AU190" i="4"/>
  <c r="AU192" i="4"/>
  <c r="AU194" i="4"/>
  <c r="AU196" i="4"/>
  <c r="AU198" i="4"/>
  <c r="AU200" i="4"/>
  <c r="AU202" i="4"/>
  <c r="AU204" i="4"/>
  <c r="AU206" i="4"/>
  <c r="AU208" i="4"/>
  <c r="AU210" i="4"/>
  <c r="AU212" i="4"/>
  <c r="AU214" i="4"/>
  <c r="AU216" i="4"/>
  <c r="AU218" i="4"/>
  <c r="AU220" i="4"/>
  <c r="AU222" i="4"/>
  <c r="AU224" i="4"/>
  <c r="AU82" i="4"/>
  <c r="AS84" i="4"/>
  <c r="AS86" i="4"/>
  <c r="AS88" i="4"/>
  <c r="AS90" i="4"/>
  <c r="AS92" i="4"/>
  <c r="AS94" i="4"/>
  <c r="AS96" i="4"/>
  <c r="AS98" i="4"/>
  <c r="AS100" i="4"/>
  <c r="AS102" i="4"/>
  <c r="AS104" i="4"/>
  <c r="AS106" i="4"/>
  <c r="AS108" i="4"/>
  <c r="AS110" i="4"/>
  <c r="AS112" i="4"/>
  <c r="AS114" i="4"/>
  <c r="AS116" i="4"/>
  <c r="AS118" i="4"/>
  <c r="AS120" i="4"/>
  <c r="AS122" i="4"/>
  <c r="AS124" i="4"/>
  <c r="AS126" i="4"/>
  <c r="AS128" i="4"/>
  <c r="AS130" i="4"/>
  <c r="AS132" i="4"/>
  <c r="AS134" i="4"/>
  <c r="AS136" i="4"/>
  <c r="AS138" i="4"/>
  <c r="AS140" i="4"/>
  <c r="AS142" i="4"/>
  <c r="AS144" i="4"/>
  <c r="AS146" i="4"/>
  <c r="AS148" i="4"/>
  <c r="AS150" i="4"/>
  <c r="AS152" i="4"/>
  <c r="AS154" i="4"/>
  <c r="AS156" i="4"/>
  <c r="AS158" i="4"/>
  <c r="AS160" i="4"/>
  <c r="AS162" i="4"/>
  <c r="AS164" i="4"/>
  <c r="AS166" i="4"/>
  <c r="AS168" i="4"/>
  <c r="AS170" i="4"/>
  <c r="AS172" i="4"/>
  <c r="AS174" i="4"/>
  <c r="AS176" i="4"/>
  <c r="AS178" i="4"/>
  <c r="AS180" i="4"/>
  <c r="AS182" i="4"/>
  <c r="AS184" i="4"/>
  <c r="AS186" i="4"/>
  <c r="AS188" i="4"/>
  <c r="AS190" i="4"/>
  <c r="AS192" i="4"/>
  <c r="AS194" i="4"/>
  <c r="AS196" i="4"/>
  <c r="AS198" i="4"/>
  <c r="AS200" i="4"/>
  <c r="AS202" i="4"/>
  <c r="AS204" i="4"/>
  <c r="AS206" i="4"/>
  <c r="AS208" i="4"/>
  <c r="AS210" i="4"/>
  <c r="AS212" i="4"/>
  <c r="AS214" i="4"/>
  <c r="AS216" i="4"/>
  <c r="AS218" i="4"/>
  <c r="AS220" i="4"/>
  <c r="AS222" i="4"/>
  <c r="AS224" i="4"/>
  <c r="AS82" i="4"/>
  <c r="AO84" i="4"/>
  <c r="AO86" i="4"/>
  <c r="AO88" i="4"/>
  <c r="AO90" i="4"/>
  <c r="AO92" i="4"/>
  <c r="AO94" i="4"/>
  <c r="AO96" i="4"/>
  <c r="AO98" i="4"/>
  <c r="AO100" i="4"/>
  <c r="AO102" i="4"/>
  <c r="AO104" i="4"/>
  <c r="AO106" i="4"/>
  <c r="AO108" i="4"/>
  <c r="AO110" i="4"/>
  <c r="AO112" i="4"/>
  <c r="AO114" i="4"/>
  <c r="AO116" i="4"/>
  <c r="AO118" i="4"/>
  <c r="AO120" i="4"/>
  <c r="AO122" i="4"/>
  <c r="AO124" i="4"/>
  <c r="AO126" i="4"/>
  <c r="AO128" i="4"/>
  <c r="AO130" i="4"/>
  <c r="AO132" i="4"/>
  <c r="AO134" i="4"/>
  <c r="AO136" i="4"/>
  <c r="AO138" i="4"/>
  <c r="AO140" i="4"/>
  <c r="AO142" i="4"/>
  <c r="AO144" i="4"/>
  <c r="AO146" i="4"/>
  <c r="AO148" i="4"/>
  <c r="AO150" i="4"/>
  <c r="AO152" i="4"/>
  <c r="AO154" i="4"/>
  <c r="AO156" i="4"/>
  <c r="AO158" i="4"/>
  <c r="AO160" i="4"/>
  <c r="AO162" i="4"/>
  <c r="AO164" i="4"/>
  <c r="AO166" i="4"/>
  <c r="AO168" i="4"/>
  <c r="AO170" i="4"/>
  <c r="AO172" i="4"/>
  <c r="AO174" i="4"/>
  <c r="AO176" i="4"/>
  <c r="AO178" i="4"/>
  <c r="AO180" i="4"/>
  <c r="AO182" i="4"/>
  <c r="AO184" i="4"/>
  <c r="AO186" i="4"/>
  <c r="AO188" i="4"/>
  <c r="AO190" i="4"/>
  <c r="AO192" i="4"/>
  <c r="AO194" i="4"/>
  <c r="AO196" i="4"/>
  <c r="AO198" i="4"/>
  <c r="AO200" i="4"/>
  <c r="AO202" i="4"/>
  <c r="AO204" i="4"/>
  <c r="AO206" i="4"/>
  <c r="AO208" i="4"/>
  <c r="AO210" i="4"/>
  <c r="AO212" i="4"/>
  <c r="AO214" i="4"/>
  <c r="AO216" i="4"/>
  <c r="AO218" i="4"/>
  <c r="AO220" i="4"/>
  <c r="AO222" i="4"/>
  <c r="AO224" i="4"/>
  <c r="AO82" i="4"/>
  <c r="AM84" i="4"/>
  <c r="AM86" i="4"/>
  <c r="AM88" i="4"/>
  <c r="AM90" i="4"/>
  <c r="AM92" i="4"/>
  <c r="AM94" i="4"/>
  <c r="AM96" i="4"/>
  <c r="AM98" i="4"/>
  <c r="AM100" i="4"/>
  <c r="AM102" i="4"/>
  <c r="AM104" i="4"/>
  <c r="AM106" i="4"/>
  <c r="AM108" i="4"/>
  <c r="AM110" i="4"/>
  <c r="AM112" i="4"/>
  <c r="AM114" i="4"/>
  <c r="AM116" i="4"/>
  <c r="AM118" i="4"/>
  <c r="AM120" i="4"/>
  <c r="AM122" i="4"/>
  <c r="AM124" i="4"/>
  <c r="AM126" i="4"/>
  <c r="AM128" i="4"/>
  <c r="AM130" i="4"/>
  <c r="AM132" i="4"/>
  <c r="AM134" i="4"/>
  <c r="AM136" i="4"/>
  <c r="AM138" i="4"/>
  <c r="AM140" i="4"/>
  <c r="AM142" i="4"/>
  <c r="AM144" i="4"/>
  <c r="AM146" i="4"/>
  <c r="AM148" i="4"/>
  <c r="AM150" i="4"/>
  <c r="AM152" i="4"/>
  <c r="AM154" i="4"/>
  <c r="AM156" i="4"/>
  <c r="AM158" i="4"/>
  <c r="AM160" i="4"/>
  <c r="AM162" i="4"/>
  <c r="AM164" i="4"/>
  <c r="AM166" i="4"/>
  <c r="AM168" i="4"/>
  <c r="AM170" i="4"/>
  <c r="AM172" i="4"/>
  <c r="AM174" i="4"/>
  <c r="AM176" i="4"/>
  <c r="AM178" i="4"/>
  <c r="AM180" i="4"/>
  <c r="AM182" i="4"/>
  <c r="AM184" i="4"/>
  <c r="AM186" i="4"/>
  <c r="AM188" i="4"/>
  <c r="AM190" i="4"/>
  <c r="AM192" i="4"/>
  <c r="AM194" i="4"/>
  <c r="AM196" i="4"/>
  <c r="AM198" i="4"/>
  <c r="AM200" i="4"/>
  <c r="AM202" i="4"/>
  <c r="AM204" i="4"/>
  <c r="AM206" i="4"/>
  <c r="AM208" i="4"/>
  <c r="AM210" i="4"/>
  <c r="AM212" i="4"/>
  <c r="AM214" i="4"/>
  <c r="AM216" i="4"/>
  <c r="AM218" i="4"/>
  <c r="AM220" i="4"/>
  <c r="AM222" i="4"/>
  <c r="AM224" i="4"/>
  <c r="AM82" i="4"/>
  <c r="AK84" i="4"/>
  <c r="AK86" i="4"/>
  <c r="AK88" i="4"/>
  <c r="AK90" i="4"/>
  <c r="AK92" i="4"/>
  <c r="AK94" i="4"/>
  <c r="AK96" i="4"/>
  <c r="AK98" i="4"/>
  <c r="AK100" i="4"/>
  <c r="AK102" i="4"/>
  <c r="AK104" i="4"/>
  <c r="AK106" i="4"/>
  <c r="AK108" i="4"/>
  <c r="AK110" i="4"/>
  <c r="AK112" i="4"/>
  <c r="AK114" i="4"/>
  <c r="AK116" i="4"/>
  <c r="AK118" i="4"/>
  <c r="AK120" i="4"/>
  <c r="AK122" i="4"/>
  <c r="AK124" i="4"/>
  <c r="AK126" i="4"/>
  <c r="AK128" i="4"/>
  <c r="AK130" i="4"/>
  <c r="AK132" i="4"/>
  <c r="AK134" i="4"/>
  <c r="AK136" i="4"/>
  <c r="AK138" i="4"/>
  <c r="AK140" i="4"/>
  <c r="AK142" i="4"/>
  <c r="AK144" i="4"/>
  <c r="AK146" i="4"/>
  <c r="AK148" i="4"/>
  <c r="AK150" i="4"/>
  <c r="AK152" i="4"/>
  <c r="AK154" i="4"/>
  <c r="AK156" i="4"/>
  <c r="AK158" i="4"/>
  <c r="AK160" i="4"/>
  <c r="AK162" i="4"/>
  <c r="AK164" i="4"/>
  <c r="AK166" i="4"/>
  <c r="AK168" i="4"/>
  <c r="AK170" i="4"/>
  <c r="AK172" i="4"/>
  <c r="AK174" i="4"/>
  <c r="AK176" i="4"/>
  <c r="AK178" i="4"/>
  <c r="AK180" i="4"/>
  <c r="AK182" i="4"/>
  <c r="AK184" i="4"/>
  <c r="AK186" i="4"/>
  <c r="AK188" i="4"/>
  <c r="AK190" i="4"/>
  <c r="AK192" i="4"/>
  <c r="AK194" i="4"/>
  <c r="AK196" i="4"/>
  <c r="AK198" i="4"/>
  <c r="AK200" i="4"/>
  <c r="AK202" i="4"/>
  <c r="AK204" i="4"/>
  <c r="AK206" i="4"/>
  <c r="AK208" i="4"/>
  <c r="AK210" i="4"/>
  <c r="AK212" i="4"/>
  <c r="AK214" i="4"/>
  <c r="AK216" i="4"/>
  <c r="AK218" i="4"/>
  <c r="AK220" i="4"/>
  <c r="AK222" i="4"/>
  <c r="AK224" i="4"/>
  <c r="AK82" i="4"/>
  <c r="AG114" i="4"/>
  <c r="L177" i="1"/>
  <c r="H177" i="1" s="1"/>
  <c r="L172" i="1"/>
  <c r="H172" i="1" s="1"/>
  <c r="L171" i="1"/>
  <c r="H171" i="1" s="1"/>
  <c r="AQ211" i="4" l="1"/>
  <c r="AQ195" i="4"/>
  <c r="AQ179" i="4"/>
  <c r="AQ163" i="4"/>
  <c r="AQ147" i="4"/>
  <c r="AQ131" i="4"/>
  <c r="AQ115" i="4"/>
  <c r="AQ97" i="4"/>
  <c r="AQ213" i="4"/>
  <c r="AQ197" i="4"/>
  <c r="AQ181" i="4"/>
  <c r="AQ165" i="4"/>
  <c r="AQ149" i="4"/>
  <c r="AQ133" i="4"/>
  <c r="AQ117" i="4"/>
  <c r="AQ99" i="4"/>
  <c r="AQ85" i="4"/>
  <c r="AQ105" i="4"/>
  <c r="AQ215" i="4"/>
  <c r="AQ199" i="4"/>
  <c r="AQ183" i="4"/>
  <c r="AQ167" i="4"/>
  <c r="AQ151" i="4"/>
  <c r="AQ135" i="4"/>
  <c r="AQ119" i="4"/>
  <c r="AQ101" i="4"/>
  <c r="AQ83" i="4"/>
  <c r="AQ217" i="4"/>
  <c r="AQ201" i="4"/>
  <c r="AQ185" i="4"/>
  <c r="AQ169" i="4"/>
  <c r="AQ153" i="4"/>
  <c r="AQ137" i="4"/>
  <c r="AQ121" i="4"/>
  <c r="AQ103" i="4"/>
  <c r="AQ87" i="4"/>
  <c r="AQ219" i="4"/>
  <c r="AQ203" i="4"/>
  <c r="AQ187" i="4"/>
  <c r="AQ171" i="4"/>
  <c r="AQ155" i="4"/>
  <c r="AQ139" i="4"/>
  <c r="AQ123" i="4"/>
  <c r="AQ107" i="4"/>
  <c r="AQ89" i="4"/>
  <c r="AQ225" i="4"/>
  <c r="AQ223" i="4"/>
  <c r="AQ221" i="4"/>
  <c r="AQ205" i="4"/>
  <c r="AQ189" i="4"/>
  <c r="AQ173" i="4"/>
  <c r="AQ157" i="4"/>
  <c r="AQ141" i="4"/>
  <c r="AQ125" i="4"/>
  <c r="AQ109" i="4"/>
  <c r="AQ91" i="4"/>
  <c r="AQ207" i="4"/>
  <c r="AQ191" i="4"/>
  <c r="AQ175" i="4"/>
  <c r="AQ159" i="4"/>
  <c r="AQ143" i="4"/>
  <c r="AQ127" i="4"/>
  <c r="AQ111" i="4"/>
  <c r="AQ93" i="4"/>
  <c r="AQ209" i="4"/>
  <c r="AQ193" i="4"/>
  <c r="AQ177" i="4"/>
  <c r="AQ161" i="4"/>
  <c r="AQ145" i="4"/>
  <c r="AQ129" i="4"/>
  <c r="AQ113" i="4"/>
  <c r="AQ95" i="4"/>
  <c r="AI92" i="4"/>
  <c r="AI219" i="4"/>
  <c r="AI203" i="4"/>
  <c r="AI187" i="4"/>
  <c r="AI171" i="4"/>
  <c r="AI155" i="4"/>
  <c r="AI139" i="4"/>
  <c r="AI123" i="4"/>
  <c r="AI107" i="4"/>
  <c r="AI89" i="4"/>
  <c r="AI105" i="4"/>
  <c r="AI83" i="4"/>
  <c r="AI225" i="4"/>
  <c r="AI223" i="4"/>
  <c r="AI221" i="4"/>
  <c r="AI205" i="4"/>
  <c r="AI189" i="4"/>
  <c r="AI173" i="4"/>
  <c r="AI157" i="4"/>
  <c r="AI141" i="4"/>
  <c r="AI125" i="4"/>
  <c r="AI109" i="4"/>
  <c r="AI91" i="4"/>
  <c r="AI207" i="4"/>
  <c r="AI191" i="4"/>
  <c r="AI175" i="4"/>
  <c r="AI159" i="4"/>
  <c r="AI143" i="4"/>
  <c r="AI127" i="4"/>
  <c r="AI111" i="4"/>
  <c r="AI93" i="4"/>
  <c r="AI209" i="4"/>
  <c r="AI193" i="4"/>
  <c r="AI177" i="4"/>
  <c r="AI161" i="4"/>
  <c r="AI145" i="4"/>
  <c r="AI129" i="4"/>
  <c r="AI113" i="4"/>
  <c r="AI95" i="4"/>
  <c r="AI85" i="4"/>
  <c r="AI211" i="4"/>
  <c r="AI195" i="4"/>
  <c r="AI179" i="4"/>
  <c r="AI163" i="4"/>
  <c r="AI147" i="4"/>
  <c r="AI131" i="4"/>
  <c r="AI115" i="4"/>
  <c r="AI97" i="4"/>
  <c r="AI213" i="4"/>
  <c r="AI197" i="4"/>
  <c r="AI181" i="4"/>
  <c r="AI165" i="4"/>
  <c r="AI149" i="4"/>
  <c r="AI133" i="4"/>
  <c r="AI117" i="4"/>
  <c r="AI99" i="4"/>
  <c r="AI215" i="4"/>
  <c r="AI199" i="4"/>
  <c r="AI183" i="4"/>
  <c r="AI167" i="4"/>
  <c r="AI151" i="4"/>
  <c r="AI135" i="4"/>
  <c r="AI119" i="4"/>
  <c r="AI101" i="4"/>
  <c r="AI217" i="4"/>
  <c r="AI201" i="4"/>
  <c r="AI185" i="4"/>
  <c r="AI169" i="4"/>
  <c r="AI153" i="4"/>
  <c r="AI137" i="4"/>
  <c r="AI121" i="4"/>
  <c r="AI103" i="4"/>
  <c r="AI87" i="4"/>
  <c r="AG92" i="4"/>
  <c r="AG225" i="4"/>
  <c r="AG223" i="4"/>
  <c r="AG221" i="4"/>
  <c r="AG205" i="4"/>
  <c r="AG189" i="4"/>
  <c r="AG173" i="4"/>
  <c r="AG157" i="4"/>
  <c r="AG141" i="4"/>
  <c r="AX141" i="4" s="1"/>
  <c r="AG125" i="4"/>
  <c r="AG109" i="4"/>
  <c r="AG91" i="4"/>
  <c r="AG207" i="4"/>
  <c r="AG191" i="4"/>
  <c r="AG175" i="4"/>
  <c r="AG159" i="4"/>
  <c r="AG143" i="4"/>
  <c r="AG127" i="4"/>
  <c r="AG111" i="4"/>
  <c r="AG93" i="4"/>
  <c r="AG209" i="4"/>
  <c r="AG193" i="4"/>
  <c r="AG177" i="4"/>
  <c r="AG161" i="4"/>
  <c r="AG145" i="4"/>
  <c r="AG129" i="4"/>
  <c r="AG113" i="4"/>
  <c r="AG95" i="4"/>
  <c r="AG211" i="4"/>
  <c r="AG195" i="4"/>
  <c r="AG179" i="4"/>
  <c r="AG163" i="4"/>
  <c r="AG147" i="4"/>
  <c r="AX147" i="4" s="1"/>
  <c r="AG131" i="4"/>
  <c r="AG115" i="4"/>
  <c r="AG97" i="4"/>
  <c r="AG213" i="4"/>
  <c r="AG197" i="4"/>
  <c r="AG181" i="4"/>
  <c r="AG165" i="4"/>
  <c r="AG149" i="4"/>
  <c r="AG133" i="4"/>
  <c r="AG117" i="4"/>
  <c r="AG99" i="4"/>
  <c r="AG85" i="4"/>
  <c r="AG105" i="4"/>
  <c r="AG87" i="4"/>
  <c r="AG215" i="4"/>
  <c r="AX215" i="4" s="1"/>
  <c r="AG199" i="4"/>
  <c r="AX199" i="4" s="1"/>
  <c r="AG183" i="4"/>
  <c r="AX183" i="4" s="1"/>
  <c r="AG167" i="4"/>
  <c r="AX167" i="4" s="1"/>
  <c r="AG151" i="4"/>
  <c r="AX151" i="4" s="1"/>
  <c r="AG135" i="4"/>
  <c r="AG119" i="4"/>
  <c r="AG101" i="4"/>
  <c r="AX101" i="4" s="1"/>
  <c r="AG83" i="4"/>
  <c r="AX83" i="4" s="1"/>
  <c r="AG217" i="4"/>
  <c r="AG201" i="4"/>
  <c r="AX201" i="4" s="1"/>
  <c r="AG185" i="4"/>
  <c r="AG169" i="4"/>
  <c r="AX169" i="4" s="1"/>
  <c r="AG153" i="4"/>
  <c r="AG137" i="4"/>
  <c r="AG121" i="4"/>
  <c r="AG103" i="4"/>
  <c r="AG219" i="4"/>
  <c r="AG203" i="4"/>
  <c r="AG187" i="4"/>
  <c r="AG171" i="4"/>
  <c r="AG155" i="4"/>
  <c r="AG139" i="4"/>
  <c r="AG123" i="4"/>
  <c r="AG107" i="4"/>
  <c r="AX107" i="4" s="1"/>
  <c r="AG89" i="4"/>
  <c r="AX89" i="4" s="1"/>
  <c r="AG82" i="4"/>
  <c r="AG176" i="4"/>
  <c r="AG178" i="4"/>
  <c r="AG194" i="4"/>
  <c r="AG130" i="4"/>
  <c r="AG224" i="4"/>
  <c r="AG112" i="4"/>
  <c r="AI178" i="4"/>
  <c r="AI192" i="4"/>
  <c r="AG192" i="4"/>
  <c r="AG128" i="4"/>
  <c r="AI194" i="4"/>
  <c r="AI112" i="4"/>
  <c r="AI208" i="4"/>
  <c r="AI128" i="4"/>
  <c r="AG206" i="4"/>
  <c r="AG144" i="4"/>
  <c r="AI210" i="4"/>
  <c r="AI144" i="4"/>
  <c r="AG208" i="4"/>
  <c r="AG146" i="4"/>
  <c r="AI224" i="4"/>
  <c r="AI160" i="4"/>
  <c r="AG210" i="4"/>
  <c r="AG160" i="4"/>
  <c r="AI82" i="4"/>
  <c r="AI162" i="4"/>
  <c r="AG222" i="4"/>
  <c r="AG162" i="4"/>
  <c r="AG96" i="4"/>
  <c r="AI176" i="4"/>
  <c r="AQ92" i="4"/>
  <c r="AQ108" i="4"/>
  <c r="AQ124" i="4"/>
  <c r="AQ140" i="4"/>
  <c r="AQ156" i="4"/>
  <c r="AQ172" i="4"/>
  <c r="AQ188" i="4"/>
  <c r="AQ204" i="4"/>
  <c r="AQ220" i="4"/>
  <c r="AQ90" i="4"/>
  <c r="AQ106" i="4"/>
  <c r="AQ122" i="4"/>
  <c r="AQ138" i="4"/>
  <c r="AQ154" i="4"/>
  <c r="AQ170" i="4"/>
  <c r="AQ186" i="4"/>
  <c r="AQ202" i="4"/>
  <c r="AQ218" i="4"/>
  <c r="AQ88" i="4"/>
  <c r="AQ104" i="4"/>
  <c r="AQ120" i="4"/>
  <c r="AQ136" i="4"/>
  <c r="AQ152" i="4"/>
  <c r="AQ168" i="4"/>
  <c r="AQ184" i="4"/>
  <c r="AQ200" i="4"/>
  <c r="AQ216" i="4"/>
  <c r="AQ86" i="4"/>
  <c r="AQ102" i="4"/>
  <c r="AQ118" i="4"/>
  <c r="AQ134" i="4"/>
  <c r="AQ150" i="4"/>
  <c r="AQ166" i="4"/>
  <c r="AQ182" i="4"/>
  <c r="AQ198" i="4"/>
  <c r="AQ214" i="4"/>
  <c r="AQ84" i="4"/>
  <c r="AQ100" i="4"/>
  <c r="AQ116" i="4"/>
  <c r="AQ132" i="4"/>
  <c r="AQ148" i="4"/>
  <c r="AQ164" i="4"/>
  <c r="AQ180" i="4"/>
  <c r="AQ196" i="4"/>
  <c r="AQ212" i="4"/>
  <c r="AQ98" i="4"/>
  <c r="AQ114" i="4"/>
  <c r="AQ130" i="4"/>
  <c r="AQ146" i="4"/>
  <c r="AQ162" i="4"/>
  <c r="AQ178" i="4"/>
  <c r="AQ194" i="4"/>
  <c r="AQ210" i="4"/>
  <c r="AQ82" i="4"/>
  <c r="AQ96" i="4"/>
  <c r="AQ112" i="4"/>
  <c r="AQ128" i="4"/>
  <c r="AQ144" i="4"/>
  <c r="AQ160" i="4"/>
  <c r="AQ176" i="4"/>
  <c r="AQ192" i="4"/>
  <c r="AQ208" i="4"/>
  <c r="AQ224" i="4"/>
  <c r="AQ94" i="4"/>
  <c r="AQ110" i="4"/>
  <c r="AQ126" i="4"/>
  <c r="AQ142" i="4"/>
  <c r="AQ158" i="4"/>
  <c r="AQ174" i="4"/>
  <c r="AQ190" i="4"/>
  <c r="AQ206" i="4"/>
  <c r="AQ222" i="4"/>
  <c r="AG190" i="4"/>
  <c r="AG174" i="4"/>
  <c r="AG158" i="4"/>
  <c r="AG142" i="4"/>
  <c r="AG126" i="4"/>
  <c r="AG110" i="4"/>
  <c r="AG94" i="4"/>
  <c r="AI222" i="4"/>
  <c r="AI206" i="4"/>
  <c r="AI190" i="4"/>
  <c r="AI174" i="4"/>
  <c r="AI158" i="4"/>
  <c r="AI142" i="4"/>
  <c r="AI126" i="4"/>
  <c r="AI110" i="4"/>
  <c r="AI94" i="4"/>
  <c r="AI96" i="4"/>
  <c r="AG98" i="4"/>
  <c r="AI146" i="4"/>
  <c r="AI130" i="4"/>
  <c r="AI114" i="4"/>
  <c r="AI98" i="4"/>
  <c r="AG212" i="4"/>
  <c r="AG196" i="4"/>
  <c r="AG180" i="4"/>
  <c r="AG164" i="4"/>
  <c r="AG148" i="4"/>
  <c r="AG132" i="4"/>
  <c r="AG116" i="4"/>
  <c r="AG100" i="4"/>
  <c r="AG84" i="4"/>
  <c r="AI212" i="4"/>
  <c r="AI196" i="4"/>
  <c r="AI180" i="4"/>
  <c r="AI164" i="4"/>
  <c r="AI148" i="4"/>
  <c r="AI132" i="4"/>
  <c r="AI116" i="4"/>
  <c r="AI100" i="4"/>
  <c r="AI84" i="4"/>
  <c r="AG214" i="4"/>
  <c r="AG198" i="4"/>
  <c r="AG182" i="4"/>
  <c r="AG166" i="4"/>
  <c r="AG150" i="4"/>
  <c r="AG134" i="4"/>
  <c r="AG118" i="4"/>
  <c r="AG102" i="4"/>
  <c r="AG86" i="4"/>
  <c r="AI214" i="4"/>
  <c r="AI198" i="4"/>
  <c r="AI182" i="4"/>
  <c r="AI166" i="4"/>
  <c r="AI150" i="4"/>
  <c r="AI134" i="4"/>
  <c r="AI118" i="4"/>
  <c r="AI102" i="4"/>
  <c r="AI86" i="4"/>
  <c r="AG216" i="4"/>
  <c r="AG200" i="4"/>
  <c r="AG184" i="4"/>
  <c r="AG168" i="4"/>
  <c r="AG152" i="4"/>
  <c r="AG136" i="4"/>
  <c r="AG120" i="4"/>
  <c r="AG104" i="4"/>
  <c r="AG88" i="4"/>
  <c r="AI216" i="4"/>
  <c r="AI200" i="4"/>
  <c r="AI184" i="4"/>
  <c r="AI168" i="4"/>
  <c r="AI152" i="4"/>
  <c r="AI136" i="4"/>
  <c r="AI120" i="4"/>
  <c r="AI104" i="4"/>
  <c r="AI88" i="4"/>
  <c r="AG218" i="4"/>
  <c r="AG202" i="4"/>
  <c r="AG186" i="4"/>
  <c r="AG170" i="4"/>
  <c r="AG154" i="4"/>
  <c r="AG138" i="4"/>
  <c r="AG122" i="4"/>
  <c r="AG106" i="4"/>
  <c r="AG90" i="4"/>
  <c r="AI218" i="4"/>
  <c r="AI202" i="4"/>
  <c r="AI186" i="4"/>
  <c r="AI170" i="4"/>
  <c r="AI154" i="4"/>
  <c r="AI138" i="4"/>
  <c r="AI122" i="4"/>
  <c r="AI106" i="4"/>
  <c r="AI90" i="4"/>
  <c r="AG220" i="4"/>
  <c r="AG204" i="4"/>
  <c r="AG188" i="4"/>
  <c r="AG172" i="4"/>
  <c r="AG156" i="4"/>
  <c r="AG140" i="4"/>
  <c r="AG124" i="4"/>
  <c r="AG108" i="4"/>
  <c r="AI220" i="4"/>
  <c r="AI204" i="4"/>
  <c r="AI188" i="4"/>
  <c r="AI172" i="4"/>
  <c r="AI156" i="4"/>
  <c r="AI140" i="4"/>
  <c r="AI124" i="4"/>
  <c r="AI108" i="4"/>
  <c r="AX133" i="4" l="1"/>
  <c r="AX129" i="4"/>
  <c r="AX125" i="4"/>
  <c r="AX165" i="4"/>
  <c r="AX123" i="4"/>
  <c r="AX139" i="4"/>
  <c r="AX187" i="4"/>
  <c r="AX115" i="4"/>
  <c r="AX111" i="4"/>
  <c r="AX223" i="4"/>
  <c r="AX98" i="4"/>
  <c r="AX203" i="4"/>
  <c r="AX131" i="4"/>
  <c r="AX127" i="4"/>
  <c r="AX219" i="4"/>
  <c r="AX143" i="4"/>
  <c r="AX163" i="4"/>
  <c r="AX159" i="4"/>
  <c r="AX103" i="4"/>
  <c r="AX171" i="4"/>
  <c r="AX99" i="4"/>
  <c r="AX97" i="4"/>
  <c r="AX95" i="4"/>
  <c r="AX93" i="4"/>
  <c r="AX91" i="4"/>
  <c r="AX135" i="4"/>
  <c r="AX114" i="4"/>
  <c r="AX92" i="4"/>
  <c r="AX122" i="4"/>
  <c r="AX88" i="4"/>
  <c r="AX216" i="4"/>
  <c r="AX218" i="4"/>
  <c r="AX155" i="4"/>
  <c r="AX85" i="4"/>
  <c r="AX211" i="4"/>
  <c r="AX209" i="4"/>
  <c r="AX207" i="4"/>
  <c r="AX205" i="4"/>
  <c r="AX137" i="4"/>
  <c r="AX119" i="4"/>
  <c r="AX90" i="4"/>
  <c r="AX182" i="4"/>
  <c r="AX197" i="4"/>
  <c r="AX195" i="4"/>
  <c r="AX191" i="4"/>
  <c r="AX186" i="4"/>
  <c r="AX152" i="4"/>
  <c r="AX118" i="4"/>
  <c r="AX84" i="4"/>
  <c r="AX87" i="4"/>
  <c r="AX179" i="4"/>
  <c r="AX148" i="4"/>
  <c r="AX158" i="4"/>
  <c r="AX200" i="4"/>
  <c r="AX212" i="4"/>
  <c r="AX94" i="4"/>
  <c r="AX177" i="4"/>
  <c r="AX175" i="4"/>
  <c r="AX173" i="4"/>
  <c r="AX192" i="4"/>
  <c r="AX156" i="4"/>
  <c r="AX166" i="4"/>
  <c r="AX184" i="4"/>
  <c r="AX140" i="4"/>
  <c r="AX204" i="4"/>
  <c r="AX136" i="4"/>
  <c r="AX102" i="4"/>
  <c r="AX196" i="4"/>
  <c r="AX188" i="4"/>
  <c r="AX154" i="4"/>
  <c r="AX120" i="4"/>
  <c r="AX86" i="4"/>
  <c r="AX214" i="4"/>
  <c r="AX180" i="4"/>
  <c r="AX190" i="4"/>
  <c r="AX210" i="4"/>
  <c r="AX206" i="4"/>
  <c r="AX96" i="4"/>
  <c r="AX170" i="4"/>
  <c r="AX112" i="4"/>
  <c r="AX172" i="4"/>
  <c r="AX138" i="4"/>
  <c r="AX104" i="4"/>
  <c r="AX198" i="4"/>
  <c r="AX164" i="4"/>
  <c r="AX174" i="4"/>
  <c r="AX160" i="4"/>
  <c r="AX144" i="4"/>
  <c r="AX82" i="4"/>
  <c r="AX224" i="4"/>
  <c r="AX132" i="4"/>
  <c r="AX128" i="4"/>
  <c r="AX178" i="4"/>
  <c r="AX106" i="4"/>
  <c r="AX142" i="4"/>
  <c r="AX150" i="4"/>
  <c r="AX116" i="4"/>
  <c r="AX126" i="4"/>
  <c r="AX222" i="4"/>
  <c r="AX208" i="4"/>
  <c r="AX194" i="4"/>
  <c r="AX220" i="4"/>
  <c r="AX176" i="4"/>
  <c r="AX124" i="4"/>
  <c r="AX108" i="4"/>
  <c r="AX202" i="4"/>
  <c r="AX168" i="4"/>
  <c r="AX134" i="4"/>
  <c r="AX100" i="4"/>
  <c r="AX110" i="4"/>
  <c r="AX162" i="4"/>
  <c r="AX146" i="4"/>
  <c r="AX130" i="4"/>
  <c r="S39" i="10"/>
  <c r="S38" i="10"/>
  <c r="S37" i="10"/>
  <c r="S36" i="10"/>
  <c r="J38" i="10"/>
  <c r="J39" i="10"/>
  <c r="J51" i="10"/>
  <c r="J68" i="10"/>
  <c r="J69" i="10"/>
  <c r="J70" i="10"/>
  <c r="J71" i="10"/>
  <c r="J72" i="10"/>
  <c r="J74" i="10"/>
  <c r="J77" i="10"/>
  <c r="J78" i="10"/>
  <c r="J79" i="10"/>
  <c r="J80" i="10"/>
  <c r="J86" i="10"/>
  <c r="V39" i="10" s="1"/>
  <c r="I85" i="10"/>
  <c r="J85" i="10" s="1"/>
  <c r="U39" i="10" s="1"/>
  <c r="I84" i="10"/>
  <c r="J84" i="10" s="1"/>
  <c r="I60" i="10"/>
  <c r="J60" i="10" s="1"/>
  <c r="I59" i="10"/>
  <c r="J59" i="10" s="1"/>
  <c r="I58" i="10"/>
  <c r="J58" i="10" s="1"/>
  <c r="I52" i="10"/>
  <c r="J52" i="10" s="1"/>
  <c r="I50" i="10"/>
  <c r="J50" i="10" s="1"/>
  <c r="I49" i="10"/>
  <c r="J49" i="10" s="1"/>
  <c r="I48" i="10"/>
  <c r="J48" i="10" s="1"/>
  <c r="I47" i="10"/>
  <c r="J47" i="10" s="1"/>
  <c r="I46" i="10"/>
  <c r="J46" i="10" s="1"/>
  <c r="I45" i="10"/>
  <c r="J45" i="10" s="1"/>
  <c r="I37" i="10"/>
  <c r="J37" i="10" s="1"/>
  <c r="I36" i="10"/>
  <c r="J36" i="10" s="1"/>
  <c r="I35" i="10"/>
  <c r="J35" i="10" s="1"/>
  <c r="I34" i="10"/>
  <c r="J34" i="10" s="1"/>
  <c r="I33" i="10"/>
  <c r="J33" i="10" s="1"/>
  <c r="I19" i="10"/>
  <c r="J19" i="10" s="1"/>
  <c r="R39" i="10" s="1"/>
  <c r="I18" i="10"/>
  <c r="J18" i="10" s="1"/>
  <c r="R38" i="10" s="1"/>
  <c r="I17" i="10"/>
  <c r="J17" i="10" s="1"/>
  <c r="R37" i="10" s="1"/>
  <c r="I16" i="10"/>
  <c r="J16" i="10" s="1"/>
  <c r="R36" i="10" s="1"/>
  <c r="J42" i="10" l="1"/>
  <c r="U36" i="10"/>
  <c r="U37" i="10"/>
  <c r="U38" i="10"/>
  <c r="J55" i="10"/>
  <c r="M39" i="10" s="1"/>
  <c r="J63" i="10"/>
  <c r="P39" i="10" l="1"/>
  <c r="Q39" i="10"/>
  <c r="N37" i="10"/>
  <c r="O38" i="10"/>
  <c r="N38" i="10"/>
  <c r="N39" i="10"/>
  <c r="O39" i="10"/>
  <c r="M37" i="10"/>
  <c r="M38" i="10"/>
  <c r="M36" i="10"/>
  <c r="W36" i="10" s="1"/>
  <c r="W37" i="10" l="1"/>
  <c r="W38" i="10"/>
  <c r="W39" i="10"/>
  <c r="S128" i="4" l="1"/>
  <c r="S129" i="4"/>
  <c r="S130" i="4"/>
  <c r="S131" i="4"/>
  <c r="S127" i="4"/>
  <c r="Q113" i="4"/>
  <c r="Q114" i="4"/>
  <c r="Q112" i="4"/>
  <c r="S89" i="4"/>
  <c r="S90" i="4"/>
  <c r="S91" i="4"/>
  <c r="S92" i="4"/>
  <c r="S93" i="4"/>
  <c r="S88" i="4"/>
  <c r="R128" i="4"/>
  <c r="R129" i="4"/>
  <c r="R130" i="4"/>
  <c r="R131" i="4"/>
  <c r="R127" i="4"/>
  <c r="P113" i="4"/>
  <c r="P114" i="4"/>
  <c r="P115" i="4"/>
  <c r="P116" i="4"/>
  <c r="P117" i="4"/>
  <c r="P118" i="4"/>
  <c r="P119" i="4"/>
  <c r="P112" i="4"/>
  <c r="R101" i="4"/>
  <c r="R102" i="4"/>
  <c r="R103" i="4"/>
  <c r="R104" i="4"/>
  <c r="R100" i="4"/>
  <c r="R89" i="4"/>
  <c r="R90" i="4"/>
  <c r="R91" i="4"/>
  <c r="R92" i="4"/>
  <c r="R93" i="4"/>
  <c r="R94" i="4"/>
  <c r="R95" i="4"/>
  <c r="R96" i="4"/>
  <c r="R97" i="4"/>
  <c r="R98" i="4"/>
  <c r="R99" i="4"/>
  <c r="R88" i="4"/>
  <c r="M100" i="10"/>
  <c r="D86" i="10"/>
  <c r="E86" i="10"/>
  <c r="H82" i="1"/>
  <c r="G86" i="10" s="1"/>
  <c r="H86" i="10" s="1"/>
  <c r="W18" i="10" s="1"/>
  <c r="E52" i="10" l="1"/>
  <c r="D52" i="10"/>
  <c r="C52" i="10"/>
  <c r="E85" i="10"/>
  <c r="D85" i="10"/>
  <c r="C85" i="10"/>
  <c r="E84" i="10"/>
  <c r="D84" i="10"/>
  <c r="C84" i="10"/>
  <c r="G116" i="1"/>
  <c r="H116" i="1" s="1"/>
  <c r="G85" i="10" s="1"/>
  <c r="H85" i="10" s="1"/>
  <c r="V18" i="10" s="1"/>
  <c r="G115" i="1"/>
  <c r="H115" i="1" s="1"/>
  <c r="G84" i="10" s="1"/>
  <c r="H84" i="10" s="1"/>
  <c r="V15" i="10" s="1"/>
  <c r="G114" i="1"/>
  <c r="H114" i="1" s="1"/>
  <c r="G112" i="1"/>
  <c r="H112" i="1" s="1"/>
  <c r="V17" i="10" l="1"/>
  <c r="V16" i="10"/>
  <c r="N40" i="9" l="1"/>
  <c r="D145" i="10"/>
  <c r="C145" i="10"/>
  <c r="E145" i="10"/>
  <c r="C80" i="10"/>
  <c r="H145" i="1"/>
  <c r="G80" i="10" s="1"/>
  <c r="H80" i="10" s="1"/>
  <c r="M140" i="1"/>
  <c r="M141" i="1"/>
  <c r="M139" i="1"/>
  <c r="D138" i="10"/>
  <c r="D133" i="10"/>
  <c r="D126" i="10"/>
  <c r="E70" i="10"/>
  <c r="E51" i="10"/>
  <c r="E39" i="10"/>
  <c r="E71" i="10"/>
  <c r="E69" i="10"/>
  <c r="D69" i="10"/>
  <c r="C69" i="10"/>
  <c r="E68" i="10"/>
  <c r="D68" i="10"/>
  <c r="C68" i="10"/>
  <c r="H38" i="10"/>
  <c r="E72" i="10"/>
  <c r="B2" i="10" l="1"/>
  <c r="E19" i="10" l="1"/>
  <c r="D19" i="10"/>
  <c r="C19" i="10"/>
  <c r="E18" i="10"/>
  <c r="D18" i="10"/>
  <c r="C18" i="10"/>
  <c r="E17" i="10"/>
  <c r="D17" i="10"/>
  <c r="C17" i="10"/>
  <c r="E16" i="10"/>
  <c r="D16" i="10"/>
  <c r="C16" i="10"/>
  <c r="E60" i="10"/>
  <c r="D60" i="10"/>
  <c r="E59" i="10"/>
  <c r="D59" i="10"/>
  <c r="E58" i="10"/>
  <c r="D58" i="10"/>
  <c r="E46" i="10"/>
  <c r="D46" i="10"/>
  <c r="C46" i="10"/>
  <c r="E50" i="10"/>
  <c r="E49" i="10"/>
  <c r="C49" i="10"/>
  <c r="E48" i="10"/>
  <c r="C48" i="10"/>
  <c r="E47" i="10"/>
  <c r="D47" i="10"/>
  <c r="E45" i="10"/>
  <c r="D45" i="10"/>
  <c r="C47" i="10"/>
  <c r="C45" i="10"/>
  <c r="C37" i="10"/>
  <c r="E37" i="10"/>
  <c r="C36" i="10"/>
  <c r="E36" i="10"/>
  <c r="E35" i="10"/>
  <c r="D35" i="10"/>
  <c r="C35" i="10"/>
  <c r="D34" i="10"/>
  <c r="E34" i="10"/>
  <c r="C34" i="10"/>
  <c r="E33" i="10"/>
  <c r="D33" i="10"/>
  <c r="C33" i="10"/>
  <c r="H105" i="1"/>
  <c r="G19" i="10" s="1"/>
  <c r="H19" i="10" s="1"/>
  <c r="R18" i="10" s="1"/>
  <c r="G141" i="1"/>
  <c r="H141" i="1" s="1"/>
  <c r="H79" i="10" s="1"/>
  <c r="G140" i="1"/>
  <c r="H140" i="1" s="1"/>
  <c r="H78" i="10" s="1"/>
  <c r="G139" i="1"/>
  <c r="H139" i="1" s="1"/>
  <c r="H77" i="10" s="1"/>
  <c r="G136" i="1"/>
  <c r="H136" i="1" s="1"/>
  <c r="G50" i="10" s="1"/>
  <c r="H50" i="10" s="1"/>
  <c r="G134" i="1"/>
  <c r="H134" i="1" s="1"/>
  <c r="G133" i="1"/>
  <c r="H133" i="1" s="1"/>
  <c r="G132" i="1"/>
  <c r="H132" i="1" s="1"/>
  <c r="G131" i="1"/>
  <c r="H131" i="1" s="1"/>
  <c r="G49" i="10" s="1"/>
  <c r="H49" i="10" s="1"/>
  <c r="G130" i="1"/>
  <c r="H130" i="1" s="1"/>
  <c r="G129" i="1"/>
  <c r="H129" i="1" s="1"/>
  <c r="G37" i="10" s="1"/>
  <c r="H37" i="10" s="1"/>
  <c r="G128" i="1"/>
  <c r="H128" i="1" s="1"/>
  <c r="G126" i="1"/>
  <c r="H126" i="1" s="1"/>
  <c r="G125" i="1"/>
  <c r="H125" i="1" s="1"/>
  <c r="G124" i="1"/>
  <c r="H124" i="1" s="1"/>
  <c r="G123" i="1"/>
  <c r="H123" i="1" s="1"/>
  <c r="G48" i="10" s="1"/>
  <c r="H48" i="10" s="1"/>
  <c r="G122" i="1"/>
  <c r="H122" i="1" s="1"/>
  <c r="G121" i="1"/>
  <c r="H121" i="1" s="1"/>
  <c r="G36" i="10" s="1"/>
  <c r="H36" i="10" s="1"/>
  <c r="G120" i="1"/>
  <c r="H120" i="1" s="1"/>
  <c r="J131" i="7" l="1"/>
  <c r="J82" i="7"/>
  <c r="J113" i="7"/>
  <c r="J121" i="7"/>
  <c r="J79" i="7"/>
  <c r="J112" i="7"/>
  <c r="J78" i="7"/>
  <c r="J111" i="7"/>
  <c r="J138" i="7"/>
  <c r="J102" i="7"/>
  <c r="J152" i="7"/>
  <c r="J137" i="7"/>
  <c r="J101" i="7"/>
  <c r="J161" i="7"/>
  <c r="J159" i="7"/>
  <c r="J142" i="7"/>
  <c r="J92" i="7"/>
  <c r="J160" i="7"/>
  <c r="J90" i="7"/>
  <c r="J153" i="7"/>
  <c r="J91" i="7"/>
  <c r="J158" i="7"/>
  <c r="J157" i="7"/>
  <c r="J155" i="7"/>
  <c r="J154" i="7"/>
  <c r="J6" i="7"/>
  <c r="J14" i="7"/>
  <c r="J23" i="7"/>
  <c r="J31" i="7"/>
  <c r="J39" i="7"/>
  <c r="J49" i="7"/>
  <c r="J61" i="7"/>
  <c r="J69" i="7"/>
  <c r="J77" i="7"/>
  <c r="J89" i="7"/>
  <c r="J99" i="7"/>
  <c r="J109" i="7"/>
  <c r="J120" i="7"/>
  <c r="J129" i="7"/>
  <c r="J149" i="7"/>
  <c r="J5" i="7"/>
  <c r="J13" i="7"/>
  <c r="J20" i="7"/>
  <c r="J30" i="7"/>
  <c r="J38" i="7"/>
  <c r="J48" i="7"/>
  <c r="J60" i="7"/>
  <c r="J68" i="7"/>
  <c r="J76" i="7"/>
  <c r="J88" i="7"/>
  <c r="J98" i="7"/>
  <c r="J108" i="7"/>
  <c r="J119" i="7"/>
  <c r="J128" i="7"/>
  <c r="J148" i="7"/>
  <c r="J4" i="7"/>
  <c r="J12" i="7"/>
  <c r="J19" i="7"/>
  <c r="J29" i="7"/>
  <c r="J37" i="7"/>
  <c r="J47" i="7"/>
  <c r="J59" i="7"/>
  <c r="J67" i="7"/>
  <c r="J75" i="7"/>
  <c r="J87" i="7"/>
  <c r="J97" i="7"/>
  <c r="J107" i="7"/>
  <c r="J118" i="7"/>
  <c r="J127" i="7"/>
  <c r="J136" i="7"/>
  <c r="J147" i="7"/>
  <c r="J11" i="7"/>
  <c r="J28" i="7"/>
  <c r="J36" i="7"/>
  <c r="J46" i="7"/>
  <c r="J58" i="7"/>
  <c r="J66" i="7"/>
  <c r="J74" i="7"/>
  <c r="J86" i="7"/>
  <c r="J96" i="7"/>
  <c r="J106" i="7"/>
  <c r="J117" i="7"/>
  <c r="J126" i="7"/>
  <c r="J146" i="7"/>
  <c r="J10" i="7"/>
  <c r="J18" i="7"/>
  <c r="J27" i="7"/>
  <c r="J35" i="7"/>
  <c r="J45" i="7"/>
  <c r="J55" i="7"/>
  <c r="J65" i="7"/>
  <c r="J73" i="7"/>
  <c r="J85" i="7"/>
  <c r="J95" i="7"/>
  <c r="J125" i="7"/>
  <c r="J3" i="7"/>
  <c r="J9" i="7"/>
  <c r="J17" i="7"/>
  <c r="J26" i="7"/>
  <c r="J34" i="7"/>
  <c r="J44" i="7"/>
  <c r="J54" i="7"/>
  <c r="J64" i="7"/>
  <c r="J72" i="7"/>
  <c r="J133" i="7"/>
  <c r="J8" i="7"/>
  <c r="J16" i="7"/>
  <c r="J25" i="7"/>
  <c r="J33" i="7"/>
  <c r="J43" i="7"/>
  <c r="J53" i="7"/>
  <c r="J63" i="7"/>
  <c r="J71" i="7"/>
  <c r="J103" i="7"/>
  <c r="J123" i="7"/>
  <c r="J143" i="7"/>
  <c r="J151" i="7"/>
  <c r="J7" i="7"/>
  <c r="J15" i="7"/>
  <c r="J24" i="7"/>
  <c r="J32" i="7"/>
  <c r="J42" i="7"/>
  <c r="J50" i="7"/>
  <c r="J62" i="7"/>
  <c r="J70" i="7"/>
  <c r="J100" i="7"/>
  <c r="J110" i="7"/>
  <c r="J122" i="7"/>
  <c r="J130" i="7"/>
  <c r="J150" i="7"/>
  <c r="H81" i="10"/>
  <c r="T18" i="10" l="1"/>
  <c r="T15" i="10"/>
  <c r="Y28" i="7" a="1"/>
  <c r="Y28" i="7" s="1"/>
  <c r="AA36" i="7" a="1"/>
  <c r="AA36" i="7" s="1"/>
  <c r="Y37" i="7" a="1"/>
  <c r="Y37" i="7" s="1"/>
  <c r="Z13" i="7" a="1"/>
  <c r="Z13" i="7" s="1"/>
  <c r="AB28" i="7" a="1"/>
  <c r="AB28" i="7" s="1"/>
  <c r="Z14" i="7" a="1"/>
  <c r="Z14" i="7" s="1"/>
  <c r="AB29" i="7" a="1"/>
  <c r="AB29" i="7" s="1"/>
  <c r="Z23" i="7" a="1"/>
  <c r="Z23" i="7" s="1"/>
  <c r="AB38" i="7" a="1"/>
  <c r="AB38" i="7" s="1"/>
  <c r="X17" i="7" a="1"/>
  <c r="X17" i="7" s="1"/>
  <c r="Z32" i="7" a="1"/>
  <c r="Z32" i="7" s="1"/>
  <c r="X26" i="7" a="1"/>
  <c r="X26" i="7" s="1"/>
  <c r="Z41" i="7" a="1"/>
  <c r="Z41" i="7" s="1"/>
  <c r="AA17" i="7" a="1"/>
  <c r="AA17" i="7" s="1"/>
  <c r="X35" i="7" a="1"/>
  <c r="X35" i="7" s="1"/>
  <c r="AA26" i="7" a="1"/>
  <c r="AA26" i="7" s="1"/>
  <c r="Y19" i="7" a="1"/>
  <c r="Y19" i="7" s="1"/>
  <c r="AA35" i="7" a="1"/>
  <c r="AA35" i="7" s="1"/>
  <c r="AB20" i="7" a="1"/>
  <c r="AB20" i="7" s="1"/>
  <c r="Z42" i="7" a="1"/>
  <c r="Z42" i="7" s="1"/>
  <c r="Y36" i="7" a="1"/>
  <c r="Y36" i="7" s="1"/>
  <c r="Z12" i="7" a="1"/>
  <c r="Z12" i="7" s="1"/>
  <c r="AB19" i="7" a="1"/>
  <c r="AB19" i="7" s="1"/>
  <c r="Z21" i="7" a="1"/>
  <c r="Z21" i="7" s="1"/>
  <c r="AB36" i="7" a="1"/>
  <c r="AB36" i="7" s="1"/>
  <c r="X15" i="7" a="1"/>
  <c r="X15" i="7" s="1"/>
  <c r="Z22" i="7" a="1"/>
  <c r="Z22" i="7" s="1"/>
  <c r="AB37" i="7" a="1"/>
  <c r="AB37" i="7" s="1"/>
  <c r="X16" i="7" a="1"/>
  <c r="X16" i="7" s="1"/>
  <c r="Z31" i="7" a="1"/>
  <c r="Z31" i="7" s="1"/>
  <c r="X25" i="7" a="1"/>
  <c r="X25" i="7" s="1"/>
  <c r="Z40" i="7" a="1"/>
  <c r="Z40" i="7" s="1"/>
  <c r="AA16" i="7" a="1"/>
  <c r="AA16" i="7" s="1"/>
  <c r="X34" i="7" a="1"/>
  <c r="X34" i="7" s="1"/>
  <c r="AA25" i="7" a="1"/>
  <c r="AA25" i="7" s="1"/>
  <c r="Y18" i="7" a="1"/>
  <c r="Y18" i="7" s="1"/>
  <c r="AA34" i="7" a="1"/>
  <c r="AA34" i="7" s="1"/>
  <c r="Y27" i="7" a="1"/>
  <c r="Y27" i="7" s="1"/>
  <c r="AB18" i="7" a="1"/>
  <c r="AB18" i="7" s="1"/>
  <c r="Y29" i="7" a="1"/>
  <c r="Y29" i="7" s="1"/>
  <c r="AB30" i="7" a="1"/>
  <c r="AB30" i="7" s="1"/>
  <c r="X27" i="7" a="1"/>
  <c r="X27" i="7" s="1"/>
  <c r="Z20" i="7" a="1"/>
  <c r="Z20" i="7" s="1"/>
  <c r="AB27" i="7" a="1"/>
  <c r="AB27" i="7" s="1"/>
  <c r="X14" i="7" a="1"/>
  <c r="X14" i="7" s="1"/>
  <c r="Z29" i="7" a="1"/>
  <c r="Z29" i="7" s="1"/>
  <c r="X23" i="7" a="1"/>
  <c r="X23" i="7" s="1"/>
  <c r="Z30" i="7" a="1"/>
  <c r="Z30" i="7" s="1"/>
  <c r="X24" i="7" a="1"/>
  <c r="X24" i="7" s="1"/>
  <c r="Z39" i="7" a="1"/>
  <c r="Z39" i="7" s="1"/>
  <c r="AA15" i="7" a="1"/>
  <c r="AA15" i="7" s="1"/>
  <c r="X33" i="7" a="1"/>
  <c r="X33" i="7" s="1"/>
  <c r="AA24" i="7" a="1"/>
  <c r="AA24" i="7" s="1"/>
  <c r="X42" i="7" a="1"/>
  <c r="X42" i="7" s="1"/>
  <c r="Y17" i="7" a="1"/>
  <c r="Y17" i="7" s="1"/>
  <c r="AA33" i="7" a="1"/>
  <c r="AA33" i="7" s="1"/>
  <c r="Y26" i="7" a="1"/>
  <c r="Y26" i="7" s="1"/>
  <c r="AA42" i="7" a="1"/>
  <c r="AA42" i="7" s="1"/>
  <c r="AB17" i="7" a="1"/>
  <c r="AB17" i="7" s="1"/>
  <c r="Y35" i="7" a="1"/>
  <c r="Y35" i="7" s="1"/>
  <c r="AB26" i="7" a="1"/>
  <c r="AB26" i="7" s="1"/>
  <c r="Y39" i="7" a="1"/>
  <c r="Y39" i="7" s="1"/>
  <c r="Z33" i="7" a="1"/>
  <c r="Z33" i="7" s="1"/>
  <c r="X13" i="7" a="1"/>
  <c r="X13" i="7" s="1"/>
  <c r="Z28" i="7" a="1"/>
  <c r="Z28" i="7" s="1"/>
  <c r="AB35" i="7" a="1"/>
  <c r="AB35" i="7" s="1"/>
  <c r="X22" i="7" a="1"/>
  <c r="X22" i="7" s="1"/>
  <c r="Z37" i="7" a="1"/>
  <c r="Z37" i="7" s="1"/>
  <c r="AA13" i="7" a="1"/>
  <c r="AA13" i="7" s="1"/>
  <c r="X31" i="7" a="1"/>
  <c r="X31" i="7" s="1"/>
  <c r="Z38" i="7" a="1"/>
  <c r="Z38" i="7" s="1"/>
  <c r="AA14" i="7" a="1"/>
  <c r="AA14" i="7" s="1"/>
  <c r="X32" i="7" a="1"/>
  <c r="X32" i="7" s="1"/>
  <c r="AA23" i="7" a="1"/>
  <c r="AA23" i="7" s="1"/>
  <c r="X41" i="7" a="1"/>
  <c r="X41" i="7" s="1"/>
  <c r="Y16" i="7" a="1"/>
  <c r="Y16" i="7" s="1"/>
  <c r="AA32" i="7" a="1"/>
  <c r="AA32" i="7" s="1"/>
  <c r="Y25" i="7" a="1"/>
  <c r="Y25" i="7" s="1"/>
  <c r="AA41" i="7" a="1"/>
  <c r="AA41" i="7" s="1"/>
  <c r="AB16" i="7" a="1"/>
  <c r="AB16" i="7" s="1"/>
  <c r="Y34" i="7" a="1"/>
  <c r="Y34" i="7" s="1"/>
  <c r="AB25" i="7" a="1"/>
  <c r="AB25" i="7" s="1"/>
  <c r="Z19" i="7" a="1"/>
  <c r="Z19" i="7" s="1"/>
  <c r="AB34" i="7" a="1"/>
  <c r="AB34" i="7" s="1"/>
  <c r="Z15" i="7" a="1"/>
  <c r="Z15" i="7" s="1"/>
  <c r="X21" i="7" a="1"/>
  <c r="X21" i="7" s="1"/>
  <c r="Z36" i="7" a="1"/>
  <c r="Z36" i="7" s="1"/>
  <c r="X30" i="7" a="1"/>
  <c r="X30" i="7" s="1"/>
  <c r="AA21" i="7" a="1"/>
  <c r="AA21" i="7" s="1"/>
  <c r="X39" i="7" a="1"/>
  <c r="X39" i="7" s="1"/>
  <c r="Y14" i="7" a="1"/>
  <c r="Y14" i="7" s="1"/>
  <c r="AA22" i="7" a="1"/>
  <c r="AA22" i="7" s="1"/>
  <c r="X40" i="7" a="1"/>
  <c r="X40" i="7" s="1"/>
  <c r="Y15" i="7" a="1"/>
  <c r="Y15" i="7" s="1"/>
  <c r="AA31" i="7" a="1"/>
  <c r="AA31" i="7" s="1"/>
  <c r="Y24" i="7" a="1"/>
  <c r="Y24" i="7" s="1"/>
  <c r="AA40" i="7" a="1"/>
  <c r="AA40" i="7" s="1"/>
  <c r="AB15" i="7" a="1"/>
  <c r="AB15" i="7" s="1"/>
  <c r="Y33" i="7" a="1"/>
  <c r="Y33" i="7" s="1"/>
  <c r="AB24" i="7" a="1"/>
  <c r="AB24" i="7" s="1"/>
  <c r="Y42" i="7" a="1"/>
  <c r="Y42" i="7" s="1"/>
  <c r="Z18" i="7" a="1"/>
  <c r="Z18" i="7" s="1"/>
  <c r="AB33" i="7" a="1"/>
  <c r="AB33" i="7" s="1"/>
  <c r="X12" i="7" a="1"/>
  <c r="X12" i="7" s="1"/>
  <c r="Z27" i="7" a="1"/>
  <c r="Z27" i="7" s="1"/>
  <c r="AB42" i="7" a="1"/>
  <c r="AB42" i="7" s="1"/>
  <c r="AB21" i="7" a="1"/>
  <c r="AB21" i="7" s="1"/>
  <c r="X18" i="7" a="1"/>
  <c r="X18" i="7" s="1"/>
  <c r="AA27" i="7" a="1"/>
  <c r="AA27" i="7" s="1"/>
  <c r="AC27" i="7" s="1"/>
  <c r="X29" i="7" a="1"/>
  <c r="X29" i="7" s="1"/>
  <c r="AA12" i="7" a="1"/>
  <c r="AA12" i="7" s="1"/>
  <c r="X38" i="7" a="1"/>
  <c r="X38" i="7" s="1"/>
  <c r="Y13" i="7" a="1"/>
  <c r="Y13" i="7" s="1"/>
  <c r="AA29" i="7" a="1"/>
  <c r="AA29" i="7" s="1"/>
  <c r="Y22" i="7" a="1"/>
  <c r="Y22" i="7" s="1"/>
  <c r="AA30" i="7" a="1"/>
  <c r="AA30" i="7" s="1"/>
  <c r="AC30" i="7" s="1"/>
  <c r="Y23" i="7" a="1"/>
  <c r="Y23" i="7" s="1"/>
  <c r="AA39" i="7" a="1"/>
  <c r="AA39" i="7" s="1"/>
  <c r="AB14" i="7" a="1"/>
  <c r="AB14" i="7" s="1"/>
  <c r="Y32" i="7" a="1"/>
  <c r="Y32" i="7" s="1"/>
  <c r="AB23" i="7" a="1"/>
  <c r="AB23" i="7" s="1"/>
  <c r="Y41" i="7" a="1"/>
  <c r="Y41" i="7" s="1"/>
  <c r="Z17" i="7" a="1"/>
  <c r="Z17" i="7" s="1"/>
  <c r="AB32" i="7" a="1"/>
  <c r="AB32" i="7" s="1"/>
  <c r="Z26" i="7" a="1"/>
  <c r="Z26" i="7" s="1"/>
  <c r="AB41" i="7" a="1"/>
  <c r="AB41" i="7" s="1"/>
  <c r="X20" i="7" a="1"/>
  <c r="X20" i="7" s="1"/>
  <c r="Z35" i="7" a="1"/>
  <c r="Z35" i="7" s="1"/>
  <c r="Y20" i="7" a="1"/>
  <c r="Y20" i="7" s="1"/>
  <c r="AB39" i="7" a="1"/>
  <c r="AB39" i="7" s="1"/>
  <c r="X36" i="7" a="1"/>
  <c r="X36" i="7" s="1"/>
  <c r="X37" i="7" a="1"/>
  <c r="X37" i="7" s="1"/>
  <c r="Y12" i="7" a="1"/>
  <c r="Y12" i="7" s="1"/>
  <c r="AA20" i="7" a="1"/>
  <c r="AA20" i="7" s="1"/>
  <c r="AC20" i="7" s="1"/>
  <c r="Y21" i="7" a="1"/>
  <c r="Y21" i="7" s="1"/>
  <c r="AA37" i="7" a="1"/>
  <c r="AA37" i="7" s="1"/>
  <c r="AC37" i="7" s="1"/>
  <c r="AB12" i="7" a="1"/>
  <c r="AB12" i="7" s="1"/>
  <c r="Y30" i="7" a="1"/>
  <c r="Y30" i="7" s="1"/>
  <c r="AA38" i="7" a="1"/>
  <c r="AA38" i="7" s="1"/>
  <c r="AC38" i="7" s="1"/>
  <c r="AB13" i="7" a="1"/>
  <c r="AB13" i="7" s="1"/>
  <c r="Y31" i="7" a="1"/>
  <c r="Y31" i="7" s="1"/>
  <c r="AB22" i="7" a="1"/>
  <c r="AB22" i="7" s="1"/>
  <c r="Y40" i="7" a="1"/>
  <c r="Y40" i="7" s="1"/>
  <c r="Z16" i="7" a="1"/>
  <c r="Z16" i="7" s="1"/>
  <c r="AB31" i="7" a="1"/>
  <c r="AB31" i="7" s="1"/>
  <c r="Z25" i="7" a="1"/>
  <c r="Z25" i="7" s="1"/>
  <c r="AB40" i="7" a="1"/>
  <c r="AB40" i="7" s="1"/>
  <c r="X19" i="7" a="1"/>
  <c r="X19" i="7" s="1"/>
  <c r="Z34" i="7" a="1"/>
  <c r="Z34" i="7" s="1"/>
  <c r="X28" i="7" a="1"/>
  <c r="X28" i="7" s="1"/>
  <c r="AA19" i="7" a="1"/>
  <c r="AA19" i="7" s="1"/>
  <c r="AC19" i="7" s="1"/>
  <c r="AA28" i="7" a="1"/>
  <c r="AA28" i="7" s="1"/>
  <c r="AC28" i="7" s="1"/>
  <c r="Y38" i="7" a="1"/>
  <c r="Y38" i="7" s="1"/>
  <c r="Z24" i="7" a="1"/>
  <c r="Z24" i="7" s="1"/>
  <c r="AA18" i="7" a="1"/>
  <c r="AA18" i="7" s="1"/>
  <c r="T16" i="10"/>
  <c r="T17" i="10"/>
  <c r="W46" i="3"/>
  <c r="L32" i="9"/>
  <c r="L34" i="9" s="1"/>
  <c r="T19" i="9"/>
  <c r="T21" i="9" s="1"/>
  <c r="Q20" i="9"/>
  <c r="P20" i="9"/>
  <c r="K32" i="9"/>
  <c r="F24" i="9"/>
  <c r="H24" i="9" s="1"/>
  <c r="M212" i="4"/>
  <c r="L212" i="4"/>
  <c r="H104" i="1"/>
  <c r="M119" i="4"/>
  <c r="M118" i="4"/>
  <c r="M116" i="4"/>
  <c r="M117" i="4"/>
  <c r="M115" i="4"/>
  <c r="M114" i="4"/>
  <c r="M113" i="4"/>
  <c r="M112" i="4"/>
  <c r="AC29" i="7" l="1"/>
  <c r="AC18" i="7"/>
  <c r="AC12" i="7"/>
  <c r="AC23" i="7"/>
  <c r="AC34" i="7"/>
  <c r="AC35" i="7"/>
  <c r="AC39" i="7"/>
  <c r="AC22" i="7"/>
  <c r="AC33" i="7"/>
  <c r="AC13" i="7"/>
  <c r="AC16" i="7"/>
  <c r="AC17" i="7"/>
  <c r="AC36" i="7"/>
  <c r="AC32" i="7"/>
  <c r="AC15" i="7"/>
  <c r="AC31" i="7"/>
  <c r="AC42" i="7"/>
  <c r="AC14" i="7"/>
  <c r="AC25" i="7"/>
  <c r="AC26" i="7"/>
  <c r="AC21" i="7"/>
  <c r="AC41" i="7"/>
  <c r="AC24" i="7"/>
  <c r="AC40" i="7"/>
  <c r="G58" i="10"/>
  <c r="H58" i="10" s="1"/>
  <c r="G33" i="10"/>
  <c r="H33" i="10" s="1"/>
  <c r="F90" i="5"/>
  <c r="F89" i="5"/>
  <c r="D132" i="4"/>
  <c r="AC45" i="7" l="1"/>
  <c r="G121" i="5"/>
  <c r="G120" i="5"/>
  <c r="G119" i="5"/>
  <c r="G118" i="5"/>
  <c r="B95" i="4"/>
  <c r="B96" i="4" s="1"/>
  <c r="AA7" i="3"/>
  <c r="AD6" i="3" s="1"/>
  <c r="AA5" i="3"/>
  <c r="AQ18" i="3" l="1"/>
  <c r="AR20" i="3"/>
  <c r="AQ19" i="3"/>
  <c r="AR21" i="3"/>
  <c r="AQ20" i="3"/>
  <c r="AR22" i="3"/>
  <c r="AQ21" i="3"/>
  <c r="AR23" i="3"/>
  <c r="AQ17" i="3"/>
  <c r="AR24" i="3"/>
  <c r="AR25" i="3"/>
  <c r="AR26" i="3"/>
  <c r="AR18" i="3"/>
  <c r="AR17" i="3"/>
  <c r="AR19" i="3"/>
  <c r="AC9" i="3"/>
  <c r="AK17" i="3"/>
  <c r="AA8" i="3"/>
  <c r="AL21" i="3"/>
  <c r="AC8" i="3"/>
  <c r="AL22" i="3"/>
  <c r="AL23" i="3"/>
  <c r="AL26" i="3"/>
  <c r="AL17" i="3"/>
  <c r="AL19" i="3"/>
  <c r="AL18" i="3"/>
  <c r="AL20" i="3"/>
  <c r="AL24" i="3"/>
  <c r="AE18" i="3"/>
  <c r="AL25" i="3"/>
  <c r="AK18" i="3"/>
  <c r="AE19" i="3"/>
  <c r="AE27" i="3"/>
  <c r="AK19" i="3"/>
  <c r="AK20" i="3"/>
  <c r="AK21" i="3"/>
  <c r="AE28" i="3"/>
  <c r="AE20" i="3"/>
  <c r="AE29" i="3"/>
  <c r="AE21" i="3"/>
  <c r="AE30" i="3"/>
  <c r="AE22" i="3"/>
  <c r="AE31" i="3"/>
  <c r="AE23" i="3"/>
  <c r="AE32" i="3"/>
  <c r="AE24" i="3"/>
  <c r="AE33" i="3"/>
  <c r="AE25" i="3"/>
  <c r="AE17" i="3"/>
  <c r="AE26" i="3"/>
  <c r="AD19" i="3"/>
  <c r="AD27" i="3"/>
  <c r="AD18" i="3"/>
  <c r="AD28" i="3"/>
  <c r="AD20" i="3"/>
  <c r="AD29" i="3"/>
  <c r="AD21" i="3"/>
  <c r="AD30" i="3"/>
  <c r="AD22" i="3"/>
  <c r="AD31" i="3"/>
  <c r="AD23" i="3"/>
  <c r="AD32" i="3"/>
  <c r="AD24" i="3"/>
  <c r="AD33" i="3"/>
  <c r="AD25" i="3"/>
  <c r="AD17" i="3"/>
  <c r="AD26" i="3"/>
  <c r="AC6" i="3"/>
  <c r="AA6" i="3" s="1"/>
  <c r="H3" i="4" l="1"/>
  <c r="AF21" i="4" s="1"/>
  <c r="AF30" i="4" l="1"/>
  <c r="D110" i="4"/>
  <c r="N21" i="4"/>
  <c r="N22" i="4" s="1"/>
  <c r="V21" i="4"/>
  <c r="AD21" i="4"/>
  <c r="AD30" i="4" s="1"/>
  <c r="M21" i="4"/>
  <c r="M22" i="4" s="1"/>
  <c r="D42" i="4" s="1"/>
  <c r="U21" i="4"/>
  <c r="U30" i="4" s="1"/>
  <c r="AC21" i="4"/>
  <c r="L21" i="4"/>
  <c r="L30" i="4" s="1"/>
  <c r="T21" i="4"/>
  <c r="AB21" i="4"/>
  <c r="D95" i="4" s="1"/>
  <c r="D96" i="4" s="1"/>
  <c r="K21" i="4"/>
  <c r="K30" i="4" s="1"/>
  <c r="S21" i="4"/>
  <c r="D117" i="4" s="1"/>
  <c r="AA21" i="4"/>
  <c r="AA30" i="4" s="1"/>
  <c r="R21" i="4"/>
  <c r="R30" i="4" s="1"/>
  <c r="Q21" i="4"/>
  <c r="Y21" i="4"/>
  <c r="D120" i="4" s="1"/>
  <c r="P21" i="4"/>
  <c r="P22" i="4" s="1"/>
  <c r="X21" i="4"/>
  <c r="X30" i="4" s="1"/>
  <c r="AG21" i="4"/>
  <c r="AG30" i="4" s="1"/>
  <c r="AG32" i="4" s="1"/>
  <c r="Z21" i="4"/>
  <c r="O21" i="4"/>
  <c r="O30" i="4" s="1"/>
  <c r="W21" i="4"/>
  <c r="W22" i="4" s="1"/>
  <c r="D60" i="4" s="1"/>
  <c r="D47" i="4" l="1"/>
  <c r="N191" i="4" s="1"/>
  <c r="D114" i="4"/>
  <c r="G16" i="4"/>
  <c r="Q23" i="4"/>
  <c r="V23" i="4"/>
  <c r="I165" i="4"/>
  <c r="V111" i="4" s="1"/>
  <c r="I177" i="4"/>
  <c r="K177" i="4" s="1"/>
  <c r="I84" i="4"/>
  <c r="I108" i="4"/>
  <c r="I123" i="4"/>
  <c r="K123" i="4" s="1"/>
  <c r="Z22" i="4"/>
  <c r="G25" i="4"/>
  <c r="D87" i="4" s="1"/>
  <c r="AB30" i="4"/>
  <c r="G29" i="4"/>
  <c r="G21" i="4"/>
  <c r="D68" i="4" s="1"/>
  <c r="G28" i="4"/>
  <c r="D91" i="4" s="1"/>
  <c r="G22" i="4"/>
  <c r="D73" i="4" s="1"/>
  <c r="G23" i="4"/>
  <c r="D78" i="4" s="1"/>
  <c r="G24" i="4"/>
  <c r="N30" i="4"/>
  <c r="M29" i="4"/>
  <c r="M30" i="4" s="1"/>
  <c r="G11" i="4"/>
  <c r="G32" i="4"/>
  <c r="Y24" i="4"/>
  <c r="V25" i="4"/>
  <c r="S23" i="4"/>
  <c r="V24" i="4"/>
  <c r="G15" i="4"/>
  <c r="T22" i="4"/>
  <c r="T24" i="4" s="1"/>
  <c r="P23" i="4"/>
  <c r="P24" i="4"/>
  <c r="L220" i="5"/>
  <c r="I217" i="5" s="1"/>
  <c r="V103" i="4" l="1"/>
  <c r="K108" i="4"/>
  <c r="X103" i="4" s="1"/>
  <c r="V102" i="4"/>
  <c r="K84" i="4"/>
  <c r="X102" i="4" s="1"/>
  <c r="X112" i="4"/>
  <c r="J177" i="4"/>
  <c r="W112" i="4" s="1"/>
  <c r="V104" i="4"/>
  <c r="T123" i="4"/>
  <c r="U123" i="4"/>
  <c r="P123" i="4"/>
  <c r="R123" i="4"/>
  <c r="S123" i="4"/>
  <c r="M261" i="4"/>
  <c r="N261" i="4" s="1"/>
  <c r="G12" i="4"/>
  <c r="M191" i="4"/>
  <c r="V112" i="4"/>
  <c r="Q30" i="4"/>
  <c r="D83" i="4"/>
  <c r="Y25" i="4" s="1"/>
  <c r="Y30" i="4" s="1"/>
  <c r="L165" i="4"/>
  <c r="P165" i="4"/>
  <c r="Q165" i="4"/>
  <c r="J165" i="4"/>
  <c r="W111" i="4" s="1"/>
  <c r="K165" i="4"/>
  <c r="X111" i="4" s="1"/>
  <c r="P177" i="4"/>
  <c r="Q177" i="4"/>
  <c r="Q84" i="4"/>
  <c r="P84" i="4"/>
  <c r="R84" i="4"/>
  <c r="J84" i="4"/>
  <c r="W102" i="4" s="1"/>
  <c r="S84" i="4"/>
  <c r="N108" i="4"/>
  <c r="O108" i="4"/>
  <c r="Q108" i="4"/>
  <c r="J108" i="4"/>
  <c r="W103" i="4" s="1"/>
  <c r="P108" i="4"/>
  <c r="L108" i="4"/>
  <c r="Q123" i="4"/>
  <c r="L123" i="4"/>
  <c r="J123" i="4"/>
  <c r="W104" i="4" s="1"/>
  <c r="X104" i="4"/>
  <c r="M192" i="4" s="1"/>
  <c r="G17" i="4"/>
  <c r="W23" i="4"/>
  <c r="W24" i="4"/>
  <c r="Z24" i="4"/>
  <c r="Z23" i="4"/>
  <c r="P29" i="4"/>
  <c r="D51" i="4" s="1"/>
  <c r="T23" i="4"/>
  <c r="E139" i="5"/>
  <c r="E135" i="5"/>
  <c r="F173" i="5"/>
  <c r="F172" i="5"/>
  <c r="F113" i="5"/>
  <c r="E113" i="5"/>
  <c r="F171" i="5"/>
  <c r="F34" i="5"/>
  <c r="N192" i="4" l="1"/>
  <c r="M195" i="4"/>
  <c r="N195" i="4"/>
  <c r="Y23" i="4"/>
  <c r="W113" i="4"/>
  <c r="X113" i="4"/>
  <c r="W105" i="4"/>
  <c r="X105" i="4"/>
  <c r="P30" i="4"/>
  <c r="W25" i="4"/>
  <c r="Z30" i="4"/>
  <c r="T30" i="4"/>
  <c r="F170" i="5"/>
  <c r="F169" i="5"/>
  <c r="G26" i="4" l="1"/>
  <c r="G14" i="4"/>
  <c r="F168" i="5"/>
  <c r="F167" i="5"/>
  <c r="F164" i="5"/>
  <c r="E164" i="5"/>
  <c r="D164" i="5"/>
  <c r="H85" i="1"/>
  <c r="F88" i="5" l="1"/>
  <c r="F87" i="5"/>
  <c r="F84" i="5"/>
  <c r="F161" i="5" l="1"/>
  <c r="F160" i="5"/>
  <c r="F157" i="5"/>
  <c r="F156" i="5"/>
  <c r="F153" i="5"/>
  <c r="F152" i="5"/>
  <c r="F149" i="5"/>
  <c r="F148" i="5"/>
  <c r="F80" i="5" l="1"/>
  <c r="F79" i="5"/>
  <c r="F144" i="5"/>
  <c r="F143" i="5"/>
  <c r="F11" i="5"/>
  <c r="F12" i="5"/>
  <c r="M207" i="4"/>
  <c r="M208" i="4"/>
  <c r="M209" i="4"/>
  <c r="M210" i="4"/>
  <c r="M211" i="4"/>
  <c r="M206" i="4"/>
  <c r="L211" i="4"/>
  <c r="L210" i="4"/>
  <c r="L209" i="4"/>
  <c r="L208" i="4"/>
  <c r="L207" i="4"/>
  <c r="L206" i="4"/>
  <c r="B60" i="4" l="1"/>
  <c r="H99" i="1"/>
  <c r="G16" i="10" s="1"/>
  <c r="H16" i="10" s="1"/>
  <c r="R15" i="10" s="1"/>
  <c r="H100" i="1"/>
  <c r="G17" i="10" s="1"/>
  <c r="H17" i="10" s="1"/>
  <c r="R16" i="10" s="1"/>
  <c r="H101" i="1"/>
  <c r="H102" i="1"/>
  <c r="G18" i="10" s="1"/>
  <c r="H18" i="10" s="1"/>
  <c r="R17" i="10" s="1"/>
  <c r="H103" i="1"/>
  <c r="H98" i="1"/>
  <c r="F140" i="5"/>
  <c r="F139" i="5"/>
  <c r="F66" i="5"/>
  <c r="F99" i="5"/>
  <c r="F109" i="5"/>
  <c r="F100" i="5"/>
  <c r="F67" i="5"/>
  <c r="F58" i="5"/>
  <c r="F132" i="5"/>
  <c r="F131" i="5"/>
  <c r="F136" i="5"/>
  <c r="N171" i="4"/>
  <c r="N170" i="4"/>
  <c r="N169" i="4"/>
  <c r="N146" i="4"/>
  <c r="N145" i="4"/>
  <c r="N144" i="4"/>
  <c r="O169" i="4"/>
  <c r="O144" i="4"/>
  <c r="I268" i="4" l="1"/>
  <c r="I267" i="4"/>
  <c r="J267" i="4" s="1"/>
  <c r="F108" i="5"/>
  <c r="F98" i="5"/>
  <c r="F56" i="5"/>
  <c r="F107" i="5"/>
  <c r="F97" i="5"/>
  <c r="F65" i="5"/>
  <c r="F55" i="5"/>
  <c r="F105" i="5"/>
  <c r="F63" i="5"/>
  <c r="E105" i="5"/>
  <c r="E63" i="5"/>
  <c r="E94" i="5"/>
  <c r="F94" i="5"/>
  <c r="F52" i="5"/>
  <c r="E52" i="5"/>
  <c r="F73" i="5"/>
  <c r="F72" i="5"/>
  <c r="F76" i="5"/>
  <c r="F128" i="5"/>
  <c r="G124" i="5"/>
  <c r="O185" i="4"/>
  <c r="O184" i="4"/>
  <c r="O183" i="4"/>
  <c r="O182" i="4"/>
  <c r="O181" i="4"/>
  <c r="N185" i="4"/>
  <c r="N184" i="4"/>
  <c r="N183" i="4"/>
  <c r="N182" i="4"/>
  <c r="N181" i="4"/>
  <c r="M182" i="4"/>
  <c r="M183" i="4"/>
  <c r="M184" i="4"/>
  <c r="M185" i="4"/>
  <c r="M181" i="4"/>
  <c r="L185" i="4"/>
  <c r="L184" i="4"/>
  <c r="L183" i="4"/>
  <c r="L182" i="4"/>
  <c r="L181" i="4"/>
  <c r="O173" i="4"/>
  <c r="O165" i="4" s="1"/>
  <c r="O172" i="4"/>
  <c r="N173" i="4"/>
  <c r="N165" i="4" s="1"/>
  <c r="N172" i="4"/>
  <c r="M172" i="4"/>
  <c r="M171" i="4"/>
  <c r="M170" i="4"/>
  <c r="M169" i="4"/>
  <c r="H185" i="4"/>
  <c r="H184" i="4"/>
  <c r="H183" i="4"/>
  <c r="H182" i="4"/>
  <c r="H181" i="4"/>
  <c r="H173" i="4"/>
  <c r="H172" i="4"/>
  <c r="H171" i="4"/>
  <c r="H170" i="4"/>
  <c r="H169" i="4"/>
  <c r="H148" i="4"/>
  <c r="H147" i="4"/>
  <c r="H146" i="4"/>
  <c r="H145" i="4"/>
  <c r="H144" i="4"/>
  <c r="H160" i="4"/>
  <c r="H159" i="4"/>
  <c r="H158" i="4"/>
  <c r="H157" i="4"/>
  <c r="H156" i="4"/>
  <c r="E26" i="4"/>
  <c r="E18" i="4"/>
  <c r="B87" i="4"/>
  <c r="L177" i="4" l="1"/>
  <c r="M177" i="4"/>
  <c r="N177" i="4"/>
  <c r="O177" i="4"/>
  <c r="M165" i="4"/>
  <c r="I269" i="4"/>
  <c r="J269" i="4" s="1"/>
  <c r="I270" i="4"/>
  <c r="J270" i="4" s="1"/>
  <c r="E25" i="4"/>
  <c r="I167" i="4"/>
  <c r="I179" i="4"/>
  <c r="O167" i="4" l="1"/>
  <c r="J167" i="4"/>
  <c r="K167" i="4"/>
  <c r="M179" i="4"/>
  <c r="J179" i="4"/>
  <c r="K179" i="4"/>
  <c r="N167" i="4"/>
  <c r="M167" i="4"/>
  <c r="L167" i="4"/>
  <c r="Q167" i="4"/>
  <c r="P167" i="4"/>
  <c r="P179" i="4"/>
  <c r="O179" i="4"/>
  <c r="N179" i="4"/>
  <c r="L179" i="4"/>
  <c r="Q179" i="4"/>
  <c r="J262" i="4" l="1"/>
  <c r="F32" i="4" l="1"/>
  <c r="E29" i="4"/>
  <c r="E14" i="4"/>
  <c r="F29" i="4"/>
  <c r="Z7" i="3" l="1"/>
  <c r="E17" i="4"/>
  <c r="M262" i="4" s="1"/>
  <c r="O160" i="4"/>
  <c r="O159" i="4"/>
  <c r="O158" i="4"/>
  <c r="O157" i="4"/>
  <c r="O156" i="4"/>
  <c r="N160" i="4"/>
  <c r="N159" i="4"/>
  <c r="N158" i="4"/>
  <c r="N157" i="4"/>
  <c r="N156" i="4"/>
  <c r="M158" i="4"/>
  <c r="M159" i="4"/>
  <c r="M160" i="4"/>
  <c r="M157" i="4"/>
  <c r="M156" i="4"/>
  <c r="L160" i="4"/>
  <c r="L159" i="4"/>
  <c r="L158" i="4"/>
  <c r="L157" i="4"/>
  <c r="L156" i="4"/>
  <c r="O148" i="4"/>
  <c r="O147" i="4"/>
  <c r="N148" i="4"/>
  <c r="N147" i="4"/>
  <c r="M147" i="4"/>
  <c r="M146" i="4"/>
  <c r="M145" i="4"/>
  <c r="M144" i="4"/>
  <c r="H131" i="4"/>
  <c r="H130" i="4"/>
  <c r="H129" i="4"/>
  <c r="H127" i="4"/>
  <c r="H118" i="4"/>
  <c r="H117" i="4"/>
  <c r="H116" i="4"/>
  <c r="H113" i="4"/>
  <c r="H112" i="4"/>
  <c r="O131" i="4"/>
  <c r="N131" i="4"/>
  <c r="B110" i="4"/>
  <c r="E30" i="4" s="1"/>
  <c r="B91" i="4"/>
  <c r="E28" i="4" s="1"/>
  <c r="B83" i="4"/>
  <c r="B78" i="4"/>
  <c r="E23" i="4" s="1"/>
  <c r="B73" i="4"/>
  <c r="E22" i="4" s="1"/>
  <c r="B68" i="4"/>
  <c r="E21" i="4" s="1"/>
  <c r="B56" i="4"/>
  <c r="B51" i="4"/>
  <c r="B47" i="4"/>
  <c r="J195" i="4" l="1"/>
  <c r="I195" i="4"/>
  <c r="E13" i="4"/>
  <c r="I110" i="4"/>
  <c r="K110" i="4" s="1"/>
  <c r="I86" i="4"/>
  <c r="K86" i="4" s="1"/>
  <c r="J192" i="4" s="1"/>
  <c r="I272" i="4"/>
  <c r="J272" i="4" s="1"/>
  <c r="I271" i="4"/>
  <c r="J271" i="4" s="1"/>
  <c r="J268" i="4"/>
  <c r="I259" i="4"/>
  <c r="J259" i="4" s="1"/>
  <c r="I260" i="4"/>
  <c r="J260" i="4" s="1"/>
  <c r="I262" i="4"/>
  <c r="I191" i="4"/>
  <c r="E24" i="4"/>
  <c r="E16" i="4"/>
  <c r="I142" i="4"/>
  <c r="K142" i="4" s="1"/>
  <c r="I194" i="4" s="1"/>
  <c r="I154" i="4"/>
  <c r="E12" i="4"/>
  <c r="C15" i="3"/>
  <c r="N154" i="4" l="1"/>
  <c r="K154" i="4"/>
  <c r="J194" i="4" s="1"/>
  <c r="J154" i="4"/>
  <c r="B65" i="4"/>
  <c r="E19" i="4"/>
  <c r="B3" i="10" s="1"/>
  <c r="Q142" i="4"/>
  <c r="N142" i="4"/>
  <c r="P142" i="4"/>
  <c r="O142" i="4"/>
  <c r="M142" i="4"/>
  <c r="L142" i="4"/>
  <c r="O154" i="4"/>
  <c r="P154" i="4"/>
  <c r="Q154" i="4"/>
  <c r="L154" i="4"/>
  <c r="M154" i="4"/>
  <c r="N36" i="3"/>
  <c r="M213" i="5"/>
  <c r="J265" i="4" l="1"/>
  <c r="E33" i="4"/>
  <c r="I265" i="4"/>
  <c r="F124" i="5"/>
  <c r="I219" i="5" l="1"/>
  <c r="M129" i="4"/>
  <c r="M123" i="4"/>
  <c r="M128" i="4"/>
  <c r="M127" i="4"/>
  <c r="F41" i="5"/>
  <c r="E41" i="5"/>
  <c r="G39" i="1"/>
  <c r="H39" i="1" s="1"/>
  <c r="G40" i="1"/>
  <c r="H40" i="1" s="1"/>
  <c r="G41" i="1"/>
  <c r="H41" i="1" s="1"/>
  <c r="B15" i="3" l="1"/>
  <c r="H2" i="4" s="1"/>
  <c r="J257" i="4"/>
  <c r="N257" i="4" s="1"/>
  <c r="O8" i="4" l="1"/>
  <c r="O16" i="4" s="1"/>
  <c r="O32" i="4" s="1"/>
  <c r="K8" i="4"/>
  <c r="K16" i="4" s="1"/>
  <c r="K32" i="4" s="1"/>
  <c r="L8" i="4"/>
  <c r="L16" i="4" s="1"/>
  <c r="M8" i="4"/>
  <c r="M15" i="4" s="1"/>
  <c r="N8" i="4"/>
  <c r="N9" i="4" s="1"/>
  <c r="P8" i="4"/>
  <c r="Z8" i="4"/>
  <c r="Z9" i="4" s="1"/>
  <c r="R8" i="4"/>
  <c r="R16" i="4" s="1"/>
  <c r="R32" i="4" s="1"/>
  <c r="AA8" i="4"/>
  <c r="S8" i="4"/>
  <c r="S24" i="4" s="1"/>
  <c r="S30" i="4" s="1"/>
  <c r="AB8" i="4"/>
  <c r="C95" i="4" s="1"/>
  <c r="T8" i="4"/>
  <c r="I125" i="4" s="1"/>
  <c r="AC8" i="4"/>
  <c r="U8" i="4"/>
  <c r="AD8" i="4"/>
  <c r="V8" i="4"/>
  <c r="AF8" i="4"/>
  <c r="C110" i="4" s="1"/>
  <c r="E110" i="4" s="1"/>
  <c r="W8" i="4"/>
  <c r="X8" i="4"/>
  <c r="Y8" i="4"/>
  <c r="C120" i="4" s="1"/>
  <c r="E120" i="4" s="1"/>
  <c r="Q8" i="4"/>
  <c r="F16" i="4" s="1"/>
  <c r="J281" i="4"/>
  <c r="J282" i="4"/>
  <c r="J284" i="4"/>
  <c r="B42" i="3" s="1"/>
  <c r="J285" i="4"/>
  <c r="B43" i="3" s="1"/>
  <c r="J286" i="4"/>
  <c r="B44" i="3" s="1"/>
  <c r="B7" i="3"/>
  <c r="L257" i="4"/>
  <c r="U125" i="4" l="1"/>
  <c r="K125" i="4"/>
  <c r="T125" i="4"/>
  <c r="P125" i="4"/>
  <c r="Q125" i="4"/>
  <c r="R125" i="4"/>
  <c r="S125" i="4"/>
  <c r="L125" i="4"/>
  <c r="M125" i="4"/>
  <c r="C114" i="4"/>
  <c r="C47" i="4"/>
  <c r="N16" i="4"/>
  <c r="G86" i="4"/>
  <c r="C96" i="4"/>
  <c r="E96" i="4" s="1"/>
  <c r="E95" i="4"/>
  <c r="G30" i="4"/>
  <c r="F30" i="4"/>
  <c r="F21" i="4"/>
  <c r="F23" i="4"/>
  <c r="F22" i="4"/>
  <c r="F24" i="4"/>
  <c r="M16" i="4"/>
  <c r="L32" i="4"/>
  <c r="AA16" i="4"/>
  <c r="AA32" i="4" s="1"/>
  <c r="AD16" i="4"/>
  <c r="AD32" i="4" s="1"/>
  <c r="X16" i="4"/>
  <c r="X32" i="4" s="1"/>
  <c r="AB16" i="4"/>
  <c r="AB32" i="4" s="1"/>
  <c r="U16" i="4"/>
  <c r="U32" i="4" s="1"/>
  <c r="AF16" i="4"/>
  <c r="AF32" i="4" s="1"/>
  <c r="M9" i="4"/>
  <c r="C42" i="4" s="1"/>
  <c r="F25" i="4"/>
  <c r="N29" i="3" s="1"/>
  <c r="I166" i="4"/>
  <c r="I178" i="4"/>
  <c r="K178" i="4" s="1"/>
  <c r="W9" i="4"/>
  <c r="W11" i="4" s="1"/>
  <c r="I193" i="4" l="1"/>
  <c r="I192" i="4"/>
  <c r="F12" i="4"/>
  <c r="K37" i="3"/>
  <c r="B37" i="3" s="1"/>
  <c r="AD80" i="4"/>
  <c r="E202" i="5" s="1"/>
  <c r="L191" i="4"/>
  <c r="I164" i="4"/>
  <c r="V97" i="4"/>
  <c r="I176" i="4"/>
  <c r="V98" i="4"/>
  <c r="E47" i="4"/>
  <c r="AE80" i="4" s="1"/>
  <c r="W10" i="4"/>
  <c r="C60" i="4"/>
  <c r="E60" i="4" s="1"/>
  <c r="M32" i="4"/>
  <c r="C87" i="4"/>
  <c r="E87" i="4" s="1"/>
  <c r="F28" i="4"/>
  <c r="L166" i="4"/>
  <c r="P166" i="4"/>
  <c r="P164" i="4" s="1"/>
  <c r="Q166" i="4"/>
  <c r="Q164" i="4" s="1"/>
  <c r="M166" i="4"/>
  <c r="J166" i="4"/>
  <c r="J164" i="4" s="1"/>
  <c r="K166" i="4"/>
  <c r="N166" i="4"/>
  <c r="N164" i="4" s="1"/>
  <c r="O166" i="4"/>
  <c r="P178" i="4"/>
  <c r="P176" i="4" s="1"/>
  <c r="O178" i="4"/>
  <c r="N178" i="4"/>
  <c r="K176" i="4"/>
  <c r="L178" i="4"/>
  <c r="Q178" i="4"/>
  <c r="Q176" i="4" s="1"/>
  <c r="J178" i="4"/>
  <c r="J176" i="4" s="1"/>
  <c r="M178" i="4"/>
  <c r="F15" i="4"/>
  <c r="V9" i="4"/>
  <c r="N25" i="3"/>
  <c r="T9" i="4"/>
  <c r="R260" i="4"/>
  <c r="N32" i="3"/>
  <c r="P9" i="4"/>
  <c r="Q10" i="4" s="1"/>
  <c r="K164" i="4" l="1"/>
  <c r="F110" i="5"/>
  <c r="E110" i="5"/>
  <c r="F101" i="5"/>
  <c r="E101" i="5"/>
  <c r="V10" i="4"/>
  <c r="Q16" i="4"/>
  <c r="Q32" i="4" s="1"/>
  <c r="L164" i="4"/>
  <c r="O164" i="4"/>
  <c r="N176" i="4"/>
  <c r="F106" i="5" s="1"/>
  <c r="M164" i="4"/>
  <c r="M176" i="4"/>
  <c r="E104" i="5" s="1"/>
  <c r="L176" i="4"/>
  <c r="F104" i="5" s="1"/>
  <c r="O176" i="4"/>
  <c r="E106" i="5" s="1"/>
  <c r="F17" i="4"/>
  <c r="K262" i="4" s="1"/>
  <c r="V12" i="4"/>
  <c r="Y11" i="4"/>
  <c r="V11" i="4"/>
  <c r="Z9" i="3"/>
  <c r="W98" i="4"/>
  <c r="X98" i="4"/>
  <c r="W97" i="4"/>
  <c r="X97" i="4"/>
  <c r="P10" i="4"/>
  <c r="S10" i="4"/>
  <c r="N26" i="3"/>
  <c r="C73" i="4"/>
  <c r="N27" i="3"/>
  <c r="C78" i="4"/>
  <c r="N30" i="3"/>
  <c r="C91" i="4"/>
  <c r="C68" i="4"/>
  <c r="N28" i="3"/>
  <c r="C83" i="4"/>
  <c r="N22" i="3"/>
  <c r="S11" i="4"/>
  <c r="P11" i="4"/>
  <c r="C117" i="4"/>
  <c r="I109" i="4" s="1"/>
  <c r="F182" i="5"/>
  <c r="E182" i="5"/>
  <c r="G95" i="1"/>
  <c r="H95" i="1" s="1"/>
  <c r="G94" i="1"/>
  <c r="H94" i="1" s="1"/>
  <c r="J109" i="4" l="1"/>
  <c r="J107" i="4" s="1"/>
  <c r="K109" i="4"/>
  <c r="K107" i="4" s="1"/>
  <c r="Y12" i="4"/>
  <c r="Y16" i="4" s="1"/>
  <c r="Y32" i="4" s="1"/>
  <c r="E93" i="5"/>
  <c r="H93" i="5" s="1"/>
  <c r="F93" i="5"/>
  <c r="J104" i="5"/>
  <c r="E83" i="4"/>
  <c r="K195" i="4"/>
  <c r="L195" i="4"/>
  <c r="I107" i="4"/>
  <c r="V87" i="4"/>
  <c r="N109" i="4"/>
  <c r="P109" i="4"/>
  <c r="L109" i="4"/>
  <c r="Q109" i="4"/>
  <c r="O109" i="4"/>
  <c r="E117" i="4"/>
  <c r="I85" i="4"/>
  <c r="K85" i="4" s="1"/>
  <c r="E73" i="4"/>
  <c r="C130" i="5" s="1"/>
  <c r="E78" i="4"/>
  <c r="C134" i="5" s="1"/>
  <c r="E91" i="4"/>
  <c r="C138" i="5" s="1"/>
  <c r="G139" i="5" s="1"/>
  <c r="E68" i="4"/>
  <c r="C142" i="5" s="1"/>
  <c r="N32" i="4"/>
  <c r="Y10" i="4"/>
  <c r="Z10" i="4"/>
  <c r="S16" i="4"/>
  <c r="S32" i="4" s="1"/>
  <c r="Z11" i="4"/>
  <c r="P15" i="4"/>
  <c r="T10" i="4"/>
  <c r="AA9" i="3"/>
  <c r="K191" i="4"/>
  <c r="W99" i="4"/>
  <c r="X99" i="4"/>
  <c r="N23" i="3"/>
  <c r="F11" i="4"/>
  <c r="N18" i="3" s="1"/>
  <c r="I124" i="4"/>
  <c r="K124" i="4" s="1"/>
  <c r="T11" i="4"/>
  <c r="V88" i="4" l="1"/>
  <c r="T124" i="4"/>
  <c r="T122" i="4" s="1"/>
  <c r="P124" i="4"/>
  <c r="U124" i="4"/>
  <c r="U122" i="4" s="1"/>
  <c r="Q124" i="4"/>
  <c r="R124" i="4"/>
  <c r="F26" i="4"/>
  <c r="AS19" i="3"/>
  <c r="AS18" i="3"/>
  <c r="AS26" i="3"/>
  <c r="AS25" i="3"/>
  <c r="AS24" i="3"/>
  <c r="AS23" i="3"/>
  <c r="AS22" i="3"/>
  <c r="AS21" i="3"/>
  <c r="AS20" i="3"/>
  <c r="AS17" i="3"/>
  <c r="I83" i="4"/>
  <c r="V86" i="4"/>
  <c r="J124" i="4"/>
  <c r="J122" i="4" s="1"/>
  <c r="S124" i="4"/>
  <c r="K122" i="4"/>
  <c r="L124" i="4"/>
  <c r="M124" i="4"/>
  <c r="I122" i="4"/>
  <c r="R85" i="4"/>
  <c r="J85" i="4"/>
  <c r="K83" i="4"/>
  <c r="P85" i="4"/>
  <c r="Q85" i="4"/>
  <c r="S85" i="4"/>
  <c r="G140" i="5"/>
  <c r="G136" i="5"/>
  <c r="G135" i="5"/>
  <c r="G143" i="5"/>
  <c r="G144" i="5"/>
  <c r="G132" i="5"/>
  <c r="G131" i="5"/>
  <c r="P16" i="4"/>
  <c r="P32" i="4" s="1"/>
  <c r="C51" i="4"/>
  <c r="K261" i="4"/>
  <c r="L261" i="4" s="1"/>
  <c r="Z16" i="4"/>
  <c r="Z32" i="4" s="1"/>
  <c r="L262" i="4"/>
  <c r="N262" i="4" s="1"/>
  <c r="T16" i="4"/>
  <c r="T32" i="4" s="1"/>
  <c r="W12" i="4"/>
  <c r="G13" i="4"/>
  <c r="AN25" i="3"/>
  <c r="AN22" i="3"/>
  <c r="AN24" i="3"/>
  <c r="AN26" i="3"/>
  <c r="AN23" i="3"/>
  <c r="AB9" i="3"/>
  <c r="AB8" i="3"/>
  <c r="C103" i="5"/>
  <c r="G110" i="5" s="1"/>
  <c r="B92" i="5"/>
  <c r="C92" i="5"/>
  <c r="AN18" i="3"/>
  <c r="AF22" i="3"/>
  <c r="AN21" i="3"/>
  <c r="AN20" i="3"/>
  <c r="AN19" i="3"/>
  <c r="AN17" i="3"/>
  <c r="J249" i="4"/>
  <c r="J250" i="4"/>
  <c r="Z5" i="3"/>
  <c r="N19" i="3"/>
  <c r="J343" i="4"/>
  <c r="J342" i="4"/>
  <c r="J341" i="4"/>
  <c r="J340" i="4"/>
  <c r="J324" i="4"/>
  <c r="J325" i="4"/>
  <c r="J326" i="4"/>
  <c r="J327" i="4"/>
  <c r="J316" i="4"/>
  <c r="J328" i="4"/>
  <c r="J336" i="4"/>
  <c r="J312" i="4"/>
  <c r="J315" i="4"/>
  <c r="J323" i="4"/>
  <c r="J335" i="4"/>
  <c r="J347" i="4"/>
  <c r="J314" i="4"/>
  <c r="J322" i="4"/>
  <c r="J334" i="4"/>
  <c r="J346" i="4"/>
  <c r="J313" i="4"/>
  <c r="J321" i="4"/>
  <c r="J333" i="4"/>
  <c r="J345" i="4"/>
  <c r="J320" i="4"/>
  <c r="J344" i="4"/>
  <c r="J319" i="4"/>
  <c r="J331" i="4"/>
  <c r="J339" i="4"/>
  <c r="J318" i="4"/>
  <c r="J330" i="4"/>
  <c r="J338" i="4"/>
  <c r="J317" i="4"/>
  <c r="J329" i="4"/>
  <c r="J337" i="4"/>
  <c r="J332" i="4"/>
  <c r="AW149" i="4" l="1"/>
  <c r="AX149" i="4" s="1"/>
  <c r="AW113" i="4"/>
  <c r="AX113" i="4" s="1"/>
  <c r="AW217" i="4"/>
  <c r="AX217" i="4" s="1"/>
  <c r="AW213" i="4"/>
  <c r="AX213" i="4" s="1"/>
  <c r="AW109" i="4"/>
  <c r="AX109" i="4" s="1"/>
  <c r="AW193" i="4"/>
  <c r="AX193" i="4" s="1"/>
  <c r="AW161" i="4"/>
  <c r="AX161" i="4" s="1"/>
  <c r="AW189" i="4"/>
  <c r="AX189" i="4" s="1"/>
  <c r="AW105" i="4"/>
  <c r="AX105" i="4" s="1"/>
  <c r="AW181" i="4"/>
  <c r="AX181" i="4" s="1"/>
  <c r="AW157" i="4"/>
  <c r="AX157" i="4" s="1"/>
  <c r="AW185" i="4"/>
  <c r="AX185" i="4" s="1"/>
  <c r="AW225" i="4"/>
  <c r="AX225" i="4" s="1"/>
  <c r="AW221" i="4"/>
  <c r="AX221" i="4" s="1"/>
  <c r="AW145" i="4"/>
  <c r="AX145" i="4" s="1"/>
  <c r="AW117" i="4"/>
  <c r="AX117" i="4" s="1"/>
  <c r="AW153" i="4"/>
  <c r="AX153" i="4" s="1"/>
  <c r="AW121" i="4"/>
  <c r="AX121" i="4" s="1"/>
  <c r="G95" i="5"/>
  <c r="G96" i="5"/>
  <c r="G101" i="5"/>
  <c r="E51" i="4"/>
  <c r="C15" i="5" s="1"/>
  <c r="G22" i="5" s="1"/>
  <c r="J83" i="4"/>
  <c r="W86" i="4"/>
  <c r="W88" i="4"/>
  <c r="F13" i="4"/>
  <c r="N20" i="3" s="1"/>
  <c r="AF28" i="3"/>
  <c r="AF20" i="3"/>
  <c r="AF25" i="3"/>
  <c r="AF29" i="3"/>
  <c r="AF23" i="3"/>
  <c r="AF18" i="3"/>
  <c r="AF33" i="3"/>
  <c r="AF24" i="3"/>
  <c r="AF27" i="3"/>
  <c r="AF31" i="3"/>
  <c r="G97" i="5"/>
  <c r="G94" i="5"/>
  <c r="G100" i="5"/>
  <c r="G93" i="5"/>
  <c r="G99" i="5"/>
  <c r="G98" i="5"/>
  <c r="G105" i="5"/>
  <c r="G107" i="5"/>
  <c r="G109" i="5"/>
  <c r="G104" i="5"/>
  <c r="G108" i="5"/>
  <c r="G106" i="5"/>
  <c r="AF26" i="3"/>
  <c r="AF17" i="3"/>
  <c r="AF19" i="3"/>
  <c r="AF32" i="3"/>
  <c r="AF21" i="3"/>
  <c r="AF30" i="3"/>
  <c r="Q29" i="3"/>
  <c r="J251" i="4"/>
  <c r="E27" i="4" s="1"/>
  <c r="W87" i="4"/>
  <c r="X88" i="4"/>
  <c r="X86" i="4"/>
  <c r="L192" i="4" s="1"/>
  <c r="X87" i="4"/>
  <c r="K192" i="4" l="1"/>
  <c r="C26" i="5"/>
  <c r="J252" i="4"/>
  <c r="K319" i="4"/>
  <c r="U319" i="4" s="1"/>
  <c r="K337" i="4"/>
  <c r="U337" i="4" s="1"/>
  <c r="K325" i="4"/>
  <c r="U325" i="4" s="1"/>
  <c r="K334" i="4"/>
  <c r="U334" i="4" s="1"/>
  <c r="K312" i="4"/>
  <c r="K315" i="4"/>
  <c r="U315" i="4" s="1"/>
  <c r="K321" i="4"/>
  <c r="U321" i="4" s="1"/>
  <c r="K342" i="4"/>
  <c r="U342" i="4" s="1"/>
  <c r="K346" i="4"/>
  <c r="U346" i="4" s="1"/>
  <c r="K331" i="4"/>
  <c r="U331" i="4" s="1"/>
  <c r="K323" i="4"/>
  <c r="U323" i="4" s="1"/>
  <c r="K347" i="4"/>
  <c r="U347" i="4" s="1"/>
  <c r="K338" i="4"/>
  <c r="U338" i="4" s="1"/>
  <c r="K320" i="4"/>
  <c r="U320" i="4" s="1"/>
  <c r="K340" i="4"/>
  <c r="U340" i="4" s="1"/>
  <c r="B38" i="5"/>
  <c r="K328" i="4"/>
  <c r="K326" i="4"/>
  <c r="U326" i="4" s="1"/>
  <c r="K313" i="4"/>
  <c r="U313" i="4" s="1"/>
  <c r="K318" i="4"/>
  <c r="U318" i="4" s="1"/>
  <c r="K333" i="4"/>
  <c r="U333" i="4" s="1"/>
  <c r="K335" i="4"/>
  <c r="U335" i="4" s="1"/>
  <c r="K330" i="4"/>
  <c r="U330" i="4" s="1"/>
  <c r="K341" i="4"/>
  <c r="U341" i="4" s="1"/>
  <c r="K316" i="4"/>
  <c r="U316" i="4" s="1"/>
  <c r="K314" i="4"/>
  <c r="U314" i="4" s="1"/>
  <c r="K317" i="4"/>
  <c r="U317" i="4" s="1"/>
  <c r="K332" i="4"/>
  <c r="U332" i="4" s="1"/>
  <c r="K327" i="4"/>
  <c r="U327" i="4" s="1"/>
  <c r="G21" i="5"/>
  <c r="K339" i="4"/>
  <c r="U339" i="4" s="1"/>
  <c r="K343" i="4"/>
  <c r="U343" i="4" s="1"/>
  <c r="K345" i="4"/>
  <c r="U345" i="4" s="1"/>
  <c r="K336" i="4"/>
  <c r="U336" i="4" s="1"/>
  <c r="K322" i="4"/>
  <c r="U322" i="4" s="1"/>
  <c r="K329" i="4"/>
  <c r="U329" i="4" s="1"/>
  <c r="K344" i="4"/>
  <c r="K324" i="4"/>
  <c r="U324" i="4" s="1"/>
  <c r="X89" i="4"/>
  <c r="W89" i="4"/>
  <c r="G151" i="1"/>
  <c r="H151" i="1" s="1"/>
  <c r="G152" i="1"/>
  <c r="H152" i="1" s="1"/>
  <c r="G153" i="1"/>
  <c r="H153" i="1" s="1"/>
  <c r="G154" i="1"/>
  <c r="H154" i="1" s="1"/>
  <c r="G155" i="1"/>
  <c r="H155" i="1" s="1"/>
  <c r="G29" i="10" s="1"/>
  <c r="H29" i="10" s="1"/>
  <c r="G157" i="1"/>
  <c r="H157" i="1" s="1"/>
  <c r="G30" i="10" s="1"/>
  <c r="H30" i="10" s="1"/>
  <c r="G158" i="1"/>
  <c r="G150" i="1"/>
  <c r="H150" i="1" s="1"/>
  <c r="G110" i="1"/>
  <c r="H110" i="1" s="1"/>
  <c r="G111" i="1"/>
  <c r="H111" i="1" s="1"/>
  <c r="G113" i="1"/>
  <c r="G109" i="1"/>
  <c r="H109" i="1" s="1"/>
  <c r="G89" i="1"/>
  <c r="H89" i="1" s="1"/>
  <c r="G90" i="1"/>
  <c r="H90" i="1" s="1"/>
  <c r="G91" i="1"/>
  <c r="H91" i="1" s="1"/>
  <c r="G92" i="1"/>
  <c r="H92" i="1" s="1"/>
  <c r="G93" i="1"/>
  <c r="H93" i="1" s="1"/>
  <c r="G88" i="1"/>
  <c r="H88" i="1" s="1"/>
  <c r="G68" i="10" s="1"/>
  <c r="H68" i="10" s="1"/>
  <c r="G62" i="1"/>
  <c r="H62" i="1" s="1"/>
  <c r="G63" i="1"/>
  <c r="H63" i="1" s="1"/>
  <c r="G64" i="1"/>
  <c r="H64" i="1" s="1"/>
  <c r="G65" i="1"/>
  <c r="H65" i="1" s="1"/>
  <c r="G20" i="10" s="1"/>
  <c r="H20" i="10" s="1"/>
  <c r="S15" i="10" s="1"/>
  <c r="G66" i="1"/>
  <c r="H66" i="1" s="1"/>
  <c r="G21" i="10" s="1"/>
  <c r="H21" i="10" s="1"/>
  <c r="S16" i="10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61" i="1"/>
  <c r="H61" i="1" s="1"/>
  <c r="G61" i="10" s="1"/>
  <c r="H61" i="10" s="1"/>
  <c r="G57" i="1"/>
  <c r="H57" i="1" s="1"/>
  <c r="G58" i="1"/>
  <c r="H58" i="1" s="1"/>
  <c r="G56" i="1"/>
  <c r="H56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45" i="1"/>
  <c r="H45" i="1" s="1"/>
  <c r="G27" i="1"/>
  <c r="H27" i="1" s="1"/>
  <c r="G28" i="1"/>
  <c r="H28" i="1" s="1"/>
  <c r="G29" i="1"/>
  <c r="H29" i="1" s="1"/>
  <c r="G31" i="1"/>
  <c r="H31" i="1" s="1"/>
  <c r="G32" i="1"/>
  <c r="G33" i="1"/>
  <c r="H33" i="1" s="1"/>
  <c r="G36" i="1"/>
  <c r="H36" i="1" s="1"/>
  <c r="G37" i="1"/>
  <c r="H37" i="1" s="1"/>
  <c r="H182" i="5" s="1"/>
  <c r="G38" i="1"/>
  <c r="H38" i="1" s="1"/>
  <c r="G26" i="1"/>
  <c r="H26" i="1" s="1"/>
  <c r="G6" i="1"/>
  <c r="H6" i="1" s="1"/>
  <c r="G7" i="1"/>
  <c r="H7" i="1" s="1"/>
  <c r="G8" i="1"/>
  <c r="H8" i="1" s="1"/>
  <c r="H104" i="5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5" i="1"/>
  <c r="H5" i="1" s="1"/>
  <c r="H96" i="5" l="1"/>
  <c r="H54" i="5"/>
  <c r="H106" i="5"/>
  <c r="I106" i="5" s="1"/>
  <c r="H176" i="5"/>
  <c r="I176" i="5" s="1"/>
  <c r="H94" i="5"/>
  <c r="H52" i="5"/>
  <c r="H41" i="5"/>
  <c r="H105" i="5"/>
  <c r="I105" i="5" s="1"/>
  <c r="H63" i="5"/>
  <c r="H95" i="5"/>
  <c r="I95" i="5" s="1"/>
  <c r="H53" i="5"/>
  <c r="H177" i="5"/>
  <c r="I177" i="5" s="1"/>
  <c r="H135" i="5"/>
  <c r="H139" i="5"/>
  <c r="I139" i="5" s="1"/>
  <c r="H113" i="5"/>
  <c r="I113" i="5" s="1"/>
  <c r="F14" i="4"/>
  <c r="N21" i="3" s="1"/>
  <c r="G45" i="10"/>
  <c r="H45" i="10" s="1"/>
  <c r="H32" i="1"/>
  <c r="I94" i="5"/>
  <c r="I93" i="5"/>
  <c r="G54" i="10"/>
  <c r="H54" i="10" s="1"/>
  <c r="G62" i="10"/>
  <c r="H62" i="10" s="1"/>
  <c r="G28" i="10"/>
  <c r="H28" i="10" s="1"/>
  <c r="X18" i="10" s="1"/>
  <c r="G25" i="10"/>
  <c r="H25" i="10" s="1"/>
  <c r="X15" i="10" s="1"/>
  <c r="G27" i="10"/>
  <c r="H27" i="10" s="1"/>
  <c r="X17" i="10" s="1"/>
  <c r="G26" i="10"/>
  <c r="H26" i="10" s="1"/>
  <c r="X16" i="10" s="1"/>
  <c r="G41" i="10"/>
  <c r="H41" i="10" s="1"/>
  <c r="G53" i="10"/>
  <c r="H53" i="10" s="1"/>
  <c r="G40" i="10"/>
  <c r="H40" i="10" s="1"/>
  <c r="I104" i="5"/>
  <c r="G34" i="5"/>
  <c r="G33" i="5"/>
  <c r="G44" i="5"/>
  <c r="G46" i="5"/>
  <c r="K46" i="5" s="1"/>
  <c r="G52" i="10"/>
  <c r="H52" i="10" s="1"/>
  <c r="G51" i="10"/>
  <c r="H51" i="10" s="1"/>
  <c r="G70" i="10"/>
  <c r="H70" i="10" s="1"/>
  <c r="G39" i="10"/>
  <c r="H39" i="10" s="1"/>
  <c r="G69" i="10"/>
  <c r="H69" i="10" s="1"/>
  <c r="G71" i="10"/>
  <c r="H71" i="10" s="1"/>
  <c r="G60" i="10"/>
  <c r="H60" i="10" s="1"/>
  <c r="G47" i="10"/>
  <c r="H47" i="10" s="1"/>
  <c r="G35" i="10"/>
  <c r="H35" i="10" s="1"/>
  <c r="G46" i="10"/>
  <c r="H46" i="10" s="1"/>
  <c r="G34" i="10"/>
  <c r="H34" i="10" s="1"/>
  <c r="G59" i="10"/>
  <c r="H59" i="10" s="1"/>
  <c r="G72" i="10"/>
  <c r="H72" i="10" s="1"/>
  <c r="G32" i="5"/>
  <c r="G28" i="5"/>
  <c r="G30" i="5"/>
  <c r="G31" i="5"/>
  <c r="G27" i="5"/>
  <c r="G29" i="5"/>
  <c r="G42" i="5"/>
  <c r="G41" i="5"/>
  <c r="I41" i="5" s="1"/>
  <c r="G40" i="5"/>
  <c r="G45" i="5"/>
  <c r="G43" i="5"/>
  <c r="G20" i="5"/>
  <c r="G16" i="5"/>
  <c r="G18" i="5"/>
  <c r="G17" i="5"/>
  <c r="G19" i="5"/>
  <c r="J41" i="5"/>
  <c r="F187" i="5"/>
  <c r="F186" i="5"/>
  <c r="F180" i="5"/>
  <c r="F28" i="5"/>
  <c r="E28" i="5"/>
  <c r="H28" i="5" s="1"/>
  <c r="F17" i="5"/>
  <c r="E17" i="5"/>
  <c r="H17" i="5" s="1"/>
  <c r="E180" i="5"/>
  <c r="E187" i="5"/>
  <c r="E186" i="5"/>
  <c r="F121" i="5"/>
  <c r="F120" i="5"/>
  <c r="F119" i="5"/>
  <c r="F115" i="5"/>
  <c r="F114" i="5"/>
  <c r="F174" i="5"/>
  <c r="E174" i="5"/>
  <c r="I17" i="5" l="1"/>
  <c r="I28" i="5"/>
  <c r="K38" i="10"/>
  <c r="H63" i="10"/>
  <c r="Q18" i="10" s="1"/>
  <c r="H74" i="10"/>
  <c r="U15" i="10" s="1"/>
  <c r="J186" i="5"/>
  <c r="J180" i="5"/>
  <c r="J28" i="5"/>
  <c r="J17" i="5"/>
  <c r="J187" i="5"/>
  <c r="H42" i="10"/>
  <c r="H55" i="10"/>
  <c r="M18" i="10" s="1"/>
  <c r="I135" i="5"/>
  <c r="O128" i="4"/>
  <c r="N128" i="4"/>
  <c r="O127" i="4"/>
  <c r="N127" i="4"/>
  <c r="U18" i="10" l="1"/>
  <c r="U17" i="10"/>
  <c r="U16" i="10"/>
  <c r="P18" i="10"/>
  <c r="O18" i="10"/>
  <c r="N18" i="10"/>
  <c r="O17" i="10"/>
  <c r="N16" i="10"/>
  <c r="N17" i="10"/>
  <c r="E111" i="4"/>
  <c r="E112" i="4"/>
  <c r="Y18" i="10" l="1"/>
  <c r="AA18" i="10" s="1"/>
  <c r="C188" i="5"/>
  <c r="C195" i="5"/>
  <c r="G195" i="5" s="1"/>
  <c r="C182" i="5"/>
  <c r="C186" i="5"/>
  <c r="C187" i="5"/>
  <c r="C180" i="5"/>
  <c r="C193" i="5"/>
  <c r="C194" i="5"/>
  <c r="E29" i="5"/>
  <c r="H29" i="5" s="1"/>
  <c r="I29" i="5" s="1"/>
  <c r="F29" i="5"/>
  <c r="F194" i="5"/>
  <c r="F193" i="5"/>
  <c r="E194" i="5"/>
  <c r="E193" i="5"/>
  <c r="E118" i="5"/>
  <c r="H118" i="5" s="1"/>
  <c r="O130" i="4"/>
  <c r="O125" i="4" s="1"/>
  <c r="O129" i="4"/>
  <c r="O123" i="4"/>
  <c r="N130" i="4"/>
  <c r="N125" i="4" s="1"/>
  <c r="N129" i="4"/>
  <c r="N123" i="4" l="1"/>
  <c r="N124" i="4"/>
  <c r="J29" i="5"/>
  <c r="J193" i="5"/>
  <c r="J118" i="5"/>
  <c r="M108" i="4"/>
  <c r="M109" i="4"/>
  <c r="O124" i="4"/>
  <c r="G194" i="5"/>
  <c r="G193" i="5"/>
  <c r="J194" i="5"/>
  <c r="L88" i="4"/>
  <c r="E61" i="1"/>
  <c r="D180" i="5"/>
  <c r="D187" i="5"/>
  <c r="D186" i="5"/>
  <c r="F118" i="5"/>
  <c r="H193" i="5" l="1"/>
  <c r="D61" i="10"/>
  <c r="D70" i="10"/>
  <c r="D39" i="10"/>
  <c r="D51" i="10"/>
  <c r="E89" i="5"/>
  <c r="H89" i="5" s="1"/>
  <c r="E171" i="5"/>
  <c r="E173" i="5"/>
  <c r="E172" i="5"/>
  <c r="E34" i="5"/>
  <c r="H34" i="5" s="1"/>
  <c r="I34" i="5" s="1"/>
  <c r="E170" i="5"/>
  <c r="E169" i="5"/>
  <c r="E167" i="5"/>
  <c r="E84" i="5"/>
  <c r="H84" i="5" s="1"/>
  <c r="E87" i="5"/>
  <c r="H87" i="5" s="1"/>
  <c r="E156" i="5"/>
  <c r="E148" i="5"/>
  <c r="E160" i="5"/>
  <c r="E152" i="5"/>
  <c r="E143" i="5"/>
  <c r="E79" i="5"/>
  <c r="H79" i="5" s="1"/>
  <c r="E124" i="5"/>
  <c r="H124" i="5" s="1"/>
  <c r="E140" i="5"/>
  <c r="E100" i="5"/>
  <c r="H100" i="5" s="1"/>
  <c r="E131" i="5"/>
  <c r="E109" i="5"/>
  <c r="H109" i="5" s="1"/>
  <c r="E58" i="5"/>
  <c r="H58" i="5" s="1"/>
  <c r="E67" i="5"/>
  <c r="H67" i="5" s="1"/>
  <c r="E136" i="5"/>
  <c r="E128" i="5"/>
  <c r="E107" i="5"/>
  <c r="H107" i="5" s="1"/>
  <c r="E72" i="5"/>
  <c r="H72" i="5" s="1"/>
  <c r="E55" i="5"/>
  <c r="H55" i="5" s="1"/>
  <c r="E65" i="5"/>
  <c r="H65" i="5" s="1"/>
  <c r="E97" i="5"/>
  <c r="H97" i="5" s="1"/>
  <c r="E76" i="5"/>
  <c r="H76" i="5" s="1"/>
  <c r="E76" i="1"/>
  <c r="E77" i="1"/>
  <c r="E78" i="1"/>
  <c r="E79" i="1"/>
  <c r="E80" i="1"/>
  <c r="E62" i="1"/>
  <c r="H164" i="5" s="1"/>
  <c r="E63" i="1"/>
  <c r="M219" i="4" s="1"/>
  <c r="E65" i="1"/>
  <c r="M221" i="4" s="1"/>
  <c r="E66" i="1"/>
  <c r="E69" i="1"/>
  <c r="E90" i="5" s="1"/>
  <c r="H90" i="5" s="1"/>
  <c r="E70" i="1"/>
  <c r="E71" i="1"/>
  <c r="E72" i="1"/>
  <c r="E73" i="1"/>
  <c r="E74" i="1"/>
  <c r="E75" i="1"/>
  <c r="N104" i="4"/>
  <c r="N103" i="4"/>
  <c r="N102" i="4"/>
  <c r="N101" i="4"/>
  <c r="N100" i="4"/>
  <c r="N99" i="4"/>
  <c r="N98" i="4"/>
  <c r="N97" i="4"/>
  <c r="N96" i="4"/>
  <c r="N95" i="4"/>
  <c r="N94" i="4"/>
  <c r="N93" i="4"/>
  <c r="N91" i="4"/>
  <c r="N92" i="4"/>
  <c r="N90" i="4"/>
  <c r="N89" i="4"/>
  <c r="N88" i="4"/>
  <c r="L104" i="4"/>
  <c r="L103" i="4"/>
  <c r="L102" i="4"/>
  <c r="L101" i="4"/>
  <c r="L100" i="4"/>
  <c r="L98" i="4"/>
  <c r="L99" i="4"/>
  <c r="L97" i="4"/>
  <c r="L96" i="4"/>
  <c r="L95" i="4"/>
  <c r="L94" i="4"/>
  <c r="L93" i="4"/>
  <c r="L92" i="4"/>
  <c r="L91" i="4"/>
  <c r="L90" i="4"/>
  <c r="L89" i="4"/>
  <c r="M100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M104" i="4"/>
  <c r="M103" i="4"/>
  <c r="M102" i="4"/>
  <c r="M101" i="4"/>
  <c r="M99" i="4"/>
  <c r="M98" i="4"/>
  <c r="M97" i="4"/>
  <c r="M96" i="4"/>
  <c r="M95" i="4"/>
  <c r="M94" i="4"/>
  <c r="M93" i="4"/>
  <c r="M92" i="4"/>
  <c r="M91" i="4"/>
  <c r="M90" i="4"/>
  <c r="M89" i="4"/>
  <c r="M88" i="4"/>
  <c r="H186" i="5" l="1"/>
  <c r="H174" i="5"/>
  <c r="H187" i="5"/>
  <c r="H180" i="5"/>
  <c r="H110" i="5"/>
  <c r="I110" i="5" s="1"/>
  <c r="H101" i="5"/>
  <c r="I101" i="5" s="1"/>
  <c r="H198" i="5"/>
  <c r="I198" i="5" s="1"/>
  <c r="H194" i="5"/>
  <c r="I194" i="5" s="1"/>
  <c r="H196" i="5"/>
  <c r="I196" i="5" s="1"/>
  <c r="H175" i="5"/>
  <c r="H188" i="5"/>
  <c r="H195" i="5"/>
  <c r="I195" i="5" s="1"/>
  <c r="H178" i="5"/>
  <c r="I178" i="5" s="1"/>
  <c r="H9" i="5"/>
  <c r="I9" i="5" s="1"/>
  <c r="H160" i="5"/>
  <c r="I160" i="5" s="1"/>
  <c r="H148" i="5"/>
  <c r="I148" i="5" s="1"/>
  <c r="H152" i="5"/>
  <c r="I152" i="5" s="1"/>
  <c r="H170" i="5"/>
  <c r="I170" i="5" s="1"/>
  <c r="H131" i="5"/>
  <c r="I131" i="5" s="1"/>
  <c r="H143" i="5"/>
  <c r="I143" i="5" s="1"/>
  <c r="H169" i="5"/>
  <c r="I169" i="5" s="1"/>
  <c r="H136" i="5"/>
  <c r="I136" i="5" s="1"/>
  <c r="L136" i="5" s="1"/>
  <c r="V21" i="3" s="1"/>
  <c r="H167" i="5"/>
  <c r="I167" i="5" s="1"/>
  <c r="H128" i="5"/>
  <c r="I128" i="5" s="1"/>
  <c r="L128" i="5" s="1"/>
  <c r="V19" i="3" s="1"/>
  <c r="H172" i="5"/>
  <c r="I172" i="5" s="1"/>
  <c r="H140" i="5"/>
  <c r="I140" i="5" s="1"/>
  <c r="L140" i="5" s="1"/>
  <c r="V22" i="3" s="1"/>
  <c r="H171" i="5"/>
  <c r="I171" i="5" s="1"/>
  <c r="H156" i="5"/>
  <c r="I156" i="5" s="1"/>
  <c r="H173" i="5"/>
  <c r="I173" i="5" s="1"/>
  <c r="H200" i="5"/>
  <c r="I200" i="5" s="1"/>
  <c r="D71" i="10"/>
  <c r="D20" i="10"/>
  <c r="M222" i="4"/>
  <c r="D21" i="10"/>
  <c r="M223" i="4"/>
  <c r="I193" i="5"/>
  <c r="I164" i="5"/>
  <c r="L164" i="5" s="1"/>
  <c r="V25" i="3" s="1"/>
  <c r="H197" i="5"/>
  <c r="I197" i="5" s="1"/>
  <c r="H199" i="5"/>
  <c r="I199" i="5" s="1"/>
  <c r="D40" i="10"/>
  <c r="D53" i="10"/>
  <c r="I175" i="5"/>
  <c r="I174" i="5"/>
  <c r="J136" i="5"/>
  <c r="J79" i="5"/>
  <c r="J167" i="5"/>
  <c r="J128" i="5"/>
  <c r="J84" i="5"/>
  <c r="J89" i="5"/>
  <c r="J124" i="5"/>
  <c r="J107" i="5"/>
  <c r="J140" i="5"/>
  <c r="J87" i="5"/>
  <c r="J171" i="5"/>
  <c r="J156" i="5"/>
  <c r="J173" i="5"/>
  <c r="J131" i="5"/>
  <c r="J148" i="5"/>
  <c r="J172" i="5"/>
  <c r="J65" i="5"/>
  <c r="J160" i="5"/>
  <c r="J109" i="5"/>
  <c r="J152" i="5"/>
  <c r="J170" i="5"/>
  <c r="J72" i="5"/>
  <c r="J76" i="5"/>
  <c r="J67" i="5"/>
  <c r="J143" i="5"/>
  <c r="J169" i="5"/>
  <c r="E12" i="5"/>
  <c r="H12" i="5" s="1"/>
  <c r="I12" i="5" s="1"/>
  <c r="E168" i="5"/>
  <c r="E88" i="5"/>
  <c r="H88" i="5" s="1"/>
  <c r="E157" i="5"/>
  <c r="E149" i="5"/>
  <c r="E153" i="5"/>
  <c r="E161" i="5"/>
  <c r="E144" i="5"/>
  <c r="E80" i="5"/>
  <c r="H80" i="5" s="1"/>
  <c r="E11" i="5"/>
  <c r="H11" i="5" s="1"/>
  <c r="I11" i="5" s="1"/>
  <c r="D72" i="10"/>
  <c r="N84" i="4"/>
  <c r="N85" i="4"/>
  <c r="L84" i="4"/>
  <c r="L85" i="4"/>
  <c r="M84" i="4"/>
  <c r="M85" i="4"/>
  <c r="O84" i="4"/>
  <c r="O85" i="4"/>
  <c r="E132" i="5"/>
  <c r="E66" i="5"/>
  <c r="H66" i="5" s="1"/>
  <c r="E99" i="5"/>
  <c r="H99" i="5" s="1"/>
  <c r="E57" i="5"/>
  <c r="H57" i="5" s="1"/>
  <c r="E73" i="5"/>
  <c r="H73" i="5" s="1"/>
  <c r="E108" i="5"/>
  <c r="H108" i="5" s="1"/>
  <c r="E56" i="5"/>
  <c r="H56" i="5" s="1"/>
  <c r="E98" i="5"/>
  <c r="H98" i="5" s="1"/>
  <c r="E121" i="5"/>
  <c r="H121" i="5" s="1"/>
  <c r="E115" i="5"/>
  <c r="H115" i="5" s="1"/>
  <c r="E120" i="5"/>
  <c r="H120" i="5" s="1"/>
  <c r="E114" i="5"/>
  <c r="H114" i="5" s="1"/>
  <c r="E119" i="5"/>
  <c r="H119" i="5" s="1"/>
  <c r="H153" i="5" l="1"/>
  <c r="I153" i="5" s="1"/>
  <c r="H149" i="5"/>
  <c r="I149" i="5" s="1"/>
  <c r="H161" i="5"/>
  <c r="I161" i="5" s="1"/>
  <c r="H144" i="5"/>
  <c r="I144" i="5" s="1"/>
  <c r="L144" i="5" s="1"/>
  <c r="V23" i="3" s="1"/>
  <c r="H168" i="5"/>
  <c r="I168" i="5" s="1"/>
  <c r="L178" i="5" s="1"/>
  <c r="V26" i="3" s="1"/>
  <c r="H132" i="5"/>
  <c r="I132" i="5" s="1"/>
  <c r="L132" i="5" s="1"/>
  <c r="V20" i="3" s="1"/>
  <c r="H157" i="5"/>
  <c r="I157" i="5" s="1"/>
  <c r="L200" i="5"/>
  <c r="V29" i="3" s="1"/>
  <c r="J80" i="5"/>
  <c r="J168" i="5"/>
  <c r="J88" i="5"/>
  <c r="J73" i="5"/>
  <c r="J157" i="5"/>
  <c r="J115" i="5"/>
  <c r="J108" i="5"/>
  <c r="J153" i="5"/>
  <c r="J66" i="5"/>
  <c r="J149" i="5"/>
  <c r="J161" i="5"/>
  <c r="J132" i="5"/>
  <c r="J144" i="5"/>
  <c r="I99" i="5"/>
  <c r="I108" i="5"/>
  <c r="I98" i="5"/>
  <c r="I109" i="5"/>
  <c r="I97" i="5"/>
  <c r="I107" i="5"/>
  <c r="I100" i="5"/>
  <c r="I124" i="5"/>
  <c r="K124" i="5"/>
  <c r="J120" i="5"/>
  <c r="J114" i="5"/>
  <c r="J119" i="5"/>
  <c r="J121" i="5"/>
  <c r="L161" i="5" l="1"/>
  <c r="V24" i="3" s="1"/>
  <c r="L124" i="5"/>
  <c r="V18" i="3" s="1"/>
  <c r="L110" i="5"/>
  <c r="V15" i="3" s="1"/>
  <c r="J235" i="4"/>
  <c r="J234" i="4" l="1"/>
  <c r="J237" i="4"/>
  <c r="J236" i="4"/>
  <c r="N110" i="4"/>
  <c r="N107" i="4" s="1"/>
  <c r="O110" i="4"/>
  <c r="O107" i="4" s="1"/>
  <c r="Q110" i="4"/>
  <c r="Q107" i="4" s="1"/>
  <c r="E36" i="5" s="1"/>
  <c r="H36" i="5" s="1"/>
  <c r="P110" i="4"/>
  <c r="P107" i="4" s="1"/>
  <c r="E35" i="5" s="1"/>
  <c r="H35" i="5" s="1"/>
  <c r="P122" i="4"/>
  <c r="P86" i="4"/>
  <c r="P83" i="4" s="1"/>
  <c r="Q86" i="4"/>
  <c r="Q83" i="4" s="1"/>
  <c r="R86" i="4"/>
  <c r="R83" i="4" s="1"/>
  <c r="E23" i="5" s="1"/>
  <c r="H23" i="5" s="1"/>
  <c r="S86" i="4"/>
  <c r="S83" i="4" s="1"/>
  <c r="M86" i="4"/>
  <c r="M83" i="4" s="1"/>
  <c r="N86" i="4"/>
  <c r="N83" i="4" s="1"/>
  <c r="O86" i="4"/>
  <c r="O83" i="4" s="1"/>
  <c r="L110" i="4"/>
  <c r="L107" i="4" s="1"/>
  <c r="R122" i="4"/>
  <c r="E47" i="5" s="1"/>
  <c r="H47" i="5" s="1"/>
  <c r="Q122" i="4"/>
  <c r="S122" i="4"/>
  <c r="E48" i="5" s="1"/>
  <c r="H48" i="5" s="1"/>
  <c r="N122" i="4"/>
  <c r="O122" i="4"/>
  <c r="L122" i="4"/>
  <c r="M122" i="4"/>
  <c r="M110" i="4"/>
  <c r="M107" i="4" s="1"/>
  <c r="C23" i="5"/>
  <c r="G23" i="5" s="1"/>
  <c r="C35" i="5"/>
  <c r="G35" i="5" s="1"/>
  <c r="C47" i="5"/>
  <c r="G47" i="5" s="1"/>
  <c r="C48" i="5"/>
  <c r="C36" i="5"/>
  <c r="G36" i="5" s="1"/>
  <c r="C24" i="5"/>
  <c r="G24" i="5" s="1"/>
  <c r="L86" i="4"/>
  <c r="L83" i="4" s="1"/>
  <c r="B42" i="4"/>
  <c r="E42" i="4" s="1"/>
  <c r="C185" i="5" s="1"/>
  <c r="N193" i="4" l="1"/>
  <c r="J193" i="4"/>
  <c r="J197" i="4" s="1"/>
  <c r="I47" i="5"/>
  <c r="I23" i="5"/>
  <c r="I36" i="5"/>
  <c r="I35" i="5"/>
  <c r="F46" i="5"/>
  <c r="E46" i="5"/>
  <c r="H46" i="5" s="1"/>
  <c r="I46" i="5" s="1"/>
  <c r="J47" i="5"/>
  <c r="J23" i="5"/>
  <c r="J48" i="5"/>
  <c r="J36" i="5"/>
  <c r="J35" i="5"/>
  <c r="G48" i="5"/>
  <c r="I48" i="5" s="1"/>
  <c r="L193" i="4"/>
  <c r="J238" i="4"/>
  <c r="E11" i="4"/>
  <c r="F40" i="5"/>
  <c r="L235" i="4"/>
  <c r="K235" i="4"/>
  <c r="F27" i="5"/>
  <c r="E40" i="5"/>
  <c r="H40" i="5" s="1"/>
  <c r="E27" i="5"/>
  <c r="H27" i="5" s="1"/>
  <c r="F42" i="5"/>
  <c r="E42" i="5"/>
  <c r="H42" i="5" s="1"/>
  <c r="I42" i="5" s="1"/>
  <c r="L236" i="4"/>
  <c r="E24" i="5"/>
  <c r="H24" i="5" s="1"/>
  <c r="I24" i="5" s="1"/>
  <c r="L237" i="4"/>
  <c r="K236" i="4"/>
  <c r="K237" i="4"/>
  <c r="E22" i="5"/>
  <c r="H22" i="5" s="1"/>
  <c r="I22" i="5" s="1"/>
  <c r="F22" i="5"/>
  <c r="F33" i="5"/>
  <c r="E33" i="5"/>
  <c r="H33" i="5" s="1"/>
  <c r="I33" i="5" s="1"/>
  <c r="F36" i="5"/>
  <c r="F35" i="5"/>
  <c r="E16" i="5"/>
  <c r="H16" i="5" s="1"/>
  <c r="F21" i="5"/>
  <c r="E19" i="5"/>
  <c r="H19" i="5" s="1"/>
  <c r="I19" i="5" s="1"/>
  <c r="F19" i="5"/>
  <c r="E20" i="5"/>
  <c r="H20" i="5" s="1"/>
  <c r="I20" i="5" s="1"/>
  <c r="F20" i="5"/>
  <c r="E21" i="5"/>
  <c r="H21" i="5" s="1"/>
  <c r="I21" i="5" s="1"/>
  <c r="F18" i="5"/>
  <c r="E43" i="5"/>
  <c r="H43" i="5" s="1"/>
  <c r="I43" i="5" s="1"/>
  <c r="F43" i="5"/>
  <c r="E44" i="5"/>
  <c r="H44" i="5" s="1"/>
  <c r="I44" i="5" s="1"/>
  <c r="F44" i="5"/>
  <c r="E45" i="5"/>
  <c r="H45" i="5" s="1"/>
  <c r="I45" i="5" s="1"/>
  <c r="F45" i="5"/>
  <c r="E18" i="5"/>
  <c r="H18" i="5" s="1"/>
  <c r="I18" i="5" s="1"/>
  <c r="F16" i="5"/>
  <c r="F47" i="5"/>
  <c r="F48" i="5"/>
  <c r="J43" i="5" l="1"/>
  <c r="J44" i="5"/>
  <c r="J45" i="5"/>
  <c r="J27" i="5"/>
  <c r="J42" i="5"/>
  <c r="K48" i="5"/>
  <c r="J24" i="5"/>
  <c r="B41" i="3"/>
  <c r="J40" i="5"/>
  <c r="I343" i="4"/>
  <c r="I342" i="4"/>
  <c r="I341" i="4"/>
  <c r="I340" i="4"/>
  <c r="I327" i="4"/>
  <c r="I324" i="4"/>
  <c r="I325" i="4"/>
  <c r="I326" i="4"/>
  <c r="F23" i="5"/>
  <c r="K234" i="4"/>
  <c r="K238" i="4" s="1"/>
  <c r="F24" i="5"/>
  <c r="L234" i="4"/>
  <c r="L238" i="4" s="1"/>
  <c r="J21" i="5"/>
  <c r="E30" i="5"/>
  <c r="H30" i="5" s="1"/>
  <c r="I30" i="5" s="1"/>
  <c r="F30" i="5"/>
  <c r="E31" i="5"/>
  <c r="H31" i="5" s="1"/>
  <c r="I31" i="5" s="1"/>
  <c r="F31" i="5"/>
  <c r="E32" i="5"/>
  <c r="H32" i="5" s="1"/>
  <c r="I32" i="5" s="1"/>
  <c r="F32" i="5"/>
  <c r="J16" i="5"/>
  <c r="K16" i="5" s="1"/>
  <c r="I320" i="4"/>
  <c r="I332" i="4"/>
  <c r="I344" i="4"/>
  <c r="I319" i="4"/>
  <c r="I331" i="4"/>
  <c r="I339" i="4"/>
  <c r="I318" i="4"/>
  <c r="I330" i="4"/>
  <c r="I338" i="4"/>
  <c r="I317" i="4"/>
  <c r="I329" i="4"/>
  <c r="I337" i="4"/>
  <c r="I316" i="4"/>
  <c r="I336" i="4"/>
  <c r="I312" i="4"/>
  <c r="I315" i="4"/>
  <c r="I323" i="4"/>
  <c r="I335" i="4"/>
  <c r="I347" i="4"/>
  <c r="I314" i="4"/>
  <c r="I322" i="4"/>
  <c r="I334" i="4"/>
  <c r="I346" i="4"/>
  <c r="I313" i="4"/>
  <c r="I321" i="4"/>
  <c r="I333" i="4"/>
  <c r="I345" i="4"/>
  <c r="I328" i="4"/>
  <c r="C179" i="5"/>
  <c r="G186" i="5"/>
  <c r="I120" i="5"/>
  <c r="K120" i="5"/>
  <c r="I114" i="5"/>
  <c r="K114" i="5"/>
  <c r="J18" i="5"/>
  <c r="J19" i="5"/>
  <c r="J20" i="5"/>
  <c r="G182" i="5" l="1"/>
  <c r="I214" i="5"/>
  <c r="K118" i="5"/>
  <c r="J30" i="5"/>
  <c r="J31" i="5"/>
  <c r="J32" i="5"/>
  <c r="G188" i="5"/>
  <c r="G187" i="5"/>
  <c r="G180" i="5"/>
  <c r="K186" i="5"/>
  <c r="I121" i="5"/>
  <c r="K121" i="5"/>
  <c r="I119" i="5"/>
  <c r="K119" i="5"/>
  <c r="I115" i="5"/>
  <c r="L115" i="5" s="1"/>
  <c r="K115" i="5"/>
  <c r="I118" i="5"/>
  <c r="I186" i="5"/>
  <c r="V16" i="3" l="1"/>
  <c r="K187" i="5"/>
  <c r="I182" i="5"/>
  <c r="K182" i="5"/>
  <c r="L121" i="5"/>
  <c r="V17" i="3" s="1"/>
  <c r="I187" i="5"/>
  <c r="I188" i="5"/>
  <c r="I180" i="5"/>
  <c r="K180" i="5"/>
  <c r="L183" i="5" l="1"/>
  <c r="V27" i="3" s="1"/>
  <c r="L189" i="5"/>
  <c r="V28" i="3" s="1"/>
  <c r="K36" i="5"/>
  <c r="K31" i="5" l="1"/>
  <c r="K194" i="5"/>
  <c r="K35" i="5"/>
  <c r="I16" i="5"/>
  <c r="K193" i="5"/>
  <c r="K29" i="5"/>
  <c r="K24" i="5"/>
  <c r="K43" i="5"/>
  <c r="K42" i="5"/>
  <c r="K32" i="5"/>
  <c r="K44" i="5"/>
  <c r="K41" i="5"/>
  <c r="K23" i="5"/>
  <c r="I27" i="5" l="1"/>
  <c r="K30" i="5"/>
  <c r="K27" i="5"/>
  <c r="K28" i="5"/>
  <c r="K45" i="5"/>
  <c r="K21" i="5"/>
  <c r="K18" i="5"/>
  <c r="K40" i="5"/>
  <c r="I40" i="5"/>
  <c r="K17" i="5"/>
  <c r="K19" i="5"/>
  <c r="K20" i="5"/>
  <c r="K47" i="5"/>
  <c r="L24" i="5" l="1"/>
  <c r="V7" i="3" s="1"/>
  <c r="L48" i="5"/>
  <c r="V9" i="3" s="1"/>
  <c r="L36" i="5"/>
  <c r="V8" i="3" s="1"/>
  <c r="K212" i="5"/>
  <c r="N31" i="3" l="1"/>
  <c r="R261" i="4"/>
  <c r="R262" i="4" s="1"/>
  <c r="T342" i="4" l="1"/>
  <c r="V342" i="4" s="1"/>
  <c r="T341" i="4"/>
  <c r="V341" i="4" s="1"/>
  <c r="T316" i="4"/>
  <c r="V316" i="4" s="1"/>
  <c r="T325" i="4"/>
  <c r="V325" i="4" s="1"/>
  <c r="T328" i="4"/>
  <c r="V328" i="4" s="1"/>
  <c r="T332" i="4"/>
  <c r="V332" i="4" s="1"/>
  <c r="T331" i="4"/>
  <c r="V331" i="4" s="1"/>
  <c r="T344" i="4"/>
  <c r="V344" i="4" s="1"/>
  <c r="T319" i="4"/>
  <c r="V319" i="4" s="1"/>
  <c r="T333" i="4"/>
  <c r="V333" i="4" s="1"/>
  <c r="T337" i="4"/>
  <c r="V337" i="4" s="1"/>
  <c r="T340" i="4"/>
  <c r="V340" i="4" s="1"/>
  <c r="T347" i="4"/>
  <c r="V347" i="4" s="1"/>
  <c r="T339" i="4"/>
  <c r="V339" i="4" s="1"/>
  <c r="T345" i="4"/>
  <c r="V345" i="4" s="1"/>
  <c r="T334" i="4"/>
  <c r="V334" i="4" s="1"/>
  <c r="T346" i="4"/>
  <c r="V346" i="4" s="1"/>
  <c r="T320" i="4"/>
  <c r="V320" i="4" s="1"/>
  <c r="T343" i="4"/>
  <c r="V343" i="4" s="1"/>
  <c r="T313" i="4"/>
  <c r="V313" i="4" s="1"/>
  <c r="T335" i="4"/>
  <c r="V335" i="4" s="1"/>
  <c r="T326" i="4"/>
  <c r="V326" i="4" s="1"/>
  <c r="T312" i="4"/>
  <c r="T314" i="4"/>
  <c r="V314" i="4" s="1"/>
  <c r="T322" i="4"/>
  <c r="V322" i="4" s="1"/>
  <c r="T318" i="4"/>
  <c r="V318" i="4" s="1"/>
  <c r="T324" i="4"/>
  <c r="V324" i="4" s="1"/>
  <c r="T330" i="4"/>
  <c r="V330" i="4" s="1"/>
  <c r="T338" i="4"/>
  <c r="V338" i="4" s="1"/>
  <c r="T336" i="4"/>
  <c r="V336" i="4" s="1"/>
  <c r="T315" i="4"/>
  <c r="V315" i="4" s="1"/>
  <c r="T317" i="4"/>
  <c r="V317" i="4" s="1"/>
  <c r="T321" i="4"/>
  <c r="V321" i="4" s="1"/>
  <c r="T327" i="4"/>
  <c r="V327" i="4" s="1"/>
  <c r="T329" i="4"/>
  <c r="V329" i="4" s="1"/>
  <c r="T323" i="4"/>
  <c r="V323" i="4" s="1"/>
  <c r="V312" i="4" l="1"/>
  <c r="V13" i="4" l="1"/>
  <c r="W13" i="4"/>
  <c r="W16" i="4" s="1"/>
  <c r="V14" i="4"/>
  <c r="C56" i="4"/>
  <c r="C118" i="4" l="1"/>
  <c r="C119" i="4"/>
  <c r="C65" i="4"/>
  <c r="F19" i="4" s="1"/>
  <c r="B4" i="10" s="1"/>
  <c r="V16" i="4"/>
  <c r="N24" i="3" l="1"/>
  <c r="I141" i="4"/>
  <c r="I153" i="4"/>
  <c r="V92" i="4" l="1"/>
  <c r="K141" i="4"/>
  <c r="V93" i="4"/>
  <c r="K153" i="4"/>
  <c r="J153" i="4"/>
  <c r="O141" i="4"/>
  <c r="P141" i="4"/>
  <c r="Q141" i="4"/>
  <c r="J141" i="4"/>
  <c r="M141" i="4"/>
  <c r="L141" i="4"/>
  <c r="N141" i="4"/>
  <c r="M153" i="4"/>
  <c r="Q153" i="4"/>
  <c r="O153" i="4"/>
  <c r="L153" i="4"/>
  <c r="P153" i="4"/>
  <c r="N153" i="4"/>
  <c r="W93" i="4" l="1"/>
  <c r="X93" i="4"/>
  <c r="L194" i="4" s="1"/>
  <c r="W92" i="4"/>
  <c r="X92" i="4"/>
  <c r="V26" i="4"/>
  <c r="W26" i="4"/>
  <c r="W30" i="4" s="1"/>
  <c r="W32" i="4" s="1"/>
  <c r="V27" i="4"/>
  <c r="D56" i="4"/>
  <c r="D65" i="4" l="1"/>
  <c r="K194" i="4"/>
  <c r="I197" i="4"/>
  <c r="I198" i="4" s="1"/>
  <c r="L197" i="4"/>
  <c r="W94" i="4"/>
  <c r="D118" i="4"/>
  <c r="I152" i="4" s="1"/>
  <c r="K152" i="4" s="1"/>
  <c r="D119" i="4"/>
  <c r="E119" i="4" s="1"/>
  <c r="E56" i="4"/>
  <c r="X94" i="4"/>
  <c r="V30" i="4"/>
  <c r="V32" i="4" s="1"/>
  <c r="F18" i="4" l="1"/>
  <c r="H212" i="4"/>
  <c r="H209" i="4"/>
  <c r="H223" i="4"/>
  <c r="H207" i="4"/>
  <c r="H222" i="4"/>
  <c r="H219" i="4"/>
  <c r="H206" i="4"/>
  <c r="H224" i="4"/>
  <c r="H208" i="4"/>
  <c r="H220" i="4"/>
  <c r="H221" i="4"/>
  <c r="H210" i="4"/>
  <c r="H211" i="4"/>
  <c r="K33" i="4"/>
  <c r="E65" i="4"/>
  <c r="J245" i="4" s="1"/>
  <c r="G19" i="4"/>
  <c r="B5" i="10" s="1"/>
  <c r="B6" i="10" s="1"/>
  <c r="B7" i="10" s="1"/>
  <c r="I151" i="4"/>
  <c r="J242" i="4" s="1"/>
  <c r="V108" i="4"/>
  <c r="O152" i="4"/>
  <c r="O151" i="4" s="1"/>
  <c r="E64" i="5" s="1"/>
  <c r="H64" i="5" s="1"/>
  <c r="N152" i="4"/>
  <c r="N151" i="4" s="1"/>
  <c r="F64" i="5" s="1"/>
  <c r="P152" i="4"/>
  <c r="P151" i="4" s="1"/>
  <c r="Q152" i="4"/>
  <c r="Q151" i="4" s="1"/>
  <c r="M152" i="4"/>
  <c r="M151" i="4" s="1"/>
  <c r="E62" i="5" s="1"/>
  <c r="H62" i="5" s="1"/>
  <c r="J152" i="4"/>
  <c r="L152" i="4"/>
  <c r="L151" i="4" s="1"/>
  <c r="F62" i="5" s="1"/>
  <c r="E118" i="4"/>
  <c r="I140" i="4"/>
  <c r="K140" i="4" s="1"/>
  <c r="K53" i="4"/>
  <c r="U67" i="4"/>
  <c r="O53" i="4"/>
  <c r="J67" i="4"/>
  <c r="W67" i="4"/>
  <c r="V67" i="4"/>
  <c r="J53" i="4"/>
  <c r="S67" i="4"/>
  <c r="Y67" i="4"/>
  <c r="M67" i="4"/>
  <c r="W53" i="4"/>
  <c r="Z53" i="4"/>
  <c r="B50" i="5"/>
  <c r="M53" i="4"/>
  <c r="T67" i="4"/>
  <c r="C70" i="5"/>
  <c r="I67" i="4"/>
  <c r="P53" i="4"/>
  <c r="Q53" i="4"/>
  <c r="V53" i="4"/>
  <c r="L67" i="4"/>
  <c r="Q67" i="4"/>
  <c r="N53" i="4"/>
  <c r="R67" i="4"/>
  <c r="X67" i="4"/>
  <c r="T53" i="4"/>
  <c r="Y53" i="4"/>
  <c r="C50" i="5"/>
  <c r="R53" i="4"/>
  <c r="L53" i="4"/>
  <c r="N67" i="4"/>
  <c r="U53" i="4"/>
  <c r="C61" i="5"/>
  <c r="G68" i="5" s="1"/>
  <c r="X53" i="4"/>
  <c r="I53" i="4"/>
  <c r="P67" i="4"/>
  <c r="O67" i="4"/>
  <c r="Z67" i="4"/>
  <c r="C82" i="5"/>
  <c r="G87" i="5" s="1"/>
  <c r="K67" i="4"/>
  <c r="S53" i="4"/>
  <c r="I204" i="4" l="1"/>
  <c r="I217" i="4"/>
  <c r="G59" i="5"/>
  <c r="E68" i="5"/>
  <c r="H68" i="5" s="1"/>
  <c r="I68" i="5" s="1"/>
  <c r="F68" i="5"/>
  <c r="N266" i="4"/>
  <c r="L33" i="4"/>
  <c r="B45" i="3" s="1"/>
  <c r="D2" i="10"/>
  <c r="D3" i="10" s="1"/>
  <c r="B12" i="3" s="1"/>
  <c r="J62" i="5"/>
  <c r="J106" i="5"/>
  <c r="J64" i="5"/>
  <c r="L266" i="4"/>
  <c r="G89" i="5"/>
  <c r="G90" i="5"/>
  <c r="J151" i="4"/>
  <c r="W108" i="4"/>
  <c r="K151" i="4"/>
  <c r="X108" i="4"/>
  <c r="N194" i="4" s="1"/>
  <c r="N197" i="4" s="1"/>
  <c r="M198" i="4" s="1"/>
  <c r="O224" i="4" s="1"/>
  <c r="I139" i="4"/>
  <c r="J243" i="4" s="1"/>
  <c r="J244" i="4" s="1"/>
  <c r="J246" i="4" s="1"/>
  <c r="V107" i="4"/>
  <c r="Q23" i="3"/>
  <c r="Q140" i="4"/>
  <c r="Q139" i="4" s="1"/>
  <c r="L140" i="4"/>
  <c r="L139" i="4" s="1"/>
  <c r="F51" i="5" s="1"/>
  <c r="M140" i="4"/>
  <c r="M139" i="4" s="1"/>
  <c r="E51" i="5" s="1"/>
  <c r="H51" i="5" s="1"/>
  <c r="N140" i="4"/>
  <c r="N139" i="4" s="1"/>
  <c r="J140" i="4"/>
  <c r="O140" i="4"/>
  <c r="O139" i="4" s="1"/>
  <c r="P140" i="4"/>
  <c r="P139" i="4" s="1"/>
  <c r="I57" i="4"/>
  <c r="G67" i="5"/>
  <c r="I67" i="5" s="1"/>
  <c r="G65" i="5"/>
  <c r="I65" i="5" s="1"/>
  <c r="G63" i="5"/>
  <c r="I63" i="5" s="1"/>
  <c r="G64" i="5"/>
  <c r="I64" i="5" s="1"/>
  <c r="G66" i="5"/>
  <c r="I66" i="5" s="1"/>
  <c r="G62" i="5"/>
  <c r="I43" i="4"/>
  <c r="G56" i="5"/>
  <c r="I56" i="5" s="1"/>
  <c r="G58" i="5"/>
  <c r="I58" i="5" s="1"/>
  <c r="G52" i="5"/>
  <c r="I52" i="5" s="1"/>
  <c r="G57" i="5"/>
  <c r="I57" i="5" s="1"/>
  <c r="G55" i="5"/>
  <c r="G51" i="5"/>
  <c r="G84" i="5"/>
  <c r="G88" i="5"/>
  <c r="I87" i="5"/>
  <c r="G79" i="5"/>
  <c r="G76" i="5"/>
  <c r="G72" i="5"/>
  <c r="G80" i="5"/>
  <c r="G73" i="5"/>
  <c r="I73" i="5" s="1"/>
  <c r="O209" i="4" l="1"/>
  <c r="O219" i="4"/>
  <c r="O210" i="4"/>
  <c r="O220" i="4"/>
  <c r="O211" i="4"/>
  <c r="O206" i="4"/>
  <c r="O212" i="4"/>
  <c r="O221" i="4"/>
  <c r="O207" i="4"/>
  <c r="O222" i="4"/>
  <c r="O208" i="4"/>
  <c r="O223" i="4"/>
  <c r="N34" i="5"/>
  <c r="I55" i="5"/>
  <c r="G54" i="5"/>
  <c r="I54" i="5" s="1"/>
  <c r="G53" i="5"/>
  <c r="I53" i="5" s="1"/>
  <c r="I79" i="5"/>
  <c r="I89" i="5"/>
  <c r="I88" i="5"/>
  <c r="I76" i="5"/>
  <c r="I72" i="5"/>
  <c r="I80" i="5"/>
  <c r="I84" i="5"/>
  <c r="I90" i="5"/>
  <c r="F59" i="5"/>
  <c r="E59" i="5"/>
  <c r="H59" i="5" s="1"/>
  <c r="I59" i="5" s="1"/>
  <c r="I51" i="5"/>
  <c r="I62" i="5"/>
  <c r="K139" i="4"/>
  <c r="X107" i="4"/>
  <c r="J139" i="4"/>
  <c r="W107" i="4"/>
  <c r="W109" i="4" s="1"/>
  <c r="K197" i="4"/>
  <c r="I41" i="4"/>
  <c r="B114" i="4" s="1"/>
  <c r="E114" i="4" s="1"/>
  <c r="X109" i="4" l="1"/>
  <c r="G18" i="4" s="1"/>
  <c r="M194" i="4"/>
  <c r="M197" i="4" s="1"/>
  <c r="I215" i="4"/>
  <c r="L90" i="5"/>
  <c r="V13" i="3" s="1"/>
  <c r="L80" i="5"/>
  <c r="V12" i="3" s="1"/>
  <c r="K198" i="4"/>
  <c r="N224" i="4" s="1"/>
  <c r="I96" i="5"/>
  <c r="I263" i="4"/>
  <c r="J263" i="4" s="1"/>
  <c r="B192" i="5"/>
  <c r="AC80" i="4"/>
  <c r="AJ80" i="4" s="1" a="1"/>
  <c r="AJ80" i="4" s="1"/>
  <c r="Q260" i="4"/>
  <c r="Q261" i="4"/>
  <c r="N220" i="4" l="1"/>
  <c r="N221" i="4"/>
  <c r="N222" i="4"/>
  <c r="N223" i="4"/>
  <c r="N219" i="4"/>
  <c r="AJ79" i="4"/>
  <c r="H202" i="5" s="1"/>
  <c r="I202" i="5" s="1"/>
  <c r="I223" i="5" s="1"/>
  <c r="L59" i="5"/>
  <c r="V10" i="3" s="1"/>
  <c r="L101" i="5"/>
  <c r="V14" i="3" s="1"/>
  <c r="N208" i="4"/>
  <c r="N212" i="4"/>
  <c r="N206" i="4"/>
  <c r="N211" i="4"/>
  <c r="N209" i="4"/>
  <c r="N210" i="4"/>
  <c r="N207" i="4"/>
  <c r="Q262" i="4"/>
  <c r="T260" i="4" s="1"/>
  <c r="I216" i="4" l="1"/>
  <c r="I214" i="4" s="1"/>
  <c r="E10" i="5" s="1"/>
  <c r="H10" i="5" s="1"/>
  <c r="I10" i="5" s="1"/>
  <c r="I225" i="5"/>
  <c r="V30" i="3"/>
  <c r="L68" i="5"/>
  <c r="V11" i="3" s="1"/>
  <c r="I203" i="4"/>
  <c r="I202" i="4"/>
  <c r="T261" i="4"/>
  <c r="U259" i="4" s="1"/>
  <c r="I201" i="4" l="1"/>
  <c r="E8" i="5" l="1"/>
  <c r="I142" i="7" l="1"/>
  <c r="K142" i="7" s="1"/>
  <c r="I131" i="7"/>
  <c r="K131" i="7" s="1"/>
  <c r="I137" i="7"/>
  <c r="K137" i="7" s="1"/>
  <c r="I138" i="7"/>
  <c r="K138" i="7" s="1"/>
  <c r="I152" i="7"/>
  <c r="K152" i="7" s="1"/>
  <c r="I153" i="7"/>
  <c r="K153" i="7" s="1"/>
  <c r="I102" i="7"/>
  <c r="K102" i="7" s="1"/>
  <c r="I113" i="7"/>
  <c r="K113" i="7" s="1"/>
  <c r="I160" i="7"/>
  <c r="K160" i="7" s="1"/>
  <c r="I92" i="7"/>
  <c r="K92" i="7" s="1"/>
  <c r="I111" i="7"/>
  <c r="K111" i="7" s="1"/>
  <c r="I82" i="7"/>
  <c r="K82" i="7" s="1"/>
  <c r="I101" i="7"/>
  <c r="K101" i="7" s="1"/>
  <c r="H8" i="5"/>
  <c r="I161" i="7"/>
  <c r="K161" i="7" s="1"/>
  <c r="I79" i="7"/>
  <c r="K79" i="7" s="1"/>
  <c r="I78" i="7"/>
  <c r="K78" i="7" s="1"/>
  <c r="I91" i="7"/>
  <c r="K91" i="7" s="1"/>
  <c r="I121" i="7"/>
  <c r="K121" i="7" s="1"/>
  <c r="I112" i="7"/>
  <c r="K112" i="7" s="1"/>
  <c r="I159" i="7"/>
  <c r="K159" i="7" s="1"/>
  <c r="I8" i="5"/>
  <c r="I212" i="5" s="1"/>
  <c r="I157" i="7"/>
  <c r="K157" i="7" s="1"/>
  <c r="I155" i="7"/>
  <c r="K155" i="7" s="1"/>
  <c r="I154" i="7"/>
  <c r="K154" i="7" s="1"/>
  <c r="I158" i="7"/>
  <c r="K158" i="7" s="1"/>
  <c r="I28" i="7"/>
  <c r="K28" i="7" s="1"/>
  <c r="I36" i="7"/>
  <c r="K36" i="7" s="1"/>
  <c r="I46" i="7"/>
  <c r="K46" i="7" s="1"/>
  <c r="I58" i="7"/>
  <c r="K58" i="7" s="1"/>
  <c r="I66" i="7"/>
  <c r="K66" i="7" s="1"/>
  <c r="I74" i="7"/>
  <c r="K74" i="7" s="1"/>
  <c r="I86" i="7"/>
  <c r="K86" i="7" s="1"/>
  <c r="I96" i="7"/>
  <c r="K96" i="7" s="1"/>
  <c r="I106" i="7"/>
  <c r="K106" i="7" s="1"/>
  <c r="I117" i="7"/>
  <c r="K117" i="7" s="1"/>
  <c r="I126" i="7"/>
  <c r="K126" i="7" s="1"/>
  <c r="I146" i="7"/>
  <c r="K146" i="7" s="1"/>
  <c r="I5" i="7"/>
  <c r="K5" i="7" s="1"/>
  <c r="I13" i="7"/>
  <c r="K13" i="7" s="1"/>
  <c r="I20" i="7"/>
  <c r="K20" i="7" s="1"/>
  <c r="I27" i="7"/>
  <c r="K27" i="7" s="1"/>
  <c r="I35" i="7"/>
  <c r="K35" i="7" s="1"/>
  <c r="I45" i="7"/>
  <c r="K45" i="7" s="1"/>
  <c r="I55" i="7"/>
  <c r="K55" i="7" s="1"/>
  <c r="I65" i="7"/>
  <c r="K65" i="7" s="1"/>
  <c r="I73" i="7"/>
  <c r="K73" i="7" s="1"/>
  <c r="I85" i="7"/>
  <c r="K85" i="7" s="1"/>
  <c r="I95" i="7"/>
  <c r="K95" i="7" s="1"/>
  <c r="I125" i="7"/>
  <c r="K125" i="7" s="1"/>
  <c r="K134" i="7"/>
  <c r="I4" i="7"/>
  <c r="K4" i="7" s="1"/>
  <c r="I12" i="7"/>
  <c r="K12" i="7" s="1"/>
  <c r="I19" i="7"/>
  <c r="K19" i="7" s="1"/>
  <c r="I26" i="7"/>
  <c r="K26" i="7" s="1"/>
  <c r="I34" i="7"/>
  <c r="K34" i="7" s="1"/>
  <c r="I44" i="7"/>
  <c r="K44" i="7" s="1"/>
  <c r="I54" i="7"/>
  <c r="K54" i="7" s="1"/>
  <c r="I64" i="7"/>
  <c r="K64" i="7" s="1"/>
  <c r="I72" i="7"/>
  <c r="K72" i="7" s="1"/>
  <c r="I133" i="7"/>
  <c r="K133" i="7" s="1"/>
  <c r="K144" i="7"/>
  <c r="I11" i="7"/>
  <c r="K11" i="7" s="1"/>
  <c r="I25" i="7"/>
  <c r="K25" i="7" s="1"/>
  <c r="I33" i="7"/>
  <c r="K33" i="7" s="1"/>
  <c r="I43" i="7"/>
  <c r="K43" i="7" s="1"/>
  <c r="I53" i="7"/>
  <c r="K53" i="7" s="1"/>
  <c r="I63" i="7"/>
  <c r="K63" i="7" s="1"/>
  <c r="I71" i="7"/>
  <c r="K71" i="7" s="1"/>
  <c r="I103" i="7"/>
  <c r="K103" i="7" s="1"/>
  <c r="I123" i="7"/>
  <c r="K123" i="7" s="1"/>
  <c r="I143" i="7"/>
  <c r="K143" i="7" s="1"/>
  <c r="I151" i="7"/>
  <c r="K151" i="7" s="1"/>
  <c r="I10" i="7"/>
  <c r="K10" i="7" s="1"/>
  <c r="I18" i="7"/>
  <c r="K18" i="7" s="1"/>
  <c r="I24" i="7"/>
  <c r="K24" i="7" s="1"/>
  <c r="I32" i="7"/>
  <c r="K32" i="7" s="1"/>
  <c r="I42" i="7"/>
  <c r="K42" i="7" s="1"/>
  <c r="I50" i="7"/>
  <c r="K50" i="7" s="1"/>
  <c r="I62" i="7"/>
  <c r="K62" i="7" s="1"/>
  <c r="I70" i="7"/>
  <c r="K70" i="7" s="1"/>
  <c r="I90" i="7"/>
  <c r="K90" i="7" s="1"/>
  <c r="I100" i="7"/>
  <c r="K100" i="7" s="1"/>
  <c r="I110" i="7"/>
  <c r="K110" i="7" s="1"/>
  <c r="I122" i="7"/>
  <c r="K122" i="7" s="1"/>
  <c r="I130" i="7"/>
  <c r="K130" i="7" s="1"/>
  <c r="K141" i="7"/>
  <c r="I150" i="7"/>
  <c r="K150" i="7" s="1"/>
  <c r="I9" i="7"/>
  <c r="K9" i="7" s="1"/>
  <c r="I17" i="7"/>
  <c r="K17" i="7" s="1"/>
  <c r="I23" i="7"/>
  <c r="K23" i="7" s="1"/>
  <c r="I31" i="7"/>
  <c r="K31" i="7" s="1"/>
  <c r="I39" i="7"/>
  <c r="K39" i="7" s="1"/>
  <c r="I49" i="7"/>
  <c r="K49" i="7" s="1"/>
  <c r="I61" i="7"/>
  <c r="K61" i="7" s="1"/>
  <c r="I69" i="7"/>
  <c r="K69" i="7" s="1"/>
  <c r="I77" i="7"/>
  <c r="K77" i="7" s="1"/>
  <c r="I89" i="7"/>
  <c r="K89" i="7" s="1"/>
  <c r="I99" i="7"/>
  <c r="K99" i="7" s="1"/>
  <c r="I109" i="7"/>
  <c r="K109" i="7" s="1"/>
  <c r="I120" i="7"/>
  <c r="K120" i="7" s="1"/>
  <c r="I129" i="7"/>
  <c r="K129" i="7" s="1"/>
  <c r="I149" i="7"/>
  <c r="K149" i="7" s="1"/>
  <c r="I8" i="7"/>
  <c r="K8" i="7" s="1"/>
  <c r="I16" i="7"/>
  <c r="K16" i="7" s="1"/>
  <c r="I30" i="7"/>
  <c r="K30" i="7" s="1"/>
  <c r="I38" i="7"/>
  <c r="K38" i="7" s="1"/>
  <c r="I48" i="7"/>
  <c r="K48" i="7" s="1"/>
  <c r="I60" i="7"/>
  <c r="K60" i="7" s="1"/>
  <c r="I68" i="7"/>
  <c r="K68" i="7" s="1"/>
  <c r="I76" i="7"/>
  <c r="K76" i="7" s="1"/>
  <c r="I88" i="7"/>
  <c r="K88" i="7" s="1"/>
  <c r="I98" i="7"/>
  <c r="K98" i="7" s="1"/>
  <c r="I108" i="7"/>
  <c r="K108" i="7" s="1"/>
  <c r="I119" i="7"/>
  <c r="K119" i="7" s="1"/>
  <c r="I128" i="7"/>
  <c r="K128" i="7" s="1"/>
  <c r="I148" i="7"/>
  <c r="K148" i="7" s="1"/>
  <c r="I7" i="7"/>
  <c r="K7" i="7" s="1"/>
  <c r="I15" i="7"/>
  <c r="K15" i="7" s="1"/>
  <c r="I29" i="7"/>
  <c r="K29" i="7" s="1"/>
  <c r="I37" i="7"/>
  <c r="K37" i="7" s="1"/>
  <c r="I47" i="7"/>
  <c r="K47" i="7" s="1"/>
  <c r="I59" i="7"/>
  <c r="K59" i="7" s="1"/>
  <c r="I67" i="7"/>
  <c r="K67" i="7" s="1"/>
  <c r="I75" i="7"/>
  <c r="K75" i="7" s="1"/>
  <c r="I87" i="7"/>
  <c r="K87" i="7" s="1"/>
  <c r="I97" i="7"/>
  <c r="K97" i="7" s="1"/>
  <c r="I107" i="7"/>
  <c r="K107" i="7" s="1"/>
  <c r="I118" i="7"/>
  <c r="K118" i="7" s="1"/>
  <c r="I127" i="7"/>
  <c r="K127" i="7" s="1"/>
  <c r="I136" i="7"/>
  <c r="K136" i="7" s="1"/>
  <c r="I147" i="7"/>
  <c r="K147" i="7" s="1"/>
  <c r="I6" i="7"/>
  <c r="K6" i="7" s="1"/>
  <c r="I14" i="7"/>
  <c r="K14" i="7" s="1"/>
  <c r="I3" i="7"/>
  <c r="F10" i="6" l="1" a="1"/>
  <c r="F10" i="6" s="1"/>
  <c r="F18" i="6" a="1"/>
  <c r="F18" i="6" s="1"/>
  <c r="F26" i="6" a="1"/>
  <c r="F26" i="6" s="1"/>
  <c r="F34" i="6" a="1"/>
  <c r="F34" i="6" s="1"/>
  <c r="F42" i="6" a="1"/>
  <c r="F42" i="6" s="1"/>
  <c r="E11" i="6" a="1"/>
  <c r="E11" i="6" s="1"/>
  <c r="E19" i="6" a="1"/>
  <c r="E19" i="6" s="1"/>
  <c r="E27" i="6" a="1"/>
  <c r="E27" i="6" s="1"/>
  <c r="E35" i="6" a="1"/>
  <c r="E35" i="6" s="1"/>
  <c r="D4" i="6" a="1"/>
  <c r="D4" i="6" s="1"/>
  <c r="D12" i="6" a="1"/>
  <c r="D12" i="6" s="1"/>
  <c r="D20" i="6" a="1"/>
  <c r="D20" i="6" s="1"/>
  <c r="D28" i="6" a="1"/>
  <c r="D28" i="6" s="1"/>
  <c r="D36" i="6" a="1"/>
  <c r="D36" i="6" s="1"/>
  <c r="C5" i="6" a="1"/>
  <c r="C5" i="6" s="1"/>
  <c r="C13" i="6" a="1"/>
  <c r="C13" i="6" s="1"/>
  <c r="C21" i="6" a="1"/>
  <c r="C21" i="6" s="1"/>
  <c r="C29" i="6" a="1"/>
  <c r="C29" i="6" s="1"/>
  <c r="C37" i="6" a="1"/>
  <c r="C37" i="6" s="1"/>
  <c r="B6" i="6" a="1"/>
  <c r="B6" i="6" s="1"/>
  <c r="B14" i="6" a="1"/>
  <c r="B14" i="6" s="1"/>
  <c r="B22" i="6" a="1"/>
  <c r="B22" i="6" s="1"/>
  <c r="B30" i="6" a="1"/>
  <c r="B30" i="6" s="1"/>
  <c r="B38" i="6" a="1"/>
  <c r="B38" i="6" s="1"/>
  <c r="C3" i="6" a="1"/>
  <c r="C3" i="6" s="1"/>
  <c r="F9" i="6" a="1"/>
  <c r="F9" i="6" s="1"/>
  <c r="F17" i="6" a="1"/>
  <c r="F17" i="6" s="1"/>
  <c r="F25" i="6" a="1"/>
  <c r="F25" i="6" s="1"/>
  <c r="F33" i="6" a="1"/>
  <c r="F33" i="6" s="1"/>
  <c r="F41" i="6" a="1"/>
  <c r="F41" i="6" s="1"/>
  <c r="E10" i="6" a="1"/>
  <c r="E10" i="6" s="1"/>
  <c r="E18" i="6" a="1"/>
  <c r="E18" i="6" s="1"/>
  <c r="E26" i="6" a="1"/>
  <c r="E26" i="6" s="1"/>
  <c r="E34" i="6" a="1"/>
  <c r="E34" i="6" s="1"/>
  <c r="E42" i="6" a="1"/>
  <c r="E42" i="6" s="1"/>
  <c r="D11" i="6" a="1"/>
  <c r="D11" i="6" s="1"/>
  <c r="D19" i="6" a="1"/>
  <c r="D19" i="6" s="1"/>
  <c r="D27" i="6" a="1"/>
  <c r="D27" i="6" s="1"/>
  <c r="D35" i="6" a="1"/>
  <c r="D35" i="6" s="1"/>
  <c r="C4" i="6" a="1"/>
  <c r="C4" i="6" s="1"/>
  <c r="C12" i="6" a="1"/>
  <c r="C12" i="6" s="1"/>
  <c r="C20" i="6" a="1"/>
  <c r="C20" i="6" s="1"/>
  <c r="C28" i="6" a="1"/>
  <c r="C28" i="6" s="1"/>
  <c r="C36" i="6" a="1"/>
  <c r="C36" i="6" s="1"/>
  <c r="B5" i="6" a="1"/>
  <c r="B5" i="6" s="1"/>
  <c r="B13" i="6" a="1"/>
  <c r="B13" i="6" s="1"/>
  <c r="B21" i="6" a="1"/>
  <c r="B21" i="6" s="1"/>
  <c r="B29" i="6" a="1"/>
  <c r="B29" i="6" s="1"/>
  <c r="B37" i="6" a="1"/>
  <c r="B37" i="6" s="1"/>
  <c r="D3" i="6" a="1"/>
  <c r="D3" i="6" s="1"/>
  <c r="F8" i="6" a="1"/>
  <c r="F8" i="6" s="1"/>
  <c r="F16" i="6" a="1"/>
  <c r="F16" i="6" s="1"/>
  <c r="F24" i="6" a="1"/>
  <c r="F24" i="6" s="1"/>
  <c r="F32" i="6" a="1"/>
  <c r="F32" i="6" s="1"/>
  <c r="F40" i="6" a="1"/>
  <c r="F40" i="6" s="1"/>
  <c r="E9" i="6" a="1"/>
  <c r="E9" i="6" s="1"/>
  <c r="E17" i="6" a="1"/>
  <c r="E17" i="6" s="1"/>
  <c r="E25" i="6" a="1"/>
  <c r="E25" i="6" s="1"/>
  <c r="E33" i="6" a="1"/>
  <c r="E33" i="6" s="1"/>
  <c r="G33" i="6" s="1"/>
  <c r="E41" i="6" a="1"/>
  <c r="E41" i="6" s="1"/>
  <c r="D10" i="6" a="1"/>
  <c r="D10" i="6" s="1"/>
  <c r="D18" i="6" a="1"/>
  <c r="D18" i="6" s="1"/>
  <c r="D26" i="6" a="1"/>
  <c r="D26" i="6" s="1"/>
  <c r="D34" i="6" a="1"/>
  <c r="D34" i="6" s="1"/>
  <c r="D42" i="6" a="1"/>
  <c r="D42" i="6" s="1"/>
  <c r="C11" i="6" a="1"/>
  <c r="C11" i="6" s="1"/>
  <c r="C19" i="6" a="1"/>
  <c r="C19" i="6" s="1"/>
  <c r="C27" i="6" a="1"/>
  <c r="C27" i="6" s="1"/>
  <c r="C35" i="6" a="1"/>
  <c r="C35" i="6" s="1"/>
  <c r="B4" i="6" a="1"/>
  <c r="B4" i="6" s="1"/>
  <c r="B12" i="6" a="1"/>
  <c r="B12" i="6" s="1"/>
  <c r="B20" i="6" a="1"/>
  <c r="B20" i="6" s="1"/>
  <c r="B28" i="6" a="1"/>
  <c r="B28" i="6" s="1"/>
  <c r="B36" i="6" a="1"/>
  <c r="B36" i="6" s="1"/>
  <c r="E3" i="6" a="1"/>
  <c r="E3" i="6" s="1"/>
  <c r="F7" i="6" a="1"/>
  <c r="F7" i="6" s="1"/>
  <c r="F15" i="6" a="1"/>
  <c r="F15" i="6" s="1"/>
  <c r="F23" i="6" a="1"/>
  <c r="F23" i="6" s="1"/>
  <c r="F31" i="6" a="1"/>
  <c r="F31" i="6" s="1"/>
  <c r="F39" i="6" a="1"/>
  <c r="F39" i="6" s="1"/>
  <c r="E8" i="6" a="1"/>
  <c r="E8" i="6" s="1"/>
  <c r="G8" i="6" s="1"/>
  <c r="E16" i="6" a="1"/>
  <c r="E16" i="6" s="1"/>
  <c r="E24" i="6" a="1"/>
  <c r="E24" i="6" s="1"/>
  <c r="E32" i="6" a="1"/>
  <c r="E32" i="6" s="1"/>
  <c r="E40" i="6" a="1"/>
  <c r="E40" i="6" s="1"/>
  <c r="D9" i="6" a="1"/>
  <c r="D9" i="6" s="1"/>
  <c r="D17" i="6" a="1"/>
  <c r="D17" i="6" s="1"/>
  <c r="D25" i="6" a="1"/>
  <c r="D25" i="6" s="1"/>
  <c r="D33" i="6" a="1"/>
  <c r="D33" i="6" s="1"/>
  <c r="D41" i="6" a="1"/>
  <c r="D41" i="6" s="1"/>
  <c r="C10" i="6" a="1"/>
  <c r="C10" i="6" s="1"/>
  <c r="C18" i="6" a="1"/>
  <c r="C18" i="6" s="1"/>
  <c r="C26" i="6" a="1"/>
  <c r="C26" i="6" s="1"/>
  <c r="C34" i="6" a="1"/>
  <c r="C34" i="6" s="1"/>
  <c r="C42" i="6" a="1"/>
  <c r="C42" i="6" s="1"/>
  <c r="B11" i="6" a="1"/>
  <c r="B11" i="6" s="1"/>
  <c r="B19" i="6" a="1"/>
  <c r="B19" i="6" s="1"/>
  <c r="B27" i="6" a="1"/>
  <c r="B27" i="6" s="1"/>
  <c r="B35" i="6" a="1"/>
  <c r="B35" i="6" s="1"/>
  <c r="F3" i="6" a="1"/>
  <c r="F3" i="6" s="1"/>
  <c r="F6" i="6" a="1"/>
  <c r="F6" i="6" s="1"/>
  <c r="F14" i="6" a="1"/>
  <c r="F14" i="6" s="1"/>
  <c r="F22" i="6" a="1"/>
  <c r="F22" i="6" s="1"/>
  <c r="F30" i="6" a="1"/>
  <c r="F30" i="6" s="1"/>
  <c r="F38" i="6" a="1"/>
  <c r="F38" i="6" s="1"/>
  <c r="E7" i="6" a="1"/>
  <c r="E7" i="6" s="1"/>
  <c r="E15" i="6" a="1"/>
  <c r="E15" i="6" s="1"/>
  <c r="E23" i="6" a="1"/>
  <c r="E23" i="6" s="1"/>
  <c r="E31" i="6" a="1"/>
  <c r="E31" i="6" s="1"/>
  <c r="E39" i="6" a="1"/>
  <c r="E39" i="6" s="1"/>
  <c r="D8" i="6" a="1"/>
  <c r="D8" i="6" s="1"/>
  <c r="D16" i="6" a="1"/>
  <c r="D16" i="6" s="1"/>
  <c r="D24" i="6" a="1"/>
  <c r="D24" i="6" s="1"/>
  <c r="D32" i="6" a="1"/>
  <c r="D32" i="6" s="1"/>
  <c r="D40" i="6" a="1"/>
  <c r="D40" i="6" s="1"/>
  <c r="C9" i="6" a="1"/>
  <c r="C9" i="6" s="1"/>
  <c r="C17" i="6" a="1"/>
  <c r="C17" i="6" s="1"/>
  <c r="C25" i="6" a="1"/>
  <c r="C25" i="6" s="1"/>
  <c r="C33" i="6" a="1"/>
  <c r="C33" i="6" s="1"/>
  <c r="C41" i="6" a="1"/>
  <c r="C41" i="6" s="1"/>
  <c r="B10" i="6" a="1"/>
  <c r="B10" i="6" s="1"/>
  <c r="B18" i="6" a="1"/>
  <c r="B18" i="6" s="1"/>
  <c r="B26" i="6" a="1"/>
  <c r="B26" i="6" s="1"/>
  <c r="B34" i="6" a="1"/>
  <c r="B34" i="6" s="1"/>
  <c r="B42" i="6" a="1"/>
  <c r="B42" i="6" s="1"/>
  <c r="F5" i="6" a="1"/>
  <c r="F5" i="6" s="1"/>
  <c r="F13" i="6" a="1"/>
  <c r="F13" i="6" s="1"/>
  <c r="F21" i="6" a="1"/>
  <c r="F21" i="6" s="1"/>
  <c r="F29" i="6" a="1"/>
  <c r="F29" i="6" s="1"/>
  <c r="F37" i="6" a="1"/>
  <c r="F37" i="6" s="1"/>
  <c r="E6" i="6" a="1"/>
  <c r="E6" i="6" s="1"/>
  <c r="E14" i="6" a="1"/>
  <c r="E14" i="6" s="1"/>
  <c r="E22" i="6" a="1"/>
  <c r="E22" i="6" s="1"/>
  <c r="E30" i="6" a="1"/>
  <c r="E30" i="6" s="1"/>
  <c r="G30" i="6" s="1"/>
  <c r="E38" i="6" a="1"/>
  <c r="E38" i="6" s="1"/>
  <c r="D7" i="6" a="1"/>
  <c r="D7" i="6" s="1"/>
  <c r="D15" i="6" a="1"/>
  <c r="D15" i="6" s="1"/>
  <c r="D23" i="6" a="1"/>
  <c r="D23" i="6" s="1"/>
  <c r="D31" i="6" a="1"/>
  <c r="D31" i="6" s="1"/>
  <c r="D39" i="6" a="1"/>
  <c r="D39" i="6" s="1"/>
  <c r="C8" i="6" a="1"/>
  <c r="C8" i="6" s="1"/>
  <c r="C16" i="6" a="1"/>
  <c r="C16" i="6" s="1"/>
  <c r="C24" i="6" a="1"/>
  <c r="C24" i="6" s="1"/>
  <c r="C32" i="6" a="1"/>
  <c r="C32" i="6" s="1"/>
  <c r="C40" i="6" a="1"/>
  <c r="C40" i="6" s="1"/>
  <c r="B9" i="6" a="1"/>
  <c r="B9" i="6" s="1"/>
  <c r="B17" i="6" a="1"/>
  <c r="B17" i="6" s="1"/>
  <c r="B25" i="6" a="1"/>
  <c r="B25" i="6" s="1"/>
  <c r="B33" i="6" a="1"/>
  <c r="B33" i="6" s="1"/>
  <c r="B41" i="6" a="1"/>
  <c r="B41" i="6" s="1"/>
  <c r="F4" i="6" a="1"/>
  <c r="F4" i="6" s="1"/>
  <c r="F12" i="6" a="1"/>
  <c r="F12" i="6" s="1"/>
  <c r="F20" i="6" a="1"/>
  <c r="F20" i="6" s="1"/>
  <c r="F28" i="6" a="1"/>
  <c r="F28" i="6" s="1"/>
  <c r="F36" i="6" a="1"/>
  <c r="F36" i="6" s="1"/>
  <c r="E5" i="6" a="1"/>
  <c r="E5" i="6" s="1"/>
  <c r="E13" i="6" a="1"/>
  <c r="E13" i="6" s="1"/>
  <c r="E21" i="6" a="1"/>
  <c r="E21" i="6" s="1"/>
  <c r="E29" i="6" a="1"/>
  <c r="E29" i="6" s="1"/>
  <c r="E37" i="6" a="1"/>
  <c r="E37" i="6" s="1"/>
  <c r="D6" i="6" a="1"/>
  <c r="D6" i="6" s="1"/>
  <c r="D14" i="6" a="1"/>
  <c r="D14" i="6" s="1"/>
  <c r="D22" i="6" a="1"/>
  <c r="D22" i="6" s="1"/>
  <c r="D30" i="6" a="1"/>
  <c r="D30" i="6" s="1"/>
  <c r="D38" i="6" a="1"/>
  <c r="D38" i="6" s="1"/>
  <c r="C7" i="6" a="1"/>
  <c r="C7" i="6" s="1"/>
  <c r="C15" i="6" a="1"/>
  <c r="C15" i="6" s="1"/>
  <c r="C23" i="6" a="1"/>
  <c r="C23" i="6" s="1"/>
  <c r="C31" i="6" a="1"/>
  <c r="C31" i="6" s="1"/>
  <c r="C39" i="6" a="1"/>
  <c r="C39" i="6" s="1"/>
  <c r="B8" i="6" a="1"/>
  <c r="B8" i="6" s="1"/>
  <c r="B16" i="6" a="1"/>
  <c r="B16" i="6" s="1"/>
  <c r="B24" i="6" a="1"/>
  <c r="B24" i="6" s="1"/>
  <c r="B32" i="6" a="1"/>
  <c r="B32" i="6" s="1"/>
  <c r="B40" i="6" a="1"/>
  <c r="B40" i="6" s="1"/>
  <c r="F11" i="6" a="1"/>
  <c r="F11" i="6" s="1"/>
  <c r="F19" i="6" a="1"/>
  <c r="F19" i="6" s="1"/>
  <c r="F27" i="6" a="1"/>
  <c r="F27" i="6" s="1"/>
  <c r="F35" i="6" a="1"/>
  <c r="F35" i="6" s="1"/>
  <c r="E4" i="6" a="1"/>
  <c r="E4" i="6" s="1"/>
  <c r="G4" i="6" s="1"/>
  <c r="E12" i="6" a="1"/>
  <c r="E12" i="6" s="1"/>
  <c r="E20" i="6" a="1"/>
  <c r="E20" i="6" s="1"/>
  <c r="E28" i="6" a="1"/>
  <c r="E28" i="6" s="1"/>
  <c r="E36" i="6" a="1"/>
  <c r="E36" i="6" s="1"/>
  <c r="D5" i="6" a="1"/>
  <c r="D5" i="6" s="1"/>
  <c r="D13" i="6" a="1"/>
  <c r="D13" i="6" s="1"/>
  <c r="D21" i="6" a="1"/>
  <c r="D21" i="6" s="1"/>
  <c r="D29" i="6" a="1"/>
  <c r="D29" i="6" s="1"/>
  <c r="D37" i="6" a="1"/>
  <c r="D37" i="6" s="1"/>
  <c r="C6" i="6" a="1"/>
  <c r="C6" i="6" s="1"/>
  <c r="C14" i="6" a="1"/>
  <c r="C14" i="6" s="1"/>
  <c r="C22" i="6" a="1"/>
  <c r="C22" i="6" s="1"/>
  <c r="C30" i="6" a="1"/>
  <c r="C30" i="6" s="1"/>
  <c r="C38" i="6" a="1"/>
  <c r="C38" i="6" s="1"/>
  <c r="B7" i="6" a="1"/>
  <c r="B7" i="6" s="1"/>
  <c r="B15" i="6" a="1"/>
  <c r="B15" i="6" s="1"/>
  <c r="B23" i="6" a="1"/>
  <c r="B23" i="6" s="1"/>
  <c r="B31" i="6" a="1"/>
  <c r="B31" i="6" s="1"/>
  <c r="B39" i="6" a="1"/>
  <c r="B39" i="6" s="1"/>
  <c r="B3" i="6" a="1"/>
  <c r="B3" i="6" s="1"/>
  <c r="R10" i="7" a="1"/>
  <c r="R10" i="7" s="1"/>
  <c r="R18" i="7" a="1"/>
  <c r="R18" i="7" s="1"/>
  <c r="R26" i="7" a="1"/>
  <c r="R26" i="7" s="1"/>
  <c r="R34" i="7" a="1"/>
  <c r="R34" i="7" s="1"/>
  <c r="R42" i="7" a="1"/>
  <c r="R42" i="7" s="1"/>
  <c r="Q10" i="7" a="1"/>
  <c r="Q10" i="7" s="1"/>
  <c r="Q18" i="7" a="1"/>
  <c r="Q18" i="7" s="1"/>
  <c r="Q26" i="7" a="1"/>
  <c r="Q26" i="7" s="1"/>
  <c r="Q34" i="7" a="1"/>
  <c r="Q34" i="7" s="1"/>
  <c r="Q42" i="7" a="1"/>
  <c r="Q42" i="7" s="1"/>
  <c r="P11" i="7" a="1"/>
  <c r="P11" i="7" s="1"/>
  <c r="P19" i="7" a="1"/>
  <c r="P19" i="7" s="1"/>
  <c r="P27" i="7" a="1"/>
  <c r="P27" i="7" s="1"/>
  <c r="P35" i="7" a="1"/>
  <c r="P35" i="7" s="1"/>
  <c r="O4" i="7" a="1"/>
  <c r="O4" i="7" s="1"/>
  <c r="O12" i="7" a="1"/>
  <c r="O12" i="7" s="1"/>
  <c r="O20" i="7" a="1"/>
  <c r="O20" i="7" s="1"/>
  <c r="O28" i="7" a="1"/>
  <c r="O28" i="7" s="1"/>
  <c r="O36" i="7" a="1"/>
  <c r="O36" i="7" s="1"/>
  <c r="N5" i="7" a="1"/>
  <c r="N5" i="7" s="1"/>
  <c r="N13" i="7" a="1"/>
  <c r="N13" i="7" s="1"/>
  <c r="N21" i="7" a="1"/>
  <c r="N21" i="7" s="1"/>
  <c r="N29" i="7" a="1"/>
  <c r="N29" i="7" s="1"/>
  <c r="N37" i="7" a="1"/>
  <c r="N37" i="7" s="1"/>
  <c r="R9" i="7" a="1"/>
  <c r="R9" i="7" s="1"/>
  <c r="R17" i="7" a="1"/>
  <c r="R17" i="7" s="1"/>
  <c r="R25" i="7" a="1"/>
  <c r="R25" i="7" s="1"/>
  <c r="R33" i="7" a="1"/>
  <c r="R33" i="7" s="1"/>
  <c r="R41" i="7" a="1"/>
  <c r="R41" i="7" s="1"/>
  <c r="Q9" i="7" a="1"/>
  <c r="Q9" i="7" s="1"/>
  <c r="Q17" i="7" a="1"/>
  <c r="Q17" i="7" s="1"/>
  <c r="Q25" i="7" a="1"/>
  <c r="Q25" i="7" s="1"/>
  <c r="Q33" i="7" a="1"/>
  <c r="Q33" i="7" s="1"/>
  <c r="Q41" i="7" a="1"/>
  <c r="Q41" i="7" s="1"/>
  <c r="P10" i="7" a="1"/>
  <c r="P10" i="7" s="1"/>
  <c r="P18" i="7" a="1"/>
  <c r="P18" i="7" s="1"/>
  <c r="P26" i="7" a="1"/>
  <c r="P26" i="7" s="1"/>
  <c r="P34" i="7" a="1"/>
  <c r="P34" i="7" s="1"/>
  <c r="P42" i="7" a="1"/>
  <c r="P42" i="7" s="1"/>
  <c r="O11" i="7" a="1"/>
  <c r="O11" i="7" s="1"/>
  <c r="O19" i="7" a="1"/>
  <c r="O19" i="7" s="1"/>
  <c r="O27" i="7" a="1"/>
  <c r="O27" i="7" s="1"/>
  <c r="O35" i="7" a="1"/>
  <c r="O35" i="7" s="1"/>
  <c r="N4" i="7" a="1"/>
  <c r="N4" i="7" s="1"/>
  <c r="N12" i="7" a="1"/>
  <c r="N12" i="7" s="1"/>
  <c r="N20" i="7" a="1"/>
  <c r="N20" i="7" s="1"/>
  <c r="N28" i="7" a="1"/>
  <c r="N28" i="7" s="1"/>
  <c r="N36" i="7" a="1"/>
  <c r="N36" i="7" s="1"/>
  <c r="Q3" i="7" a="1"/>
  <c r="Q3" i="7" s="1"/>
  <c r="R8" i="7" a="1"/>
  <c r="R8" i="7" s="1"/>
  <c r="R16" i="7" a="1"/>
  <c r="R16" i="7" s="1"/>
  <c r="R24" i="7" a="1"/>
  <c r="R24" i="7" s="1"/>
  <c r="R32" i="7" a="1"/>
  <c r="R32" i="7" s="1"/>
  <c r="R40" i="7" a="1"/>
  <c r="R40" i="7" s="1"/>
  <c r="Q8" i="7" a="1"/>
  <c r="Q8" i="7" s="1"/>
  <c r="Q16" i="7" a="1"/>
  <c r="Q16" i="7" s="1"/>
  <c r="Q24" i="7" a="1"/>
  <c r="Q24" i="7" s="1"/>
  <c r="Q32" i="7" a="1"/>
  <c r="Q32" i="7" s="1"/>
  <c r="Q40" i="7" a="1"/>
  <c r="Q40" i="7" s="1"/>
  <c r="P9" i="7" a="1"/>
  <c r="P9" i="7" s="1"/>
  <c r="P17" i="7" a="1"/>
  <c r="P17" i="7" s="1"/>
  <c r="P25" i="7" a="1"/>
  <c r="P25" i="7" s="1"/>
  <c r="P33" i="7" a="1"/>
  <c r="P33" i="7" s="1"/>
  <c r="P41" i="7" a="1"/>
  <c r="P41" i="7" s="1"/>
  <c r="O10" i="7" a="1"/>
  <c r="O10" i="7" s="1"/>
  <c r="O18" i="7" a="1"/>
  <c r="O18" i="7" s="1"/>
  <c r="O26" i="7" a="1"/>
  <c r="O26" i="7" s="1"/>
  <c r="O34" i="7" a="1"/>
  <c r="O34" i="7" s="1"/>
  <c r="O42" i="7" a="1"/>
  <c r="O42" i="7" s="1"/>
  <c r="N11" i="7" a="1"/>
  <c r="N11" i="7" s="1"/>
  <c r="N19" i="7" a="1"/>
  <c r="N19" i="7" s="1"/>
  <c r="N27" i="7" a="1"/>
  <c r="N27" i="7" s="1"/>
  <c r="N35" i="7" a="1"/>
  <c r="N35" i="7" s="1"/>
  <c r="R3" i="7" a="1"/>
  <c r="R3" i="7" s="1"/>
  <c r="R7" i="7" a="1"/>
  <c r="R7" i="7" s="1"/>
  <c r="R15" i="7" a="1"/>
  <c r="R15" i="7" s="1"/>
  <c r="R23" i="7" a="1"/>
  <c r="R23" i="7" s="1"/>
  <c r="R31" i="7" a="1"/>
  <c r="R31" i="7" s="1"/>
  <c r="R39" i="7" a="1"/>
  <c r="R39" i="7" s="1"/>
  <c r="Q7" i="7" a="1"/>
  <c r="Q7" i="7" s="1"/>
  <c r="Q15" i="7" a="1"/>
  <c r="Q15" i="7" s="1"/>
  <c r="Q23" i="7" a="1"/>
  <c r="Q23" i="7" s="1"/>
  <c r="Q31" i="7" a="1"/>
  <c r="Q31" i="7" s="1"/>
  <c r="Q39" i="7" a="1"/>
  <c r="Q39" i="7" s="1"/>
  <c r="P8" i="7" a="1"/>
  <c r="P8" i="7" s="1"/>
  <c r="P16" i="7" a="1"/>
  <c r="P16" i="7" s="1"/>
  <c r="P24" i="7" a="1"/>
  <c r="P24" i="7" s="1"/>
  <c r="P32" i="7" a="1"/>
  <c r="P32" i="7" s="1"/>
  <c r="P40" i="7" a="1"/>
  <c r="P40" i="7" s="1"/>
  <c r="O9" i="7" a="1"/>
  <c r="O9" i="7" s="1"/>
  <c r="O17" i="7" a="1"/>
  <c r="O17" i="7" s="1"/>
  <c r="O25" i="7" a="1"/>
  <c r="O25" i="7" s="1"/>
  <c r="O33" i="7" a="1"/>
  <c r="O33" i="7" s="1"/>
  <c r="O41" i="7" a="1"/>
  <c r="O41" i="7" s="1"/>
  <c r="N10" i="7" a="1"/>
  <c r="N10" i="7" s="1"/>
  <c r="N18" i="7" a="1"/>
  <c r="N18" i="7" s="1"/>
  <c r="N26" i="7" a="1"/>
  <c r="N26" i="7" s="1"/>
  <c r="N34" i="7" a="1"/>
  <c r="N34" i="7" s="1"/>
  <c r="N42" i="7" a="1"/>
  <c r="N42" i="7" s="1"/>
  <c r="R6" i="7" a="1"/>
  <c r="R6" i="7" s="1"/>
  <c r="R14" i="7" a="1"/>
  <c r="R14" i="7" s="1"/>
  <c r="R22" i="7" a="1"/>
  <c r="R22" i="7" s="1"/>
  <c r="R30" i="7" a="1"/>
  <c r="R30" i="7" s="1"/>
  <c r="R38" i="7" a="1"/>
  <c r="R38" i="7" s="1"/>
  <c r="Q6" i="7" a="1"/>
  <c r="Q6" i="7" s="1"/>
  <c r="Q14" i="7" a="1"/>
  <c r="Q14" i="7" s="1"/>
  <c r="Q22" i="7" a="1"/>
  <c r="Q22" i="7" s="1"/>
  <c r="Q30" i="7" a="1"/>
  <c r="Q30" i="7" s="1"/>
  <c r="Q38" i="7" a="1"/>
  <c r="Q38" i="7" s="1"/>
  <c r="P7" i="7" a="1"/>
  <c r="P7" i="7" s="1"/>
  <c r="P15" i="7" a="1"/>
  <c r="P15" i="7" s="1"/>
  <c r="P23" i="7" a="1"/>
  <c r="P23" i="7" s="1"/>
  <c r="P31" i="7" a="1"/>
  <c r="P31" i="7" s="1"/>
  <c r="P39" i="7" a="1"/>
  <c r="P39" i="7" s="1"/>
  <c r="O8" i="7" a="1"/>
  <c r="O8" i="7" s="1"/>
  <c r="O16" i="7" a="1"/>
  <c r="O16" i="7" s="1"/>
  <c r="O24" i="7" a="1"/>
  <c r="O24" i="7" s="1"/>
  <c r="O32" i="7" a="1"/>
  <c r="O32" i="7" s="1"/>
  <c r="O40" i="7" a="1"/>
  <c r="O40" i="7" s="1"/>
  <c r="N9" i="7" a="1"/>
  <c r="N9" i="7" s="1"/>
  <c r="N17" i="7" a="1"/>
  <c r="N17" i="7" s="1"/>
  <c r="N25" i="7" a="1"/>
  <c r="N25" i="7" s="1"/>
  <c r="N33" i="7" a="1"/>
  <c r="N33" i="7" s="1"/>
  <c r="N41" i="7" a="1"/>
  <c r="N41" i="7" s="1"/>
  <c r="G42" i="6"/>
  <c r="R5" i="7" a="1"/>
  <c r="R5" i="7" s="1"/>
  <c r="R13" i="7" a="1"/>
  <c r="R13" i="7" s="1"/>
  <c r="R21" i="7" a="1"/>
  <c r="R21" i="7" s="1"/>
  <c r="R29" i="7" a="1"/>
  <c r="R29" i="7" s="1"/>
  <c r="R37" i="7" a="1"/>
  <c r="R37" i="7" s="1"/>
  <c r="Q5" i="7" a="1"/>
  <c r="Q5" i="7" s="1"/>
  <c r="Q13" i="7" a="1"/>
  <c r="Q13" i="7" s="1"/>
  <c r="Q21" i="7" a="1"/>
  <c r="Q21" i="7" s="1"/>
  <c r="Q29" i="7" a="1"/>
  <c r="Q29" i="7" s="1"/>
  <c r="Q37" i="7" a="1"/>
  <c r="Q37" i="7" s="1"/>
  <c r="P6" i="7" a="1"/>
  <c r="P6" i="7" s="1"/>
  <c r="P14" i="7" a="1"/>
  <c r="P14" i="7" s="1"/>
  <c r="P22" i="7" a="1"/>
  <c r="P22" i="7" s="1"/>
  <c r="P30" i="7" a="1"/>
  <c r="P30" i="7" s="1"/>
  <c r="P38" i="7" a="1"/>
  <c r="P38" i="7" s="1"/>
  <c r="O7" i="7" a="1"/>
  <c r="O7" i="7" s="1"/>
  <c r="O15" i="7" a="1"/>
  <c r="O15" i="7" s="1"/>
  <c r="O23" i="7" a="1"/>
  <c r="O23" i="7" s="1"/>
  <c r="O31" i="7" a="1"/>
  <c r="O31" i="7" s="1"/>
  <c r="O39" i="7" a="1"/>
  <c r="O39" i="7" s="1"/>
  <c r="N8" i="7" a="1"/>
  <c r="N8" i="7" s="1"/>
  <c r="N16" i="7" a="1"/>
  <c r="N16" i="7" s="1"/>
  <c r="N24" i="7" a="1"/>
  <c r="N24" i="7" s="1"/>
  <c r="N32" i="7" a="1"/>
  <c r="N32" i="7" s="1"/>
  <c r="N40" i="7" a="1"/>
  <c r="N40" i="7" s="1"/>
  <c r="N3" i="7" a="1"/>
  <c r="N3" i="7" s="1"/>
  <c r="G25" i="6"/>
  <c r="R4" i="7" a="1"/>
  <c r="R4" i="7" s="1"/>
  <c r="R12" i="7" a="1"/>
  <c r="R12" i="7" s="1"/>
  <c r="R20" i="7" a="1"/>
  <c r="R20" i="7" s="1"/>
  <c r="R28" i="7" a="1"/>
  <c r="R28" i="7" s="1"/>
  <c r="R36" i="7" a="1"/>
  <c r="R36" i="7" s="1"/>
  <c r="Q12" i="7" a="1"/>
  <c r="Q12" i="7" s="1"/>
  <c r="Q20" i="7" a="1"/>
  <c r="Q20" i="7" s="1"/>
  <c r="Q28" i="7" a="1"/>
  <c r="Q28" i="7" s="1"/>
  <c r="Q36" i="7" a="1"/>
  <c r="Q36" i="7" s="1"/>
  <c r="P5" i="7" a="1"/>
  <c r="P5" i="7" s="1"/>
  <c r="P13" i="7" a="1"/>
  <c r="P13" i="7" s="1"/>
  <c r="P21" i="7" a="1"/>
  <c r="P21" i="7" s="1"/>
  <c r="P29" i="7" a="1"/>
  <c r="P29" i="7" s="1"/>
  <c r="P37" i="7" a="1"/>
  <c r="P37" i="7" s="1"/>
  <c r="O6" i="7" a="1"/>
  <c r="O6" i="7" s="1"/>
  <c r="O14" i="7" a="1"/>
  <c r="O14" i="7" s="1"/>
  <c r="O22" i="7" a="1"/>
  <c r="O22" i="7" s="1"/>
  <c r="O30" i="7" a="1"/>
  <c r="O30" i="7" s="1"/>
  <c r="O38" i="7" a="1"/>
  <c r="O38" i="7" s="1"/>
  <c r="N7" i="7" a="1"/>
  <c r="N7" i="7" s="1"/>
  <c r="N15" i="7" a="1"/>
  <c r="N15" i="7" s="1"/>
  <c r="N23" i="7" a="1"/>
  <c r="N23" i="7" s="1"/>
  <c r="N31" i="7" a="1"/>
  <c r="N31" i="7" s="1"/>
  <c r="N39" i="7" a="1"/>
  <c r="N39" i="7" s="1"/>
  <c r="O3" i="7" a="1"/>
  <c r="O3" i="7" s="1"/>
  <c r="G16" i="6"/>
  <c r="G24" i="6"/>
  <c r="K3" i="7"/>
  <c r="K163" i="7" s="1"/>
  <c r="R11" i="7" a="1"/>
  <c r="R11" i="7" s="1"/>
  <c r="R19" i="7" a="1"/>
  <c r="R19" i="7" s="1"/>
  <c r="R27" i="7" a="1"/>
  <c r="R27" i="7" s="1"/>
  <c r="R35" i="7" a="1"/>
  <c r="R35" i="7" s="1"/>
  <c r="Q4" i="7" a="1"/>
  <c r="Q4" i="7" s="1"/>
  <c r="S4" i="7" s="1"/>
  <c r="Q11" i="7" a="1"/>
  <c r="Q11" i="7" s="1"/>
  <c r="U11" i="7" s="1"/>
  <c r="Q19" i="7" a="1"/>
  <c r="Q19" i="7" s="1"/>
  <c r="Q27" i="7" a="1"/>
  <c r="Q27" i="7" s="1"/>
  <c r="Q35" i="7" a="1"/>
  <c r="Q35" i="7" s="1"/>
  <c r="P4" i="7" a="1"/>
  <c r="P4" i="7" s="1"/>
  <c r="P12" i="7" a="1"/>
  <c r="P12" i="7" s="1"/>
  <c r="P20" i="7" a="1"/>
  <c r="P20" i="7" s="1"/>
  <c r="P28" i="7" a="1"/>
  <c r="P28" i="7" s="1"/>
  <c r="P36" i="7" a="1"/>
  <c r="P36" i="7" s="1"/>
  <c r="O5" i="7" a="1"/>
  <c r="O5" i="7" s="1"/>
  <c r="O13" i="7" a="1"/>
  <c r="O13" i="7" s="1"/>
  <c r="O21" i="7" a="1"/>
  <c r="O21" i="7" s="1"/>
  <c r="O29" i="7" a="1"/>
  <c r="O29" i="7" s="1"/>
  <c r="O37" i="7" a="1"/>
  <c r="O37" i="7" s="1"/>
  <c r="N6" i="7" a="1"/>
  <c r="N6" i="7" s="1"/>
  <c r="N14" i="7" a="1"/>
  <c r="N14" i="7" s="1"/>
  <c r="N22" i="7" a="1"/>
  <c r="N22" i="7" s="1"/>
  <c r="N30" i="7" a="1"/>
  <c r="N30" i="7" s="1"/>
  <c r="N38" i="7" a="1"/>
  <c r="N38" i="7" s="1"/>
  <c r="P3" i="7" a="1"/>
  <c r="P3" i="7" s="1"/>
  <c r="U4" i="3"/>
  <c r="L12" i="5"/>
  <c r="V5" i="3" s="1"/>
  <c r="V4" i="3" s="1"/>
  <c r="G3" i="6" l="1"/>
  <c r="S18" i="7"/>
  <c r="G17" i="6"/>
  <c r="S41" i="7"/>
  <c r="G5" i="6"/>
  <c r="S42" i="7"/>
  <c r="S24" i="7"/>
  <c r="G21" i="6"/>
  <c r="G12" i="6"/>
  <c r="S12" i="7"/>
  <c r="S14" i="7"/>
  <c r="S36" i="7"/>
  <c r="G20" i="6"/>
  <c r="G29" i="6"/>
  <c r="S28" i="7"/>
  <c r="S31" i="7"/>
  <c r="S7" i="7"/>
  <c r="G39" i="6"/>
  <c r="G9" i="6"/>
  <c r="G34" i="6"/>
  <c r="G13" i="6"/>
  <c r="G38" i="6"/>
  <c r="G28" i="6"/>
  <c r="G7" i="6"/>
  <c r="G32" i="6"/>
  <c r="G41" i="6"/>
  <c r="G11" i="6"/>
  <c r="G37" i="6"/>
  <c r="G36" i="6"/>
  <c r="G15" i="6"/>
  <c r="G40" i="6"/>
  <c r="G10" i="6"/>
  <c r="G19" i="6"/>
  <c r="G6" i="6"/>
  <c r="G23" i="6"/>
  <c r="G18" i="6"/>
  <c r="G27" i="6"/>
  <c r="G14" i="6"/>
  <c r="G31" i="6"/>
  <c r="G26" i="6"/>
  <c r="G35" i="6"/>
  <c r="G22" i="6"/>
  <c r="S20" i="7"/>
  <c r="S34" i="7"/>
  <c r="S15" i="7"/>
  <c r="S32" i="7"/>
  <c r="S37" i="7"/>
  <c r="S17" i="7"/>
  <c r="S25" i="7"/>
  <c r="S16" i="7"/>
  <c r="S33" i="7"/>
  <c r="S29" i="7"/>
  <c r="S21" i="7"/>
  <c r="S38" i="7"/>
  <c r="S8" i="7"/>
  <c r="S5" i="7"/>
  <c r="S22" i="7"/>
  <c r="S39" i="7"/>
  <c r="S9" i="7"/>
  <c r="S26" i="7"/>
  <c r="S13" i="7"/>
  <c r="S30" i="7"/>
  <c r="S6" i="7"/>
  <c r="S23" i="7"/>
  <c r="S40" i="7"/>
  <c r="S10" i="7"/>
  <c r="S35" i="7"/>
  <c r="S11" i="7"/>
  <c r="S19" i="7"/>
  <c r="S27" i="7"/>
  <c r="S3" i="7"/>
  <c r="I216" i="5"/>
  <c r="I218" i="5" s="1"/>
  <c r="I220" i="5" s="1"/>
  <c r="I227" i="5" s="1"/>
  <c r="I228" i="5" s="1"/>
  <c r="P225" i="5" l="1"/>
  <c r="G45" i="6"/>
  <c r="G47" i="6" s="1"/>
  <c r="S45" i="7"/>
  <c r="M15" i="10"/>
  <c r="Y15" i="10" s="1"/>
  <c r="M16" i="10"/>
  <c r="Y16" i="10" s="1"/>
  <c r="AA16" i="10" s="1"/>
  <c r="M17" i="10"/>
  <c r="Y17" i="10" s="1"/>
  <c r="AA17" i="10" s="1"/>
  <c r="H96" i="10" l="1"/>
  <c r="H100" i="10" s="1"/>
  <c r="H102" i="10" s="1"/>
  <c r="H104" i="10" s="1"/>
  <c r="H106" i="10" s="1"/>
  <c r="K12" i="3" s="1"/>
  <c r="AA15" i="10"/>
  <c r="H108" i="10" l="1"/>
  <c r="N12" i="3" s="1"/>
  <c r="E124" i="4" l="1"/>
  <c r="E127" i="4" s="1"/>
  <c r="L239" i="4"/>
  <c r="J33" i="3" l="1"/>
  <c r="F31" i="4"/>
  <c r="N33" i="3" s="1"/>
  <c r="M258" i="4"/>
  <c r="N258" i="4" s="1"/>
  <c r="N275" i="4" s="1"/>
  <c r="K258" i="4"/>
  <c r="L258" i="4" s="1"/>
  <c r="L275" i="4" s="1"/>
  <c r="I258" i="4"/>
  <c r="J258" i="4" s="1"/>
  <c r="E125" i="4"/>
  <c r="J275" i="4" l="1"/>
  <c r="L276" i="4" s="1"/>
  <c r="J287" i="4"/>
  <c r="B46" i="3" s="1"/>
  <c r="L283" i="4"/>
  <c r="J283" i="4" l="1"/>
  <c r="B40" i="3" s="1"/>
  <c r="H1" i="4"/>
  <c r="B5" i="3" s="1"/>
  <c r="I229" i="5"/>
  <c r="I230" i="5" s="1"/>
  <c r="I213" i="5"/>
  <c r="K5" i="3" l="1"/>
  <c r="K9" i="3"/>
  <c r="I235" i="5"/>
  <c r="N9" i="3" s="1"/>
  <c r="K7" i="3"/>
  <c r="N7" i="3" l="1"/>
  <c r="N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I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Частотный преобразователь предусмотрен только для 
3-фазных эл/дв</t>
        </r>
      </text>
    </comment>
    <comment ref="B2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0,6-69,9 для трехфазных эл/дв
0,25-7,2 для однофазных эл/дв</t>
        </r>
      </text>
    </comment>
    <comment ref="B2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ТО - жидкостной нагрев
ЭК - электронагреватель</t>
        </r>
      </text>
    </comment>
    <comment ref="L2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0,6-6,2 для трехфазных эл/дв
0,1-7,2 для однофазных эл/дв</t>
        </r>
      </text>
    </comment>
    <comment ref="L29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0,6-6,2 для трехфазных эл/дв
0,1-7,2 для однофазных эл/дв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L8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не учитываем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Y1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Проверка индекса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3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Частотный преобразователь предусмотрен только для 
3-фазных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4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0,6-69,9 для трехфазных эл/дв
0,25-4,9 для однофазных эл/дв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1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не учитываем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Y25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Проверка индекса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C113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Чтобы не было ошибки "н/д"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Руслан М. Кабаев</author>
  </authors>
  <commentList>
    <comment ref="C110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Чтобы не было ошибки "н/д"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<sst xmlns="http://schemas.openxmlformats.org/spreadsheetml/2006/main" count="3072" uniqueCount="973">
  <si>
    <t>Автоматический выключатель</t>
  </si>
  <si>
    <t>Заказной номер</t>
  </si>
  <si>
    <t>GV2ME05</t>
  </si>
  <si>
    <t>0,63…1</t>
  </si>
  <si>
    <t>LC1D09P7</t>
  </si>
  <si>
    <t>GV2ME06</t>
  </si>
  <si>
    <t>1…1,6</t>
  </si>
  <si>
    <t>GV2ME07</t>
  </si>
  <si>
    <t>1,6…2,5</t>
  </si>
  <si>
    <t>GV2ME08</t>
  </si>
  <si>
    <t>2,5…4</t>
  </si>
  <si>
    <t>GV2ME10</t>
  </si>
  <si>
    <t>4…6,3</t>
  </si>
  <si>
    <t>GV2ME14</t>
  </si>
  <si>
    <t>6…10</t>
  </si>
  <si>
    <t>LC1D12P7</t>
  </si>
  <si>
    <t>GV2ME16</t>
  </si>
  <si>
    <t>9…14</t>
  </si>
  <si>
    <t>LC1D18P7</t>
  </si>
  <si>
    <t>GV2ME20</t>
  </si>
  <si>
    <t>13…18</t>
  </si>
  <si>
    <t>GV2ME21</t>
  </si>
  <si>
    <t>17…23</t>
  </si>
  <si>
    <t>LC1D25P7</t>
  </si>
  <si>
    <t>GV2ME22</t>
  </si>
  <si>
    <t>20…25</t>
  </si>
  <si>
    <t>GV2ME32</t>
  </si>
  <si>
    <t>24…32</t>
  </si>
  <si>
    <t>LC1D32P7</t>
  </si>
  <si>
    <t>GV3P40</t>
  </si>
  <si>
    <t>30…40</t>
  </si>
  <si>
    <t>LC1D40P7</t>
  </si>
  <si>
    <t>GV3P50</t>
  </si>
  <si>
    <t>37…50</t>
  </si>
  <si>
    <t>LC1D50P7</t>
  </si>
  <si>
    <t>GV3P65</t>
  </si>
  <si>
    <t>48…65</t>
  </si>
  <si>
    <t>LC1D65P7</t>
  </si>
  <si>
    <t>GV3P73</t>
  </si>
  <si>
    <t>62…73</t>
  </si>
  <si>
    <t>LC1D80P7</t>
  </si>
  <si>
    <t>Наименование</t>
  </si>
  <si>
    <t>Позиция</t>
  </si>
  <si>
    <t>QF1</t>
  </si>
  <si>
    <t>Автомат защиты эл/дв</t>
  </si>
  <si>
    <t>Характеристика</t>
  </si>
  <si>
    <t>KM1</t>
  </si>
  <si>
    <t>Контактор</t>
  </si>
  <si>
    <t>QF2</t>
  </si>
  <si>
    <t>QF3</t>
  </si>
  <si>
    <t>Автомат. Выключатель 1п</t>
  </si>
  <si>
    <t>Реле промеж., 4пер.конт</t>
  </si>
  <si>
    <t>Реле промеж., 2пер.конт</t>
  </si>
  <si>
    <t>Реле времени</t>
  </si>
  <si>
    <t>Клемма</t>
  </si>
  <si>
    <t>Клемма N</t>
  </si>
  <si>
    <t>Клемма PE</t>
  </si>
  <si>
    <t>желтый</t>
  </si>
  <si>
    <t>зеленый</t>
  </si>
  <si>
    <t>красный</t>
  </si>
  <si>
    <t>Индикатор СЕТЬ (желтый)</t>
  </si>
  <si>
    <t>Индикатор РАБОТА (зеленый)</t>
  </si>
  <si>
    <t>Индикатор АВАРИЯ (красный)</t>
  </si>
  <si>
    <t>Доп. контакт для автомата</t>
  </si>
  <si>
    <t>Кнопка ПУСК</t>
  </si>
  <si>
    <t>Кнопка СТОП</t>
  </si>
  <si>
    <t>1NO</t>
  </si>
  <si>
    <t>1NC</t>
  </si>
  <si>
    <t>Шкаф металл. 400х300х205</t>
  </si>
  <si>
    <t>Ток двигателя, А</t>
  </si>
  <si>
    <t>Номер функциональной схемы</t>
  </si>
  <si>
    <t>Тип пуска</t>
  </si>
  <si>
    <t>Работа системы</t>
  </si>
  <si>
    <t>без самозапуска</t>
  </si>
  <si>
    <t>с самозапуском</t>
  </si>
  <si>
    <t>Электропитание шкафа</t>
  </si>
  <si>
    <t>Питание 3 фазы (3Р/N/PE)</t>
  </si>
  <si>
    <t>Питание 1 фаза (1Р/N/PE)</t>
  </si>
  <si>
    <t xml:space="preserve">Индекс двигателя </t>
  </si>
  <si>
    <t>Прямой пуск</t>
  </si>
  <si>
    <t>Нет</t>
  </si>
  <si>
    <t>Ф100</t>
  </si>
  <si>
    <t>Ф101</t>
  </si>
  <si>
    <t>Ф102</t>
  </si>
  <si>
    <t>Ф103</t>
  </si>
  <si>
    <t>+</t>
  </si>
  <si>
    <t>Ф110</t>
  </si>
  <si>
    <t>Ф111</t>
  </si>
  <si>
    <t>Ф112</t>
  </si>
  <si>
    <t>Ф113</t>
  </si>
  <si>
    <t>Ф114</t>
  </si>
  <si>
    <t>Ф120</t>
  </si>
  <si>
    <t>Ф121</t>
  </si>
  <si>
    <t>Ф130</t>
  </si>
  <si>
    <t>Ф131</t>
  </si>
  <si>
    <t>Ф132</t>
  </si>
  <si>
    <t>Ф133</t>
  </si>
  <si>
    <t>Ф140</t>
  </si>
  <si>
    <t>Ф141</t>
  </si>
  <si>
    <t>Ф142</t>
  </si>
  <si>
    <t>Ф143</t>
  </si>
  <si>
    <t>Ф150</t>
  </si>
  <si>
    <t>Ф151</t>
  </si>
  <si>
    <t>ЧРП / регулятор оборотов</t>
  </si>
  <si>
    <t>А3Р00010</t>
  </si>
  <si>
    <t>А3Р00016</t>
  </si>
  <si>
    <t>А3Р00025</t>
  </si>
  <si>
    <t>А3Р00040</t>
  </si>
  <si>
    <t>А3Р00063</t>
  </si>
  <si>
    <t>А3Р00100</t>
  </si>
  <si>
    <t>А3Р00140</t>
  </si>
  <si>
    <t>А3Р00160</t>
  </si>
  <si>
    <t>А3Р00180</t>
  </si>
  <si>
    <t>А3Р00200</t>
  </si>
  <si>
    <t>А3Р00250</t>
  </si>
  <si>
    <t>А3Р00320</t>
  </si>
  <si>
    <t>А3Р00400</t>
  </si>
  <si>
    <t>А3Р00500</t>
  </si>
  <si>
    <t>А3Р00580</t>
  </si>
  <si>
    <t>А3Р00630</t>
  </si>
  <si>
    <t>А3Р00700</t>
  </si>
  <si>
    <t>Автомат</t>
  </si>
  <si>
    <t>Выбор</t>
  </si>
  <si>
    <t>Результат</t>
  </si>
  <si>
    <t>Результат ИТОГО</t>
  </si>
  <si>
    <t>А3Н00040</t>
  </si>
  <si>
    <t>А3Н00060</t>
  </si>
  <si>
    <t>А3Н00100</t>
  </si>
  <si>
    <t>А3Н00160</t>
  </si>
  <si>
    <t>А3Н00200</t>
  </si>
  <si>
    <t>А3Н00400</t>
  </si>
  <si>
    <t>А3Н00630</t>
  </si>
  <si>
    <t>А3Н00700</t>
  </si>
  <si>
    <t>А1Н00010</t>
  </si>
  <si>
    <t>А1Н00020</t>
  </si>
  <si>
    <t>А1Н00030</t>
  </si>
  <si>
    <t>А1Н00050</t>
  </si>
  <si>
    <t>3ф</t>
  </si>
  <si>
    <t>1ф</t>
  </si>
  <si>
    <t>Индекс двигателя</t>
  </si>
  <si>
    <t>№ комплекта</t>
  </si>
  <si>
    <t>Наименование прибора</t>
  </si>
  <si>
    <t>Комплектация не требуется</t>
  </si>
  <si>
    <t>Дополнительная комплектация</t>
  </si>
  <si>
    <t>Дополнительная компл.</t>
  </si>
  <si>
    <t>Материал корпуса шкафа</t>
  </si>
  <si>
    <t>П</t>
  </si>
  <si>
    <t>М</t>
  </si>
  <si>
    <t>Наименование параметра</t>
  </si>
  <si>
    <t>Значение</t>
  </si>
  <si>
    <t>РАСЧЕТ ЦЕНЫ</t>
  </si>
  <si>
    <t>Обозначение</t>
  </si>
  <si>
    <t>ЦЕНА В 1С</t>
  </si>
  <si>
    <t>СТОИМОСТЬ,</t>
  </si>
  <si>
    <t xml:space="preserve">Клемма </t>
  </si>
  <si>
    <t>Провод монтажный</t>
  </si>
  <si>
    <t>Цена, бел.руб</t>
  </si>
  <si>
    <t>без НДС</t>
  </si>
  <si>
    <t>Курс евро</t>
  </si>
  <si>
    <t>Цена, евро</t>
  </si>
  <si>
    <t>Провод</t>
  </si>
  <si>
    <t>Ток дв, от</t>
  </si>
  <si>
    <t>Ток дв, до</t>
  </si>
  <si>
    <t>Статус</t>
  </si>
  <si>
    <t>Контакторы</t>
  </si>
  <si>
    <t>Клеммы</t>
  </si>
  <si>
    <t>Кнопки, переключатели</t>
  </si>
  <si>
    <t>Шкафы</t>
  </si>
  <si>
    <t>Реле</t>
  </si>
  <si>
    <t>Провод монтажный силовой</t>
  </si>
  <si>
    <t>Провод монтажный контрольный</t>
  </si>
  <si>
    <t>сила1,5</t>
  </si>
  <si>
    <t>сила2,5</t>
  </si>
  <si>
    <t>сила4</t>
  </si>
  <si>
    <t>сила6</t>
  </si>
  <si>
    <t>сила10</t>
  </si>
  <si>
    <t>сила16</t>
  </si>
  <si>
    <t>сила35</t>
  </si>
  <si>
    <t>Обогрев клапана</t>
  </si>
  <si>
    <t>Клапан</t>
  </si>
  <si>
    <t>Р_вр</t>
  </si>
  <si>
    <t>Без самозапуска</t>
  </si>
  <si>
    <t>С самозапускои</t>
  </si>
  <si>
    <t>Общие для всех</t>
  </si>
  <si>
    <t>Автоматические выключатели для прямого пуска</t>
  </si>
  <si>
    <t>Автоматические выключатели для ЧРП</t>
  </si>
  <si>
    <t>Автоматический выключатель 3п "С"</t>
  </si>
  <si>
    <t>6А 3п.</t>
  </si>
  <si>
    <t>10А 3п.</t>
  </si>
  <si>
    <t>16А 3п.</t>
  </si>
  <si>
    <t>20А 3п.</t>
  </si>
  <si>
    <t>40А 3п.</t>
  </si>
  <si>
    <t>63А 3п.</t>
  </si>
  <si>
    <t>6А 1п.</t>
  </si>
  <si>
    <t>16А 1п.</t>
  </si>
  <si>
    <t>Доп. контакт для автомата 1</t>
  </si>
  <si>
    <t>Ин_ж</t>
  </si>
  <si>
    <t>Ин_з</t>
  </si>
  <si>
    <t>Ин_кр</t>
  </si>
  <si>
    <t>Р_4_230</t>
  </si>
  <si>
    <t>4СО, 230В</t>
  </si>
  <si>
    <t>2СО, 230В</t>
  </si>
  <si>
    <t>Р_2_230</t>
  </si>
  <si>
    <t>400х300х200</t>
  </si>
  <si>
    <t>металл</t>
  </si>
  <si>
    <t>пластик</t>
  </si>
  <si>
    <t>Шкаф металлический</t>
  </si>
  <si>
    <t>Шкаф пластик</t>
  </si>
  <si>
    <t>М_400х300х200</t>
  </si>
  <si>
    <t>-</t>
  </si>
  <si>
    <t>Ошибки</t>
  </si>
  <si>
    <t>Корпус шкафа</t>
  </si>
  <si>
    <t>KL10</t>
  </si>
  <si>
    <t>Пластик</t>
  </si>
  <si>
    <t>Металл</t>
  </si>
  <si>
    <t>ОШИБКА (1-нет,0-ошибка)</t>
  </si>
  <si>
    <t>не существует</t>
  </si>
  <si>
    <t>0,25…0,40</t>
  </si>
  <si>
    <t>0,40…0,63</t>
  </si>
  <si>
    <t>GV2ME03</t>
  </si>
  <si>
    <t>GV2ME04</t>
  </si>
  <si>
    <t>ЦЕНА</t>
  </si>
  <si>
    <t>ЦЕНА с учетом условий</t>
  </si>
  <si>
    <t>Статус, если шкаф пластик не в размере</t>
  </si>
  <si>
    <t>Размер шкафа</t>
  </si>
  <si>
    <t>Размер шкафа принятый</t>
  </si>
  <si>
    <t xml:space="preserve">Размер шкафа </t>
  </si>
  <si>
    <t>ПРЕДУПРЕЖДЕНИЕ</t>
  </si>
  <si>
    <t>Частотный преобразователь / регулятор оборотов</t>
  </si>
  <si>
    <t>Статус, если ошибка (см. РАСЧЕТ)</t>
  </si>
  <si>
    <t>Концевой стопор</t>
  </si>
  <si>
    <t>Кон_стопор</t>
  </si>
  <si>
    <t>КС</t>
  </si>
  <si>
    <t>Количество</t>
  </si>
  <si>
    <t>ПУСК_1NO</t>
  </si>
  <si>
    <t>ПУСК_1NC</t>
  </si>
  <si>
    <t>Доп. контакт для автомата 3п</t>
  </si>
  <si>
    <t>1NO+1NC</t>
  </si>
  <si>
    <t>Шкаф не существует</t>
  </si>
  <si>
    <t>ПМК</t>
  </si>
  <si>
    <t>Доп. контакт для автомата мотор</t>
  </si>
  <si>
    <t>ДП_к_мотор</t>
  </si>
  <si>
    <t>ДП_3п"С"</t>
  </si>
  <si>
    <t>Стоимость, евро</t>
  </si>
  <si>
    <t>Стоимость материалов</t>
  </si>
  <si>
    <t>ИТОГ</t>
  </si>
  <si>
    <t>ЧРП/регулятор оборотов</t>
  </si>
  <si>
    <t>Индикатор ПУСК (зеленый)</t>
  </si>
  <si>
    <t>80А 3п.</t>
  </si>
  <si>
    <t>Коэффициент</t>
  </si>
  <si>
    <t>ИТОГО СТОИМОСТЬ</t>
  </si>
  <si>
    <t>ИТОГО</t>
  </si>
  <si>
    <t>Требует уточнения</t>
  </si>
  <si>
    <t>Цена указывается "0", необходимо для расчета</t>
  </si>
  <si>
    <t>Шкаф пласт. BNK 65-24-1</t>
  </si>
  <si>
    <t>П_BNK 65-24-1</t>
  </si>
  <si>
    <t>Масса</t>
  </si>
  <si>
    <t>1 шт.</t>
  </si>
  <si>
    <t>МАССА</t>
  </si>
  <si>
    <t>500х400х200</t>
  </si>
  <si>
    <t>М_500х400х200</t>
  </si>
  <si>
    <t>Шкаф металл. 500х400х205</t>
  </si>
  <si>
    <t>Кнопка модульная</t>
  </si>
  <si>
    <t>ПУСК_1NO_1NC</t>
  </si>
  <si>
    <t>Лампа модульная</t>
  </si>
  <si>
    <t>желтый,красный</t>
  </si>
  <si>
    <t>пласт</t>
  </si>
  <si>
    <t>мет</t>
  </si>
  <si>
    <t>1да</t>
  </si>
  <si>
    <t>выключатель для самозапуска</t>
  </si>
  <si>
    <t>1-5</t>
  </si>
  <si>
    <t>Конструктор</t>
  </si>
  <si>
    <t>ПЭО</t>
  </si>
  <si>
    <t>Конструктор (1)</t>
  </si>
  <si>
    <t>ПЭО (2)</t>
  </si>
  <si>
    <t>Номер символа в обозначении</t>
  </si>
  <si>
    <t>не исп</t>
  </si>
  <si>
    <t>пуск</t>
  </si>
  <si>
    <t>питание</t>
  </si>
  <si>
    <t>ф. схема</t>
  </si>
  <si>
    <t>доп.компл.</t>
  </si>
  <si>
    <t xml:space="preserve">             </t>
  </si>
  <si>
    <t>Датчик-реле перепада воздуха с комплектом монтажных частей (IP65, -40…+85С, 100-1500Ра)</t>
  </si>
  <si>
    <t>SR1500</t>
  </si>
  <si>
    <t>3ф, 1ф</t>
  </si>
  <si>
    <t>№ схемы</t>
  </si>
  <si>
    <t>Запуск</t>
  </si>
  <si>
    <t>Питание</t>
  </si>
  <si>
    <t>3 - 3ф</t>
  </si>
  <si>
    <t>1 - 1ф</t>
  </si>
  <si>
    <t>1-без сам</t>
  </si>
  <si>
    <t>2-с сам</t>
  </si>
  <si>
    <t>1-Пр Пуск</t>
  </si>
  <si>
    <t>2-ЧРП/Рег об</t>
  </si>
  <si>
    <t>3-ЕС</t>
  </si>
  <si>
    <t>0-нет</t>
  </si>
  <si>
    <t>1-да</t>
  </si>
  <si>
    <t>Доп. компл</t>
  </si>
  <si>
    <t>Д_ХХ</t>
  </si>
  <si>
    <t>Выбранная</t>
  </si>
  <si>
    <t>Проверка</t>
  </si>
  <si>
    <t>по номеру Ф</t>
  </si>
  <si>
    <t>состояния</t>
  </si>
  <si>
    <t>по номеру Ф и Д</t>
  </si>
  <si>
    <t>0-нет,1-да</t>
  </si>
  <si>
    <t>24</t>
  </si>
  <si>
    <t>Д_ХХ КОНСТР</t>
  </si>
  <si>
    <t>Проверка доп комплектации</t>
  </si>
  <si>
    <t>0-ошибка,1-нет</t>
  </si>
  <si>
    <t>Доп. комплектация не соответствует выбранному оборудованию</t>
  </si>
  <si>
    <t>Ток электродвигателя, А</t>
  </si>
  <si>
    <t>Проверка сост.</t>
  </si>
  <si>
    <t>1ф или 1ф/3ф</t>
  </si>
  <si>
    <t>В расчет</t>
  </si>
  <si>
    <t>Ошибка ввода</t>
  </si>
  <si>
    <t>ИТОГ ошибка ввода</t>
  </si>
  <si>
    <t>17</t>
  </si>
  <si>
    <t>Преобразование в число</t>
  </si>
  <si>
    <t>ЧРП/рег об</t>
  </si>
  <si>
    <t>№ функц. Схемы</t>
  </si>
  <si>
    <t>Результат ИТОГО Конструктор</t>
  </si>
  <si>
    <t>Результат ИТОГО ПЭО</t>
  </si>
  <si>
    <t>Результат ИТОГО для расчета</t>
  </si>
  <si>
    <t>Описание</t>
  </si>
  <si>
    <t>Констр.</t>
  </si>
  <si>
    <t>Статус Констр.</t>
  </si>
  <si>
    <t>Статус ПЭО</t>
  </si>
  <si>
    <t>Констр.1/ПЭО2</t>
  </si>
  <si>
    <t>Проверка Доп.комп.</t>
  </si>
  <si>
    <t>ИТОГ В ЦЕНА</t>
  </si>
  <si>
    <t>* - для справки</t>
  </si>
  <si>
    <t>Для вывода на ГЛАВНУЮ ТОК ПЭО</t>
  </si>
  <si>
    <t>Пуск прямой 3ф</t>
  </si>
  <si>
    <t>ПускЧРП 3ф</t>
  </si>
  <si>
    <t>1ф двигатели</t>
  </si>
  <si>
    <t>Работа при прер. Питания</t>
  </si>
  <si>
    <t>Доп. комплектация</t>
  </si>
  <si>
    <t>6-7</t>
  </si>
  <si>
    <t>8</t>
  </si>
  <si>
    <t>9</t>
  </si>
  <si>
    <t>10-11</t>
  </si>
  <si>
    <t>12-14</t>
  </si>
  <si>
    <t>11-14</t>
  </si>
  <si>
    <t>15</t>
  </si>
  <si>
    <t>16-23</t>
  </si>
  <si>
    <t>1А 1п.</t>
  </si>
  <si>
    <t>2А 1п.</t>
  </si>
  <si>
    <t>4А 1п.</t>
  </si>
  <si>
    <t>Курс евро к бел.руб</t>
  </si>
  <si>
    <t>Коэффициент для материалов</t>
  </si>
  <si>
    <t>Коэффициент для доп. комплектации</t>
  </si>
  <si>
    <t>Коэф. для материалов</t>
  </si>
  <si>
    <t>Коэф. для доп. комплектации</t>
  </si>
  <si>
    <t>Значение (по параметрам)</t>
  </si>
  <si>
    <t>Маркировка шкафа (ввод по параметрам)</t>
  </si>
  <si>
    <t>Маркировка шкафа (ввод по маркировке)</t>
  </si>
  <si>
    <t>410х300х155</t>
  </si>
  <si>
    <t>Мощность</t>
  </si>
  <si>
    <t>кВт</t>
  </si>
  <si>
    <t>Минимальный набор КИП</t>
  </si>
  <si>
    <t>Д2</t>
  </si>
  <si>
    <t>Максимальный набор КИП</t>
  </si>
  <si>
    <t>Д0</t>
  </si>
  <si>
    <t>Д1</t>
  </si>
  <si>
    <t>Реле перепада давления фильтра</t>
  </si>
  <si>
    <t>Ф160</t>
  </si>
  <si>
    <t>Ф161</t>
  </si>
  <si>
    <t>Ф162</t>
  </si>
  <si>
    <t>Ф163</t>
  </si>
  <si>
    <t>Ф170</t>
  </si>
  <si>
    <t>Ф171</t>
  </si>
  <si>
    <t>Ф172</t>
  </si>
  <si>
    <t>Ф173</t>
  </si>
  <si>
    <t>Реле перепада давления вентилятора</t>
  </si>
  <si>
    <t>0_1_2</t>
  </si>
  <si>
    <t>Количество, шт.</t>
  </si>
  <si>
    <t>№ Ф</t>
  </si>
  <si>
    <t>№ Д</t>
  </si>
  <si>
    <t>PDS Ф</t>
  </si>
  <si>
    <t>PDS В</t>
  </si>
  <si>
    <t>ВЫБРАНО</t>
  </si>
  <si>
    <t>Стоимость по табл.</t>
  </si>
  <si>
    <t>Стоим. ИТОГО</t>
  </si>
  <si>
    <t>Переключатель 3 пол.</t>
  </si>
  <si>
    <t>ПЕРЕКЛ_3пол</t>
  </si>
  <si>
    <t>1NO+1NC+1NO</t>
  </si>
  <si>
    <t>Цена, руб РБ</t>
  </si>
  <si>
    <t>руб РБ, без НДС</t>
  </si>
  <si>
    <t>Стоимость материалов,руб РБ, без НДС</t>
  </si>
  <si>
    <t>Курс руб РФ</t>
  </si>
  <si>
    <t>КУРС руб. РБ к рос.руб.</t>
  </si>
  <si>
    <t>рф</t>
  </si>
  <si>
    <t>рб</t>
  </si>
  <si>
    <t>Тип пуска вентилятора</t>
  </si>
  <si>
    <t>Электропитание насоса ТО</t>
  </si>
  <si>
    <t>Ток электродвигателя вентилятора, А</t>
  </si>
  <si>
    <t>Индекс ЭК</t>
  </si>
  <si>
    <t>ТО</t>
  </si>
  <si>
    <t>ЭК</t>
  </si>
  <si>
    <t>КР</t>
  </si>
  <si>
    <t>ХО</t>
  </si>
  <si>
    <t>ФО</t>
  </si>
  <si>
    <t>СУ</t>
  </si>
  <si>
    <t>ПУ</t>
  </si>
  <si>
    <t>Ф104</t>
  </si>
  <si>
    <t>Ф122</t>
  </si>
  <si>
    <t>Ф123</t>
  </si>
  <si>
    <t>Ф124</t>
  </si>
  <si>
    <t>Ф134</t>
  </si>
  <si>
    <t>Ф152</t>
  </si>
  <si>
    <t>Ф153</t>
  </si>
  <si>
    <t>ЭК индекс</t>
  </si>
  <si>
    <t>А1Н00075</t>
  </si>
  <si>
    <t>Вентилятор</t>
  </si>
  <si>
    <t>Насос ТО</t>
  </si>
  <si>
    <t>Тип нагрева</t>
  </si>
  <si>
    <t>ТО/ЭК</t>
  </si>
  <si>
    <t>33</t>
  </si>
  <si>
    <t>25-32</t>
  </si>
  <si>
    <t>Жидкостной охладитель</t>
  </si>
  <si>
    <t>Фреоновый охладитель</t>
  </si>
  <si>
    <t>Сотовый увлажнитель</t>
  </si>
  <si>
    <t>Паровой увлажнитель</t>
  </si>
  <si>
    <t>Да</t>
  </si>
  <si>
    <t>Прямой пуск вентилятора, ЕС-дв</t>
  </si>
  <si>
    <t>Прямой пуск / ЕС мотор</t>
  </si>
  <si>
    <t>Клапан рециркуряции возд.</t>
  </si>
  <si>
    <t>Клапана рецируляции (по воздуху)</t>
  </si>
  <si>
    <t>D29</t>
  </si>
  <si>
    <t>D46</t>
  </si>
  <si>
    <t>D34</t>
  </si>
  <si>
    <t>D51</t>
  </si>
  <si>
    <t>D56</t>
  </si>
  <si>
    <t>D61</t>
  </si>
  <si>
    <t>D66</t>
  </si>
  <si>
    <t xml:space="preserve">ВЕРСА </t>
  </si>
  <si>
    <t>Работа системы при прерывании питания</t>
  </si>
  <si>
    <t>пр пуск ЕС</t>
  </si>
  <si>
    <t>ТО или Эк</t>
  </si>
  <si>
    <t>Тип корпуса</t>
  </si>
  <si>
    <t>Пуск прямой 3-фазный вентилятор</t>
  </si>
  <si>
    <t>ПускЧРП 3-фазный вентилятор</t>
  </si>
  <si>
    <t>1-фазные двигатели вентилятор</t>
  </si>
  <si>
    <t>1-фазные двигатели насос ТО</t>
  </si>
  <si>
    <t>Пуск прямой 3-фазный насос ТО</t>
  </si>
  <si>
    <t>10А 1п.</t>
  </si>
  <si>
    <t>ВЕНТИЛЯТОР</t>
  </si>
  <si>
    <t>3Ф</t>
  </si>
  <si>
    <t>1Ф</t>
  </si>
  <si>
    <t>Клапан рециркуляции</t>
  </si>
  <si>
    <t>Жидкостной охладитель ХО</t>
  </si>
  <si>
    <t>Фреоновый охладитель ФО</t>
  </si>
  <si>
    <t>Сотовый увлужнитель СУ</t>
  </si>
  <si>
    <t>Паровой увлжнитель ПУ</t>
  </si>
  <si>
    <t>Прямой пуск / ЕС</t>
  </si>
  <si>
    <t>Проверьте введенные данные</t>
  </si>
  <si>
    <t>Ввод 1ф и 3ф ТО</t>
  </si>
  <si>
    <t>Нет схемы Ф___</t>
  </si>
  <si>
    <t>Номер Функциональной схемы</t>
  </si>
  <si>
    <t>Напряжение питания вентилятора</t>
  </si>
  <si>
    <t>Введите значение тока вентилятора от 0,25 до 7,2А</t>
  </si>
  <si>
    <t>Введите значение тока вентилятора от 0,6 до 69,9А</t>
  </si>
  <si>
    <t>Сообщения</t>
  </si>
  <si>
    <t>Вывод на главную</t>
  </si>
  <si>
    <t>Ток 3ф вент</t>
  </si>
  <si>
    <t>Ток 1ф вент</t>
  </si>
  <si>
    <t>не провер</t>
  </si>
  <si>
    <t>ин. Вент.</t>
  </si>
  <si>
    <t>Проверка ввод-фазность вентил.</t>
  </si>
  <si>
    <t>по маркировке</t>
  </si>
  <si>
    <t>Проверка маркировки</t>
  </si>
  <si>
    <t>3ф ЧРП / 1ф Рег Об</t>
  </si>
  <si>
    <t>3ф, 1ф  Пр Пуск / ЕС</t>
  </si>
  <si>
    <t>34-41</t>
  </si>
  <si>
    <t>ХХХХХХХХ</t>
  </si>
  <si>
    <t>Пр пуск</t>
  </si>
  <si>
    <t>3ф-0 / 1ф-1</t>
  </si>
  <si>
    <t>3ф / 1ф</t>
  </si>
  <si>
    <t>ЧРП / рег об</t>
  </si>
  <si>
    <t>Индексы</t>
  </si>
  <si>
    <t xml:space="preserve">Ф___ схемы </t>
  </si>
  <si>
    <t>ЧРП / рег оборотов</t>
  </si>
  <si>
    <t>ЧРП</t>
  </si>
  <si>
    <t>Пр. пуск / ЕС</t>
  </si>
  <si>
    <t>тип пуска</t>
  </si>
  <si>
    <t>Функц схема</t>
  </si>
  <si>
    <t>на главную</t>
  </si>
  <si>
    <t>ТО - 1/ ЭК - 2</t>
  </si>
  <si>
    <t>Ввод питания</t>
  </si>
  <si>
    <t>ФС_ТО</t>
  </si>
  <si>
    <t>ФС_ЭК</t>
  </si>
  <si>
    <t>ФС_СУ</t>
  </si>
  <si>
    <t>ввод , 3ф-0 / 1ф-1</t>
  </si>
  <si>
    <t>Формула для проверки данных</t>
  </si>
  <si>
    <t>В</t>
  </si>
  <si>
    <t>ФС</t>
  </si>
  <si>
    <t>1ф/3ф</t>
  </si>
  <si>
    <t>ток, А</t>
  </si>
  <si>
    <t>питание, ф</t>
  </si>
  <si>
    <t>Питание насоса ТО</t>
  </si>
  <si>
    <t>Питание насоса СУ</t>
  </si>
  <si>
    <t>Ток насоса ТО, А</t>
  </si>
  <si>
    <t>Ток насоса СУ, А</t>
  </si>
  <si>
    <t>43-44</t>
  </si>
  <si>
    <t>44</t>
  </si>
  <si>
    <t>45</t>
  </si>
  <si>
    <t>46</t>
  </si>
  <si>
    <t>НАСОС ТО</t>
  </si>
  <si>
    <t>НАСОС СУ</t>
  </si>
  <si>
    <t>1-фазные двигатели насос СУ</t>
  </si>
  <si>
    <t>Пуск прямой 3-фазный насос СУ</t>
  </si>
  <si>
    <t>Насос СУ</t>
  </si>
  <si>
    <t>Индекс ТО/ЭК</t>
  </si>
  <si>
    <t>Индекс СУ ДА/НЕТ</t>
  </si>
  <si>
    <t>Дополнительная комплектация Д0-Д2</t>
  </si>
  <si>
    <t>Выключатель-разъединитель</t>
  </si>
  <si>
    <t>Насос ТО 1 ф</t>
  </si>
  <si>
    <t>Насос ТО 3 ф</t>
  </si>
  <si>
    <t>Насос СУ 3 ф</t>
  </si>
  <si>
    <t>Термостат (Защита от замораживания по воздуху)</t>
  </si>
  <si>
    <t>Привод клапана ТО</t>
  </si>
  <si>
    <t>Для 1ф</t>
  </si>
  <si>
    <t>Для 3ф</t>
  </si>
  <si>
    <t>Суммарный номинальный ток, А</t>
  </si>
  <si>
    <t>Ввод 1ф, 3ф (1ф-1, 3ф-0)</t>
  </si>
  <si>
    <t>Выключатель разъединитель</t>
  </si>
  <si>
    <t>Выключатель разъединитель 3P/25A</t>
  </si>
  <si>
    <t>Выключатель разъединитель 3P/40A</t>
  </si>
  <si>
    <t>Выключатель разъединитель 3P/63A</t>
  </si>
  <si>
    <t>Выключатель разъединитель 3P/80A</t>
  </si>
  <si>
    <t>Выключатель разъединитель 3P/100A</t>
  </si>
  <si>
    <t>Выключатель разъединитель 3P/125A</t>
  </si>
  <si>
    <t>3P/25A</t>
  </si>
  <si>
    <t>3P/40A</t>
  </si>
  <si>
    <t>3P/63A</t>
  </si>
  <si>
    <t>3P/80A</t>
  </si>
  <si>
    <t>3P/100A</t>
  </si>
  <si>
    <t>3P/125A</t>
  </si>
  <si>
    <t>25A</t>
  </si>
  <si>
    <t>40A</t>
  </si>
  <si>
    <t>63A</t>
  </si>
  <si>
    <t>80A</t>
  </si>
  <si>
    <t>100A</t>
  </si>
  <si>
    <t>125A</t>
  </si>
  <si>
    <t>ИТОГО по выбору Конструктор/ПЭО</t>
  </si>
  <si>
    <t>3P_25A</t>
  </si>
  <si>
    <t>3P_40A</t>
  </si>
  <si>
    <t>3P_63A</t>
  </si>
  <si>
    <t>3P_80A</t>
  </si>
  <si>
    <t>3P_100A</t>
  </si>
  <si>
    <t>3P_125A</t>
  </si>
  <si>
    <t>Выкл.</t>
  </si>
  <si>
    <t>Датчик температуры обратного теплоносителя</t>
  </si>
  <si>
    <t>ХО - жидкостное охлаждение (AO)</t>
  </si>
  <si>
    <t>ФО - фреоновое охлаждение (DI, DO)</t>
  </si>
  <si>
    <t>Насос СУ 1 ф Сотовый увлажнитель</t>
  </si>
  <si>
    <t>ПУ - паровой увлажнитель (DI, DO)</t>
  </si>
  <si>
    <t>Датчики</t>
  </si>
  <si>
    <t>Датчик Температуры наружный</t>
  </si>
  <si>
    <t>Датчик Температуры канальный</t>
  </si>
  <si>
    <t>Датчик Температуры настенный</t>
  </si>
  <si>
    <t>Датчик влажности</t>
  </si>
  <si>
    <t>Прямой пуск (учтены клеммы подключения)</t>
  </si>
  <si>
    <t>Прямой пуск, ЕС (учтены клеммы подключения)</t>
  </si>
  <si>
    <t>Управление электронагревателем</t>
  </si>
  <si>
    <t>Электропитание насоса СУ</t>
  </si>
  <si>
    <t>Жидкостное охлаждение ХО</t>
  </si>
  <si>
    <t>Сотовый (форсуночный) увлажнитель СУ (ФУ)</t>
  </si>
  <si>
    <t>Паровой увлажнитель ПУ</t>
  </si>
  <si>
    <t>ТО / ЭК</t>
  </si>
  <si>
    <t>Для ТО</t>
  </si>
  <si>
    <t>Для ЭК</t>
  </si>
  <si>
    <t>ИТОГ ТО</t>
  </si>
  <si>
    <t>ИТОГ Эк</t>
  </si>
  <si>
    <t>Эк</t>
  </si>
  <si>
    <t>Ток 3ф ТО</t>
  </si>
  <si>
    <t>Ток 1ф ТО</t>
  </si>
  <si>
    <t>Для вентиляторов</t>
  </si>
  <si>
    <t>Ток 3ф СУ</t>
  </si>
  <si>
    <t>Ток 1ф СУ</t>
  </si>
  <si>
    <t>Введите значение тока насоса от 0,25 до 7,2А</t>
  </si>
  <si>
    <t>Введите значение тока насоса от 0,6 до 6,2А</t>
  </si>
  <si>
    <t>Питание насоса ТО проверка 1ф/3ф</t>
  </si>
  <si>
    <t>Питание насоса СУ проверка 1ф/3ф</t>
  </si>
  <si>
    <t xml:space="preserve">Проверьте питание </t>
  </si>
  <si>
    <t>Для насоса ТО и СУ</t>
  </si>
  <si>
    <t>Контроллерное оборудование</t>
  </si>
  <si>
    <t>Контроллер программируемый ПР200-220.4.2.0</t>
  </si>
  <si>
    <t>ПР200-220.4.2.0</t>
  </si>
  <si>
    <t>ПР200</t>
  </si>
  <si>
    <t>ПУ-3</t>
  </si>
  <si>
    <t>Внешнее управление</t>
  </si>
  <si>
    <t>Пожар</t>
  </si>
  <si>
    <t>Термоконтакт вентилятора</t>
  </si>
  <si>
    <t>Авария С.К.</t>
  </si>
  <si>
    <t>Пуск С.К.</t>
  </si>
  <si>
    <t>Электропитание насоса ТО / Ток, А</t>
  </si>
  <si>
    <t>Электропитание насоса СУ / Ток, А</t>
  </si>
  <si>
    <t>Стоимость шкафа, 
руб. РФ без НДС</t>
  </si>
  <si>
    <t>амортизация</t>
  </si>
  <si>
    <t>рентабельность</t>
  </si>
  <si>
    <t>наценка филиала</t>
  </si>
  <si>
    <t>ИТОГО СТОИМОСТЬ руб РФ без НДС округление</t>
  </si>
  <si>
    <t>НДС 20%</t>
  </si>
  <si>
    <t>ИТОГО СТОИМОСТЬ руб РФ c НДС округление</t>
  </si>
  <si>
    <t>евро, без НДС</t>
  </si>
  <si>
    <t>ДТС405-Pt1000.В2.320</t>
  </si>
  <si>
    <t>Канальный датчик температуры воздуха с комплектом монтажных частей (PT1000, IP54, -60…+85°C, 2-ух проводной)</t>
  </si>
  <si>
    <t>Настенный датчик температуры воздуха с комплектом монтажных частей (PT1000, IP65, -50…+100°C, 2-ух проводной)</t>
  </si>
  <si>
    <t>ДТС125Л-Pt1000.В2.60</t>
  </si>
  <si>
    <t>Накладной датчик температуры с крепежным хомутом (PT1000, IP54, -64…+250°C, 2-ух проводной)</t>
  </si>
  <si>
    <t>ДТС224Э1-PT1000.В2.43/2</t>
  </si>
  <si>
    <t>Капиллярный термостат с комплектом монтажных частей (12М, IP65, -35…+65°C)</t>
  </si>
  <si>
    <t>Панель управления</t>
  </si>
  <si>
    <t>руб РФ, без НДС</t>
  </si>
  <si>
    <t>Курс ЕВРО к РОС. РУБ</t>
  </si>
  <si>
    <t>ПУ 3</t>
  </si>
  <si>
    <t>Стоимость доп. комплектции, руб РФ, без НДС</t>
  </si>
  <si>
    <t>Стоимость шкафа  с коэффициентом руб. РФ, без НДС</t>
  </si>
  <si>
    <t>Стоимость шкафа, 
руб. РФ c НДС</t>
  </si>
  <si>
    <t>Маркировка шкафа (ввод шифра)</t>
  </si>
  <si>
    <t>Обозначение (3)</t>
  </si>
  <si>
    <t>обозначение</t>
  </si>
  <si>
    <t>Длина</t>
  </si>
  <si>
    <t>Обозн</t>
  </si>
  <si>
    <t>Статус Обозн</t>
  </si>
  <si>
    <t>Предварит. ИТОГ</t>
  </si>
  <si>
    <t>Для информации</t>
  </si>
  <si>
    <t>Для расчета</t>
  </si>
  <si>
    <t>Индекс</t>
  </si>
  <si>
    <t>Результат ИТОГО Обозначение</t>
  </si>
  <si>
    <t>Вентилятор ПРЯМОЙ ПУСК</t>
  </si>
  <si>
    <t>Вентилятор ЧРП</t>
  </si>
  <si>
    <t>Питание 3 фазы (3Р/N/PE) Вентилятор</t>
  </si>
  <si>
    <t>Частотный преобразователь/регулятор оборотов  (учтены клеммы подключения) Вентилятор</t>
  </si>
  <si>
    <t>Питание 1 фаза (1Р/N/PE) Вентилятор</t>
  </si>
  <si>
    <t>ТО 1ф</t>
  </si>
  <si>
    <t>ТО3ф</t>
  </si>
  <si>
    <t>СУ 1ф</t>
  </si>
  <si>
    <t>СУ 3ф</t>
  </si>
  <si>
    <t>Реле перепада фильтра</t>
  </si>
  <si>
    <t>Реле перепада вентилятор</t>
  </si>
  <si>
    <t>Контроллер</t>
  </si>
  <si>
    <t>Общее для всех</t>
  </si>
  <si>
    <t>Для маркировки ТО/ЭК</t>
  </si>
  <si>
    <t>Для ТО - индекс</t>
  </si>
  <si>
    <t>Для ЭК - индекс</t>
  </si>
  <si>
    <t>Индекс СУ</t>
  </si>
  <si>
    <t>Индекс ТО для КОНСТРУКТОР</t>
  </si>
  <si>
    <t>AO</t>
  </si>
  <si>
    <t>DO</t>
  </si>
  <si>
    <t>DI</t>
  </si>
  <si>
    <t>32А 3п.</t>
  </si>
  <si>
    <t>100А 3п.</t>
  </si>
  <si>
    <t>125А 3п.</t>
  </si>
  <si>
    <t>Выключатель разъединитель 3P/160A</t>
  </si>
  <si>
    <t>160A</t>
  </si>
  <si>
    <t>3P/160A</t>
  </si>
  <si>
    <t>3P_160A</t>
  </si>
  <si>
    <t>габариты</t>
  </si>
  <si>
    <t>А3Р00010…А3Р00320</t>
  </si>
  <si>
    <t>Насос</t>
  </si>
  <si>
    <t>Термоконтакт</t>
  </si>
  <si>
    <t>Термостат</t>
  </si>
  <si>
    <t>Панель ПУ-3</t>
  </si>
  <si>
    <t>Реле фильтра</t>
  </si>
  <si>
    <t>Реле вентилятора</t>
  </si>
  <si>
    <t>Пуск вентилятора</t>
  </si>
  <si>
    <t>Клемма ввод</t>
  </si>
  <si>
    <t>насос</t>
  </si>
  <si>
    <t>Рециркуляция</t>
  </si>
  <si>
    <t>Датчики темп. 4шт.</t>
  </si>
  <si>
    <t>ширина</t>
  </si>
  <si>
    <t>Авария</t>
  </si>
  <si>
    <t>BNK 65-36-1</t>
  </si>
  <si>
    <t>BNK 65-54-1</t>
  </si>
  <si>
    <t>250 мм под клеммы</t>
  </si>
  <si>
    <t>шкаф</t>
  </si>
  <si>
    <t>начинка</t>
  </si>
  <si>
    <t>провод примерно</t>
  </si>
  <si>
    <t>500х700</t>
  </si>
  <si>
    <t>600х800</t>
  </si>
  <si>
    <t>01Э0150А</t>
  </si>
  <si>
    <t>02Э0300А</t>
  </si>
  <si>
    <t>03Э0450А</t>
  </si>
  <si>
    <t>04Э0900А</t>
  </si>
  <si>
    <t>Регулятор мощности KIPPRIBOR (ТТР - твердотельное реле)</t>
  </si>
  <si>
    <t>Регулятор мощности 230VAC/30A без радиатора</t>
  </si>
  <si>
    <t>Регулятор мощности 230VAC/45A без радиатора</t>
  </si>
  <si>
    <t>Регулятор мощности 230VAC/60A без радиатора</t>
  </si>
  <si>
    <t>Регулятор мощности 230VAC/90A без радиатора</t>
  </si>
  <si>
    <t>Регулятор мощности 230VAC/113A без радиатора</t>
  </si>
  <si>
    <t>BDH-15044.ZD3</t>
  </si>
  <si>
    <t>Регулятор мощности 230VAC/150A без радиатора</t>
  </si>
  <si>
    <t>BDH-20044.ZD3</t>
  </si>
  <si>
    <t>Регулятор мощности 230VAC/188A без радиатора</t>
  </si>
  <si>
    <t>BDH-25044.ZD3</t>
  </si>
  <si>
    <t>Радиатор</t>
  </si>
  <si>
    <t>Радиатор 144х67х50</t>
  </si>
  <si>
    <t>РТР061.1</t>
  </si>
  <si>
    <t>Радиатор 144х110х50</t>
  </si>
  <si>
    <t>РТР062.1</t>
  </si>
  <si>
    <t>Радиатор 180х125х50</t>
  </si>
  <si>
    <t>РТР063.1</t>
  </si>
  <si>
    <t>Радиатор 150х100х80</t>
  </si>
  <si>
    <t>РТР036</t>
  </si>
  <si>
    <t>Радиатор 150х125х135</t>
  </si>
  <si>
    <t>РТР038</t>
  </si>
  <si>
    <t>Радиатор 200х125х135</t>
  </si>
  <si>
    <t>РТР039</t>
  </si>
  <si>
    <t>Вентилятор 80х38 220VAC/2300 об/мин</t>
  </si>
  <si>
    <t>В_80_38</t>
  </si>
  <si>
    <t>Вентиляция шкафа</t>
  </si>
  <si>
    <t>Выключатель разъединитель 3P/250A</t>
  </si>
  <si>
    <t>250A</t>
  </si>
  <si>
    <t>3P/250A</t>
  </si>
  <si>
    <t>Количество,</t>
  </si>
  <si>
    <t>Наличие</t>
  </si>
  <si>
    <t>шт.</t>
  </si>
  <si>
    <t>Вводной раъединитель</t>
  </si>
  <si>
    <t>руб, без НДС</t>
  </si>
  <si>
    <t>Клемма РЕ</t>
  </si>
  <si>
    <t>Плавная ступень 1 (15 кВт)</t>
  </si>
  <si>
    <t>Плавная ступень 2 (30 кВт)</t>
  </si>
  <si>
    <t>Дискретная ступень 3</t>
  </si>
  <si>
    <t>Автоматический выключатель 3Р</t>
  </si>
  <si>
    <t>1ст</t>
  </si>
  <si>
    <t>2ст</t>
  </si>
  <si>
    <t>3ст</t>
  </si>
  <si>
    <t>6ст</t>
  </si>
  <si>
    <t>Вентиляция</t>
  </si>
  <si>
    <t>схема</t>
  </si>
  <si>
    <t>Плавная</t>
  </si>
  <si>
    <t>дискрентная</t>
  </si>
  <si>
    <t>Рубильник</t>
  </si>
  <si>
    <t>Общее</t>
  </si>
  <si>
    <t>Корпус</t>
  </si>
  <si>
    <t>А</t>
  </si>
  <si>
    <t>Тепловой расчет</t>
  </si>
  <si>
    <t>ТТВ</t>
  </si>
  <si>
    <t>Пускатель</t>
  </si>
  <si>
    <t>Плавная ступень 15 кВт</t>
  </si>
  <si>
    <t>Плавная ступень 30 кВт</t>
  </si>
  <si>
    <t>Дискретная ступень 15 кВт</t>
  </si>
  <si>
    <t>Вентилятор с фильтром KIPVENT-300.01.230, 21Вт, 95м3/час, 230VAC, 204x204мм, IP54</t>
  </si>
  <si>
    <t>Фильтр-решетка KIPVENT-300.01.300, 204x204мм, IP54</t>
  </si>
  <si>
    <t>KIPVENT-300.01.230</t>
  </si>
  <si>
    <t>KIPVENT-300.01.300</t>
  </si>
  <si>
    <t>Термостат в шкаф 7T.81.0.000.2303, 230VAC/10A/1NO 0…+60С (на охлаждение)</t>
  </si>
  <si>
    <t>7T.81.0.000.2303</t>
  </si>
  <si>
    <t>Предохранитель</t>
  </si>
  <si>
    <t>Предохранитель 5А компл.</t>
  </si>
  <si>
    <t>5А</t>
  </si>
  <si>
    <t>Руб РФ</t>
  </si>
  <si>
    <t xml:space="preserve">Курс </t>
  </si>
  <si>
    <t>Руб РБ</t>
  </si>
  <si>
    <t>Шкаф</t>
  </si>
  <si>
    <t>500х500х205</t>
  </si>
  <si>
    <t>Ш</t>
  </si>
  <si>
    <t>Г</t>
  </si>
  <si>
    <t>А=</t>
  </si>
  <si>
    <t>500х700х205</t>
  </si>
  <si>
    <t>600х800х300</t>
  </si>
  <si>
    <t>Шкаф металл. 700х500х205</t>
  </si>
  <si>
    <t>Шкаф металл. 800х600х250</t>
  </si>
  <si>
    <t>Шкаф металл. 1000х800х300</t>
  </si>
  <si>
    <t>Шкаф пласт. BNK 65-54-1</t>
  </si>
  <si>
    <t>560х408х153</t>
  </si>
  <si>
    <t>П_BNK 65-54-1</t>
  </si>
  <si>
    <t>700х500х200</t>
  </si>
  <si>
    <t>800х600х250</t>
  </si>
  <si>
    <t>1000х800х300</t>
  </si>
  <si>
    <t>М_700х500х200</t>
  </si>
  <si>
    <t>М_1000х800х300</t>
  </si>
  <si>
    <t>М_800х600х250</t>
  </si>
  <si>
    <t>Размножитель 175A</t>
  </si>
  <si>
    <t>Р_175А</t>
  </si>
  <si>
    <t>175А</t>
  </si>
  <si>
    <t>Размножитель</t>
  </si>
  <si>
    <t>Материалы стоимость</t>
  </si>
  <si>
    <t>Стоимость комплектующих с коэфф., руб РБ, без НДС</t>
  </si>
  <si>
    <t>ВЕРСА 410-Ф001-</t>
  </si>
  <si>
    <t>-Д0-М</t>
  </si>
  <si>
    <t>700х500х205</t>
  </si>
  <si>
    <t>А3Р00400…А3Р00700</t>
  </si>
  <si>
    <t>А3Р00010…А3Р00100</t>
  </si>
  <si>
    <t>А1Н00010…А1Н00075</t>
  </si>
  <si>
    <t>А3Н00040…А3Н00700</t>
  </si>
  <si>
    <t>А3Н00040…А3Н00100</t>
  </si>
  <si>
    <t>Выберите другой материал для корпуса шкафа</t>
  </si>
  <si>
    <t>Проверьте маркировку шкафа</t>
  </si>
  <si>
    <t>единицы</t>
  </si>
  <si>
    <t>по кол.</t>
  </si>
  <si>
    <t>КАТАЛОГ</t>
  </si>
  <si>
    <t>PDS фильтр</t>
  </si>
  <si>
    <t>Датчик-реле перепада воздуха с комплектом монтажных частей (IP65, -40…+85С, 30-300Ра)</t>
  </si>
  <si>
    <t>SR300</t>
  </si>
  <si>
    <t>PDS вентилятор</t>
  </si>
  <si>
    <t>ТЕ - канальный</t>
  </si>
  <si>
    <t>ТЕ - настенный</t>
  </si>
  <si>
    <t>ТЕ - накладной</t>
  </si>
  <si>
    <t>TS – капиллярный по воздуху</t>
  </si>
  <si>
    <t>UE – температуры и влажности</t>
  </si>
  <si>
    <t>THS-01</t>
  </si>
  <si>
    <t>РТС30-6</t>
  </si>
  <si>
    <t>Датчик влажности и температуры (IP20, -20…+70°C, 0-10В)</t>
  </si>
  <si>
    <t>Цены от Виталия</t>
  </si>
  <si>
    <t>12,07,2022</t>
  </si>
  <si>
    <t>Коэффициент для доп. компл.</t>
  </si>
  <si>
    <t>ЗАКУПКА</t>
  </si>
  <si>
    <t>ШСАУ ВЕРСА 2</t>
  </si>
  <si>
    <t>монт.0,75</t>
  </si>
  <si>
    <t>метраж из еплана</t>
  </si>
  <si>
    <t>Провод силовой</t>
  </si>
  <si>
    <t>ЦЕНА материалов</t>
  </si>
  <si>
    <t>НDH-4044.ZD3</t>
  </si>
  <si>
    <t>НDH-6044.ZD3</t>
  </si>
  <si>
    <t>НDH-8044.ZD3</t>
  </si>
  <si>
    <t>НDH-12044.ZD3</t>
  </si>
  <si>
    <t>сила25</t>
  </si>
  <si>
    <t xml:space="preserve">Трансформатор 230VAC / 12, 12, 24VAC </t>
  </si>
  <si>
    <t xml:space="preserve">230VAC /24VAC </t>
  </si>
  <si>
    <t>Л_М</t>
  </si>
  <si>
    <t>ВЕРСА2</t>
  </si>
  <si>
    <t>ВЕРСА4</t>
  </si>
  <si>
    <t>Стоимость, бел.руб</t>
  </si>
  <si>
    <t>Стоимость,бел.руб</t>
  </si>
  <si>
    <t>Маркировка  ШСАУ ВЕРСА 4</t>
  </si>
  <si>
    <t>Код комплектации, руб. РФ, без НДС</t>
  </si>
  <si>
    <t>ЦЕНЫ  15,07,2022</t>
  </si>
  <si>
    <t>Автоматический выключатель C 6/3</t>
  </si>
  <si>
    <t>3P 56.0-80.0A NS2-80</t>
  </si>
  <si>
    <t>3P 40.0-50.0A (поворотный) !</t>
  </si>
  <si>
    <t>Введите значение тока насоса (для 3ф) от 0,6 до 6,2А</t>
  </si>
  <si>
    <t>Введите значение тока насоса (для 1ф) от 0,25 до 7,2А</t>
  </si>
  <si>
    <t>Материалы для шкафа</t>
  </si>
  <si>
    <t>Короб 15х30</t>
  </si>
  <si>
    <t>К_15х30</t>
  </si>
  <si>
    <t>Короб 25х60</t>
  </si>
  <si>
    <t>К_25х60</t>
  </si>
  <si>
    <t>DIN-рейка 35х7,5</t>
  </si>
  <si>
    <t>DIN_р</t>
  </si>
  <si>
    <t>Шланг спиральный d-12</t>
  </si>
  <si>
    <t>шланг</t>
  </si>
  <si>
    <t>Короб 40х60</t>
  </si>
  <si>
    <t>К_40х60</t>
  </si>
  <si>
    <t>Стоимость доп. комплектации с коэфф., руб РФ, без НДС</t>
  </si>
  <si>
    <t>Плавная ступень 1 (1 кВт)</t>
  </si>
  <si>
    <t>Материалы</t>
  </si>
  <si>
    <t>Итого без НДС</t>
  </si>
  <si>
    <t>По схеме</t>
  </si>
  <si>
    <t>Без автоматов</t>
  </si>
  <si>
    <t>Без вводного</t>
  </si>
  <si>
    <t>Итого с НДС</t>
  </si>
  <si>
    <t>Ось</t>
  </si>
  <si>
    <t>Доп комплектация</t>
  </si>
  <si>
    <t>ТЕ
канальный</t>
  </si>
  <si>
    <t>ТЕ
настенный</t>
  </si>
  <si>
    <t>ТЕ по
жидкости</t>
  </si>
  <si>
    <t>TS по 
воздуху</t>
  </si>
  <si>
    <t>МЕ 
настенный</t>
  </si>
  <si>
    <t>ЧРП/
рег.обор</t>
  </si>
  <si>
    <t>Регулятор оборотов СРМ1-230В, 1А, IP20</t>
  </si>
  <si>
    <t>Регулятор оборотов СРМ2-230В, 2А, IP20</t>
  </si>
  <si>
    <t>Регулятор оборотов СРМ3-230В, 3А, IP20</t>
  </si>
  <si>
    <t>Регулятор оборотов СРМ7-230В, 7А, IP20</t>
  </si>
  <si>
    <t>РГ_1</t>
  </si>
  <si>
    <t>РГ_2</t>
  </si>
  <si>
    <t>РГ_3</t>
  </si>
  <si>
    <t>РГ_7</t>
  </si>
  <si>
    <t>Регулятор обор</t>
  </si>
  <si>
    <t>IVD401B43E</t>
  </si>
  <si>
    <t>IVD112B43E</t>
  </si>
  <si>
    <t>IVD222B43E</t>
  </si>
  <si>
    <t>IVD402B43E</t>
  </si>
  <si>
    <t>IVD552B43E</t>
  </si>
  <si>
    <t>IVD752B43E</t>
  </si>
  <si>
    <t>IVD113B43E</t>
  </si>
  <si>
    <t>IVD153B43E</t>
  </si>
  <si>
    <t>IVD183B43E</t>
  </si>
  <si>
    <t>IVD223B43E</t>
  </si>
  <si>
    <t>IVD303B43E</t>
  </si>
  <si>
    <t>IVD373B43E</t>
  </si>
  <si>
    <t>VF-51-PK75-0003-T4-E20-B-H</t>
  </si>
  <si>
    <t>VF-51-P1K5-0004-T4-E20-B-H</t>
  </si>
  <si>
    <t>VF-51-P2K2-0005-T4-E20-B-H</t>
  </si>
  <si>
    <t>VF-51-P4K0-0009-T4-E20-B-H</t>
  </si>
  <si>
    <t>VF-51-P5K5-0013-T4-E20-B-H</t>
  </si>
  <si>
    <t>VF-51-P7K5-0016-T4-E20-B-H</t>
  </si>
  <si>
    <t>VF-51-P11K-0025-T4-E20-B-H</t>
  </si>
  <si>
    <t>VF-51-P15K-0032-T4-E20-B-H</t>
  </si>
  <si>
    <t>VF-51-P18K-0038-T4-E20-B-H</t>
  </si>
  <si>
    <t>VF-51-P22K-0045-T4-E20-B-H</t>
  </si>
  <si>
    <t>ESQ-210-4T-0.7K</t>
  </si>
  <si>
    <t>ESQ-210-4T-1.5K</t>
  </si>
  <si>
    <t>ESQ-210-4T-22K</t>
  </si>
  <si>
    <t>ESQ-210-4T-2.2K</t>
  </si>
  <si>
    <t>ESQ-210-4T-4K</t>
  </si>
  <si>
    <t>ESQ-210-4T-5.5K</t>
  </si>
  <si>
    <t>ESQ-210-4T-7.5K</t>
  </si>
  <si>
    <t>ESQ-210-4T-11K</t>
  </si>
  <si>
    <t>ESQ-210-4T-15K</t>
  </si>
  <si>
    <t>ESQ-210-4T-18.5K</t>
  </si>
  <si>
    <t>INNOVERT</t>
  </si>
  <si>
    <t>VEDAVFD</t>
  </si>
  <si>
    <t>ESQ</t>
  </si>
  <si>
    <t>OPTIMUS DRIVE</t>
  </si>
  <si>
    <t>AD800B-4TD75H/1D5L-PU0BCU0B</t>
  </si>
  <si>
    <t>AD800B-4T1D75H/2D2L-PU0BCU0B</t>
  </si>
  <si>
    <t>AD800B-4T2D2H/4D0L-PU0BCU0B</t>
  </si>
  <si>
    <t>AD800B-4T4D0H/5D5L-PU0BCU0B</t>
  </si>
  <si>
    <t>AD800B-4T5D5H/7D5L-PU0BCU0B</t>
  </si>
  <si>
    <t>AD800B-4T7D5H/011L-PU0BCU0B</t>
  </si>
  <si>
    <t>AD800B-4T011H/015L-PU0BCU0B</t>
  </si>
  <si>
    <t>AD800B-4T015H/018DL-PU0BCU0B</t>
  </si>
  <si>
    <t>AD800B-4T018DH/022L-PU0BCU0B</t>
  </si>
  <si>
    <t>AD800B-4T022H/030L-PU0BCU0B</t>
  </si>
  <si>
    <t>75 (80)</t>
  </si>
  <si>
    <t>RI20-P-P1K5-4</t>
  </si>
  <si>
    <t>RI20-P-P2K2-4</t>
  </si>
  <si>
    <t>RI20-P-P4K0-4</t>
  </si>
  <si>
    <t>RI20-P-P5K5-4</t>
  </si>
  <si>
    <t>RI20-P-P7K5-4</t>
  </si>
  <si>
    <t>RI20-P-P11K0-4</t>
  </si>
  <si>
    <t>RI20-P-P15K0-4</t>
  </si>
  <si>
    <t>RI20-P-P18K5-4</t>
  </si>
  <si>
    <t>RI20-P-P22K0-4</t>
  </si>
  <si>
    <t>RI20-P-P30K0-4</t>
  </si>
  <si>
    <t>РУСЭЛКОМ</t>
  </si>
  <si>
    <t>Производитель</t>
  </si>
  <si>
    <t>Мощность,
кВт</t>
  </si>
  <si>
    <t>Ток
входной, А</t>
  </si>
  <si>
    <t>Ток
выходной, А</t>
  </si>
  <si>
    <t>до 3,9</t>
  </si>
  <si>
    <t>4,0 – 5,9</t>
  </si>
  <si>
    <t>6,0 – 9,9</t>
  </si>
  <si>
    <t>10,0-15,9</t>
  </si>
  <si>
    <t>16,0-19,9</t>
  </si>
  <si>
    <t>20,0-39,9</t>
  </si>
  <si>
    <t>40,0-62,9</t>
  </si>
  <si>
    <t>63,0-69,9</t>
  </si>
  <si>
    <t>Номинальный ток автоматического выключателя, А</t>
  </si>
  <si>
    <t>Каталог ВЕРСА 200</t>
  </si>
  <si>
    <t>Номинальный 
ток эл/дв, А</t>
  </si>
  <si>
    <t>Характеристика частотных преобразователей</t>
  </si>
  <si>
    <t>IVD751B43E</t>
  </si>
  <si>
    <t>IPD401P43B</t>
  </si>
  <si>
    <t>IPD751P43B</t>
  </si>
  <si>
    <t>IPD112P43B</t>
  </si>
  <si>
    <t>IPD152P43B</t>
  </si>
  <si>
    <t>IPD222P43B</t>
  </si>
  <si>
    <t>IVD152B43E</t>
  </si>
  <si>
    <t>IVD302B43E</t>
  </si>
  <si>
    <t>IPD302P43B</t>
  </si>
  <si>
    <t>IPD402P43B</t>
  </si>
  <si>
    <t>IPD552P43B</t>
  </si>
  <si>
    <t>IPD752P43B</t>
  </si>
  <si>
    <t>IPD113P43B</t>
  </si>
  <si>
    <t>IPD153P43B</t>
  </si>
  <si>
    <t>IPD183P43B</t>
  </si>
  <si>
    <t>IPD223P43B</t>
  </si>
  <si>
    <t>IPD303P43B</t>
  </si>
  <si>
    <t>IPD373P43B</t>
  </si>
  <si>
    <t>ИТОГО мат.</t>
  </si>
  <si>
    <t>Без вводного выключателя</t>
  </si>
  <si>
    <t>Ввод клемма</t>
  </si>
  <si>
    <t>Стоимость материалов и доп. комплектации с учетом коэффициентов и СТАТУСА без НДС</t>
  </si>
  <si>
    <t>Стоимость материалов и доп. комплектации с учетом коэффициентов, руб РФ без НДС без округления</t>
  </si>
  <si>
    <t>Стоимость материалов и доп. комплектации с учетом коэффициентов, руб РФ без НДС с округлением</t>
  </si>
  <si>
    <t>Значение (по маркировке)*</t>
  </si>
  <si>
    <t>06Э0900А</t>
  </si>
  <si>
    <t>v.1.1</t>
  </si>
  <si>
    <t>ВЕРСА 210-Ф120-А3Р00025-06Э0900А-ХХХХХХХХ-Д0-М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</si>
</sst>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000"/>
  </numFmts>
  <fonts count="4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u/>
      <sz val="11"/>
      <color theme="1"/>
      <name val="Calibri"/>
      <family val="2"/>
      <charset val="204"/>
      <scheme val="minor"/>
    </font>
    <font>
      <sz val="12"/>
      <color rgb="FF393939"/>
      <name val="Segoe UI"/>
      <family val="2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i/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7" fillId="0" borderId="0"/>
  </cellStyleXfs>
  <cellXfs count="77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6" borderId="0" xfId="0" applyFont="1" applyFill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5" fillId="0" borderId="0" xfId="0" applyFont="1"/>
    <xf numFmtId="0" fontId="0" fillId="5" borderId="2" xfId="0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0" fillId="6" borderId="0" xfId="0" applyFill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1" xfId="0" applyBorder="1"/>
    <xf numFmtId="0" fontId="0" fillId="0" borderId="21" xfId="0" applyBorder="1" applyAlignment="1">
      <alignment horizontal="center" vertical="top" wrapText="1"/>
    </xf>
    <xf numFmtId="0" fontId="0" fillId="0" borderId="16" xfId="0" applyBorder="1" applyAlignment="1">
      <alignment horizontal="left" vertical="top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2" borderId="16" xfId="0" applyFill="1" applyBorder="1" applyAlignment="1">
      <alignment horizontal="left" vertical="center"/>
    </xf>
    <xf numFmtId="0" fontId="0" fillId="2" borderId="19" xfId="0" applyFill="1" applyBorder="1"/>
    <xf numFmtId="0" fontId="0" fillId="2" borderId="1" xfId="0" applyFill="1" applyBorder="1"/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6" fillId="7" borderId="11" xfId="0" applyFont="1" applyFill="1" applyBorder="1" applyAlignment="1">
      <alignment vertical="top" wrapText="1"/>
    </xf>
    <xf numFmtId="0" fontId="0" fillId="0" borderId="27" xfId="0" applyBorder="1" applyAlignment="1">
      <alignment horizontal="center"/>
    </xf>
    <xf numFmtId="0" fontId="0" fillId="3" borderId="17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17" xfId="0" applyFill="1" applyBorder="1" applyAlignment="1">
      <alignment horizontal="center"/>
    </xf>
    <xf numFmtId="0" fontId="0" fillId="3" borderId="9" xfId="0" applyFill="1" applyBorder="1"/>
    <xf numFmtId="0" fontId="0" fillId="3" borderId="26" xfId="0" applyFill="1" applyBorder="1"/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/>
    <xf numFmtId="0" fontId="0" fillId="0" borderId="14" xfId="0" applyBorder="1"/>
    <xf numFmtId="0" fontId="10" fillId="9" borderId="15" xfId="0" applyFont="1" applyFill="1" applyBorder="1" applyAlignment="1">
      <alignment horizontal="center"/>
    </xf>
    <xf numFmtId="0" fontId="2" fillId="0" borderId="0" xfId="0" applyFont="1"/>
    <xf numFmtId="0" fontId="0" fillId="0" borderId="17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/>
    <xf numFmtId="0" fontId="0" fillId="2" borderId="2" xfId="0" applyFill="1" applyBorder="1"/>
    <xf numFmtId="0" fontId="8" fillId="3" borderId="24" xfId="0" applyFont="1" applyFill="1" applyBorder="1"/>
    <xf numFmtId="0" fontId="8" fillId="3" borderId="20" xfId="0" applyFont="1" applyFill="1" applyBorder="1"/>
    <xf numFmtId="0" fontId="8" fillId="3" borderId="24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9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7" xfId="0" applyBorder="1"/>
    <xf numFmtId="0" fontId="9" fillId="8" borderId="16" xfId="0" applyFont="1" applyFill="1" applyBorder="1"/>
    <xf numFmtId="0" fontId="9" fillId="8" borderId="19" xfId="0" applyFont="1" applyFill="1" applyBorder="1"/>
    <xf numFmtId="0" fontId="9" fillId="8" borderId="19" xfId="0" applyFont="1" applyFill="1" applyBorder="1" applyAlignment="1">
      <alignment horizontal="center"/>
    </xf>
    <xf numFmtId="0" fontId="0" fillId="8" borderId="19" xfId="0" applyFill="1" applyBorder="1"/>
    <xf numFmtId="0" fontId="9" fillId="0" borderId="17" xfId="0" applyFont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6" borderId="2" xfId="0" applyFont="1" applyFill="1" applyBorder="1"/>
    <xf numFmtId="0" fontId="6" fillId="7" borderId="15" xfId="0" applyFont="1" applyFill="1" applyBorder="1" applyAlignment="1">
      <alignment horizontal="center" vertical="top" wrapText="1"/>
    </xf>
    <xf numFmtId="0" fontId="6" fillId="5" borderId="11" xfId="0" applyFont="1" applyFill="1" applyBorder="1" applyAlignment="1">
      <alignment vertical="top" wrapText="1"/>
    </xf>
    <xf numFmtId="0" fontId="2" fillId="5" borderId="1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" fillId="2" borderId="2" xfId="0" applyFont="1" applyFill="1" applyBorder="1"/>
    <xf numFmtId="0" fontId="2" fillId="8" borderId="2" xfId="0" applyFont="1" applyFill="1" applyBorder="1"/>
    <xf numFmtId="0" fontId="0" fillId="3" borderId="26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6" borderId="17" xfId="0" applyFill="1" applyBorder="1" applyAlignment="1">
      <alignment horizontal="center"/>
    </xf>
    <xf numFmtId="0" fontId="2" fillId="6" borderId="17" xfId="0" applyFont="1" applyFill="1" applyBorder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8" fillId="0" borderId="17" xfId="0" applyFont="1" applyBorder="1" applyAlignment="1">
      <alignment horizontal="center"/>
    </xf>
    <xf numFmtId="0" fontId="0" fillId="9" borderId="0" xfId="0" applyFill="1"/>
    <xf numFmtId="0" fontId="2" fillId="6" borderId="35" xfId="0" applyFont="1" applyFill="1" applyBorder="1" applyAlignment="1">
      <alignment horizontal="left"/>
    </xf>
    <xf numFmtId="0" fontId="2" fillId="6" borderId="36" xfId="0" applyFont="1" applyFill="1" applyBorder="1" applyAlignment="1">
      <alignment horizontal="left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19" fillId="0" borderId="2" xfId="0" applyFont="1" applyBorder="1"/>
    <xf numFmtId="2" fontId="0" fillId="0" borderId="17" xfId="0" applyNumberForma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13" fillId="6" borderId="2" xfId="0" applyFont="1" applyFill="1" applyBorder="1"/>
    <xf numFmtId="0" fontId="17" fillId="6" borderId="2" xfId="0" applyFont="1" applyFill="1" applyBorder="1" applyAlignment="1">
      <alignment horizontal="center"/>
    </xf>
    <xf numFmtId="0" fontId="13" fillId="0" borderId="2" xfId="0" applyFont="1" applyBorder="1"/>
    <xf numFmtId="0" fontId="17" fillId="0" borderId="2" xfId="0" applyFont="1" applyBorder="1" applyAlignment="1">
      <alignment horizontal="center"/>
    </xf>
    <xf numFmtId="2" fontId="17" fillId="0" borderId="2" xfId="0" applyNumberFormat="1" applyFont="1" applyBorder="1" applyAlignment="1">
      <alignment horizontal="center"/>
    </xf>
    <xf numFmtId="2" fontId="13" fillId="6" borderId="2" xfId="0" applyNumberFormat="1" applyFont="1" applyFill="1" applyBorder="1" applyAlignment="1">
      <alignment horizontal="center"/>
    </xf>
    <xf numFmtId="2" fontId="13" fillId="8" borderId="2" xfId="0" applyNumberFormat="1" applyFont="1" applyFill="1" applyBorder="1" applyAlignment="1">
      <alignment horizontal="center"/>
    </xf>
    <xf numFmtId="0" fontId="13" fillId="6" borderId="27" xfId="0" applyFont="1" applyFill="1" applyBorder="1"/>
    <xf numFmtId="0" fontId="17" fillId="6" borderId="39" xfId="0" applyFont="1" applyFill="1" applyBorder="1" applyAlignment="1">
      <alignment horizontal="center"/>
    </xf>
    <xf numFmtId="0" fontId="17" fillId="6" borderId="40" xfId="0" applyFont="1" applyFill="1" applyBorder="1" applyAlignment="1">
      <alignment horizontal="center"/>
    </xf>
    <xf numFmtId="0" fontId="13" fillId="8" borderId="27" xfId="0" applyFont="1" applyFill="1" applyBorder="1"/>
    <xf numFmtId="0" fontId="17" fillId="8" borderId="39" xfId="0" applyFont="1" applyFill="1" applyBorder="1" applyAlignment="1">
      <alignment horizontal="center"/>
    </xf>
    <xf numFmtId="0" fontId="17" fillId="8" borderId="40" xfId="0" applyFont="1" applyFill="1" applyBorder="1" applyAlignment="1">
      <alignment horizontal="center"/>
    </xf>
    <xf numFmtId="0" fontId="13" fillId="12" borderId="27" xfId="0" applyFont="1" applyFill="1" applyBorder="1"/>
    <xf numFmtId="0" fontId="0" fillId="12" borderId="39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2" fontId="8" fillId="3" borderId="32" xfId="0" applyNumberFormat="1" applyFont="1" applyFill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13" fillId="6" borderId="16" xfId="0" applyFont="1" applyFill="1" applyBorder="1" applyAlignment="1">
      <alignment horizontal="left"/>
    </xf>
    <xf numFmtId="0" fontId="17" fillId="6" borderId="19" xfId="0" applyFont="1" applyFill="1" applyBorder="1" applyAlignment="1">
      <alignment horizontal="center"/>
    </xf>
    <xf numFmtId="2" fontId="13" fillId="6" borderId="1" xfId="0" applyNumberFormat="1" applyFont="1" applyFill="1" applyBorder="1" applyAlignment="1">
      <alignment horizontal="center"/>
    </xf>
    <xf numFmtId="0" fontId="13" fillId="8" borderId="16" xfId="0" applyFont="1" applyFill="1" applyBorder="1" applyAlignment="1">
      <alignment horizontal="left"/>
    </xf>
    <xf numFmtId="0" fontId="0" fillId="8" borderId="19" xfId="0" applyFill="1" applyBorder="1" applyAlignment="1">
      <alignment horizontal="center"/>
    </xf>
    <xf numFmtId="2" fontId="13" fillId="8" borderId="1" xfId="0" applyNumberFormat="1" applyFont="1" applyFill="1" applyBorder="1" applyAlignment="1">
      <alignment horizontal="center"/>
    </xf>
    <xf numFmtId="0" fontId="13" fillId="12" borderId="16" xfId="0" applyFont="1" applyFill="1" applyBorder="1" applyAlignment="1">
      <alignment horizontal="left"/>
    </xf>
    <xf numFmtId="0" fontId="0" fillId="12" borderId="19" xfId="0" applyFill="1" applyBorder="1" applyAlignment="1">
      <alignment horizontal="center"/>
    </xf>
    <xf numFmtId="0" fontId="0" fillId="12" borderId="19" xfId="0" applyFill="1" applyBorder="1"/>
    <xf numFmtId="2" fontId="13" fillId="12" borderId="1" xfId="0" applyNumberFormat="1" applyFont="1" applyFill="1" applyBorder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2" fillId="3" borderId="4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2" fontId="0" fillId="9" borderId="26" xfId="0" applyNumberForma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4" borderId="2" xfId="0" applyFill="1" applyBorder="1"/>
    <xf numFmtId="2" fontId="0" fillId="4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2" fontId="0" fillId="13" borderId="2" xfId="0" applyNumberFormat="1" applyFill="1" applyBorder="1" applyAlignment="1">
      <alignment horizontal="center"/>
    </xf>
    <xf numFmtId="0" fontId="2" fillId="6" borderId="12" xfId="0" applyFont="1" applyFill="1" applyBorder="1"/>
    <xf numFmtId="0" fontId="0" fillId="6" borderId="12" xfId="0" applyFill="1" applyBorder="1" applyAlignment="1">
      <alignment horizontal="center"/>
    </xf>
    <xf numFmtId="2" fontId="0" fillId="6" borderId="12" xfId="0" applyNumberFormat="1" applyFill="1" applyBorder="1" applyAlignment="1">
      <alignment horizontal="center"/>
    </xf>
    <xf numFmtId="0" fontId="2" fillId="6" borderId="36" xfId="0" applyFont="1" applyFill="1" applyBorder="1"/>
    <xf numFmtId="0" fontId="0" fillId="6" borderId="36" xfId="0" applyFill="1" applyBorder="1" applyAlignment="1">
      <alignment horizontal="center"/>
    </xf>
    <xf numFmtId="2" fontId="0" fillId="6" borderId="36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1" fontId="10" fillId="4" borderId="2" xfId="0" applyNumberFormat="1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/>
    <xf numFmtId="1" fontId="0" fillId="0" borderId="0" xfId="0" applyNumberFormat="1"/>
    <xf numFmtId="0" fontId="19" fillId="4" borderId="2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13" borderId="2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5" xfId="0" applyFill="1" applyBorder="1"/>
    <xf numFmtId="0" fontId="0" fillId="0" borderId="2" xfId="0" applyBorder="1" applyAlignment="1">
      <alignment horizontal="center" vertical="top" wrapText="1"/>
    </xf>
    <xf numFmtId="0" fontId="2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1" fontId="2" fillId="11" borderId="2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wrapText="1"/>
    </xf>
    <xf numFmtId="0" fontId="0" fillId="7" borderId="2" xfId="0" applyFill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6" borderId="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0" xfId="0" applyFill="1"/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11" borderId="2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0" borderId="40" xfId="0" applyBorder="1"/>
    <xf numFmtId="0" fontId="2" fillId="6" borderId="2" xfId="0" applyFont="1" applyFill="1" applyBorder="1" applyAlignment="1">
      <alignment horizontal="center" vertical="top" wrapText="1"/>
    </xf>
    <xf numFmtId="0" fontId="2" fillId="5" borderId="0" xfId="0" applyFont="1" applyFill="1"/>
    <xf numFmtId="1" fontId="2" fillId="9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2" fontId="13" fillId="6" borderId="0" xfId="0" applyNumberFormat="1" applyFont="1" applyFill="1" applyAlignment="1">
      <alignment horizontal="center"/>
    </xf>
    <xf numFmtId="0" fontId="0" fillId="6" borderId="2" xfId="0" applyFill="1" applyBorder="1" applyAlignment="1">
      <alignment horizontal="center" vertical="top" wrapText="1"/>
    </xf>
    <xf numFmtId="0" fontId="2" fillId="7" borderId="42" xfId="0" applyFont="1" applyFill="1" applyBorder="1" applyAlignment="1">
      <alignment horizontal="center"/>
    </xf>
    <xf numFmtId="0" fontId="2" fillId="7" borderId="4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42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/>
    <xf numFmtId="0" fontId="20" fillId="9" borderId="2" xfId="0" applyFont="1" applyFill="1" applyBorder="1"/>
    <xf numFmtId="0" fontId="20" fillId="9" borderId="39" xfId="0" applyFont="1" applyFill="1" applyBorder="1"/>
    <xf numFmtId="0" fontId="20" fillId="9" borderId="40" xfId="0" applyFont="1" applyFill="1" applyBorder="1"/>
    <xf numFmtId="0" fontId="0" fillId="6" borderId="40" xfId="0" applyFill="1" applyBorder="1"/>
    <xf numFmtId="0" fontId="0" fillId="12" borderId="2" xfId="0" applyFill="1" applyBorder="1"/>
    <xf numFmtId="0" fontId="0" fillId="12" borderId="2" xfId="0" applyFill="1" applyBorder="1" applyAlignment="1">
      <alignment horizontal="center" vertical="center"/>
    </xf>
    <xf numFmtId="0" fontId="16" fillId="0" borderId="0" xfId="0" applyFont="1"/>
    <xf numFmtId="0" fontId="16" fillId="8" borderId="2" xfId="0" applyFont="1" applyFill="1" applyBorder="1" applyAlignment="1">
      <alignment horizontal="center"/>
    </xf>
    <xf numFmtId="0" fontId="0" fillId="13" borderId="27" xfId="0" applyFill="1" applyBorder="1"/>
    <xf numFmtId="0" fontId="8" fillId="6" borderId="2" xfId="0" applyFont="1" applyFill="1" applyBorder="1"/>
    <xf numFmtId="0" fontId="0" fillId="13" borderId="2" xfId="0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3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13" fillId="15" borderId="27" xfId="0" applyFont="1" applyFill="1" applyBorder="1"/>
    <xf numFmtId="0" fontId="17" fillId="15" borderId="39" xfId="0" applyFont="1" applyFill="1" applyBorder="1" applyAlignment="1">
      <alignment horizontal="center"/>
    </xf>
    <xf numFmtId="0" fontId="17" fillId="15" borderId="40" xfId="0" applyFont="1" applyFill="1" applyBorder="1" applyAlignment="1">
      <alignment horizontal="center"/>
    </xf>
    <xf numFmtId="2" fontId="13" fillId="15" borderId="2" xfId="0" applyNumberFormat="1" applyFont="1" applyFill="1" applyBorder="1" applyAlignment="1">
      <alignment horizontal="center"/>
    </xf>
    <xf numFmtId="0" fontId="13" fillId="4" borderId="27" xfId="0" applyFont="1" applyFill="1" applyBorder="1"/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2" fontId="13" fillId="4" borderId="2" xfId="0" applyNumberFormat="1" applyFont="1" applyFill="1" applyBorder="1" applyAlignment="1">
      <alignment horizontal="center"/>
    </xf>
    <xf numFmtId="0" fontId="25" fillId="8" borderId="27" xfId="0" applyFont="1" applyFill="1" applyBorder="1"/>
    <xf numFmtId="0" fontId="26" fillId="8" borderId="39" xfId="0" applyFont="1" applyFill="1" applyBorder="1" applyAlignment="1">
      <alignment horizontal="center"/>
    </xf>
    <xf numFmtId="0" fontId="26" fillId="8" borderId="40" xfId="0" applyFont="1" applyFill="1" applyBorder="1" applyAlignment="1">
      <alignment horizontal="center"/>
    </xf>
    <xf numFmtId="0" fontId="25" fillId="4" borderId="27" xfId="0" applyFont="1" applyFill="1" applyBorder="1"/>
    <xf numFmtId="0" fontId="26" fillId="4" borderId="39" xfId="0" applyFont="1" applyFill="1" applyBorder="1" applyAlignment="1">
      <alignment horizontal="center"/>
    </xf>
    <xf numFmtId="0" fontId="26" fillId="4" borderId="40" xfId="0" applyFont="1" applyFill="1" applyBorder="1" applyAlignment="1">
      <alignment horizontal="center"/>
    </xf>
    <xf numFmtId="2" fontId="27" fillId="8" borderId="2" xfId="0" applyNumberFormat="1" applyFont="1" applyFill="1" applyBorder="1" applyAlignment="1">
      <alignment horizontal="center"/>
    </xf>
    <xf numFmtId="2" fontId="27" fillId="4" borderId="2" xfId="0" applyNumberFormat="1" applyFont="1" applyFill="1" applyBorder="1" applyAlignment="1">
      <alignment horizontal="center"/>
    </xf>
    <xf numFmtId="4" fontId="13" fillId="12" borderId="2" xfId="0" applyNumberFormat="1" applyFont="1" applyFill="1" applyBorder="1" applyAlignment="1">
      <alignment horizontal="center"/>
    </xf>
    <xf numFmtId="0" fontId="8" fillId="3" borderId="41" xfId="0" applyFont="1" applyFill="1" applyBorder="1" applyAlignment="1">
      <alignment horizontal="center"/>
    </xf>
    <xf numFmtId="0" fontId="2" fillId="6" borderId="0" xfId="0" applyFont="1" applyFill="1"/>
    <xf numFmtId="0" fontId="2" fillId="3" borderId="2" xfId="0" applyFont="1" applyFill="1" applyBorder="1" applyAlignment="1">
      <alignment horizontal="center"/>
    </xf>
    <xf numFmtId="0" fontId="13" fillId="11" borderId="30" xfId="0" applyFont="1" applyFill="1" applyBorder="1"/>
    <xf numFmtId="0" fontId="17" fillId="11" borderId="45" xfId="0" applyFont="1" applyFill="1" applyBorder="1" applyAlignment="1">
      <alignment horizontal="center"/>
    </xf>
    <xf numFmtId="0" fontId="17" fillId="11" borderId="46" xfId="0" applyFont="1" applyFill="1" applyBorder="1" applyAlignment="1">
      <alignment horizontal="center"/>
    </xf>
    <xf numFmtId="0" fontId="13" fillId="9" borderId="12" xfId="0" applyFont="1" applyFill="1" applyBorder="1"/>
    <xf numFmtId="0" fontId="17" fillId="9" borderId="12" xfId="0" applyFont="1" applyFill="1" applyBorder="1" applyAlignment="1">
      <alignment horizontal="center"/>
    </xf>
    <xf numFmtId="2" fontId="13" fillId="11" borderId="1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top" wrapText="1"/>
    </xf>
    <xf numFmtId="0" fontId="1" fillId="17" borderId="2" xfId="0" applyFont="1" applyFill="1" applyBorder="1" applyAlignment="1">
      <alignment horizontal="center" vertical="top" wrapText="1"/>
    </xf>
    <xf numFmtId="0" fontId="0" fillId="17" borderId="2" xfId="0" applyFill="1" applyBorder="1"/>
    <xf numFmtId="0" fontId="0" fillId="17" borderId="2" xfId="0" applyFill="1" applyBorder="1" applyAlignment="1">
      <alignment horizontal="center"/>
    </xf>
    <xf numFmtId="0" fontId="0" fillId="0" borderId="46" xfId="0" applyBorder="1"/>
    <xf numFmtId="0" fontId="0" fillId="0" borderId="4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top" wrapText="1"/>
    </xf>
    <xf numFmtId="0" fontId="0" fillId="0" borderId="30" xfId="0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1" fillId="5" borderId="2" xfId="0" applyFont="1" applyFill="1" applyBorder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0" fillId="0" borderId="26" xfId="0" applyBorder="1" applyAlignment="1">
      <alignment horizontal="center" vertical="center"/>
    </xf>
    <xf numFmtId="0" fontId="2" fillId="2" borderId="27" xfId="0" applyFont="1" applyFill="1" applyBorder="1"/>
    <xf numFmtId="0" fontId="0" fillId="2" borderId="27" xfId="0" applyFill="1" applyBorder="1"/>
    <xf numFmtId="0" fontId="2" fillId="11" borderId="27" xfId="0" applyFont="1" applyFill="1" applyBorder="1"/>
    <xf numFmtId="0" fontId="0" fillId="4" borderId="27" xfId="0" applyFill="1" applyBorder="1"/>
    <xf numFmtId="0" fontId="0" fillId="4" borderId="30" xfId="0" applyFill="1" applyBorder="1"/>
    <xf numFmtId="0" fontId="2" fillId="0" borderId="0" xfId="0" applyFont="1" applyAlignment="1">
      <alignment horizontal="center" wrapText="1"/>
    </xf>
    <xf numFmtId="0" fontId="2" fillId="3" borderId="22" xfId="0" applyFont="1" applyFill="1" applyBorder="1" applyAlignment="1">
      <alignment horizontal="center" wrapText="1"/>
    </xf>
    <xf numFmtId="0" fontId="2" fillId="15" borderId="3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2" fillId="0" borderId="0" xfId="0" applyFon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right"/>
    </xf>
    <xf numFmtId="164" fontId="2" fillId="6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wrapText="1"/>
    </xf>
    <xf numFmtId="0" fontId="6" fillId="5" borderId="35" xfId="0" applyFont="1" applyFill="1" applyBorder="1" applyAlignment="1">
      <alignment vertical="top" wrapText="1"/>
    </xf>
    <xf numFmtId="0" fontId="2" fillId="5" borderId="17" xfId="0" applyFont="1" applyFill="1" applyBorder="1" applyAlignment="1">
      <alignment horizontal="center"/>
    </xf>
    <xf numFmtId="0" fontId="1" fillId="17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top" wrapText="1"/>
    </xf>
    <xf numFmtId="0" fontId="30" fillId="0" borderId="5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/>
    </xf>
    <xf numFmtId="0" fontId="20" fillId="11" borderId="2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7" xfId="0" applyFill="1" applyBorder="1" applyAlignment="1">
      <alignment horizontal="center" vertical="center"/>
    </xf>
    <xf numFmtId="1" fontId="0" fillId="11" borderId="2" xfId="0" applyNumberFormat="1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6" borderId="2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5" borderId="1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top" wrapText="1"/>
    </xf>
    <xf numFmtId="0" fontId="0" fillId="4" borderId="39" xfId="0" applyFill="1" applyBorder="1"/>
    <xf numFmtId="0" fontId="0" fillId="4" borderId="40" xfId="0" applyFill="1" applyBorder="1"/>
    <xf numFmtId="0" fontId="0" fillId="0" borderId="29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2" borderId="36" xfId="0" applyFont="1" applyFill="1" applyBorder="1"/>
    <xf numFmtId="0" fontId="0" fillId="11" borderId="0" xfId="0" applyFill="1"/>
    <xf numFmtId="0" fontId="2" fillId="14" borderId="17" xfId="0" applyFont="1" applyFill="1" applyBorder="1"/>
    <xf numFmtId="0" fontId="0" fillId="11" borderId="27" xfId="0" applyFill="1" applyBorder="1"/>
    <xf numFmtId="0" fontId="2" fillId="8" borderId="2" xfId="0" applyFont="1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/>
    </xf>
    <xf numFmtId="0" fontId="0" fillId="3" borderId="4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3" borderId="41" xfId="0" applyFill="1" applyBorder="1"/>
    <xf numFmtId="0" fontId="2" fillId="3" borderId="38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0" borderId="52" xfId="0" applyNumberFormat="1" applyBorder="1" applyAlignment="1">
      <alignment horizontal="center"/>
    </xf>
    <xf numFmtId="2" fontId="0" fillId="8" borderId="19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40" xfId="0" applyFont="1" applyBorder="1"/>
    <xf numFmtId="0" fontId="0" fillId="2" borderId="36" xfId="0" applyFill="1" applyBorder="1"/>
    <xf numFmtId="0" fontId="0" fillId="7" borderId="2" xfId="0" applyFill="1" applyBorder="1"/>
    <xf numFmtId="0" fontId="6" fillId="2" borderId="2" xfId="0" applyFont="1" applyFill="1" applyBorder="1" applyAlignment="1">
      <alignment vertical="top" wrapText="1"/>
    </xf>
    <xf numFmtId="2" fontId="0" fillId="5" borderId="2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0" borderId="2" xfId="0" applyFont="1" applyBorder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2" fillId="6" borderId="17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8" borderId="14" xfId="0" applyFill="1" applyBorder="1"/>
    <xf numFmtId="0" fontId="0" fillId="8" borderId="14" xfId="0" applyFill="1" applyBorder="1" applyAlignment="1">
      <alignment horizontal="center"/>
    </xf>
    <xf numFmtId="2" fontId="0" fillId="8" borderId="25" xfId="0" applyNumberForma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3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35" fillId="6" borderId="2" xfId="0" applyFont="1" applyFill="1" applyBorder="1" applyAlignment="1">
      <alignment horizontal="center"/>
    </xf>
    <xf numFmtId="0" fontId="36" fillId="8" borderId="27" xfId="0" applyFont="1" applyFill="1" applyBorder="1"/>
    <xf numFmtId="165" fontId="36" fillId="8" borderId="2" xfId="0" applyNumberFormat="1" applyFont="1" applyFill="1" applyBorder="1" applyAlignment="1">
      <alignment horizontal="center"/>
    </xf>
    <xf numFmtId="0" fontId="36" fillId="6" borderId="27" xfId="0" applyFont="1" applyFill="1" applyBorder="1"/>
    <xf numFmtId="0" fontId="0" fillId="6" borderId="39" xfId="0" applyFill="1" applyBorder="1"/>
    <xf numFmtId="0" fontId="0" fillId="6" borderId="39" xfId="0" applyFill="1" applyBorder="1" applyAlignment="1">
      <alignment horizontal="center"/>
    </xf>
    <xf numFmtId="3" fontId="36" fillId="6" borderId="2" xfId="0" applyNumberFormat="1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2" fontId="0" fillId="12" borderId="2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top" wrapText="1"/>
    </xf>
    <xf numFmtId="0" fontId="0" fillId="8" borderId="12" xfId="0" applyFill="1" applyBorder="1" applyAlignment="1">
      <alignment horizontal="center"/>
    </xf>
    <xf numFmtId="0" fontId="2" fillId="12" borderId="2" xfId="0" applyFont="1" applyFill="1" applyBorder="1" applyAlignment="1">
      <alignment horizontal="center" vertical="center" wrapText="1"/>
    </xf>
    <xf numFmtId="2" fontId="2" fillId="12" borderId="2" xfId="0" applyNumberFormat="1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5" fillId="0" borderId="27" xfId="0" applyFont="1" applyBorder="1"/>
    <xf numFmtId="0" fontId="26" fillId="0" borderId="39" xfId="0" applyFont="1" applyBorder="1" applyAlignment="1">
      <alignment horizontal="center"/>
    </xf>
    <xf numFmtId="0" fontId="26" fillId="0" borderId="40" xfId="0" applyFont="1" applyBorder="1" applyAlignment="1">
      <alignment horizontal="center"/>
    </xf>
    <xf numFmtId="2" fontId="27" fillId="0" borderId="2" xfId="0" applyNumberFormat="1" applyFont="1" applyBorder="1" applyAlignment="1">
      <alignment horizontal="center"/>
    </xf>
    <xf numFmtId="0" fontId="0" fillId="12" borderId="0" xfId="0" applyFill="1"/>
    <xf numFmtId="0" fontId="2" fillId="4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/>
    </xf>
    <xf numFmtId="0" fontId="0" fillId="15" borderId="2" xfId="0" applyFill="1" applyBorder="1"/>
    <xf numFmtId="1" fontId="0" fillId="15" borderId="2" xfId="0" applyNumberFormat="1" applyFill="1" applyBorder="1" applyAlignment="1">
      <alignment horizontal="center"/>
    </xf>
    <xf numFmtId="0" fontId="0" fillId="15" borderId="2" xfId="0" applyFill="1" applyBorder="1" applyAlignment="1">
      <alignment horizontal="center" vertical="center"/>
    </xf>
    <xf numFmtId="1" fontId="0" fillId="15" borderId="2" xfId="0" applyNumberForma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0" fontId="20" fillId="1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47" xfId="0" applyFill="1" applyBorder="1"/>
    <xf numFmtId="0" fontId="6" fillId="7" borderId="1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2" fillId="7" borderId="16" xfId="0" applyFont="1" applyFill="1" applyBorder="1"/>
    <xf numFmtId="0" fontId="0" fillId="4" borderId="52" xfId="0" applyFill="1" applyBorder="1"/>
    <xf numFmtId="0" fontId="0" fillId="4" borderId="0" xfId="0" applyFill="1"/>
    <xf numFmtId="0" fontId="0" fillId="4" borderId="45" xfId="0" applyFill="1" applyBorder="1"/>
    <xf numFmtId="0" fontId="0" fillId="4" borderId="46" xfId="0" applyFill="1" applyBorder="1"/>
    <xf numFmtId="0" fontId="0" fillId="4" borderId="26" xfId="0" applyFill="1" applyBorder="1"/>
    <xf numFmtId="0" fontId="0" fillId="4" borderId="48" xfId="0" applyFill="1" applyBorder="1"/>
    <xf numFmtId="0" fontId="0" fillId="4" borderId="44" xfId="0" applyFill="1" applyBorder="1"/>
    <xf numFmtId="0" fontId="0" fillId="14" borderId="52" xfId="0" applyFill="1" applyBorder="1"/>
    <xf numFmtId="0" fontId="0" fillId="14" borderId="36" xfId="0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20" fillId="0" borderId="18" xfId="0" applyFont="1" applyBorder="1" applyAlignment="1">
      <alignment horizontal="left"/>
    </xf>
    <xf numFmtId="0" fontId="1" fillId="0" borderId="0" xfId="0" applyFont="1"/>
    <xf numFmtId="0" fontId="9" fillId="8" borderId="1" xfId="0" applyFont="1" applyFill="1" applyBorder="1"/>
    <xf numFmtId="0" fontId="9" fillId="8" borderId="19" xfId="0" applyFont="1" applyFill="1" applyBorder="1" applyAlignment="1">
      <alignment horizontal="center" vertical="center"/>
    </xf>
    <xf numFmtId="0" fontId="9" fillId="8" borderId="55" xfId="0" applyFont="1" applyFill="1" applyBorder="1"/>
    <xf numFmtId="0" fontId="38" fillId="0" borderId="2" xfId="1" applyFont="1" applyBorder="1" applyAlignment="1">
      <alignment vertical="top" wrapText="1"/>
    </xf>
    <xf numFmtId="0" fontId="38" fillId="0" borderId="2" xfId="1" applyFont="1" applyBorder="1" applyAlignment="1">
      <alignment horizontal="center" vertical="top" wrapText="1"/>
    </xf>
    <xf numFmtId="0" fontId="39" fillId="6" borderId="2" xfId="1" applyFont="1" applyFill="1" applyBorder="1" applyAlignment="1">
      <alignment vertical="top" wrapText="1"/>
    </xf>
    <xf numFmtId="0" fontId="39" fillId="6" borderId="2" xfId="1" applyFont="1" applyFill="1" applyBorder="1" applyAlignment="1">
      <alignment horizontal="center" vertical="top" wrapText="1"/>
    </xf>
    <xf numFmtId="0" fontId="39" fillId="20" borderId="2" xfId="1" applyFont="1" applyFill="1" applyBorder="1" applyAlignment="1">
      <alignment vertical="top" wrapText="1"/>
    </xf>
    <xf numFmtId="0" fontId="39" fillId="20" borderId="2" xfId="1" applyFont="1" applyFill="1" applyBorder="1" applyAlignment="1">
      <alignment horizontal="center" vertical="top" wrapText="1"/>
    </xf>
    <xf numFmtId="0" fontId="39" fillId="20" borderId="17" xfId="1" applyFont="1" applyFill="1" applyBorder="1" applyAlignment="1">
      <alignment horizontal="left" vertical="top" wrapText="1"/>
    </xf>
    <xf numFmtId="0" fontId="0" fillId="20" borderId="17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2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38" fillId="0" borderId="12" xfId="1" applyFont="1" applyBorder="1" applyAlignment="1">
      <alignment vertical="top" wrapText="1"/>
    </xf>
    <xf numFmtId="0" fontId="38" fillId="0" borderId="12" xfId="1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8" fillId="6" borderId="0" xfId="0" applyFont="1" applyFill="1"/>
    <xf numFmtId="0" fontId="0" fillId="6" borderId="0" xfId="0" applyFill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" fillId="5" borderId="17" xfId="0" applyFont="1" applyFill="1" applyBorder="1"/>
    <xf numFmtId="0" fontId="2" fillId="0" borderId="2" xfId="0" applyFont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3" borderId="56" xfId="0" applyFont="1" applyFill="1" applyBorder="1" applyAlignment="1">
      <alignment horizontal="center"/>
    </xf>
    <xf numFmtId="0" fontId="18" fillId="0" borderId="2" xfId="0" applyFont="1" applyBorder="1"/>
    <xf numFmtId="0" fontId="2" fillId="8" borderId="2" xfId="0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0" fontId="0" fillId="8" borderId="0" xfId="0" applyFill="1"/>
    <xf numFmtId="0" fontId="0" fillId="0" borderId="30" xfId="0" applyBorder="1"/>
    <xf numFmtId="0" fontId="0" fillId="0" borderId="45" xfId="0" applyBorder="1"/>
    <xf numFmtId="2" fontId="2" fillId="0" borderId="0" xfId="0" applyNumberFormat="1" applyFont="1" applyAlignment="1">
      <alignment horizontal="center"/>
    </xf>
    <xf numFmtId="0" fontId="9" fillId="8" borderId="21" xfId="0" applyFont="1" applyFill="1" applyBorder="1"/>
    <xf numFmtId="0" fontId="9" fillId="8" borderId="57" xfId="0" applyFont="1" applyFill="1" applyBorder="1"/>
    <xf numFmtId="0" fontId="0" fillId="8" borderId="17" xfId="0" applyFill="1" applyBorder="1"/>
    <xf numFmtId="0" fontId="9" fillId="8" borderId="23" xfId="0" applyFont="1" applyFill="1" applyBorder="1"/>
    <xf numFmtId="0" fontId="9" fillId="8" borderId="22" xfId="0" applyFont="1" applyFill="1" applyBorder="1"/>
    <xf numFmtId="0" fontId="0" fillId="0" borderId="44" xfId="0" applyBorder="1"/>
    <xf numFmtId="0" fontId="20" fillId="0" borderId="2" xfId="0" applyFont="1" applyBorder="1" applyAlignment="1">
      <alignment horizontal="center" vertical="center"/>
    </xf>
    <xf numFmtId="2" fontId="20" fillId="0" borderId="2" xfId="0" applyNumberFormat="1" applyFont="1" applyBorder="1" applyAlignment="1">
      <alignment horizontal="center" vertical="center"/>
    </xf>
    <xf numFmtId="0" fontId="39" fillId="0" borderId="0" xfId="1" applyFont="1" applyAlignment="1">
      <alignment horizontal="left" vertical="top" wrapText="1"/>
    </xf>
    <xf numFmtId="2" fontId="2" fillId="8" borderId="2" xfId="0" applyNumberFormat="1" applyFont="1" applyFill="1" applyBorder="1" applyAlignment="1">
      <alignment horizontal="center"/>
    </xf>
    <xf numFmtId="0" fontId="18" fillId="0" borderId="0" xfId="0" applyFont="1"/>
    <xf numFmtId="0" fontId="18" fillId="6" borderId="2" xfId="0" applyFont="1" applyFill="1" applyBorder="1" applyAlignment="1">
      <alignment horizontal="center"/>
    </xf>
    <xf numFmtId="2" fontId="8" fillId="6" borderId="2" xfId="0" applyNumberFormat="1" applyFont="1" applyFill="1" applyBorder="1" applyAlignment="1">
      <alignment horizontal="center"/>
    </xf>
    <xf numFmtId="0" fontId="8" fillId="0" borderId="2" xfId="0" applyFont="1" applyBorder="1"/>
    <xf numFmtId="0" fontId="18" fillId="0" borderId="0" xfId="0" applyFont="1" applyAlignment="1">
      <alignment horizontal="center"/>
    </xf>
    <xf numFmtId="2" fontId="18" fillId="0" borderId="2" xfId="0" applyNumberFormat="1" applyFont="1" applyBorder="1" applyAlignment="1">
      <alignment horizontal="center"/>
    </xf>
    <xf numFmtId="0" fontId="8" fillId="6" borderId="27" xfId="0" applyFont="1" applyFill="1" applyBorder="1"/>
    <xf numFmtId="0" fontId="18" fillId="6" borderId="39" xfId="0" applyFont="1" applyFill="1" applyBorder="1" applyAlignment="1">
      <alignment horizontal="center"/>
    </xf>
    <xf numFmtId="0" fontId="18" fillId="6" borderId="40" xfId="0" applyFont="1" applyFill="1" applyBorder="1" applyAlignment="1">
      <alignment horizontal="center"/>
    </xf>
    <xf numFmtId="0" fontId="8" fillId="8" borderId="27" xfId="0" applyFont="1" applyFill="1" applyBorder="1"/>
    <xf numFmtId="0" fontId="18" fillId="8" borderId="39" xfId="0" applyFont="1" applyFill="1" applyBorder="1" applyAlignment="1">
      <alignment horizontal="center"/>
    </xf>
    <xf numFmtId="0" fontId="18" fillId="8" borderId="40" xfId="0" applyFont="1" applyFill="1" applyBorder="1" applyAlignment="1">
      <alignment horizontal="center"/>
    </xf>
    <xf numFmtId="166" fontId="8" fillId="8" borderId="2" xfId="0" applyNumberFormat="1" applyFont="1" applyFill="1" applyBorder="1" applyAlignment="1">
      <alignment horizontal="center"/>
    </xf>
    <xf numFmtId="0" fontId="9" fillId="8" borderId="27" xfId="0" applyFont="1" applyFill="1" applyBorder="1"/>
    <xf numFmtId="0" fontId="40" fillId="8" borderId="39" xfId="0" applyFont="1" applyFill="1" applyBorder="1" applyAlignment="1">
      <alignment horizontal="center"/>
    </xf>
    <xf numFmtId="0" fontId="40" fillId="8" borderId="40" xfId="0" applyFont="1" applyFill="1" applyBorder="1" applyAlignment="1">
      <alignment horizontal="center"/>
    </xf>
    <xf numFmtId="2" fontId="41" fillId="8" borderId="2" xfId="0" applyNumberFormat="1" applyFont="1" applyFill="1" applyBorder="1" applyAlignment="1">
      <alignment horizontal="center"/>
    </xf>
    <xf numFmtId="2" fontId="8" fillId="8" borderId="2" xfId="0" applyNumberFormat="1" applyFont="1" applyFill="1" applyBorder="1" applyAlignment="1">
      <alignment horizontal="center"/>
    </xf>
    <xf numFmtId="0" fontId="18" fillId="8" borderId="39" xfId="0" applyFont="1" applyFill="1" applyBorder="1"/>
    <xf numFmtId="3" fontId="8" fillId="8" borderId="2" xfId="0" applyNumberFormat="1" applyFont="1" applyFill="1" applyBorder="1" applyAlignment="1">
      <alignment horizontal="center"/>
    </xf>
    <xf numFmtId="165" fontId="8" fillId="8" borderId="2" xfId="0" applyNumberFormat="1" applyFont="1" applyFill="1" applyBorder="1" applyAlignment="1">
      <alignment horizontal="center"/>
    </xf>
    <xf numFmtId="0" fontId="18" fillId="6" borderId="39" xfId="0" applyFont="1" applyFill="1" applyBorder="1"/>
    <xf numFmtId="3" fontId="8" fillId="6" borderId="2" xfId="0" applyNumberFormat="1" applyFont="1" applyFill="1" applyBorder="1" applyAlignment="1">
      <alignment horizontal="center"/>
    </xf>
    <xf numFmtId="49" fontId="0" fillId="0" borderId="0" xfId="0" applyNumberFormat="1"/>
    <xf numFmtId="0" fontId="1" fillId="11" borderId="0" xfId="0" applyFont="1" applyFill="1"/>
    <xf numFmtId="0" fontId="19" fillId="0" borderId="27" xfId="0" applyFont="1" applyBorder="1"/>
    <xf numFmtId="0" fontId="2" fillId="8" borderId="0" xfId="0" applyFont="1" applyFill="1" applyAlignment="1">
      <alignment horizontal="center"/>
    </xf>
    <xf numFmtId="2" fontId="8" fillId="6" borderId="0" xfId="0" applyNumberFormat="1" applyFont="1" applyFill="1" applyAlignment="1">
      <alignment horizontal="center"/>
    </xf>
    <xf numFmtId="2" fontId="18" fillId="0" borderId="0" xfId="0" applyNumberFormat="1" applyFont="1" applyAlignment="1">
      <alignment horizontal="center"/>
    </xf>
    <xf numFmtId="166" fontId="8" fillId="8" borderId="0" xfId="0" applyNumberFormat="1" applyFont="1" applyFill="1" applyAlignment="1">
      <alignment horizontal="center"/>
    </xf>
    <xf numFmtId="2" fontId="41" fillId="8" borderId="0" xfId="0" applyNumberFormat="1" applyFont="1" applyFill="1" applyAlignment="1">
      <alignment horizontal="center"/>
    </xf>
    <xf numFmtId="2" fontId="8" fillId="8" borderId="0" xfId="0" applyNumberFormat="1" applyFont="1" applyFill="1" applyAlignment="1">
      <alignment horizontal="center"/>
    </xf>
    <xf numFmtId="3" fontId="8" fillId="8" borderId="0" xfId="0" applyNumberFormat="1" applyFont="1" applyFill="1" applyAlignment="1">
      <alignment horizontal="center"/>
    </xf>
    <xf numFmtId="165" fontId="8" fillId="8" borderId="0" xfId="0" applyNumberFormat="1" applyFont="1" applyFill="1" applyAlignment="1">
      <alignment horizontal="center"/>
    </xf>
    <xf numFmtId="3" fontId="8" fillId="6" borderId="0" xfId="0" applyNumberFormat="1" applyFont="1" applyFill="1" applyAlignment="1">
      <alignment horizontal="center"/>
    </xf>
    <xf numFmtId="0" fontId="0" fillId="6" borderId="27" xfId="0" applyFill="1" applyBorder="1"/>
    <xf numFmtId="0" fontId="10" fillId="2" borderId="2" xfId="0" applyFont="1" applyFill="1" applyBorder="1" applyAlignment="1">
      <alignment horizontal="center" vertical="center"/>
    </xf>
    <xf numFmtId="0" fontId="35" fillId="6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0" borderId="0" xfId="0" applyFont="1"/>
    <xf numFmtId="2" fontId="0" fillId="5" borderId="2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left"/>
    </xf>
    <xf numFmtId="0" fontId="42" fillId="0" borderId="0" xfId="0" applyFont="1" applyAlignment="1">
      <alignment horizontal="center"/>
    </xf>
    <xf numFmtId="2" fontId="42" fillId="0" borderId="0" xfId="0" applyNumberFormat="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52" xfId="0" applyBorder="1"/>
    <xf numFmtId="0" fontId="0" fillId="0" borderId="58" xfId="0" applyBorder="1" applyAlignment="1">
      <alignment horizontal="left" vertical="top" wrapText="1"/>
    </xf>
    <xf numFmtId="0" fontId="0" fillId="0" borderId="58" xfId="0" applyBorder="1" applyAlignment="1">
      <alignment horizontal="center" vertical="center" wrapText="1"/>
    </xf>
    <xf numFmtId="2" fontId="0" fillId="0" borderId="58" xfId="0" applyNumberFormat="1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8" fillId="3" borderId="0" xfId="0" applyFont="1" applyFill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1" fontId="0" fillId="0" borderId="2" xfId="0" applyNumberFormat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17" borderId="2" xfId="0" applyNumberFormat="1" applyFill="1" applyBorder="1" applyAlignment="1">
      <alignment horizontal="center" vertical="center"/>
    </xf>
    <xf numFmtId="2" fontId="0" fillId="24" borderId="2" xfId="0" applyNumberForma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3" borderId="40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22" fillId="4" borderId="27" xfId="0" applyFon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21" fillId="4" borderId="39" xfId="0" applyFont="1" applyFill="1" applyBorder="1" applyAlignment="1">
      <alignment horizontal="center"/>
    </xf>
    <xf numFmtId="0" fontId="21" fillId="4" borderId="40" xfId="0" applyFont="1" applyFill="1" applyBorder="1" applyAlignment="1">
      <alignment horizontal="center"/>
    </xf>
    <xf numFmtId="2" fontId="8" fillId="3" borderId="0" xfId="0" applyNumberFormat="1" applyFont="1" applyFill="1" applyAlignment="1">
      <alignment horizontal="center"/>
    </xf>
    <xf numFmtId="0" fontId="13" fillId="16" borderId="30" xfId="0" applyFont="1" applyFill="1" applyBorder="1"/>
    <xf numFmtId="0" fontId="17" fillId="16" borderId="45" xfId="0" applyFont="1" applyFill="1" applyBorder="1" applyAlignment="1">
      <alignment horizontal="center"/>
    </xf>
    <xf numFmtId="0" fontId="17" fillId="16" borderId="46" xfId="0" applyFont="1" applyFill="1" applyBorder="1" applyAlignment="1">
      <alignment horizontal="center"/>
    </xf>
    <xf numFmtId="2" fontId="28" fillId="16" borderId="12" xfId="0" applyNumberFormat="1" applyFont="1" applyFill="1" applyBorder="1" applyAlignment="1">
      <alignment horizontal="center"/>
    </xf>
    <xf numFmtId="0" fontId="13" fillId="13" borderId="27" xfId="0" applyFont="1" applyFill="1" applyBorder="1"/>
    <xf numFmtId="0" fontId="17" fillId="13" borderId="39" xfId="0" applyFont="1" applyFill="1" applyBorder="1" applyAlignment="1">
      <alignment horizontal="center"/>
    </xf>
    <xf numFmtId="0" fontId="17" fillId="13" borderId="40" xfId="0" applyFont="1" applyFill="1" applyBorder="1" applyAlignment="1">
      <alignment horizontal="center"/>
    </xf>
    <xf numFmtId="2" fontId="28" fillId="13" borderId="2" xfId="0" applyNumberFormat="1" applyFont="1" applyFill="1" applyBorder="1" applyAlignment="1">
      <alignment horizontal="center"/>
    </xf>
    <xf numFmtId="0" fontId="20" fillId="9" borderId="0" xfId="0" applyFont="1" applyFill="1"/>
    <xf numFmtId="0" fontId="0" fillId="15" borderId="0" xfId="0" applyFill="1"/>
    <xf numFmtId="0" fontId="0" fillId="0" borderId="0" xfId="0" applyProtection="1">
      <protection hidden="1"/>
    </xf>
    <xf numFmtId="0" fontId="29" fillId="0" borderId="0" xfId="0" applyFont="1" applyAlignment="1" applyProtection="1">
      <alignment horizontal="right"/>
      <protection hidden="1"/>
    </xf>
    <xf numFmtId="0" fontId="29" fillId="0" borderId="0" xfId="0" applyFont="1" applyAlignment="1" applyProtection="1">
      <alignment horizontal="center" vertical="center" wrapText="1"/>
      <protection hidden="1"/>
    </xf>
    <xf numFmtId="0" fontId="14" fillId="0" borderId="0" xfId="0" applyFont="1" applyAlignment="1" applyProtection="1">
      <alignment horizontal="center" vertical="center" wrapText="1"/>
      <protection hidden="1"/>
    </xf>
    <xf numFmtId="2" fontId="0" fillId="0" borderId="0" xfId="0" applyNumberFormat="1" applyProtection="1">
      <protection hidden="1"/>
    </xf>
    <xf numFmtId="0" fontId="32" fillId="6" borderId="2" xfId="0" applyFont="1" applyFill="1" applyBorder="1" applyAlignment="1" applyProtection="1">
      <alignment horizontal="center" vertical="center"/>
      <protection hidden="1"/>
    </xf>
    <xf numFmtId="0" fontId="32" fillId="6" borderId="2" xfId="0" applyFont="1" applyFill="1" applyBorder="1" applyAlignment="1" applyProtection="1">
      <alignment horizontal="center" vertical="center" wrapText="1"/>
      <protection hidden="1"/>
    </xf>
    <xf numFmtId="1" fontId="32" fillId="6" borderId="2" xfId="0" applyNumberFormat="1" applyFont="1" applyFill="1" applyBorder="1" applyAlignment="1" applyProtection="1">
      <alignment horizontal="center" vertical="center"/>
      <protection hidden="1"/>
    </xf>
    <xf numFmtId="0" fontId="32" fillId="6" borderId="2" xfId="0" applyFont="1" applyFill="1" applyBorder="1" applyAlignment="1" applyProtection="1">
      <alignment horizontal="center" wrapText="1"/>
      <protection hidden="1"/>
    </xf>
    <xf numFmtId="4" fontId="14" fillId="0" borderId="0" xfId="0" applyNumberFormat="1" applyFont="1" applyAlignment="1" applyProtection="1">
      <alignment horizontal="center" vertical="center"/>
      <protection hidden="1"/>
    </xf>
    <xf numFmtId="0" fontId="2" fillId="2" borderId="2" xfId="0" applyFont="1" applyFill="1" applyBorder="1" applyProtection="1">
      <protection hidden="1"/>
    </xf>
    <xf numFmtId="2" fontId="0" fillId="2" borderId="2" xfId="0" applyNumberFormat="1" applyFill="1" applyBorder="1" applyProtection="1">
      <protection hidden="1"/>
    </xf>
    <xf numFmtId="0" fontId="32" fillId="5" borderId="17" xfId="0" applyFont="1" applyFill="1" applyBorder="1" applyAlignment="1" applyProtection="1">
      <alignment horizontal="left" vertical="center"/>
      <protection hidden="1"/>
    </xf>
    <xf numFmtId="0" fontId="32" fillId="0" borderId="17" xfId="0" applyFont="1" applyBorder="1" applyAlignment="1" applyProtection="1">
      <alignment horizontal="center" vertical="center"/>
      <protection hidden="1"/>
    </xf>
    <xf numFmtId="0" fontId="24" fillId="0" borderId="2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4" borderId="2" xfId="0" applyFill="1" applyBorder="1" applyProtection="1">
      <protection hidden="1"/>
    </xf>
    <xf numFmtId="0" fontId="32" fillId="5" borderId="2" xfId="0" applyFont="1" applyFill="1" applyBorder="1" applyAlignment="1" applyProtection="1">
      <alignment horizontal="left" vertical="center"/>
      <protection hidden="1"/>
    </xf>
    <xf numFmtId="0" fontId="32" fillId="0" borderId="2" xfId="0" applyFont="1" applyBorder="1" applyAlignment="1" applyProtection="1">
      <alignment horizontal="center" vertical="center"/>
      <protection hidden="1"/>
    </xf>
    <xf numFmtId="2" fontId="0" fillId="4" borderId="2" xfId="0" applyNumberFormat="1" applyFill="1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24" fillId="0" borderId="2" xfId="0" applyFont="1" applyBorder="1" applyAlignment="1" applyProtection="1">
      <alignment horizontal="center" vertical="center"/>
      <protection hidden="1"/>
    </xf>
    <xf numFmtId="0" fontId="24" fillId="5" borderId="2" xfId="0" applyFont="1" applyFill="1" applyBorder="1" applyAlignment="1" applyProtection="1">
      <alignment horizontal="left" vertical="center"/>
      <protection hidden="1"/>
    </xf>
    <xf numFmtId="0" fontId="24" fillId="0" borderId="2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0" fillId="13" borderId="2" xfId="0" applyFill="1" applyBorder="1" applyProtection="1">
      <protection hidden="1"/>
    </xf>
    <xf numFmtId="2" fontId="0" fillId="13" borderId="2" xfId="0" applyNumberFormat="1" applyFill="1" applyBorder="1" applyProtection="1">
      <protection hidden="1"/>
    </xf>
    <xf numFmtId="4" fontId="14" fillId="10" borderId="27" xfId="0" applyNumberFormat="1" applyFont="1" applyFill="1" applyBorder="1" applyAlignment="1" applyProtection="1">
      <alignment horizontal="center" vertical="center"/>
      <protection hidden="1"/>
    </xf>
    <xf numFmtId="4" fontId="14" fillId="10" borderId="39" xfId="0" applyNumberFormat="1" applyFont="1" applyFill="1" applyBorder="1" applyAlignment="1" applyProtection="1">
      <alignment horizontal="center" vertical="center"/>
      <protection hidden="1"/>
    </xf>
    <xf numFmtId="4" fontId="14" fillId="10" borderId="40" xfId="0" applyNumberFormat="1" applyFont="1" applyFill="1" applyBorder="1" applyAlignment="1" applyProtection="1">
      <alignment horizontal="center" vertical="center"/>
      <protection hidden="1"/>
    </xf>
    <xf numFmtId="0" fontId="32" fillId="0" borderId="0" xfId="0" applyFont="1" applyProtection="1">
      <protection hidden="1"/>
    </xf>
    <xf numFmtId="0" fontId="0" fillId="16" borderId="36" xfId="0" applyFill="1" applyBorder="1" applyProtection="1">
      <protection hidden="1"/>
    </xf>
    <xf numFmtId="2" fontId="0" fillId="16" borderId="2" xfId="0" applyNumberFormat="1" applyFill="1" applyBorder="1" applyProtection="1">
      <protection hidden="1"/>
    </xf>
    <xf numFmtId="0" fontId="24" fillId="0" borderId="0" xfId="0" applyFont="1" applyProtection="1">
      <protection hidden="1"/>
    </xf>
    <xf numFmtId="0" fontId="24" fillId="0" borderId="0" xfId="0" applyFont="1" applyAlignment="1" applyProtection="1">
      <alignment horizontal="center" vertical="top" wrapText="1"/>
      <protection hidden="1"/>
    </xf>
    <xf numFmtId="1" fontId="24" fillId="0" borderId="0" xfId="0" applyNumberFormat="1" applyFont="1" applyAlignment="1" applyProtection="1">
      <alignment horizontal="center" vertical="center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33" fillId="6" borderId="0" xfId="0" applyFont="1" applyFill="1" applyAlignment="1" applyProtection="1">
      <alignment horizontal="center"/>
      <protection hidden="1"/>
    </xf>
    <xf numFmtId="0" fontId="24" fillId="0" borderId="0" xfId="0" applyFont="1" applyAlignment="1" applyProtection="1">
      <alignment horizontal="center"/>
      <protection hidden="1"/>
    </xf>
    <xf numFmtId="0" fontId="43" fillId="0" borderId="0" xfId="0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 vertical="center"/>
      <protection locked="0" hidden="1"/>
    </xf>
    <xf numFmtId="0" fontId="0" fillId="5" borderId="2" xfId="0" applyFill="1" applyBorder="1" applyProtection="1">
      <protection hidden="1"/>
    </xf>
    <xf numFmtId="2" fontId="0" fillId="5" borderId="2" xfId="0" applyNumberFormat="1" applyFill="1" applyBorder="1" applyProtection="1">
      <protection hidden="1"/>
    </xf>
    <xf numFmtId="0" fontId="24" fillId="0" borderId="0" xfId="0" applyFont="1" applyAlignment="1" applyProtection="1">
      <alignment horizontal="right"/>
      <protection hidden="1"/>
    </xf>
    <xf numFmtId="0" fontId="33" fillId="6" borderId="0" xfId="0" applyFont="1" applyFill="1" applyAlignment="1" applyProtection="1">
      <alignment horizontal="center" vertical="center"/>
      <protection hidden="1"/>
    </xf>
    <xf numFmtId="0" fontId="24" fillId="0" borderId="27" xfId="0" applyFont="1" applyBorder="1" applyAlignment="1" applyProtection="1">
      <alignment horizontal="left" vertical="center"/>
      <protection hidden="1"/>
    </xf>
    <xf numFmtId="0" fontId="24" fillId="0" borderId="40" xfId="0" applyFont="1" applyBorder="1" applyAlignment="1" applyProtection="1">
      <alignment horizontal="center"/>
      <protection hidden="1"/>
    </xf>
    <xf numFmtId="0" fontId="14" fillId="4" borderId="2" xfId="0" applyFont="1" applyFill="1" applyBorder="1" applyAlignment="1" applyProtection="1">
      <alignment horizontal="center" vertical="center"/>
      <protection hidden="1"/>
    </xf>
    <xf numFmtId="0" fontId="14" fillId="4" borderId="2" xfId="0" applyFont="1" applyFill="1" applyBorder="1" applyAlignment="1" applyProtection="1">
      <alignment horizontal="center" vertical="center"/>
      <protection locked="0" hidden="1"/>
    </xf>
    <xf numFmtId="0" fontId="31" fillId="0" borderId="0" xfId="0" applyFont="1" applyAlignment="1" applyProtection="1">
      <alignment horizontal="center"/>
      <protection hidden="1"/>
    </xf>
    <xf numFmtId="0" fontId="24" fillId="5" borderId="2" xfId="0" applyFont="1" applyFill="1" applyBorder="1" applyAlignment="1" applyProtection="1">
      <alignment horizontal="center"/>
      <protection hidden="1"/>
    </xf>
    <xf numFmtId="0" fontId="24" fillId="0" borderId="12" xfId="0" applyFont="1" applyBorder="1" applyAlignment="1" applyProtection="1">
      <alignment horizontal="center"/>
      <protection hidden="1"/>
    </xf>
    <xf numFmtId="2" fontId="31" fillId="0" borderId="0" xfId="0" applyNumberFormat="1" applyFont="1" applyAlignment="1" applyProtection="1">
      <alignment horizontal="center"/>
      <protection hidden="1"/>
    </xf>
    <xf numFmtId="0" fontId="0" fillId="18" borderId="2" xfId="0" applyFill="1" applyBorder="1" applyProtection="1">
      <protection hidden="1"/>
    </xf>
    <xf numFmtId="2" fontId="0" fillId="18" borderId="2" xfId="0" applyNumberFormat="1" applyFill="1" applyBorder="1" applyProtection="1">
      <protection hidden="1"/>
    </xf>
    <xf numFmtId="0" fontId="24" fillId="5" borderId="2" xfId="0" applyFont="1" applyFill="1" applyBorder="1" applyAlignment="1" applyProtection="1">
      <alignment horizontal="center" vertical="top" wrapText="1"/>
      <protection hidden="1"/>
    </xf>
    <xf numFmtId="0" fontId="24" fillId="5" borderId="12" xfId="0" applyFont="1" applyFill="1" applyBorder="1" applyAlignment="1" applyProtection="1">
      <alignment horizontal="center"/>
      <protection hidden="1"/>
    </xf>
    <xf numFmtId="0" fontId="24" fillId="5" borderId="12" xfId="0" applyFont="1" applyFill="1" applyBorder="1" applyAlignment="1" applyProtection="1">
      <alignment horizontal="center" vertical="top" wrapText="1"/>
      <protection hidden="1"/>
    </xf>
    <xf numFmtId="0" fontId="24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24" fillId="11" borderId="2" xfId="0" applyFont="1" applyFill="1" applyBorder="1" applyAlignment="1" applyProtection="1">
      <alignment horizontal="center" vertical="top" wrapText="1"/>
      <protection hidden="1"/>
    </xf>
    <xf numFmtId="0" fontId="24" fillId="3" borderId="2" xfId="0" applyFont="1" applyFill="1" applyBorder="1" applyAlignment="1" applyProtection="1">
      <alignment horizontal="center"/>
      <protection hidden="1"/>
    </xf>
    <xf numFmtId="0" fontId="24" fillId="6" borderId="2" xfId="0" applyFont="1" applyFill="1" applyBorder="1" applyAlignment="1" applyProtection="1">
      <alignment horizontal="center" vertical="center"/>
      <protection hidden="1"/>
    </xf>
    <xf numFmtId="0" fontId="24" fillId="0" borderId="2" xfId="0" applyFont="1" applyBorder="1" applyAlignment="1" applyProtection="1">
      <alignment horizontal="center" vertical="center" wrapText="1"/>
      <protection hidden="1"/>
    </xf>
    <xf numFmtId="0" fontId="24" fillId="6" borderId="2" xfId="0" applyFont="1" applyFill="1" applyBorder="1" applyAlignment="1" applyProtection="1">
      <alignment horizontal="center"/>
      <protection hidden="1"/>
    </xf>
    <xf numFmtId="0" fontId="7" fillId="2" borderId="27" xfId="0" applyFont="1" applyFill="1" applyBorder="1" applyAlignment="1" applyProtection="1">
      <alignment vertical="center"/>
      <protection hidden="1"/>
    </xf>
    <xf numFmtId="0" fontId="7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17" borderId="2" xfId="0" applyFill="1" applyBorder="1" applyProtection="1">
      <protection hidden="1"/>
    </xf>
    <xf numFmtId="0" fontId="24" fillId="0" borderId="2" xfId="0" applyFont="1" applyBorder="1" applyAlignment="1" applyProtection="1">
      <alignment horizontal="center" vertical="top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0" fillId="2" borderId="2" xfId="0" applyFill="1" applyBorder="1" applyProtection="1">
      <protection hidden="1"/>
    </xf>
    <xf numFmtId="0" fontId="24" fillId="3" borderId="12" xfId="0" applyFont="1" applyFill="1" applyBorder="1" applyAlignment="1" applyProtection="1">
      <alignment horizontal="center"/>
      <protection hidden="1"/>
    </xf>
    <xf numFmtId="0" fontId="7" fillId="0" borderId="2" xfId="0" applyFont="1" applyBorder="1" applyAlignment="1" applyProtection="1">
      <alignment horizontal="center" vertical="center" wrapText="1"/>
      <protection locked="0" hidden="1"/>
    </xf>
    <xf numFmtId="0" fontId="7" fillId="0" borderId="39" xfId="0" applyFont="1" applyBorder="1" applyAlignment="1" applyProtection="1">
      <alignment horizontal="center" vertical="center" wrapText="1"/>
      <protection locked="0" hidden="1"/>
    </xf>
    <xf numFmtId="0" fontId="7" fillId="4" borderId="27" xfId="0" applyFont="1" applyFill="1" applyBorder="1" applyAlignment="1" applyProtection="1">
      <alignment horizontal="left"/>
      <protection hidden="1"/>
    </xf>
    <xf numFmtId="0" fontId="7" fillId="4" borderId="39" xfId="0" applyFont="1" applyFill="1" applyBorder="1" applyProtection="1">
      <protection hidden="1"/>
    </xf>
    <xf numFmtId="0" fontId="7" fillId="4" borderId="40" xfId="0" applyFont="1" applyFill="1" applyBorder="1" applyProtection="1">
      <protection hidden="1"/>
    </xf>
    <xf numFmtId="0" fontId="7" fillId="4" borderId="2" xfId="0" applyFont="1" applyFill="1" applyBorder="1" applyProtection="1">
      <protection hidden="1"/>
    </xf>
    <xf numFmtId="0" fontId="7" fillId="0" borderId="0" xfId="0" applyFont="1" applyProtection="1">
      <protection hidden="1"/>
    </xf>
    <xf numFmtId="0" fontId="0" fillId="19" borderId="2" xfId="0" applyFill="1" applyBorder="1" applyProtection="1">
      <protection hidden="1"/>
    </xf>
    <xf numFmtId="2" fontId="0" fillId="19" borderId="2" xfId="0" applyNumberFormat="1" applyFill="1" applyBorder="1" applyProtection="1">
      <protection hidden="1"/>
    </xf>
    <xf numFmtId="0" fontId="7" fillId="2" borderId="27" xfId="0" applyFont="1" applyFill="1" applyBorder="1" applyAlignment="1" applyProtection="1">
      <alignment horizontal="left"/>
      <protection hidden="1"/>
    </xf>
    <xf numFmtId="0" fontId="7" fillId="2" borderId="39" xfId="0" applyFont="1" applyFill="1" applyBorder="1" applyAlignment="1" applyProtection="1">
      <alignment horizontal="left"/>
      <protection hidden="1"/>
    </xf>
    <xf numFmtId="0" fontId="0" fillId="15" borderId="2" xfId="0" applyFill="1" applyBorder="1" applyProtection="1">
      <protection hidden="1"/>
    </xf>
    <xf numFmtId="2" fontId="0" fillId="15" borderId="2" xfId="0" applyNumberFormat="1" applyFill="1" applyBorder="1" applyProtection="1">
      <protection hidden="1"/>
    </xf>
    <xf numFmtId="0" fontId="7" fillId="2" borderId="30" xfId="0" applyFont="1" applyFill="1" applyBorder="1" applyAlignment="1" applyProtection="1">
      <alignment horizontal="left"/>
      <protection hidden="1"/>
    </xf>
    <xf numFmtId="0" fontId="7" fillId="2" borderId="45" xfId="0" applyFont="1" applyFill="1" applyBorder="1" applyAlignment="1" applyProtection="1">
      <alignment horizontal="left"/>
      <protection hidden="1"/>
    </xf>
    <xf numFmtId="0" fontId="2" fillId="13" borderId="2" xfId="0" applyFont="1" applyFill="1" applyBorder="1" applyProtection="1">
      <protection hidden="1"/>
    </xf>
    <xf numFmtId="0" fontId="24" fillId="11" borderId="2" xfId="0" applyFont="1" applyFill="1" applyBorder="1" applyAlignment="1" applyProtection="1">
      <alignment horizontal="center"/>
      <protection hidden="1"/>
    </xf>
    <xf numFmtId="0" fontId="7" fillId="2" borderId="26" xfId="0" applyFont="1" applyFill="1" applyBorder="1" applyAlignment="1" applyProtection="1">
      <alignment horizontal="left"/>
      <protection hidden="1"/>
    </xf>
    <xf numFmtId="0" fontId="7" fillId="2" borderId="48" xfId="0" applyFont="1" applyFill="1" applyBorder="1" applyAlignment="1" applyProtection="1">
      <alignment horizontal="left"/>
      <protection hidden="1"/>
    </xf>
    <xf numFmtId="0" fontId="7" fillId="0" borderId="40" xfId="0" applyFont="1" applyBorder="1" applyAlignment="1" applyProtection="1">
      <alignment horizontal="center" vertical="center" wrapText="1"/>
      <protection locked="0" hidden="1"/>
    </xf>
    <xf numFmtId="0" fontId="7" fillId="4" borderId="39" xfId="0" applyFont="1" applyFill="1" applyBorder="1" applyAlignment="1" applyProtection="1">
      <alignment horizontal="center"/>
      <protection hidden="1"/>
    </xf>
    <xf numFmtId="0" fontId="7" fillId="4" borderId="2" xfId="0" applyFont="1" applyFill="1" applyBorder="1" applyAlignment="1" applyProtection="1">
      <alignment horizontal="center"/>
      <protection hidden="1"/>
    </xf>
    <xf numFmtId="0" fontId="7" fillId="2" borderId="40" xfId="0" applyFont="1" applyFill="1" applyBorder="1" applyProtection="1">
      <protection hidden="1"/>
    </xf>
    <xf numFmtId="0" fontId="24" fillId="0" borderId="0" xfId="0" applyFont="1" applyAlignment="1" applyProtection="1">
      <alignment horizontal="right" vertical="center"/>
      <protection hidden="1"/>
    </xf>
    <xf numFmtId="0" fontId="43" fillId="21" borderId="0" xfId="0" applyFont="1" applyFill="1" applyProtection="1">
      <protection hidden="1"/>
    </xf>
    <xf numFmtId="0" fontId="33" fillId="0" borderId="0" xfId="0" applyFont="1" applyAlignment="1" applyProtection="1">
      <alignment wrapText="1"/>
      <protection hidden="1"/>
    </xf>
    <xf numFmtId="0" fontId="24" fillId="0" borderId="0" xfId="0" applyFont="1" applyAlignment="1" applyProtection="1">
      <alignment wrapText="1"/>
      <protection hidden="1"/>
    </xf>
    <xf numFmtId="0" fontId="34" fillId="0" borderId="0" xfId="0" applyFont="1" applyAlignment="1" applyProtection="1">
      <alignment wrapText="1"/>
      <protection hidden="1"/>
    </xf>
    <xf numFmtId="0" fontId="7" fillId="2" borderId="40" xfId="0" applyFont="1" applyFill="1" applyBorder="1" applyAlignment="1" applyProtection="1">
      <alignment vertical="center"/>
      <protection hidden="1"/>
    </xf>
    <xf numFmtId="0" fontId="7" fillId="2" borderId="40" xfId="0" applyFont="1" applyFill="1" applyBorder="1" applyAlignment="1" applyProtection="1">
      <alignment vertical="center" wrapText="1"/>
      <protection hidden="1"/>
    </xf>
    <xf numFmtId="0" fontId="7" fillId="2" borderId="46" xfId="0" applyFont="1" applyFill="1" applyBorder="1" applyAlignment="1" applyProtection="1">
      <alignment vertical="center" wrapText="1"/>
      <protection hidden="1"/>
    </xf>
    <xf numFmtId="0" fontId="7" fillId="2" borderId="44" xfId="0" applyFont="1" applyFill="1" applyBorder="1" applyAlignment="1" applyProtection="1">
      <alignment vertical="center" wrapText="1"/>
      <protection hidden="1"/>
    </xf>
    <xf numFmtId="4" fontId="14" fillId="5" borderId="27" xfId="0" applyNumberFormat="1" applyFont="1" applyFill="1" applyBorder="1" applyAlignment="1" applyProtection="1">
      <alignment horizontal="center" vertical="center"/>
      <protection hidden="1"/>
    </xf>
    <xf numFmtId="4" fontId="14" fillId="5" borderId="39" xfId="0" applyNumberFormat="1" applyFont="1" applyFill="1" applyBorder="1" applyAlignment="1" applyProtection="1">
      <alignment horizontal="center" vertical="center"/>
      <protection hidden="1"/>
    </xf>
    <xf numFmtId="4" fontId="14" fillId="5" borderId="40" xfId="0" applyNumberFormat="1" applyFont="1" applyFill="1" applyBorder="1" applyAlignment="1" applyProtection="1">
      <alignment horizontal="center" vertical="center"/>
      <protection hidden="1"/>
    </xf>
    <xf numFmtId="0" fontId="7" fillId="2" borderId="27" xfId="0" applyFont="1" applyFill="1" applyBorder="1" applyAlignment="1" applyProtection="1">
      <alignment horizontal="left"/>
      <protection hidden="1"/>
    </xf>
    <xf numFmtId="0" fontId="7" fillId="2" borderId="39" xfId="0" applyFont="1" applyFill="1" applyBorder="1" applyAlignment="1" applyProtection="1">
      <alignment horizontal="left"/>
      <protection hidden="1"/>
    </xf>
    <xf numFmtId="0" fontId="7" fillId="2" borderId="40" xfId="0" applyFont="1" applyFill="1" applyBorder="1" applyAlignment="1" applyProtection="1">
      <alignment horizontal="left"/>
      <protection hidden="1"/>
    </xf>
    <xf numFmtId="4" fontId="14" fillId="4" borderId="2" xfId="0" applyNumberFormat="1" applyFont="1" applyFill="1" applyBorder="1" applyAlignment="1" applyProtection="1">
      <alignment horizontal="center" vertical="center"/>
      <protection hidden="1"/>
    </xf>
    <xf numFmtId="0" fontId="14" fillId="10" borderId="2" xfId="0" applyFont="1" applyFill="1" applyBorder="1" applyAlignment="1" applyProtection="1">
      <alignment horizontal="center" vertical="center" wrapText="1"/>
      <protection hidden="1"/>
    </xf>
    <xf numFmtId="4" fontId="14" fillId="5" borderId="2" xfId="0" applyNumberFormat="1" applyFont="1" applyFill="1" applyBorder="1" applyAlignment="1" applyProtection="1">
      <alignment horizontal="center" vertical="center"/>
      <protection hidden="1"/>
    </xf>
    <xf numFmtId="0" fontId="0" fillId="10" borderId="27" xfId="0" applyFill="1" applyBorder="1" applyAlignment="1" applyProtection="1">
      <alignment horizontal="center"/>
      <protection hidden="1"/>
    </xf>
    <xf numFmtId="0" fontId="0" fillId="10" borderId="39" xfId="0" applyFill="1" applyBorder="1" applyAlignment="1" applyProtection="1">
      <alignment horizontal="center"/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7" fillId="2" borderId="27" xfId="0" applyFont="1" applyFill="1" applyBorder="1" applyAlignment="1" applyProtection="1">
      <alignment horizontal="left" vertical="center"/>
      <protection hidden="1"/>
    </xf>
    <xf numFmtId="0" fontId="7" fillId="2" borderId="39" xfId="0" applyFont="1" applyFill="1" applyBorder="1" applyAlignment="1" applyProtection="1">
      <alignment horizontal="left" vertical="center"/>
      <protection hidden="1"/>
    </xf>
    <xf numFmtId="0" fontId="7" fillId="2" borderId="40" xfId="0" applyFont="1" applyFill="1" applyBorder="1" applyAlignment="1" applyProtection="1">
      <alignment horizontal="left" vertical="center"/>
      <protection hidden="1"/>
    </xf>
    <xf numFmtId="0" fontId="14" fillId="10" borderId="2" xfId="0" applyFont="1" applyFill="1" applyBorder="1" applyAlignment="1" applyProtection="1">
      <alignment horizontal="center"/>
      <protection hidden="1"/>
    </xf>
    <xf numFmtId="0" fontId="7" fillId="4" borderId="2" xfId="0" applyFont="1" applyFill="1" applyBorder="1" applyAlignment="1" applyProtection="1">
      <alignment horizontal="center"/>
      <protection hidden="1"/>
    </xf>
    <xf numFmtId="0" fontId="7" fillId="4" borderId="2" xfId="0" applyFont="1" applyFill="1" applyBorder="1" applyAlignment="1" applyProtection="1">
      <alignment horizontal="center" vertical="center" wrapText="1"/>
      <protection hidden="1"/>
    </xf>
    <xf numFmtId="4" fontId="14" fillId="10" borderId="39" xfId="0" applyNumberFormat="1" applyFont="1" applyFill="1" applyBorder="1" applyAlignment="1" applyProtection="1">
      <alignment horizontal="center" vertical="center"/>
      <protection hidden="1"/>
    </xf>
    <xf numFmtId="4" fontId="14" fillId="10" borderId="40" xfId="0" applyNumberFormat="1" applyFont="1" applyFill="1" applyBorder="1" applyAlignment="1" applyProtection="1">
      <alignment horizontal="center" vertical="center"/>
      <protection hidden="1"/>
    </xf>
    <xf numFmtId="4" fontId="14" fillId="13" borderId="2" xfId="0" applyNumberFormat="1" applyFont="1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/>
      <protection hidden="1"/>
    </xf>
    <xf numFmtId="0" fontId="7" fillId="0" borderId="39" xfId="0" applyFont="1" applyBorder="1" applyAlignment="1" applyProtection="1">
      <alignment horizontal="center"/>
      <protection hidden="1"/>
    </xf>
    <xf numFmtId="0" fontId="7" fillId="0" borderId="40" xfId="0" applyFont="1" applyBorder="1" applyAlignment="1" applyProtection="1">
      <alignment horizontal="center"/>
      <protection hidden="1"/>
    </xf>
    <xf numFmtId="0" fontId="7" fillId="0" borderId="39" xfId="0" applyFont="1" applyBorder="1" applyAlignment="1" applyProtection="1">
      <alignment horizontal="center" vertical="center" wrapText="1"/>
      <protection locked="0" hidden="1"/>
    </xf>
    <xf numFmtId="0" fontId="7" fillId="0" borderId="40" xfId="0" applyFont="1" applyBorder="1" applyAlignment="1" applyProtection="1">
      <alignment horizontal="center" vertical="center" wrapText="1"/>
      <protection locked="0" hidden="1"/>
    </xf>
    <xf numFmtId="0" fontId="7" fillId="0" borderId="39" xfId="0" applyFont="1" applyBorder="1" applyAlignment="1" applyProtection="1">
      <alignment horizontal="center" vertical="center"/>
      <protection locked="0" hidden="1"/>
    </xf>
    <xf numFmtId="0" fontId="7" fillId="0" borderId="40" xfId="0" applyFont="1" applyBorder="1" applyAlignment="1" applyProtection="1">
      <alignment horizontal="center" vertical="center"/>
      <protection locked="0" hidden="1"/>
    </xf>
    <xf numFmtId="0" fontId="7" fillId="4" borderId="12" xfId="0" applyFont="1" applyFill="1" applyBorder="1" applyAlignment="1" applyProtection="1">
      <alignment horizontal="center"/>
      <protection hidden="1"/>
    </xf>
    <xf numFmtId="0" fontId="7" fillId="4" borderId="17" xfId="0" applyFont="1" applyFill="1" applyBorder="1" applyAlignment="1" applyProtection="1">
      <alignment horizontal="center"/>
      <protection hidden="1"/>
    </xf>
    <xf numFmtId="0" fontId="7" fillId="4" borderId="27" xfId="0" applyFont="1" applyFill="1" applyBorder="1" applyAlignment="1" applyProtection="1">
      <alignment horizontal="center"/>
      <protection hidden="1"/>
    </xf>
    <xf numFmtId="0" fontId="7" fillId="4" borderId="39" xfId="0" applyFont="1" applyFill="1" applyBorder="1" applyAlignment="1" applyProtection="1">
      <alignment horizontal="center"/>
      <protection hidden="1"/>
    </xf>
    <xf numFmtId="0" fontId="7" fillId="4" borderId="40" xfId="0" applyFont="1" applyFill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8" fillId="0" borderId="6" xfId="0" applyFont="1" applyBorder="1" applyAlignment="1" applyProtection="1">
      <alignment horizontal="center"/>
      <protection hidden="1"/>
    </xf>
    <xf numFmtId="0" fontId="8" fillId="0" borderId="2" xfId="0" applyFont="1" applyBorder="1" applyAlignment="1" applyProtection="1">
      <alignment horizontal="center"/>
      <protection hidden="1"/>
    </xf>
    <xf numFmtId="0" fontId="8" fillId="0" borderId="7" xfId="0" applyFont="1" applyBorder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/>
      <protection hidden="1"/>
    </xf>
    <xf numFmtId="0" fontId="8" fillId="0" borderId="9" xfId="0" applyFont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14" fillId="10" borderId="4" xfId="0" applyFont="1" applyFill="1" applyBorder="1" applyAlignment="1" applyProtection="1">
      <alignment horizontal="center"/>
      <protection hidden="1"/>
    </xf>
    <xf numFmtId="0" fontId="14" fillId="10" borderId="5" xfId="0" applyFont="1" applyFill="1" applyBorder="1" applyAlignment="1" applyProtection="1">
      <alignment horizontal="center"/>
      <protection hidden="1"/>
    </xf>
    <xf numFmtId="0" fontId="7" fillId="2" borderId="9" xfId="0" applyFont="1" applyFill="1" applyBorder="1" applyAlignment="1" applyProtection="1">
      <alignment horizontal="center" vertical="center"/>
      <protection hidden="1"/>
    </xf>
    <xf numFmtId="0" fontId="7" fillId="2" borderId="10" xfId="0" applyFont="1" applyFill="1" applyBorder="1" applyAlignment="1" applyProtection="1">
      <alignment horizontal="center" vertical="center"/>
      <protection hidden="1"/>
    </xf>
    <xf numFmtId="0" fontId="14" fillId="10" borderId="3" xfId="0" applyFont="1" applyFill="1" applyBorder="1" applyAlignment="1" applyProtection="1">
      <alignment horizontal="center"/>
      <protection hidden="1"/>
    </xf>
    <xf numFmtId="0" fontId="7" fillId="2" borderId="49" xfId="0" applyFont="1" applyFill="1" applyBorder="1" applyAlignment="1" applyProtection="1">
      <alignment horizontal="center" vertical="center" wrapText="1"/>
      <protection hidden="1"/>
    </xf>
    <xf numFmtId="0" fontId="7" fillId="2" borderId="50" xfId="0" applyFont="1" applyFill="1" applyBorder="1" applyAlignment="1" applyProtection="1">
      <alignment horizontal="center" vertical="center" wrapText="1"/>
      <protection hidden="1"/>
    </xf>
    <xf numFmtId="0" fontId="7" fillId="2" borderId="51" xfId="0" applyFont="1" applyFill="1" applyBorder="1" applyAlignment="1" applyProtection="1">
      <alignment horizontal="center" vertical="center" wrapText="1"/>
      <protection hidden="1"/>
    </xf>
    <xf numFmtId="0" fontId="8" fillId="0" borderId="53" xfId="0" applyFont="1" applyBorder="1" applyAlignment="1" applyProtection="1">
      <alignment horizontal="center"/>
      <protection hidden="1"/>
    </xf>
    <xf numFmtId="0" fontId="8" fillId="0" borderId="39" xfId="0" applyFont="1" applyBorder="1" applyAlignment="1" applyProtection="1">
      <alignment horizontal="center"/>
      <protection hidden="1"/>
    </xf>
    <xf numFmtId="0" fontId="8" fillId="0" borderId="54" xfId="0" applyFont="1" applyBorder="1" applyAlignment="1" applyProtection="1">
      <alignment horizontal="center"/>
      <protection hidden="1"/>
    </xf>
    <xf numFmtId="0" fontId="14" fillId="0" borderId="53" xfId="0" applyFont="1" applyBorder="1" applyAlignment="1" applyProtection="1">
      <alignment horizontal="center"/>
      <protection hidden="1"/>
    </xf>
    <xf numFmtId="0" fontId="14" fillId="0" borderId="39" xfId="0" applyFont="1" applyBorder="1" applyAlignment="1" applyProtection="1">
      <alignment horizontal="center"/>
      <protection hidden="1"/>
    </xf>
    <xf numFmtId="0" fontId="14" fillId="0" borderId="54" xfId="0" applyFont="1" applyBorder="1" applyAlignment="1" applyProtection="1">
      <alignment horizontal="center"/>
      <protection hidden="1"/>
    </xf>
    <xf numFmtId="0" fontId="14" fillId="5" borderId="2" xfId="0" applyFont="1" applyFill="1" applyBorder="1" applyAlignment="1" applyProtection="1">
      <alignment horizontal="center" vertical="center"/>
      <protection hidden="1"/>
    </xf>
    <xf numFmtId="4" fontId="14" fillId="4" borderId="27" xfId="0" applyNumberFormat="1" applyFont="1" applyFill="1" applyBorder="1" applyAlignment="1" applyProtection="1">
      <alignment horizontal="center" vertical="center"/>
      <protection hidden="1"/>
    </xf>
    <xf numFmtId="4" fontId="14" fillId="4" borderId="39" xfId="0" applyNumberFormat="1" applyFont="1" applyFill="1" applyBorder="1" applyAlignment="1" applyProtection="1">
      <alignment horizontal="center" vertical="center"/>
      <protection hidden="1"/>
    </xf>
    <xf numFmtId="4" fontId="14" fillId="4" borderId="40" xfId="0" applyNumberFormat="1" applyFont="1" applyFill="1" applyBorder="1" applyAlignment="1" applyProtection="1">
      <alignment horizontal="center" vertical="center"/>
      <protection hidden="1"/>
    </xf>
    <xf numFmtId="0" fontId="14" fillId="10" borderId="27" xfId="0" applyFont="1" applyFill="1" applyBorder="1" applyAlignment="1" applyProtection="1">
      <alignment horizontal="center" vertical="center" wrapText="1"/>
      <protection hidden="1"/>
    </xf>
    <xf numFmtId="0" fontId="14" fillId="10" borderId="39" xfId="0" applyFont="1" applyFill="1" applyBorder="1" applyAlignment="1" applyProtection="1">
      <alignment horizontal="center" vertical="center" wrapText="1"/>
      <protection hidden="1"/>
    </xf>
    <xf numFmtId="0" fontId="14" fillId="10" borderId="40" xfId="0" applyFont="1" applyFill="1" applyBorder="1" applyAlignment="1" applyProtection="1">
      <alignment horizontal="center" vertical="center" wrapText="1"/>
      <protection hidden="1"/>
    </xf>
    <xf numFmtId="0" fontId="14" fillId="4" borderId="2" xfId="0" applyFont="1" applyFill="1" applyBorder="1" applyAlignment="1" applyProtection="1">
      <alignment horizontal="center" vertical="center"/>
      <protection hidden="1"/>
    </xf>
    <xf numFmtId="0" fontId="14" fillId="10" borderId="27" xfId="0" applyFont="1" applyFill="1" applyBorder="1" applyAlignment="1" applyProtection="1">
      <alignment horizontal="center" vertical="center"/>
      <protection hidden="1"/>
    </xf>
    <xf numFmtId="0" fontId="14" fillId="10" borderId="39" xfId="0" applyFont="1" applyFill="1" applyBorder="1" applyAlignment="1" applyProtection="1">
      <alignment horizontal="center" vertical="center"/>
      <protection hidden="1"/>
    </xf>
    <xf numFmtId="0" fontId="14" fillId="13" borderId="2" xfId="0" applyFont="1" applyFill="1" applyBorder="1" applyAlignment="1" applyProtection="1">
      <alignment horizontal="center" vertical="center"/>
      <protection locked="0"/>
    </xf>
    <xf numFmtId="0" fontId="14" fillId="10" borderId="40" xfId="0" applyFont="1" applyFill="1" applyBorder="1" applyAlignment="1" applyProtection="1">
      <alignment horizontal="center" vertical="center"/>
      <protection hidden="1"/>
    </xf>
    <xf numFmtId="0" fontId="14" fillId="5" borderId="27" xfId="0" applyFont="1" applyFill="1" applyBorder="1" applyAlignment="1" applyProtection="1">
      <alignment horizontal="center" vertical="center"/>
      <protection hidden="1"/>
    </xf>
    <xf numFmtId="0" fontId="14" fillId="5" borderId="39" xfId="0" applyFont="1" applyFill="1" applyBorder="1" applyAlignment="1" applyProtection="1">
      <alignment horizontal="center" vertical="center"/>
      <protection hidden="1"/>
    </xf>
    <xf numFmtId="0" fontId="14" fillId="5" borderId="40" xfId="0" applyFont="1" applyFill="1" applyBorder="1" applyAlignment="1" applyProtection="1">
      <alignment horizontal="center" vertical="center"/>
      <protection hidden="1"/>
    </xf>
  </cellXfs>
  <cellStyles count="2">
    <cellStyle name="Обычный" xfId="0" builtinId="0"/>
    <cellStyle name="Обычный_Feuil1" xfId="1" xr:uid="{00000000-0005-0000-0000-000001000000}"/>
  </cellStyles>
  <dxfs count="25"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firstButton="1" fmlaLink="Расчет!$D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771525</xdr:colOff>
          <xdr:row>3</xdr:row>
          <xdr:rowOff>85725</xdr:rowOff>
        </xdr:from>
        <xdr:to>
          <xdr:col>9</xdr:col>
          <xdr:colOff>295275</xdr:colOff>
          <xdr:row>3</xdr:row>
          <xdr:rowOff>333375</xdr:rowOff>
        </xdr:to>
        <xdr:sp macro="" textlink="">
          <xdr:nvSpPr>
            <xdr:cNvPr id="1066" name="Option Button 42" descr="Конструктор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771525</xdr:colOff>
          <xdr:row>5</xdr:row>
          <xdr:rowOff>114300</xdr:rowOff>
        </xdr:from>
        <xdr:to>
          <xdr:col>9</xdr:col>
          <xdr:colOff>295275</xdr:colOff>
          <xdr:row>5</xdr:row>
          <xdr:rowOff>361950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771525</xdr:colOff>
          <xdr:row>7</xdr:row>
          <xdr:rowOff>85725</xdr:rowOff>
        </xdr:from>
        <xdr:to>
          <xdr:col>9</xdr:col>
          <xdr:colOff>295275</xdr:colOff>
          <xdr:row>7</xdr:row>
          <xdr:rowOff>304800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AT47"/>
  <sheetViews>
    <sheetView tabSelected="1" topLeftCell="B1" zoomScaleNormal="100" workbookViewId="0">
      <selection activeCell="I19" sqref="I19"/>
    </sheetView>
  </sheetViews>
  <sheetFormatPr defaultRowHeight="15" x14ac:dyDescent="0.25"/>
  <cols>
    <col min="1" max="1" width="9.140625" style="595"/>
    <col min="2" max="2" width="10" style="595" customWidth="1"/>
    <col min="3" max="5" width="5.7109375" style="595" customWidth="1"/>
    <col min="6" max="6" width="5.140625" style="595" customWidth="1"/>
    <col min="7" max="7" width="7.28515625" style="595" customWidth="1"/>
    <col min="8" max="8" width="5.140625" style="595" customWidth="1"/>
    <col min="9" max="9" width="11.7109375" style="595" customWidth="1"/>
    <col min="10" max="10" width="6.42578125" style="595" customWidth="1"/>
    <col min="11" max="11" width="14" style="595" customWidth="1"/>
    <col min="12" max="12" width="5.140625" style="595" customWidth="1"/>
    <col min="13" max="13" width="13.7109375" style="595" customWidth="1"/>
    <col min="14" max="15" width="5.140625" style="595" customWidth="1"/>
    <col min="16" max="16" width="9.140625" style="595"/>
    <col min="17" max="17" width="11" style="595" customWidth="1"/>
    <col min="18" max="18" width="15.5703125" style="595" customWidth="1"/>
    <col min="19" max="19" width="11.28515625" style="595" customWidth="1"/>
    <col min="20" max="20" width="9.140625" style="595" hidden="1" customWidth="1"/>
    <col min="21" max="21" width="44" style="595" hidden="1" customWidth="1"/>
    <col min="22" max="24" width="9.140625" style="595" hidden="1" customWidth="1"/>
    <col min="25" max="25" width="16.5703125" style="595" hidden="1" customWidth="1"/>
    <col min="26" max="26" width="24.42578125" style="595" hidden="1" customWidth="1"/>
    <col min="27" max="27" width="12.28515625" style="595" hidden="1" customWidth="1"/>
    <col min="28" max="28" width="19.42578125" style="595" hidden="1" customWidth="1"/>
    <col min="29" max="46" width="9.140625" style="595" hidden="1" customWidth="1"/>
    <col min="47" max="48" width="9.140625" style="595" customWidth="1"/>
    <col min="49" max="16384" width="9.140625" style="595"/>
  </cols>
  <sheetData>
    <row r="1" spans="2:45" ht="9" customHeight="1" x14ac:dyDescent="0.25"/>
    <row r="2" spans="2:45" ht="18" customHeight="1" x14ac:dyDescent="0.3">
      <c r="B2" s="734" t="s">
        <v>810</v>
      </c>
      <c r="C2" s="734"/>
      <c r="D2" s="734"/>
      <c r="E2" s="734"/>
      <c r="F2" s="734"/>
      <c r="G2" s="734"/>
      <c r="H2" s="734"/>
      <c r="I2" s="734"/>
      <c r="J2" s="734"/>
      <c r="K2" s="734"/>
      <c r="L2" s="734"/>
      <c r="Q2" s="596" t="s">
        <v>971</v>
      </c>
      <c r="U2" s="595" t="s">
        <v>964</v>
      </c>
    </row>
    <row r="3" spans="2:45" ht="7.5" customHeight="1" x14ac:dyDescent="0.25"/>
    <row r="4" spans="2:45" ht="32.25" customHeight="1" x14ac:dyDescent="0.25">
      <c r="B4" s="708" t="s">
        <v>354</v>
      </c>
      <c r="C4" s="708"/>
      <c r="D4" s="708"/>
      <c r="E4" s="708"/>
      <c r="F4" s="708"/>
      <c r="G4" s="708"/>
      <c r="H4" s="708"/>
      <c r="I4" s="708"/>
      <c r="J4" s="708"/>
      <c r="K4" s="759" t="s">
        <v>598</v>
      </c>
      <c r="L4" s="760"/>
      <c r="M4" s="761"/>
      <c r="N4" s="708" t="s">
        <v>619</v>
      </c>
      <c r="O4" s="708"/>
      <c r="P4" s="708"/>
      <c r="Q4" s="708"/>
      <c r="R4" s="597"/>
      <c r="S4" s="598"/>
      <c r="T4" s="598"/>
      <c r="U4" s="599">
        <f>Цена!I212</f>
        <v>706.2129999999994</v>
      </c>
      <c r="V4" s="599">
        <f>SUM(V5:V29)</f>
        <v>706.21299999999997</v>
      </c>
      <c r="Y4" s="600" t="s">
        <v>41</v>
      </c>
      <c r="Z4" s="601" t="s">
        <v>149</v>
      </c>
      <c r="AA4" s="602" t="s">
        <v>163</v>
      </c>
      <c r="AB4" s="603" t="s">
        <v>493</v>
      </c>
    </row>
    <row r="5" spans="2:45" ht="18" customHeight="1" x14ac:dyDescent="0.25">
      <c r="B5" s="755" t="str">
        <f>IF(Расчет!D1=1,Расчет!H1," --- ")</f>
        <v xml:space="preserve"> --- </v>
      </c>
      <c r="C5" s="755"/>
      <c r="D5" s="755"/>
      <c r="E5" s="755"/>
      <c r="F5" s="755"/>
      <c r="G5" s="755"/>
      <c r="H5" s="755"/>
      <c r="I5" s="755"/>
      <c r="J5" s="755"/>
      <c r="K5" s="701" t="str">
        <f>IF(Расчет!D1=1,Цена!I230,"---")</f>
        <v>---</v>
      </c>
      <c r="L5" s="702"/>
      <c r="M5" s="703"/>
      <c r="N5" s="709" t="str">
        <f>IF(Расчет!D1=1,Цена!I235,"---")</f>
        <v>---</v>
      </c>
      <c r="O5" s="709"/>
      <c r="P5" s="709"/>
      <c r="Q5" s="709"/>
      <c r="R5" s="604"/>
      <c r="S5" s="604"/>
      <c r="T5" s="604"/>
      <c r="U5" s="605" t="s">
        <v>488</v>
      </c>
      <c r="V5" s="606">
        <f>Цена!L12</f>
        <v>8.2900000000000009</v>
      </c>
      <c r="W5" s="599"/>
      <c r="Y5" s="607" t="s">
        <v>492</v>
      </c>
      <c r="Z5" s="608" t="str">
        <f>Расчет!F12</f>
        <v>Питание 3 фазы (3Р/N/PE)</v>
      </c>
      <c r="AA5" s="608">
        <f>E15</f>
        <v>0</v>
      </c>
      <c r="AB5" s="609"/>
      <c r="AC5" s="609"/>
    </row>
    <row r="6" spans="2:45" ht="34.5" customHeight="1" x14ac:dyDescent="0.25">
      <c r="B6" s="708" t="s">
        <v>355</v>
      </c>
      <c r="C6" s="708"/>
      <c r="D6" s="708"/>
      <c r="E6" s="708"/>
      <c r="F6" s="708"/>
      <c r="G6" s="708"/>
      <c r="H6" s="708"/>
      <c r="I6" s="708"/>
      <c r="J6" s="708"/>
      <c r="K6" s="722"/>
      <c r="L6" s="722"/>
      <c r="M6" s="722"/>
      <c r="N6" s="710"/>
      <c r="O6" s="711"/>
      <c r="P6" s="711"/>
      <c r="Q6" s="712"/>
      <c r="R6" s="610"/>
      <c r="S6" s="610"/>
      <c r="T6" s="610"/>
      <c r="U6" s="611" t="s">
        <v>413</v>
      </c>
      <c r="V6" s="611"/>
      <c r="Y6" s="612" t="s">
        <v>484</v>
      </c>
      <c r="Z6" s="613"/>
      <c r="AA6" s="613">
        <f>AC6+AD6</f>
        <v>1</v>
      </c>
      <c r="AC6" s="595">
        <f>IF(OR(AA7=100,AA7=101,AA7=102,AA7=103,AA7=104,AA7=120,AA7=121,AA7=122,AA7=123,AA7=124,AA7=140,AA7=141,AA7=142,AA7=143,AA7=160,AA7=161,AA7=162,AA7=163),1,0)</f>
        <v>1</v>
      </c>
      <c r="AD6" s="595">
        <f>IF(OR(AA7=110,AA7=111,AA7=112,AA7=113,AA7=114,AA7=130,AA7=131,AA7=132,AA7=133,AA7=134,AA7=150,AA7=151,AA7=152,AA7=153,AA7=170,AA7=171,AA7=172,AA7=173),2,0)</f>
        <v>0</v>
      </c>
    </row>
    <row r="7" spans="2:45" ht="18.75" customHeight="1" x14ac:dyDescent="0.25">
      <c r="B7" s="762" t="str">
        <f>IF(Расчет!D1=2,Расчет!H2,"---")</f>
        <v>ВЕРСА 210-Ф120-А3Р00025-01Э0150А-ХХХХХХХХ-Д0-М</v>
      </c>
      <c r="C7" s="762"/>
      <c r="D7" s="762"/>
      <c r="E7" s="762"/>
      <c r="F7" s="762"/>
      <c r="G7" s="762"/>
      <c r="H7" s="762"/>
      <c r="I7" s="762"/>
      <c r="J7" s="762"/>
      <c r="K7" s="756">
        <f>IF(Расчет!D1=2,Цена!I230,"---")</f>
        <v>47195</v>
      </c>
      <c r="L7" s="757"/>
      <c r="M7" s="758"/>
      <c r="N7" s="707">
        <f>IF(Расчет!D1=2,Цена!I235,"---")</f>
        <v>56634</v>
      </c>
      <c r="O7" s="707"/>
      <c r="P7" s="707"/>
      <c r="Q7" s="707"/>
      <c r="R7" s="604"/>
      <c r="S7" s="604"/>
      <c r="T7" s="604"/>
      <c r="U7" s="611" t="s">
        <v>562</v>
      </c>
      <c r="V7" s="614">
        <f>Цена!L24</f>
        <v>228.34</v>
      </c>
      <c r="Y7" s="612" t="s">
        <v>485</v>
      </c>
      <c r="Z7" s="613" t="str">
        <f>Расчет!F32</f>
        <v>Ф120</v>
      </c>
      <c r="AA7" s="615">
        <f>--MID($G$15,2,3)</f>
        <v>120</v>
      </c>
      <c r="AB7" s="609"/>
    </row>
    <row r="8" spans="2:45" ht="26.25" customHeight="1" x14ac:dyDescent="0.25">
      <c r="B8" s="763" t="s">
        <v>620</v>
      </c>
      <c r="C8" s="764"/>
      <c r="D8" s="764"/>
      <c r="E8" s="764"/>
      <c r="F8" s="764"/>
      <c r="G8" s="764"/>
      <c r="H8" s="764"/>
      <c r="I8" s="764"/>
      <c r="J8" s="764"/>
      <c r="K8" s="719"/>
      <c r="L8" s="719"/>
      <c r="M8" s="719"/>
      <c r="N8" s="719"/>
      <c r="O8" s="719"/>
      <c r="P8" s="719"/>
      <c r="Q8" s="720"/>
      <c r="R8" s="604"/>
      <c r="S8" s="604"/>
      <c r="T8" s="604"/>
      <c r="U8" s="611" t="s">
        <v>482</v>
      </c>
      <c r="V8" s="614">
        <f>Цена!L36</f>
        <v>0</v>
      </c>
      <c r="Y8" s="612" t="s">
        <v>487</v>
      </c>
      <c r="Z8" s="613"/>
      <c r="AA8" s="613">
        <f>IF(AND(OR(AA7=100,AA7=101,AA7=102,AA7=103,AA7=104,AA7=110,AA7=111,AA7=112,AA7=113,AA7=114,AA7=140,AA7=141,AA7=142,AA7=143,AA7=150,AA7=151,AA7=152,AA7=153)),1,2)</f>
        <v>2</v>
      </c>
      <c r="AB8" s="616" t="str">
        <f>IF(AND(AA8=1,AA5=1),AJ17:AJ21,IF(AND(AA8=1,AA5=0),AJ17:AJ26,AJ27))</f>
        <v>ХХХХХХХХ</v>
      </c>
      <c r="AC8" s="595">
        <f>IF(AND(OR(AA7=100,AA7=101,AA7=102,AA7=103,AA7=104,AA7=110,AA7=111,AA7=112,AA7=113,AA7=114,AA7=140,AA7=141,AA7=142,AA7=143,AA7=150,AA7=151,AA7=152,AA7=153)),1,2)</f>
        <v>2</v>
      </c>
    </row>
    <row r="9" spans="2:45" ht="18.75" customHeight="1" x14ac:dyDescent="0.25">
      <c r="B9" s="765" t="s">
        <v>972</v>
      </c>
      <c r="C9" s="765"/>
      <c r="D9" s="765"/>
      <c r="E9" s="765"/>
      <c r="F9" s="765"/>
      <c r="G9" s="765"/>
      <c r="H9" s="765"/>
      <c r="I9" s="765"/>
      <c r="J9" s="765"/>
      <c r="K9" s="721" t="str">
        <f>IF(Расчет!D1=3,Цена!I230,"---")</f>
        <v>---</v>
      </c>
      <c r="L9" s="721"/>
      <c r="M9" s="721"/>
      <c r="N9" s="721" t="str">
        <f>IF(Расчет!D1=3,Цена!I235,"---")</f>
        <v>---</v>
      </c>
      <c r="O9" s="721"/>
      <c r="P9" s="721"/>
      <c r="Q9" s="721"/>
      <c r="R9" s="604"/>
      <c r="S9" s="604"/>
      <c r="T9" s="604"/>
      <c r="U9" s="611" t="s">
        <v>138</v>
      </c>
      <c r="V9" s="614">
        <f>Цена!L48</f>
        <v>0</v>
      </c>
      <c r="Y9" s="617" t="s">
        <v>402</v>
      </c>
      <c r="Z9" s="618" t="str">
        <f>Расчет!F24</f>
        <v>Нет</v>
      </c>
      <c r="AA9" s="618">
        <f>Расчет!C83</f>
        <v>0</v>
      </c>
      <c r="AB9" s="616" t="str">
        <f>IF(AND(AA9=1,AA5=0),AJ17:AJ26,IF(AND(AA9=1,AA5=1),AJ17:AJ21,AJ27))</f>
        <v>ХХХХХХХХ</v>
      </c>
      <c r="AC9" s="595">
        <f>IF(AND(OR(AA7=103,AA7=113,AA7=123,AA7=133,AA7=142,AA7=152,AA7=162,AA7=172)),1,0)</f>
        <v>0</v>
      </c>
    </row>
    <row r="10" spans="2:45" ht="12" customHeight="1" x14ac:dyDescent="0.25">
      <c r="B10" s="619"/>
      <c r="C10" s="619"/>
      <c r="D10" s="619"/>
      <c r="E10" s="619"/>
      <c r="F10" s="619"/>
      <c r="G10" s="619"/>
      <c r="H10" s="619"/>
      <c r="I10" s="619"/>
      <c r="J10" s="619"/>
      <c r="K10" s="604"/>
      <c r="L10" s="604"/>
      <c r="M10" s="604"/>
      <c r="N10" s="604"/>
      <c r="O10" s="604"/>
      <c r="P10" s="604"/>
      <c r="Q10" s="604"/>
      <c r="R10" s="604"/>
      <c r="S10" s="604"/>
      <c r="U10" s="620" t="s">
        <v>636</v>
      </c>
      <c r="V10" s="621">
        <f>Цена!L59</f>
        <v>0</v>
      </c>
    </row>
    <row r="11" spans="2:45" ht="15.75" x14ac:dyDescent="0.25">
      <c r="B11" s="763" t="s">
        <v>827</v>
      </c>
      <c r="C11" s="764"/>
      <c r="D11" s="764"/>
      <c r="E11" s="764"/>
      <c r="F11" s="764"/>
      <c r="G11" s="764"/>
      <c r="H11" s="764"/>
      <c r="I11" s="764"/>
      <c r="J11" s="766"/>
      <c r="K11" s="622"/>
      <c r="L11" s="623"/>
      <c r="M11" s="624"/>
      <c r="N11" s="622"/>
      <c r="O11" s="623"/>
      <c r="P11" s="623"/>
      <c r="Q11" s="624"/>
      <c r="R11" s="604"/>
      <c r="S11" s="604"/>
      <c r="T11" s="604"/>
      <c r="U11" s="620" t="s">
        <v>637</v>
      </c>
      <c r="V11" s="621">
        <f>Цена!L68</f>
        <v>0</v>
      </c>
      <c r="Y11" s="625"/>
      <c r="Z11" s="625"/>
      <c r="AA11" s="625"/>
      <c r="AB11" s="625"/>
      <c r="AC11" s="625"/>
      <c r="AD11" s="625"/>
      <c r="AE11" s="625"/>
      <c r="AF11" s="625"/>
      <c r="AG11" s="625"/>
      <c r="AH11" s="625"/>
      <c r="AI11" s="625"/>
      <c r="AJ11" s="625"/>
      <c r="AK11" s="625"/>
      <c r="AL11" s="625"/>
      <c r="AM11" s="625"/>
    </row>
    <row r="12" spans="2:45" ht="15.75" x14ac:dyDescent="0.25">
      <c r="B12" s="767" t="str">
        <f>Расчет_ЭК!D3</f>
        <v>ВЕРСА 410-Ф001-01Э0150А-Д0-М</v>
      </c>
      <c r="C12" s="768"/>
      <c r="D12" s="768"/>
      <c r="E12" s="768"/>
      <c r="F12" s="768"/>
      <c r="G12" s="768"/>
      <c r="H12" s="768"/>
      <c r="I12" s="768"/>
      <c r="J12" s="769"/>
      <c r="K12" s="701">
        <f>IF(Расчет_ЭК!H106=0,"---",Расчет_ЭК!H106)</f>
        <v>39870</v>
      </c>
      <c r="L12" s="702"/>
      <c r="M12" s="703"/>
      <c r="N12" s="701">
        <f>IF(Расчет_ЭК!H108=0,"---",Расчет_ЭК!H108)</f>
        <v>47844</v>
      </c>
      <c r="O12" s="702"/>
      <c r="P12" s="702"/>
      <c r="Q12" s="703"/>
      <c r="T12" s="604"/>
      <c r="U12" s="620" t="s">
        <v>397</v>
      </c>
      <c r="V12" s="621">
        <f>Цена!L80</f>
        <v>0</v>
      </c>
      <c r="Y12" s="625"/>
      <c r="Z12" s="625"/>
      <c r="AA12" s="625"/>
      <c r="AB12" s="625"/>
      <c r="AC12" s="625"/>
      <c r="AD12" s="625"/>
      <c r="AE12" s="625"/>
      <c r="AF12" s="625"/>
      <c r="AG12" s="625"/>
      <c r="AH12" s="625"/>
      <c r="AI12" s="625"/>
      <c r="AJ12" s="625"/>
      <c r="AK12" s="625"/>
      <c r="AL12" s="625"/>
      <c r="AM12" s="625"/>
    </row>
    <row r="13" spans="2:45" ht="6.75" customHeight="1" x14ac:dyDescent="0.25">
      <c r="B13" s="619"/>
      <c r="C13" s="619"/>
      <c r="D13" s="619"/>
      <c r="E13" s="619"/>
      <c r="F13" s="619"/>
      <c r="G13" s="619"/>
      <c r="H13" s="619"/>
      <c r="I13" s="619"/>
      <c r="J13" s="604"/>
      <c r="K13" s="604"/>
      <c r="L13" s="604"/>
      <c r="M13" s="604"/>
      <c r="U13" s="626" t="s">
        <v>398</v>
      </c>
      <c r="V13" s="627">
        <f>Цена!L90</f>
        <v>6.9000000000000012</v>
      </c>
      <c r="Y13" s="628"/>
      <c r="Z13" s="629"/>
      <c r="AA13" s="630"/>
      <c r="AB13" s="631"/>
      <c r="AC13" s="631"/>
      <c r="AD13" s="631" t="s">
        <v>477</v>
      </c>
      <c r="AE13" s="631" t="s">
        <v>477</v>
      </c>
      <c r="AF13" s="632" t="s">
        <v>245</v>
      </c>
      <c r="AG13" s="628"/>
      <c r="AH13" s="628"/>
      <c r="AI13" s="633"/>
      <c r="AJ13" s="633"/>
      <c r="AK13" s="631"/>
      <c r="AL13" s="633"/>
      <c r="AN13" s="632" t="s">
        <v>245</v>
      </c>
      <c r="AS13" s="632" t="s">
        <v>245</v>
      </c>
    </row>
    <row r="14" spans="2:45" ht="6.75" customHeight="1" x14ac:dyDescent="0.25">
      <c r="E14" s="634" t="s">
        <v>496</v>
      </c>
      <c r="F14" s="634"/>
      <c r="G14" s="634" t="s">
        <v>495</v>
      </c>
      <c r="H14" s="634"/>
      <c r="I14" s="634" t="s">
        <v>494</v>
      </c>
      <c r="J14" s="634"/>
      <c r="K14" s="634" t="s">
        <v>416</v>
      </c>
      <c r="L14" s="634"/>
      <c r="M14" s="634" t="s">
        <v>402</v>
      </c>
      <c r="R14" s="635"/>
      <c r="S14" s="635"/>
      <c r="U14" s="636" t="s">
        <v>638</v>
      </c>
      <c r="V14" s="637">
        <f>Цена!L101</f>
        <v>0</v>
      </c>
      <c r="Y14" s="638" t="s">
        <v>480</v>
      </c>
      <c r="Z14" s="629"/>
      <c r="AA14" s="631" t="s">
        <v>479</v>
      </c>
      <c r="AB14" s="631"/>
      <c r="AC14" s="631"/>
      <c r="AD14" s="631" t="s">
        <v>475</v>
      </c>
      <c r="AE14" s="631" t="s">
        <v>478</v>
      </c>
      <c r="AF14" s="639" t="s">
        <v>486</v>
      </c>
      <c r="AG14" s="628"/>
      <c r="AH14" s="628"/>
      <c r="AI14" s="633"/>
      <c r="AJ14" s="633"/>
      <c r="AK14" s="640" t="s">
        <v>488</v>
      </c>
      <c r="AL14" s="641"/>
      <c r="AN14" s="639" t="s">
        <v>486</v>
      </c>
      <c r="AQ14" s="640" t="s">
        <v>488</v>
      </c>
      <c r="AR14" s="641"/>
      <c r="AS14" s="639" t="s">
        <v>486</v>
      </c>
    </row>
    <row r="15" spans="2:45" ht="15.75" x14ac:dyDescent="0.25">
      <c r="B15" s="642" t="str">
        <f>Расчет!E34</f>
        <v xml:space="preserve">ВЕРСА </v>
      </c>
      <c r="C15" s="642">
        <f>Расчет!E35</f>
        <v>2</v>
      </c>
      <c r="D15" s="643">
        <v>1</v>
      </c>
      <c r="E15" s="643">
        <v>0</v>
      </c>
      <c r="F15" s="642" t="s">
        <v>209</v>
      </c>
      <c r="G15" s="643" t="s">
        <v>91</v>
      </c>
      <c r="H15" s="642" t="s">
        <v>209</v>
      </c>
      <c r="I15" s="643" t="s">
        <v>106</v>
      </c>
      <c r="J15" s="642" t="s">
        <v>209</v>
      </c>
      <c r="K15" s="643" t="s">
        <v>682</v>
      </c>
      <c r="L15" s="642" t="s">
        <v>209</v>
      </c>
      <c r="M15" s="643" t="s">
        <v>474</v>
      </c>
      <c r="N15" s="642" t="s">
        <v>209</v>
      </c>
      <c r="O15" s="643" t="s">
        <v>362</v>
      </c>
      <c r="P15" s="642" t="s">
        <v>209</v>
      </c>
      <c r="Q15" s="643" t="s">
        <v>147</v>
      </c>
      <c r="R15" s="644"/>
      <c r="S15" s="644"/>
      <c r="T15" s="635"/>
      <c r="U15" s="636" t="s">
        <v>639</v>
      </c>
      <c r="V15" s="637">
        <f>Цена!L110</f>
        <v>0</v>
      </c>
      <c r="Y15" s="645" t="s">
        <v>477</v>
      </c>
      <c r="Z15" s="645" t="s">
        <v>477</v>
      </c>
      <c r="AA15" s="645" t="s">
        <v>138</v>
      </c>
      <c r="AB15" s="645" t="s">
        <v>137</v>
      </c>
      <c r="AC15" s="645" t="s">
        <v>137</v>
      </c>
      <c r="AD15" s="631" t="s">
        <v>476</v>
      </c>
      <c r="AE15" s="631" t="s">
        <v>476</v>
      </c>
      <c r="AF15" s="632" t="s">
        <v>446</v>
      </c>
      <c r="AG15" s="628"/>
      <c r="AH15" s="628"/>
      <c r="AI15" s="633"/>
      <c r="AJ15" s="628"/>
      <c r="AK15" s="618" t="s">
        <v>138</v>
      </c>
      <c r="AL15" s="618" t="s">
        <v>137</v>
      </c>
      <c r="AM15" s="631" t="s">
        <v>398</v>
      </c>
      <c r="AN15" s="632" t="s">
        <v>416</v>
      </c>
      <c r="AQ15" s="646" t="s">
        <v>138</v>
      </c>
      <c r="AR15" s="646" t="s">
        <v>137</v>
      </c>
      <c r="AS15" s="632" t="s">
        <v>402</v>
      </c>
    </row>
    <row r="16" spans="2:45" ht="9" customHeight="1" x14ac:dyDescent="0.25">
      <c r="C16" s="644"/>
      <c r="D16" s="644"/>
      <c r="E16" s="644"/>
      <c r="F16" s="644"/>
      <c r="G16" s="647"/>
      <c r="H16" s="644"/>
      <c r="I16" s="644"/>
      <c r="J16" s="644"/>
      <c r="K16" s="644"/>
      <c r="L16" s="644"/>
      <c r="M16" s="644"/>
      <c r="N16" s="644"/>
      <c r="O16" s="644"/>
      <c r="P16" s="644"/>
      <c r="Q16" s="644"/>
      <c r="T16" s="644"/>
      <c r="U16" s="648" t="s">
        <v>179</v>
      </c>
      <c r="V16" s="649">
        <f>Цена!L115</f>
        <v>17.770000000000003</v>
      </c>
      <c r="Y16" s="645" t="s">
        <v>454</v>
      </c>
      <c r="Z16" s="650" t="s">
        <v>481</v>
      </c>
      <c r="AA16" s="651" t="s">
        <v>483</v>
      </c>
      <c r="AB16" s="651" t="s">
        <v>454</v>
      </c>
      <c r="AC16" s="652" t="s">
        <v>482</v>
      </c>
      <c r="AD16" s="628"/>
      <c r="AE16" s="628"/>
      <c r="AF16" s="628"/>
      <c r="AG16" s="628"/>
      <c r="AH16" s="631" t="s">
        <v>489</v>
      </c>
      <c r="AI16" s="631" t="s">
        <v>490</v>
      </c>
      <c r="AJ16" s="631" t="s">
        <v>479</v>
      </c>
      <c r="AK16" s="616" t="s">
        <v>397</v>
      </c>
      <c r="AL16" s="616" t="s">
        <v>397</v>
      </c>
      <c r="AN16" s="653"/>
      <c r="AP16" s="616" t="s">
        <v>491</v>
      </c>
      <c r="AQ16" s="616" t="s">
        <v>402</v>
      </c>
      <c r="AR16" s="616" t="s">
        <v>402</v>
      </c>
      <c r="AS16" s="653"/>
    </row>
    <row r="17" spans="2:45" ht="15.75" customHeight="1" x14ac:dyDescent="0.25">
      <c r="B17" s="716" t="s">
        <v>148</v>
      </c>
      <c r="C17" s="716"/>
      <c r="D17" s="716"/>
      <c r="E17" s="716"/>
      <c r="F17" s="716"/>
      <c r="G17" s="716"/>
      <c r="H17" s="716"/>
      <c r="I17" s="716"/>
      <c r="J17" s="716" t="s">
        <v>353</v>
      </c>
      <c r="K17" s="716"/>
      <c r="L17" s="716"/>
      <c r="M17" s="716"/>
      <c r="N17" s="716" t="s">
        <v>969</v>
      </c>
      <c r="O17" s="716"/>
      <c r="P17" s="716"/>
      <c r="Q17" s="716"/>
      <c r="R17" s="654"/>
      <c r="S17" s="654"/>
      <c r="U17" s="648" t="s">
        <v>178</v>
      </c>
      <c r="V17" s="649">
        <f>Цена!L121</f>
        <v>12.149999999999999</v>
      </c>
      <c r="Y17" s="655">
        <v>100</v>
      </c>
      <c r="Z17" s="655">
        <v>110</v>
      </c>
      <c r="AA17" s="656" t="s">
        <v>133</v>
      </c>
      <c r="AB17" s="656" t="s">
        <v>104</v>
      </c>
      <c r="AC17" s="656" t="s">
        <v>125</v>
      </c>
      <c r="AD17" s="616" t="str">
        <f>IF(AND(VLOOKUP($AA$7,$Y$17:$Y$34,1,FALSE),$AA$5=1),AA17,AB17)</f>
        <v>А3Р00010</v>
      </c>
      <c r="AE17" s="616" t="e">
        <f>IF(AND(VLOOKUP($AA$7,$Z$17:$Z$34,1,FALSE),$AA$5=1),AA17,AC17)</f>
        <v>#N/A</v>
      </c>
      <c r="AF17" s="657" t="str">
        <f>IF($AA$6=1,AD17,AE17)</f>
        <v>А3Р00010</v>
      </c>
      <c r="AG17" s="628"/>
      <c r="AH17" s="655">
        <v>100</v>
      </c>
      <c r="AI17" s="655">
        <v>120</v>
      </c>
      <c r="AJ17" s="656" t="s">
        <v>133</v>
      </c>
      <c r="AK17" s="618" t="e">
        <f>IF(AND(VLOOKUP($AA$7,$AH$17:$AH$34,1,FALSE),$AA$5=1),AJ17,"-")</f>
        <v>#N/A</v>
      </c>
      <c r="AL17" s="616" t="e">
        <f>IF(VLOOKUP($AA$7,$AH$17:$AH$34,1,FALSE),AJ17,"")</f>
        <v>#N/A</v>
      </c>
      <c r="AM17" s="658" t="s">
        <v>682</v>
      </c>
      <c r="AN17" s="659" t="str">
        <f>IF(AND($AA$8=1,$AA$5=1),AK17,IF(AND($AA$8=1,$AA$5=0),AL17,$AM$17))</f>
        <v>01Э0150А</v>
      </c>
      <c r="AP17" s="618">
        <v>103</v>
      </c>
      <c r="AQ17" s="618" t="e">
        <f>IF(AND(VLOOKUP($AA$7,$AP$17:$AP$24,1,FALSE),$AA$5=1),AJ17,"-")</f>
        <v>#N/A</v>
      </c>
      <c r="AR17" s="618" t="e">
        <f>IF(VLOOKUP($AA$7,$AP$17:$AP$24,1,FALSE),AJ17,AK29)</f>
        <v>#N/A</v>
      </c>
      <c r="AS17" s="659" t="str">
        <f>IF(AND($AA$9=1,$AA$5=1),AQ17,IF(AND($AA$9=1,$AA$5=0),AR17,$AK$29))</f>
        <v>ХХХХХХХХ</v>
      </c>
    </row>
    <row r="18" spans="2:45" ht="15.75" x14ac:dyDescent="0.25">
      <c r="B18" s="660" t="s">
        <v>436</v>
      </c>
      <c r="C18" s="661"/>
      <c r="D18" s="661"/>
      <c r="E18" s="661"/>
      <c r="F18" s="661"/>
      <c r="G18" s="661"/>
      <c r="H18" s="661"/>
      <c r="I18" s="662"/>
      <c r="J18" s="727" t="s">
        <v>74</v>
      </c>
      <c r="K18" s="727"/>
      <c r="L18" s="727"/>
      <c r="M18" s="728"/>
      <c r="N18" s="717" t="str">
        <f>IF(Расчет!$D$1=2,Расчет!F11,"")</f>
        <v>без самозапуска</v>
      </c>
      <c r="O18" s="717"/>
      <c r="P18" s="717"/>
      <c r="Q18" s="717"/>
      <c r="R18" s="663"/>
      <c r="S18" s="663"/>
      <c r="T18" s="654"/>
      <c r="U18" s="664" t="s">
        <v>640</v>
      </c>
      <c r="V18" s="664">
        <f>Цена!L124</f>
        <v>1.26</v>
      </c>
      <c r="Y18" s="665">
        <v>101</v>
      </c>
      <c r="Z18" s="665">
        <v>111</v>
      </c>
      <c r="AA18" s="656" t="s">
        <v>134</v>
      </c>
      <c r="AB18" s="656" t="s">
        <v>105</v>
      </c>
      <c r="AC18" s="656" t="s">
        <v>126</v>
      </c>
      <c r="AD18" s="616" t="str">
        <f t="shared" ref="AD18:AD33" si="0">IF(AND(VLOOKUP($AA$7,$Y$17:$Y$34,1,FALSE),$AA$5=1),AA18,AB18)</f>
        <v>А3Р00016</v>
      </c>
      <c r="AE18" s="616" t="e">
        <f t="shared" ref="AE18:AE33" si="1">IF(AND(VLOOKUP($AA$7,$Z$17:$Z$34,1,FALSE),$AA$5=1),AA18,AC18)</f>
        <v>#N/A</v>
      </c>
      <c r="AF18" s="657" t="str">
        <f t="shared" ref="AF18:AF33" si="2">IF($AA$6=1,AD18,AE18)</f>
        <v>А3Р00016</v>
      </c>
      <c r="AG18" s="628"/>
      <c r="AH18" s="665">
        <v>101</v>
      </c>
      <c r="AI18" s="665">
        <v>121</v>
      </c>
      <c r="AJ18" s="656" t="s">
        <v>134</v>
      </c>
      <c r="AK18" s="618" t="e">
        <f t="shared" ref="AK18:AK21" si="3">IF(AND(VLOOKUP($AA$7,$AH$17:$AH$34,1,FALSE),$AA$5=1),AJ18,"-")</f>
        <v>#N/A</v>
      </c>
      <c r="AL18" s="616" t="e">
        <f t="shared" ref="AL18:AL26" si="4">IF(VLOOKUP($AA$7,$AH$17:$AH$34,1,FALSE),AJ18,"")</f>
        <v>#N/A</v>
      </c>
      <c r="AM18" s="658" t="s">
        <v>683</v>
      </c>
      <c r="AN18" s="659" t="str">
        <f>IF(AND($AA$8=1,$AA$5=1),AK18,IF(AND($AA$8=1,$AA$5=0),AL18,$AM$18))</f>
        <v>02Э0300А</v>
      </c>
      <c r="AP18" s="618">
        <v>113</v>
      </c>
      <c r="AQ18" s="618" t="e">
        <f t="shared" ref="AQ18:AQ21" si="5">IF(AND(VLOOKUP($AA$7,$AP$17:$AP$24,1,FALSE),$AA$5=1),AJ18,"-")</f>
        <v>#N/A</v>
      </c>
      <c r="AR18" s="618" t="e">
        <f t="shared" ref="AR18:AR26" si="6">IF(VLOOKUP($AA$7,$AP$17:$AP$24,1,FALSE),AJ18,AK30)</f>
        <v>#N/A</v>
      </c>
      <c r="AS18" s="659" t="str">
        <f>IF(AND($AA$9=1,$AA$5=1),AQ18,IF(AND($AA$9=1,$AA$5=0),AR18,"-"))</f>
        <v>-</v>
      </c>
    </row>
    <row r="19" spans="2:45" ht="15.75" customHeight="1" x14ac:dyDescent="0.25">
      <c r="B19" s="704" t="s">
        <v>75</v>
      </c>
      <c r="C19" s="705"/>
      <c r="D19" s="705"/>
      <c r="E19" s="705"/>
      <c r="F19" s="705"/>
      <c r="G19" s="705"/>
      <c r="H19" s="705"/>
      <c r="I19" s="697"/>
      <c r="J19" s="727" t="s">
        <v>77</v>
      </c>
      <c r="K19" s="727"/>
      <c r="L19" s="727"/>
      <c r="M19" s="728"/>
      <c r="N19" s="717" t="str">
        <f>IF(Расчет!$D$1=2,Расчет!F12,"")</f>
        <v>Питание 3 фазы (3Р/N/PE)</v>
      </c>
      <c r="O19" s="717"/>
      <c r="P19" s="717"/>
      <c r="Q19" s="717"/>
      <c r="R19" s="663"/>
      <c r="S19" s="663"/>
      <c r="T19" s="663"/>
      <c r="U19" s="664" t="s">
        <v>641</v>
      </c>
      <c r="V19" s="664">
        <f>Цена!L128</f>
        <v>1.26</v>
      </c>
      <c r="Y19" s="665">
        <v>102</v>
      </c>
      <c r="Z19" s="665">
        <v>112</v>
      </c>
      <c r="AA19" s="656" t="s">
        <v>135</v>
      </c>
      <c r="AB19" s="656" t="s">
        <v>106</v>
      </c>
      <c r="AC19" s="656" t="s">
        <v>127</v>
      </c>
      <c r="AD19" s="616" t="str">
        <f t="shared" si="0"/>
        <v>А3Р00025</v>
      </c>
      <c r="AE19" s="616" t="e">
        <f t="shared" si="1"/>
        <v>#N/A</v>
      </c>
      <c r="AF19" s="657" t="str">
        <f t="shared" si="2"/>
        <v>А3Р00025</v>
      </c>
      <c r="AG19" s="628"/>
      <c r="AH19" s="665">
        <v>102</v>
      </c>
      <c r="AI19" s="665">
        <v>122</v>
      </c>
      <c r="AJ19" s="656" t="s">
        <v>135</v>
      </c>
      <c r="AK19" s="618" t="e">
        <f t="shared" si="3"/>
        <v>#N/A</v>
      </c>
      <c r="AL19" s="616" t="e">
        <f t="shared" si="4"/>
        <v>#N/A</v>
      </c>
      <c r="AM19" s="658" t="s">
        <v>684</v>
      </c>
      <c r="AN19" s="659" t="str">
        <f>IF(AND($AA$8=1,$AA$5=1),AK19,IF(AND($AA$8=1,$AA$5=0),AL19,$AM$19))</f>
        <v>03Э0450А</v>
      </c>
      <c r="AP19" s="618">
        <v>123</v>
      </c>
      <c r="AQ19" s="618" t="e">
        <f t="shared" si="5"/>
        <v>#N/A</v>
      </c>
      <c r="AR19" s="618" t="e">
        <f t="shared" si="6"/>
        <v>#N/A</v>
      </c>
      <c r="AS19" s="659" t="str">
        <f t="shared" ref="AS19:AS26" si="7">IF(AND($AA$9=1,$AA$5=1),AQ19,IF(AND($AA$9=1,$AA$5=0),AR19,"-"))</f>
        <v>-</v>
      </c>
    </row>
    <row r="20" spans="2:45" ht="31.5" customHeight="1" x14ac:dyDescent="0.25">
      <c r="B20" s="713" t="s">
        <v>393</v>
      </c>
      <c r="C20" s="714"/>
      <c r="D20" s="714"/>
      <c r="E20" s="714"/>
      <c r="F20" s="714"/>
      <c r="G20" s="714"/>
      <c r="H20" s="714"/>
      <c r="I20" s="698"/>
      <c r="J20" s="725" t="s">
        <v>425</v>
      </c>
      <c r="K20" s="725"/>
      <c r="L20" s="725"/>
      <c r="M20" s="726"/>
      <c r="N20" s="718" t="str">
        <f>IF(Расчет!$D$1=2,Расчет!F13,"")</f>
        <v>Прямой пуск / ЕС мотор</v>
      </c>
      <c r="O20" s="718"/>
      <c r="P20" s="718"/>
      <c r="Q20" s="718"/>
      <c r="R20" s="666"/>
      <c r="S20" s="666"/>
      <c r="T20" s="663"/>
      <c r="U20" s="667" t="s">
        <v>400</v>
      </c>
      <c r="V20" s="606">
        <f>Цена!L132</f>
        <v>0</v>
      </c>
      <c r="Y20" s="665">
        <v>103</v>
      </c>
      <c r="Z20" s="665">
        <v>113</v>
      </c>
      <c r="AA20" s="656" t="s">
        <v>136</v>
      </c>
      <c r="AB20" s="656" t="s">
        <v>107</v>
      </c>
      <c r="AC20" s="656" t="s">
        <v>128</v>
      </c>
      <c r="AD20" s="616" t="str">
        <f t="shared" si="0"/>
        <v>А3Р00040</v>
      </c>
      <c r="AE20" s="616" t="e">
        <f t="shared" si="1"/>
        <v>#N/A</v>
      </c>
      <c r="AF20" s="657" t="str">
        <f t="shared" si="2"/>
        <v>А3Р00040</v>
      </c>
      <c r="AG20" s="628"/>
      <c r="AH20" s="665">
        <v>103</v>
      </c>
      <c r="AI20" s="665">
        <v>123</v>
      </c>
      <c r="AJ20" s="668" t="s">
        <v>136</v>
      </c>
      <c r="AK20" s="618" t="e">
        <f t="shared" si="3"/>
        <v>#N/A</v>
      </c>
      <c r="AL20" s="616" t="e">
        <f t="shared" si="4"/>
        <v>#N/A</v>
      </c>
      <c r="AM20" s="658" t="s">
        <v>970</v>
      </c>
      <c r="AN20" s="659" t="str">
        <f>IF(AND($AA$8=1,$AA$5=1),AK20,IF(AND($AA$8=1,$AA$5=0),AL20,$AM$20))</f>
        <v>06Э0900А</v>
      </c>
      <c r="AP20" s="618">
        <v>133</v>
      </c>
      <c r="AQ20" s="618" t="e">
        <f t="shared" si="5"/>
        <v>#N/A</v>
      </c>
      <c r="AR20" s="618" t="e">
        <f t="shared" si="6"/>
        <v>#N/A</v>
      </c>
      <c r="AS20" s="659" t="str">
        <f t="shared" si="7"/>
        <v>-</v>
      </c>
    </row>
    <row r="21" spans="2:45" ht="15.75" customHeight="1" x14ac:dyDescent="0.25">
      <c r="B21" s="713" t="s">
        <v>395</v>
      </c>
      <c r="C21" s="714"/>
      <c r="D21" s="714"/>
      <c r="E21" s="714"/>
      <c r="F21" s="714"/>
      <c r="G21" s="714"/>
      <c r="H21" s="714"/>
      <c r="I21" s="715"/>
      <c r="J21" s="727">
        <v>2</v>
      </c>
      <c r="K21" s="727"/>
      <c r="L21" s="727"/>
      <c r="M21" s="728"/>
      <c r="N21" s="717" t="str">
        <f>IF(Расчет!$D$1=2,Расчет!F14,"")</f>
        <v>1,6-2,4</v>
      </c>
      <c r="O21" s="717"/>
      <c r="P21" s="717"/>
      <c r="Q21" s="717"/>
      <c r="R21" s="663"/>
      <c r="S21" s="663"/>
      <c r="T21" s="666"/>
      <c r="U21" s="611" t="s">
        <v>401</v>
      </c>
      <c r="V21" s="614">
        <f>Цена!L136</f>
        <v>0</v>
      </c>
      <c r="Y21" s="665">
        <v>104</v>
      </c>
      <c r="Z21" s="665">
        <v>114</v>
      </c>
      <c r="AA21" s="656" t="s">
        <v>412</v>
      </c>
      <c r="AB21" s="656" t="s">
        <v>108</v>
      </c>
      <c r="AC21" s="656" t="s">
        <v>129</v>
      </c>
      <c r="AD21" s="616" t="str">
        <f t="shared" si="0"/>
        <v>А3Р00063</v>
      </c>
      <c r="AE21" s="616" t="e">
        <f t="shared" si="1"/>
        <v>#N/A</v>
      </c>
      <c r="AF21" s="657" t="str">
        <f t="shared" si="2"/>
        <v>А3Р00063</v>
      </c>
      <c r="AG21" s="628"/>
      <c r="AH21" s="665">
        <v>104</v>
      </c>
      <c r="AI21" s="665">
        <v>124</v>
      </c>
      <c r="AJ21" s="668" t="s">
        <v>412</v>
      </c>
      <c r="AK21" s="618" t="e">
        <f t="shared" si="3"/>
        <v>#N/A</v>
      </c>
      <c r="AL21" s="616" t="e">
        <f t="shared" si="4"/>
        <v>#N/A</v>
      </c>
      <c r="AM21" s="665" t="s">
        <v>209</v>
      </c>
      <c r="AN21" s="659" t="str">
        <f>IF(AND($AA$8=1,$AA$5=1),AK21,IF(AND($AA$8=1,$AA$5=0),AL21,$AM$21))</f>
        <v>-</v>
      </c>
      <c r="AP21" s="618">
        <v>142</v>
      </c>
      <c r="AQ21" s="618" t="e">
        <f t="shared" si="5"/>
        <v>#N/A</v>
      </c>
      <c r="AR21" s="618" t="e">
        <f t="shared" si="6"/>
        <v>#N/A</v>
      </c>
      <c r="AS21" s="659" t="str">
        <f t="shared" si="7"/>
        <v>-</v>
      </c>
    </row>
    <row r="22" spans="2:45" ht="15.75" x14ac:dyDescent="0.25">
      <c r="B22" s="704" t="s">
        <v>415</v>
      </c>
      <c r="C22" s="705"/>
      <c r="D22" s="705"/>
      <c r="E22" s="705"/>
      <c r="F22" s="705"/>
      <c r="G22" s="705"/>
      <c r="H22" s="705"/>
      <c r="I22" s="706"/>
      <c r="J22" s="725" t="s">
        <v>397</v>
      </c>
      <c r="K22" s="725"/>
      <c r="L22" s="725"/>
      <c r="M22" s="726"/>
      <c r="N22" s="729" t="str">
        <f>IF(Расчет!$D$1=2,Расчет!F16,"")</f>
        <v>ЭК</v>
      </c>
      <c r="O22" s="729"/>
      <c r="P22" s="729"/>
      <c r="Q22" s="717"/>
      <c r="R22" s="663"/>
      <c r="S22" s="663"/>
      <c r="T22" s="663"/>
      <c r="U22" s="620" t="s">
        <v>403</v>
      </c>
      <c r="V22" s="621">
        <f>Цена!L140</f>
        <v>0</v>
      </c>
      <c r="Y22" s="655">
        <v>120</v>
      </c>
      <c r="Z22" s="655">
        <v>130</v>
      </c>
      <c r="AA22" s="618" t="s">
        <v>209</v>
      </c>
      <c r="AB22" s="656" t="s">
        <v>109</v>
      </c>
      <c r="AC22" s="656" t="s">
        <v>130</v>
      </c>
      <c r="AD22" s="616" t="str">
        <f t="shared" si="0"/>
        <v>А3Р00100</v>
      </c>
      <c r="AE22" s="616" t="e">
        <f t="shared" si="1"/>
        <v>#N/A</v>
      </c>
      <c r="AF22" s="657" t="str">
        <f t="shared" si="2"/>
        <v>А3Р00100</v>
      </c>
      <c r="AG22" s="628"/>
      <c r="AH22" s="655">
        <v>110</v>
      </c>
      <c r="AI22" s="655">
        <v>130</v>
      </c>
      <c r="AJ22" s="656" t="s">
        <v>104</v>
      </c>
      <c r="AK22" s="618" t="s">
        <v>209</v>
      </c>
      <c r="AL22" s="616" t="e">
        <f t="shared" si="4"/>
        <v>#N/A</v>
      </c>
      <c r="AM22" s="665" t="s">
        <v>209</v>
      </c>
      <c r="AN22" s="659" t="str">
        <f>IF(AND($AA$8=1,$AA$5=1),AK22,IF(AND($AA$8=1,$AA$5=0),AL22,$AM$22))</f>
        <v>-</v>
      </c>
      <c r="AP22" s="618">
        <v>152</v>
      </c>
      <c r="AQ22" s="618" t="s">
        <v>209</v>
      </c>
      <c r="AR22" s="618" t="e">
        <f t="shared" si="6"/>
        <v>#N/A</v>
      </c>
      <c r="AS22" s="659" t="str">
        <f t="shared" si="7"/>
        <v>-</v>
      </c>
    </row>
    <row r="23" spans="2:45" ht="15.75" x14ac:dyDescent="0.25">
      <c r="B23" s="704" t="s">
        <v>596</v>
      </c>
      <c r="C23" s="705"/>
      <c r="D23" s="705"/>
      <c r="E23" s="705"/>
      <c r="F23" s="705"/>
      <c r="G23" s="705"/>
      <c r="H23" s="705"/>
      <c r="I23" s="698"/>
      <c r="J23" s="669" t="s">
        <v>138</v>
      </c>
      <c r="K23" s="670" t="s">
        <v>498</v>
      </c>
      <c r="L23" s="669">
        <v>1</v>
      </c>
      <c r="M23" s="670" t="s">
        <v>497</v>
      </c>
      <c r="N23" s="671" t="str">
        <f>IF(Расчет!$D$1=2,Расчет!F17,"")</f>
        <v>---</v>
      </c>
      <c r="O23" s="672"/>
      <c r="P23" s="673"/>
      <c r="Q23" s="674" t="str">
        <f>IF(Расчет!$D$1=2,Расчет!F18&amp;"A","")</f>
        <v>---A</v>
      </c>
      <c r="R23" s="675"/>
      <c r="S23" s="675"/>
      <c r="T23" s="663"/>
      <c r="U23" s="636" t="s">
        <v>399</v>
      </c>
      <c r="V23" s="637">
        <f>Цена!L144</f>
        <v>0</v>
      </c>
      <c r="Y23" s="665">
        <v>121</v>
      </c>
      <c r="Z23" s="665">
        <v>131</v>
      </c>
      <c r="AA23" s="618" t="s">
        <v>209</v>
      </c>
      <c r="AB23" s="656" t="s">
        <v>110</v>
      </c>
      <c r="AC23" s="656" t="s">
        <v>131</v>
      </c>
      <c r="AD23" s="616" t="str">
        <f t="shared" si="0"/>
        <v>А3Р00140</v>
      </c>
      <c r="AE23" s="616" t="e">
        <f t="shared" si="1"/>
        <v>#N/A</v>
      </c>
      <c r="AF23" s="657" t="str">
        <f t="shared" si="2"/>
        <v>А3Р00140</v>
      </c>
      <c r="AG23" s="628"/>
      <c r="AH23" s="665">
        <v>111</v>
      </c>
      <c r="AI23" s="665">
        <v>131</v>
      </c>
      <c r="AJ23" s="656" t="s">
        <v>105</v>
      </c>
      <c r="AK23" s="618" t="s">
        <v>209</v>
      </c>
      <c r="AL23" s="616" t="e">
        <f t="shared" si="4"/>
        <v>#N/A</v>
      </c>
      <c r="AM23" s="665" t="s">
        <v>209</v>
      </c>
      <c r="AN23" s="659" t="str">
        <f>IF(AND($AA$8=1,$AA$5=1),AK23,IF(AND($AA$8=1,$AA$5=0),AL23,$AM$23))</f>
        <v>-</v>
      </c>
      <c r="AP23" s="618">
        <v>162</v>
      </c>
      <c r="AQ23" s="618" t="s">
        <v>209</v>
      </c>
      <c r="AR23" s="618" t="e">
        <f t="shared" si="6"/>
        <v>#N/A</v>
      </c>
      <c r="AS23" s="659" t="str">
        <f t="shared" si="7"/>
        <v>-</v>
      </c>
    </row>
    <row r="24" spans="2:45" ht="15.75" x14ac:dyDescent="0.25">
      <c r="B24" s="704" t="s">
        <v>396</v>
      </c>
      <c r="C24" s="705"/>
      <c r="D24" s="705"/>
      <c r="E24" s="705"/>
      <c r="F24" s="705"/>
      <c r="G24" s="705"/>
      <c r="H24" s="705"/>
      <c r="I24" s="698"/>
      <c r="J24" s="725" t="s">
        <v>209</v>
      </c>
      <c r="K24" s="725"/>
      <c r="L24" s="725"/>
      <c r="M24" s="726"/>
      <c r="N24" s="730" t="str">
        <f>IF(Расчет!$D$1=2,Расчет!F19,"")</f>
        <v>01Э0150А</v>
      </c>
      <c r="O24" s="730"/>
      <c r="P24" s="730"/>
      <c r="Q24" s="717"/>
      <c r="R24" s="663"/>
      <c r="S24" s="663"/>
      <c r="T24" s="675"/>
      <c r="U24" s="676" t="s">
        <v>557</v>
      </c>
      <c r="V24" s="677">
        <f>Цена!L161</f>
        <v>12.52</v>
      </c>
      <c r="Y24" s="665">
        <v>122</v>
      </c>
      <c r="Z24" s="665">
        <v>132</v>
      </c>
      <c r="AA24" s="618" t="s">
        <v>209</v>
      </c>
      <c r="AB24" s="656" t="s">
        <v>111</v>
      </c>
      <c r="AC24" s="656" t="s">
        <v>132</v>
      </c>
      <c r="AD24" s="616" t="str">
        <f t="shared" si="0"/>
        <v>А3Р00160</v>
      </c>
      <c r="AE24" s="616" t="e">
        <f t="shared" si="1"/>
        <v>#N/A</v>
      </c>
      <c r="AF24" s="657" t="str">
        <f t="shared" si="2"/>
        <v>А3Р00160</v>
      </c>
      <c r="AG24" s="628"/>
      <c r="AH24" s="665">
        <v>112</v>
      </c>
      <c r="AI24" s="665">
        <v>132</v>
      </c>
      <c r="AJ24" s="656" t="s">
        <v>106</v>
      </c>
      <c r="AK24" s="618" t="s">
        <v>209</v>
      </c>
      <c r="AL24" s="616" t="e">
        <f t="shared" si="4"/>
        <v>#N/A</v>
      </c>
      <c r="AM24" s="665" t="s">
        <v>209</v>
      </c>
      <c r="AN24" s="659" t="str">
        <f>IF(AND($AA$8=1,$AA$5=1),AK24,IF(AND($AA$8=1,$AA$5=0),AL24,$AM$24))</f>
        <v>-</v>
      </c>
      <c r="AP24" s="618">
        <v>172</v>
      </c>
      <c r="AQ24" s="618" t="s">
        <v>209</v>
      </c>
      <c r="AR24" s="618" t="e">
        <f t="shared" si="6"/>
        <v>#N/A</v>
      </c>
      <c r="AS24" s="659" t="str">
        <f t="shared" si="7"/>
        <v>-</v>
      </c>
    </row>
    <row r="25" spans="2:45" ht="15.75" x14ac:dyDescent="0.25">
      <c r="B25" s="678" t="s">
        <v>427</v>
      </c>
      <c r="C25" s="679"/>
      <c r="D25" s="679"/>
      <c r="E25" s="679"/>
      <c r="F25" s="679"/>
      <c r="G25" s="679"/>
      <c r="H25" s="679"/>
      <c r="I25" s="698"/>
      <c r="J25" s="725" t="s">
        <v>80</v>
      </c>
      <c r="K25" s="725"/>
      <c r="L25" s="725"/>
      <c r="M25" s="726"/>
      <c r="N25" s="731" t="str">
        <f>IF(Расчет!$D$1=2,Расчет!F21,"")</f>
        <v>Нет</v>
      </c>
      <c r="O25" s="732"/>
      <c r="P25" s="732"/>
      <c r="Q25" s="733"/>
      <c r="R25" s="663"/>
      <c r="S25" s="663"/>
      <c r="T25" s="663"/>
      <c r="U25" s="667" t="s">
        <v>642</v>
      </c>
      <c r="V25" s="667">
        <f>Цена!L164</f>
        <v>275.70999999999998</v>
      </c>
      <c r="Y25" s="665">
        <v>123</v>
      </c>
      <c r="Z25" s="665">
        <v>133</v>
      </c>
      <c r="AA25" s="618" t="s">
        <v>209</v>
      </c>
      <c r="AB25" s="656" t="s">
        <v>112</v>
      </c>
      <c r="AC25" s="656" t="s">
        <v>209</v>
      </c>
      <c r="AD25" s="616" t="str">
        <f t="shared" si="0"/>
        <v>А3Р00180</v>
      </c>
      <c r="AE25" s="616" t="e">
        <f t="shared" si="1"/>
        <v>#N/A</v>
      </c>
      <c r="AF25" s="657" t="str">
        <f t="shared" si="2"/>
        <v>А3Р00180</v>
      </c>
      <c r="AG25" s="628"/>
      <c r="AH25" s="665">
        <v>113</v>
      </c>
      <c r="AI25" s="665">
        <v>133</v>
      </c>
      <c r="AJ25" s="656" t="s">
        <v>107</v>
      </c>
      <c r="AK25" s="618" t="s">
        <v>209</v>
      </c>
      <c r="AL25" s="616" t="e">
        <f t="shared" si="4"/>
        <v>#N/A</v>
      </c>
      <c r="AM25" s="665" t="s">
        <v>209</v>
      </c>
      <c r="AN25" s="659" t="str">
        <f>IF(AND($AA$8=1,$AA$5=1),AK25,IF(AND($AA$8=1,$AA$5=0),AL25,$AM$25))</f>
        <v>-</v>
      </c>
      <c r="AP25" s="618"/>
      <c r="AQ25" s="618" t="s">
        <v>209</v>
      </c>
      <c r="AR25" s="618" t="e">
        <f t="shared" si="6"/>
        <v>#N/A</v>
      </c>
      <c r="AS25" s="659" t="str">
        <f t="shared" si="7"/>
        <v>-</v>
      </c>
    </row>
    <row r="26" spans="2:45" ht="15.75" x14ac:dyDescent="0.25">
      <c r="B26" s="678" t="s">
        <v>566</v>
      </c>
      <c r="C26" s="679"/>
      <c r="D26" s="679"/>
      <c r="E26" s="679"/>
      <c r="F26" s="679"/>
      <c r="G26" s="679"/>
      <c r="H26" s="679"/>
      <c r="I26" s="698"/>
      <c r="J26" s="725" t="s">
        <v>80</v>
      </c>
      <c r="K26" s="725"/>
      <c r="L26" s="725"/>
      <c r="M26" s="726"/>
      <c r="N26" s="731" t="str">
        <f>IF(Расчет!$D$1=2,Расчет!F22,"")</f>
        <v>Нет</v>
      </c>
      <c r="O26" s="732"/>
      <c r="P26" s="732"/>
      <c r="Q26" s="733"/>
      <c r="R26" s="663"/>
      <c r="S26" s="663"/>
      <c r="T26" s="663"/>
      <c r="U26" s="680" t="s">
        <v>643</v>
      </c>
      <c r="V26" s="681">
        <f>Цена!L178</f>
        <v>99.02000000000001</v>
      </c>
      <c r="Y26" s="665">
        <v>124</v>
      </c>
      <c r="Z26" s="665">
        <v>134</v>
      </c>
      <c r="AA26" s="618" t="s">
        <v>209</v>
      </c>
      <c r="AB26" s="656" t="s">
        <v>113</v>
      </c>
      <c r="AC26" s="656" t="s">
        <v>209</v>
      </c>
      <c r="AD26" s="616" t="str">
        <f t="shared" si="0"/>
        <v>А3Р00200</v>
      </c>
      <c r="AE26" s="616" t="e">
        <f t="shared" si="1"/>
        <v>#N/A</v>
      </c>
      <c r="AF26" s="657" t="str">
        <f t="shared" si="2"/>
        <v>А3Р00200</v>
      </c>
      <c r="AG26" s="628"/>
      <c r="AH26" s="665">
        <v>114</v>
      </c>
      <c r="AI26" s="665">
        <v>134</v>
      </c>
      <c r="AJ26" s="656" t="s">
        <v>108</v>
      </c>
      <c r="AK26" s="618" t="s">
        <v>209</v>
      </c>
      <c r="AL26" s="616" t="e">
        <f t="shared" si="4"/>
        <v>#N/A</v>
      </c>
      <c r="AM26" s="665" t="s">
        <v>209</v>
      </c>
      <c r="AN26" s="659" t="str">
        <f>IF(AND($AA$8=1,$AA$5=1),AK26,IF(AND($AA$8=1,$AA$5=0),AL26,$AM$26))</f>
        <v>-</v>
      </c>
      <c r="AP26" s="618"/>
      <c r="AQ26" s="618" t="s">
        <v>209</v>
      </c>
      <c r="AR26" s="618" t="e">
        <f t="shared" si="6"/>
        <v>#N/A</v>
      </c>
      <c r="AS26" s="659" t="str">
        <f t="shared" si="7"/>
        <v>-</v>
      </c>
    </row>
    <row r="27" spans="2:45" ht="15.75" x14ac:dyDescent="0.25">
      <c r="B27" s="682" t="s">
        <v>451</v>
      </c>
      <c r="C27" s="683"/>
      <c r="D27" s="683"/>
      <c r="E27" s="683"/>
      <c r="F27" s="683"/>
      <c r="G27" s="683"/>
      <c r="H27" s="683"/>
      <c r="I27" s="699"/>
      <c r="J27" s="725" t="s">
        <v>80</v>
      </c>
      <c r="K27" s="725"/>
      <c r="L27" s="725"/>
      <c r="M27" s="726"/>
      <c r="N27" s="731" t="str">
        <f>IF(Расчет!$D$1=2,Расчет!F23,"")</f>
        <v>Нет</v>
      </c>
      <c r="O27" s="732"/>
      <c r="P27" s="732"/>
      <c r="Q27" s="733"/>
      <c r="R27" s="663"/>
      <c r="S27" s="663"/>
      <c r="T27" s="663"/>
      <c r="U27" s="684" t="s">
        <v>182</v>
      </c>
      <c r="V27" s="621">
        <f>Цена!L183</f>
        <v>0</v>
      </c>
      <c r="Y27" s="655">
        <v>140</v>
      </c>
      <c r="Z27" s="655">
        <v>150</v>
      </c>
      <c r="AA27" s="618" t="s">
        <v>209</v>
      </c>
      <c r="AB27" s="656" t="s">
        <v>114</v>
      </c>
      <c r="AC27" s="656" t="s">
        <v>209</v>
      </c>
      <c r="AD27" s="616" t="str">
        <f t="shared" si="0"/>
        <v>А3Р00250</v>
      </c>
      <c r="AE27" s="616" t="e">
        <f t="shared" si="1"/>
        <v>#N/A</v>
      </c>
      <c r="AF27" s="657" t="str">
        <f t="shared" si="2"/>
        <v>А3Р00250</v>
      </c>
      <c r="AG27" s="628"/>
      <c r="AH27" s="655">
        <v>140</v>
      </c>
      <c r="AI27" s="655">
        <v>160</v>
      </c>
      <c r="AJ27" s="685" t="s">
        <v>474</v>
      </c>
      <c r="AK27" s="628"/>
      <c r="AL27" s="628"/>
      <c r="AM27" s="628"/>
      <c r="AO27" s="628"/>
      <c r="AP27" s="628"/>
    </row>
    <row r="28" spans="2:45" ht="15.75" x14ac:dyDescent="0.25">
      <c r="B28" s="678" t="s">
        <v>567</v>
      </c>
      <c r="C28" s="679"/>
      <c r="D28" s="679"/>
      <c r="E28" s="679"/>
      <c r="F28" s="679"/>
      <c r="G28" s="679"/>
      <c r="H28" s="679"/>
      <c r="I28" s="698"/>
      <c r="J28" s="725" t="s">
        <v>80</v>
      </c>
      <c r="K28" s="725"/>
      <c r="L28" s="725"/>
      <c r="M28" s="726"/>
      <c r="N28" s="731" t="str">
        <f>IF(Расчет!$D$1=2,Расчет!F24,"")</f>
        <v>Нет</v>
      </c>
      <c r="O28" s="732"/>
      <c r="P28" s="732"/>
      <c r="Q28" s="733"/>
      <c r="R28" s="663"/>
      <c r="S28" s="663"/>
      <c r="T28" s="663"/>
      <c r="U28" s="684" t="s">
        <v>181</v>
      </c>
      <c r="V28" s="621">
        <f>Цена!L189</f>
        <v>5.6</v>
      </c>
      <c r="Y28" s="665">
        <v>141</v>
      </c>
      <c r="Z28" s="665">
        <v>151</v>
      </c>
      <c r="AA28" s="618" t="s">
        <v>209</v>
      </c>
      <c r="AB28" s="656" t="s">
        <v>115</v>
      </c>
      <c r="AC28" s="656" t="s">
        <v>209</v>
      </c>
      <c r="AD28" s="616" t="str">
        <f t="shared" si="0"/>
        <v>А3Р00320</v>
      </c>
      <c r="AE28" s="616" t="e">
        <f t="shared" si="1"/>
        <v>#N/A</v>
      </c>
      <c r="AF28" s="657" t="str">
        <f t="shared" si="2"/>
        <v>А3Р00320</v>
      </c>
      <c r="AG28" s="628"/>
      <c r="AH28" s="665">
        <v>141</v>
      </c>
      <c r="AI28" s="665">
        <v>161</v>
      </c>
      <c r="AJ28" s="628"/>
      <c r="AK28" s="628" t="s">
        <v>398</v>
      </c>
      <c r="AL28" s="628"/>
      <c r="AM28" s="628"/>
      <c r="AO28" s="628"/>
      <c r="AP28" s="628"/>
    </row>
    <row r="29" spans="2:45" ht="15.75" x14ac:dyDescent="0.25">
      <c r="B29" s="686" t="s">
        <v>597</v>
      </c>
      <c r="C29" s="687"/>
      <c r="D29" s="687"/>
      <c r="E29" s="687"/>
      <c r="F29" s="687"/>
      <c r="G29" s="687"/>
      <c r="H29" s="687"/>
      <c r="I29" s="700"/>
      <c r="J29" s="688" t="s">
        <v>138</v>
      </c>
      <c r="K29" s="669" t="s">
        <v>498</v>
      </c>
      <c r="L29" s="669">
        <v>1</v>
      </c>
      <c r="M29" s="669" t="s">
        <v>497</v>
      </c>
      <c r="N29" s="671" t="str">
        <f>IF(Расчет!$D$1=2,Расчет!F25,"")</f>
        <v>Нет</v>
      </c>
      <c r="O29" s="689"/>
      <c r="P29" s="689"/>
      <c r="Q29" s="690" t="str">
        <f>IF(Расчет!$D$1=2,Расчет!F26&amp;"A","")</f>
        <v>---A</v>
      </c>
      <c r="R29" s="663"/>
      <c r="S29" s="663"/>
      <c r="T29" s="663"/>
      <c r="U29" s="605" t="s">
        <v>183</v>
      </c>
      <c r="V29" s="606">
        <f>Цена!L200</f>
        <v>37.392999999999994</v>
      </c>
      <c r="Y29" s="665">
        <v>142</v>
      </c>
      <c r="Z29" s="665">
        <v>152</v>
      </c>
      <c r="AA29" s="618" t="s">
        <v>209</v>
      </c>
      <c r="AB29" s="656" t="s">
        <v>116</v>
      </c>
      <c r="AC29" s="656" t="s">
        <v>209</v>
      </c>
      <c r="AD29" s="616" t="str">
        <f t="shared" si="0"/>
        <v>А3Р00400</v>
      </c>
      <c r="AE29" s="616" t="e">
        <f t="shared" si="1"/>
        <v>#N/A</v>
      </c>
      <c r="AF29" s="657" t="str">
        <f t="shared" si="2"/>
        <v>А3Р00400</v>
      </c>
      <c r="AG29" s="628"/>
      <c r="AH29" s="665">
        <v>142</v>
      </c>
      <c r="AI29" s="665">
        <v>162</v>
      </c>
      <c r="AJ29" s="628"/>
      <c r="AK29" s="628" t="s">
        <v>474</v>
      </c>
      <c r="AL29" s="628"/>
      <c r="AM29" s="628"/>
      <c r="AO29" s="628"/>
      <c r="AP29" s="628"/>
    </row>
    <row r="30" spans="2:45" ht="15.75" x14ac:dyDescent="0.25">
      <c r="B30" s="704" t="s">
        <v>568</v>
      </c>
      <c r="C30" s="705"/>
      <c r="D30" s="705"/>
      <c r="E30" s="705"/>
      <c r="F30" s="705"/>
      <c r="G30" s="705"/>
      <c r="H30" s="705"/>
      <c r="I30" s="698"/>
      <c r="J30" s="725" t="s">
        <v>80</v>
      </c>
      <c r="K30" s="725"/>
      <c r="L30" s="725"/>
      <c r="M30" s="726"/>
      <c r="N30" s="731" t="str">
        <f>IF(Расчет!$D$1=2,Расчет!F28,"")</f>
        <v>Нет</v>
      </c>
      <c r="O30" s="732"/>
      <c r="P30" s="732"/>
      <c r="Q30" s="733"/>
      <c r="R30" s="663"/>
      <c r="S30" s="663"/>
      <c r="T30" s="663"/>
      <c r="U30" s="595" t="s">
        <v>855</v>
      </c>
      <c r="V30" s="599">
        <f>Цена!I223</f>
        <v>0</v>
      </c>
      <c r="Y30" s="665">
        <v>143</v>
      </c>
      <c r="Z30" s="665">
        <v>153</v>
      </c>
      <c r="AA30" s="618" t="s">
        <v>209</v>
      </c>
      <c r="AB30" s="656" t="s">
        <v>117</v>
      </c>
      <c r="AC30" s="656" t="s">
        <v>209</v>
      </c>
      <c r="AD30" s="616" t="str">
        <f t="shared" si="0"/>
        <v>А3Р00500</v>
      </c>
      <c r="AE30" s="616" t="e">
        <f t="shared" si="1"/>
        <v>#N/A</v>
      </c>
      <c r="AF30" s="657" t="str">
        <f t="shared" si="2"/>
        <v>А3Р00500</v>
      </c>
      <c r="AG30" s="628"/>
      <c r="AH30" s="665">
        <v>143</v>
      </c>
      <c r="AI30" s="665">
        <v>163</v>
      </c>
      <c r="AJ30" s="628"/>
      <c r="AK30" s="628"/>
      <c r="AL30" s="628"/>
      <c r="AM30" s="628"/>
      <c r="AO30" s="628"/>
      <c r="AP30" s="628"/>
    </row>
    <row r="31" spans="2:45" ht="15.75" x14ac:dyDescent="0.25">
      <c r="B31" s="704" t="s">
        <v>143</v>
      </c>
      <c r="C31" s="705"/>
      <c r="D31" s="705"/>
      <c r="E31" s="705"/>
      <c r="F31" s="705"/>
      <c r="G31" s="705"/>
      <c r="H31" s="705"/>
      <c r="I31" s="697"/>
      <c r="J31" s="727" t="s">
        <v>362</v>
      </c>
      <c r="K31" s="727"/>
      <c r="L31" s="727"/>
      <c r="M31" s="728"/>
      <c r="N31" s="717" t="str">
        <f>IF(Расчет!$D$1=2,Расчет!F29,"")</f>
        <v>Д0</v>
      </c>
      <c r="O31" s="717"/>
      <c r="P31" s="717"/>
      <c r="Q31" s="717"/>
      <c r="R31" s="663"/>
      <c r="S31" s="663"/>
      <c r="T31" s="663"/>
      <c r="Y31" s="655">
        <v>160</v>
      </c>
      <c r="Z31" s="655">
        <v>170</v>
      </c>
      <c r="AA31" s="618" t="s">
        <v>209</v>
      </c>
      <c r="AB31" s="656" t="s">
        <v>118</v>
      </c>
      <c r="AC31" s="656" t="s">
        <v>209</v>
      </c>
      <c r="AD31" s="616" t="str">
        <f t="shared" si="0"/>
        <v>А3Р00580</v>
      </c>
      <c r="AE31" s="616" t="e">
        <f t="shared" si="1"/>
        <v>#N/A</v>
      </c>
      <c r="AF31" s="657" t="str">
        <f t="shared" si="2"/>
        <v>А3Р00580</v>
      </c>
      <c r="AG31" s="628"/>
      <c r="AH31" s="655">
        <v>150</v>
      </c>
      <c r="AI31" s="655">
        <v>170</v>
      </c>
      <c r="AJ31" s="628"/>
      <c r="AK31" s="628"/>
      <c r="AL31" s="628"/>
      <c r="AM31" s="628"/>
      <c r="AO31" s="628"/>
      <c r="AP31" s="628"/>
    </row>
    <row r="32" spans="2:45" ht="15.75" x14ac:dyDescent="0.25">
      <c r="B32" s="704" t="s">
        <v>145</v>
      </c>
      <c r="C32" s="705"/>
      <c r="D32" s="705"/>
      <c r="E32" s="705"/>
      <c r="F32" s="705"/>
      <c r="G32" s="705"/>
      <c r="H32" s="705"/>
      <c r="I32" s="698"/>
      <c r="J32" s="725" t="s">
        <v>214</v>
      </c>
      <c r="K32" s="725"/>
      <c r="L32" s="725"/>
      <c r="M32" s="726"/>
      <c r="N32" s="717" t="str">
        <f>IF(Расчет!$D$1=2,Расчет!F30,"")</f>
        <v>Металл</v>
      </c>
      <c r="O32" s="717"/>
      <c r="P32" s="717"/>
      <c r="Q32" s="717"/>
      <c r="R32" s="663"/>
      <c r="S32" s="663"/>
      <c r="T32" s="663"/>
      <c r="Y32" s="665">
        <v>161</v>
      </c>
      <c r="Z32" s="665">
        <v>171</v>
      </c>
      <c r="AA32" s="618" t="s">
        <v>209</v>
      </c>
      <c r="AB32" s="656" t="s">
        <v>119</v>
      </c>
      <c r="AC32" s="656" t="s">
        <v>209</v>
      </c>
      <c r="AD32" s="616" t="str">
        <f t="shared" si="0"/>
        <v>А3Р00630</v>
      </c>
      <c r="AE32" s="616" t="e">
        <f t="shared" si="1"/>
        <v>#N/A</v>
      </c>
      <c r="AF32" s="657" t="str">
        <f t="shared" si="2"/>
        <v>А3Р00630</v>
      </c>
      <c r="AG32" s="628"/>
      <c r="AH32" s="665">
        <v>151</v>
      </c>
      <c r="AI32" s="665">
        <v>171</v>
      </c>
      <c r="AJ32" s="628"/>
      <c r="AK32" s="628"/>
      <c r="AL32" s="628"/>
      <c r="AM32" s="628"/>
      <c r="AO32" s="628"/>
      <c r="AP32" s="628"/>
    </row>
    <row r="33" spans="2:42" ht="15.75" customHeight="1" x14ac:dyDescent="0.25">
      <c r="B33" s="704" t="s">
        <v>224</v>
      </c>
      <c r="C33" s="705"/>
      <c r="D33" s="705"/>
      <c r="E33" s="705"/>
      <c r="F33" s="705"/>
      <c r="G33" s="705"/>
      <c r="H33" s="705"/>
      <c r="I33" s="691"/>
      <c r="J33" s="723" t="str">
        <f>Расчет!E127</f>
        <v>700х500х200</v>
      </c>
      <c r="K33" s="723"/>
      <c r="L33" s="723"/>
      <c r="M33" s="724"/>
      <c r="N33" s="717" t="str">
        <f>IF(Расчет!$D$1=2,Расчет!F31,"")</f>
        <v>700х500х200</v>
      </c>
      <c r="O33" s="717"/>
      <c r="P33" s="717"/>
      <c r="Q33" s="717"/>
      <c r="R33" s="663"/>
      <c r="S33" s="663"/>
      <c r="T33" s="663"/>
      <c r="Y33" s="665">
        <v>162</v>
      </c>
      <c r="Z33" s="665">
        <v>172</v>
      </c>
      <c r="AA33" s="618" t="s">
        <v>209</v>
      </c>
      <c r="AB33" s="656" t="s">
        <v>120</v>
      </c>
      <c r="AC33" s="656" t="s">
        <v>209</v>
      </c>
      <c r="AD33" s="616" t="str">
        <f t="shared" si="0"/>
        <v>А3Р00700</v>
      </c>
      <c r="AE33" s="616" t="e">
        <f t="shared" si="1"/>
        <v>#N/A</v>
      </c>
      <c r="AF33" s="657" t="str">
        <f t="shared" si="2"/>
        <v>А3Р00700</v>
      </c>
      <c r="AG33" s="628"/>
      <c r="AH33" s="665">
        <v>152</v>
      </c>
      <c r="AI33" s="665">
        <v>172</v>
      </c>
      <c r="AJ33" s="628"/>
      <c r="AK33" s="628"/>
      <c r="AL33" s="628"/>
      <c r="AM33" s="628"/>
      <c r="AO33" s="628"/>
      <c r="AP33" s="628"/>
    </row>
    <row r="34" spans="2:42" ht="9.75" customHeight="1" x14ac:dyDescent="0.25">
      <c r="Q34" s="692" t="s">
        <v>330</v>
      </c>
      <c r="R34" s="692"/>
      <c r="S34" s="692"/>
      <c r="T34" s="663"/>
      <c r="Y34" s="665">
        <v>163</v>
      </c>
      <c r="Z34" s="665">
        <v>173</v>
      </c>
      <c r="AA34" s="628"/>
      <c r="AB34" s="628"/>
      <c r="AC34" s="628"/>
      <c r="AD34" s="616"/>
      <c r="AE34" s="628"/>
      <c r="AF34" s="628"/>
      <c r="AG34" s="628"/>
      <c r="AH34" s="665">
        <v>153</v>
      </c>
      <c r="AI34" s="665">
        <v>173</v>
      </c>
      <c r="AJ34" s="628"/>
      <c r="AK34" s="628"/>
      <c r="AL34" s="628"/>
      <c r="AM34" s="628"/>
      <c r="AO34" s="628"/>
      <c r="AP34" s="628"/>
    </row>
    <row r="35" spans="2:42" ht="6" customHeight="1" thickBot="1" x14ac:dyDescent="0.3">
      <c r="T35" s="692"/>
      <c r="AO35" s="628"/>
      <c r="AP35" s="628"/>
    </row>
    <row r="36" spans="2:42" ht="15" customHeight="1" x14ac:dyDescent="0.25">
      <c r="B36" s="745" t="s">
        <v>514</v>
      </c>
      <c r="C36" s="741"/>
      <c r="D36" s="741"/>
      <c r="E36" s="741"/>
      <c r="F36" s="741"/>
      <c r="G36" s="741"/>
      <c r="H36" s="741"/>
      <c r="I36" s="741"/>
      <c r="J36" s="741"/>
      <c r="K36" s="741" t="s">
        <v>149</v>
      </c>
      <c r="L36" s="741"/>
      <c r="M36" s="742"/>
      <c r="N36" s="693">
        <f>Расчет!D1</f>
        <v>2</v>
      </c>
    </row>
    <row r="37" spans="2:42" ht="20.25" customHeight="1" thickBot="1" x14ac:dyDescent="0.3">
      <c r="B37" s="746" t="str">
        <f>VLOOKUP(K37,Расчет!AC45:AF57,4,FALSE)</f>
        <v>Комплектация не требуется</v>
      </c>
      <c r="C37" s="747"/>
      <c r="D37" s="747"/>
      <c r="E37" s="747"/>
      <c r="F37" s="747"/>
      <c r="G37" s="747"/>
      <c r="H37" s="747"/>
      <c r="I37" s="747"/>
      <c r="J37" s="748"/>
      <c r="K37" s="743" t="str">
        <f>Расчет!E95</f>
        <v>Д0</v>
      </c>
      <c r="L37" s="743"/>
      <c r="M37" s="744"/>
    </row>
    <row r="38" spans="2:42" ht="18" customHeight="1" thickBot="1" x14ac:dyDescent="0.3">
      <c r="Y38" s="633"/>
      <c r="Z38" s="628"/>
      <c r="AA38" s="633"/>
      <c r="AB38" s="694"/>
    </row>
    <row r="39" spans="2:42" ht="15" customHeight="1" x14ac:dyDescent="0.25">
      <c r="B39" s="745" t="s">
        <v>227</v>
      </c>
      <c r="C39" s="741"/>
      <c r="D39" s="741"/>
      <c r="E39" s="741"/>
      <c r="F39" s="741"/>
      <c r="G39" s="741"/>
      <c r="H39" s="741"/>
      <c r="I39" s="741"/>
      <c r="J39" s="741"/>
      <c r="K39" s="741"/>
      <c r="L39" s="741"/>
      <c r="M39" s="742"/>
      <c r="Y39" s="633"/>
      <c r="Z39" s="628"/>
      <c r="AA39" s="638"/>
      <c r="AB39" s="695"/>
    </row>
    <row r="40" spans="2:42" ht="15.75" x14ac:dyDescent="0.25">
      <c r="B40" s="752" t="str">
        <f>CONCATENATE(Расчет!J283,Расчет!L283)</f>
        <v/>
      </c>
      <c r="C40" s="753"/>
      <c r="D40" s="753"/>
      <c r="E40" s="753"/>
      <c r="F40" s="753"/>
      <c r="G40" s="753"/>
      <c r="H40" s="753"/>
      <c r="I40" s="753"/>
      <c r="J40" s="753"/>
      <c r="K40" s="753"/>
      <c r="L40" s="753"/>
      <c r="M40" s="754"/>
      <c r="Y40" s="633"/>
      <c r="Z40" s="628"/>
      <c r="AA40" s="638"/>
      <c r="AB40" s="695"/>
    </row>
    <row r="41" spans="2:42" ht="15.75" x14ac:dyDescent="0.25">
      <c r="B41" s="735" t="str">
        <f>CONCATENATE(Расчет!J281,Расчет!J282)</f>
        <v/>
      </c>
      <c r="C41" s="736"/>
      <c r="D41" s="736"/>
      <c r="E41" s="736"/>
      <c r="F41" s="736"/>
      <c r="G41" s="736"/>
      <c r="H41" s="736"/>
      <c r="I41" s="736"/>
      <c r="J41" s="736"/>
      <c r="K41" s="736"/>
      <c r="L41" s="736"/>
      <c r="M41" s="737"/>
      <c r="U41" s="595" t="s">
        <v>455</v>
      </c>
      <c r="Y41" s="633"/>
      <c r="Z41" s="628"/>
      <c r="AA41" s="638"/>
      <c r="AB41" s="695"/>
    </row>
    <row r="42" spans="2:42" ht="15.75" x14ac:dyDescent="0.25">
      <c r="B42" s="735" t="str">
        <f>Расчет!J284</f>
        <v/>
      </c>
      <c r="C42" s="736"/>
      <c r="D42" s="736"/>
      <c r="E42" s="736"/>
      <c r="F42" s="736"/>
      <c r="G42" s="736"/>
      <c r="H42" s="736"/>
      <c r="I42" s="736"/>
      <c r="J42" s="736"/>
      <c r="K42" s="736"/>
      <c r="L42" s="736"/>
      <c r="M42" s="737"/>
      <c r="U42" s="595" t="s">
        <v>461</v>
      </c>
      <c r="V42" s="595" t="s">
        <v>460</v>
      </c>
      <c r="Y42" s="633"/>
      <c r="Z42" s="628"/>
      <c r="AA42" s="638"/>
      <c r="AB42" s="696"/>
    </row>
    <row r="43" spans="2:42" ht="15.75" x14ac:dyDescent="0.25">
      <c r="B43" s="735" t="str">
        <f>Расчет!J285</f>
        <v/>
      </c>
      <c r="C43" s="736"/>
      <c r="D43" s="736"/>
      <c r="E43" s="736"/>
      <c r="F43" s="736"/>
      <c r="G43" s="736"/>
      <c r="H43" s="736"/>
      <c r="I43" s="736"/>
      <c r="J43" s="736"/>
      <c r="K43" s="736"/>
      <c r="L43" s="736"/>
      <c r="M43" s="737"/>
      <c r="U43" s="595" t="s">
        <v>833</v>
      </c>
      <c r="Y43" s="628"/>
      <c r="Z43" s="628"/>
      <c r="AA43" s="628"/>
      <c r="AB43" s="695"/>
    </row>
    <row r="44" spans="2:42" ht="15.75" x14ac:dyDescent="0.25">
      <c r="B44" s="749" t="str">
        <f>Расчет!J286</f>
        <v/>
      </c>
      <c r="C44" s="750"/>
      <c r="D44" s="750"/>
      <c r="E44" s="750"/>
      <c r="F44" s="750"/>
      <c r="G44" s="750"/>
      <c r="H44" s="750"/>
      <c r="I44" s="750"/>
      <c r="J44" s="750"/>
      <c r="K44" s="750"/>
      <c r="L44" s="750"/>
      <c r="M44" s="751"/>
      <c r="U44" s="595" t="s">
        <v>834</v>
      </c>
      <c r="W44" s="595">
        <v>18</v>
      </c>
      <c r="Y44" s="628"/>
      <c r="Z44" s="628"/>
      <c r="AA44" s="628"/>
      <c r="AB44" s="695"/>
    </row>
    <row r="45" spans="2:42" ht="15.75" x14ac:dyDescent="0.25">
      <c r="B45" s="749" t="str">
        <f>Расчет!L33</f>
        <v/>
      </c>
      <c r="C45" s="750"/>
      <c r="D45" s="750"/>
      <c r="E45" s="750"/>
      <c r="F45" s="750"/>
      <c r="G45" s="750"/>
      <c r="H45" s="750"/>
      <c r="I45" s="750"/>
      <c r="J45" s="750"/>
      <c r="K45" s="750"/>
      <c r="L45" s="750"/>
      <c r="M45" s="751"/>
      <c r="U45" s="595" t="s">
        <v>584</v>
      </c>
      <c r="W45" s="595">
        <v>17</v>
      </c>
      <c r="AB45" s="695"/>
    </row>
    <row r="46" spans="2:42" ht="16.5" thickBot="1" x14ac:dyDescent="0.3">
      <c r="B46" s="738" t="str">
        <f>Расчет!J287</f>
        <v/>
      </c>
      <c r="C46" s="739"/>
      <c r="D46" s="739"/>
      <c r="E46" s="739"/>
      <c r="F46" s="739"/>
      <c r="G46" s="739"/>
      <c r="H46" s="739"/>
      <c r="I46" s="739"/>
      <c r="J46" s="739"/>
      <c r="K46" s="739"/>
      <c r="L46" s="739"/>
      <c r="M46" s="740"/>
      <c r="U46" s="595" t="s">
        <v>790</v>
      </c>
      <c r="W46" s="595">
        <f>W44*W45</f>
        <v>306</v>
      </c>
    </row>
    <row r="47" spans="2:42" x14ac:dyDescent="0.25">
      <c r="U47" s="595" t="s">
        <v>789</v>
      </c>
    </row>
  </sheetData>
  <sheetProtection password="C7D3" sheet="1" objects="1" scenarios="1"/>
  <dataConsolidate/>
  <mergeCells count="76">
    <mergeCell ref="J17:M17"/>
    <mergeCell ref="B17:I17"/>
    <mergeCell ref="B8:J8"/>
    <mergeCell ref="B9:J9"/>
    <mergeCell ref="K8:M8"/>
    <mergeCell ref="B11:J11"/>
    <mergeCell ref="B12:J12"/>
    <mergeCell ref="K12:M12"/>
    <mergeCell ref="B5:J5"/>
    <mergeCell ref="B6:J6"/>
    <mergeCell ref="K5:M5"/>
    <mergeCell ref="K7:M7"/>
    <mergeCell ref="K4:M4"/>
    <mergeCell ref="B7:J7"/>
    <mergeCell ref="B46:M46"/>
    <mergeCell ref="K36:M36"/>
    <mergeCell ref="K37:M37"/>
    <mergeCell ref="B36:J36"/>
    <mergeCell ref="B37:J37"/>
    <mergeCell ref="B39:M39"/>
    <mergeCell ref="B42:M42"/>
    <mergeCell ref="B43:M43"/>
    <mergeCell ref="B44:M44"/>
    <mergeCell ref="B45:M45"/>
    <mergeCell ref="B40:M40"/>
    <mergeCell ref="B2:L2"/>
    <mergeCell ref="B41:M41"/>
    <mergeCell ref="B31:H31"/>
    <mergeCell ref="B32:H32"/>
    <mergeCell ref="J18:M18"/>
    <mergeCell ref="B33:H33"/>
    <mergeCell ref="B19:H19"/>
    <mergeCell ref="B23:H23"/>
    <mergeCell ref="B20:H20"/>
    <mergeCell ref="J22:M22"/>
    <mergeCell ref="J24:M24"/>
    <mergeCell ref="J32:M32"/>
    <mergeCell ref="J21:M21"/>
    <mergeCell ref="J20:M20"/>
    <mergeCell ref="J19:M19"/>
    <mergeCell ref="B4:J4"/>
    <mergeCell ref="N33:Q33"/>
    <mergeCell ref="N22:Q22"/>
    <mergeCell ref="N24:Q24"/>
    <mergeCell ref="N30:Q30"/>
    <mergeCell ref="N25:Q25"/>
    <mergeCell ref="N26:Q26"/>
    <mergeCell ref="N27:Q27"/>
    <mergeCell ref="N28:Q28"/>
    <mergeCell ref="N31:Q31"/>
    <mergeCell ref="N32:Q32"/>
    <mergeCell ref="J33:M33"/>
    <mergeCell ref="B30:H30"/>
    <mergeCell ref="B24:H24"/>
    <mergeCell ref="J27:M27"/>
    <mergeCell ref="J28:M28"/>
    <mergeCell ref="J30:M30"/>
    <mergeCell ref="J25:M25"/>
    <mergeCell ref="J26:M26"/>
    <mergeCell ref="J31:M31"/>
    <mergeCell ref="N12:Q12"/>
    <mergeCell ref="B22:I22"/>
    <mergeCell ref="N7:Q7"/>
    <mergeCell ref="N4:Q4"/>
    <mergeCell ref="N5:Q5"/>
    <mergeCell ref="N6:Q6"/>
    <mergeCell ref="B21:I21"/>
    <mergeCell ref="N17:Q17"/>
    <mergeCell ref="N18:Q18"/>
    <mergeCell ref="N19:Q19"/>
    <mergeCell ref="N20:Q20"/>
    <mergeCell ref="N21:Q21"/>
    <mergeCell ref="N8:Q8"/>
    <mergeCell ref="K9:M9"/>
    <mergeCell ref="N9:Q9"/>
    <mergeCell ref="K6:M6"/>
  </mergeCells>
  <conditionalFormatting sqref="B41">
    <cfRule type="cellIs" dxfId="24" priority="40" operator="equal">
      <formula>"Выберите другой материал для корпуса шкафа"</formula>
    </cfRule>
    <cfRule type="cellIs" dxfId="23" priority="43" operator="equal">
      <formula>"Проверьте тип корпуса"</formula>
    </cfRule>
    <cfRule type="cellIs" dxfId="22" priority="44" operator="equal">
      <formula>"Проверьте тип корпуса"</formula>
    </cfRule>
  </conditionalFormatting>
  <conditionalFormatting sqref="B42">
    <cfRule type="containsText" dxfId="21" priority="36" operator="containsText" text="Введите значение тока от 0,6 до 69,9А">
      <formula>NOT(ISERROR(SEARCH("Введите значение тока от 0,6 до 69,9А",B42)))</formula>
    </cfRule>
    <cfRule type="expression" dxfId="20" priority="37">
      <formula>"Введите значение тока от 0,6 до 69,9А"</formula>
    </cfRule>
    <cfRule type="cellIs" dxfId="19" priority="41" operator="equal">
      <formula>"Введите значение тока от 0,1 до 69,9А"</formula>
    </cfRule>
    <cfRule type="cellIs" dxfId="18" priority="42" operator="equal">
      <formula>"Введите значение тока от 0,25 до 4,9А"</formula>
    </cfRule>
  </conditionalFormatting>
  <conditionalFormatting sqref="B43">
    <cfRule type="cellIs" dxfId="17" priority="39" operator="equal">
      <formula>"Отсутствует воздушный клапан"</formula>
    </cfRule>
  </conditionalFormatting>
  <conditionalFormatting sqref="B44:B46">
    <cfRule type="cellIs" dxfId="16" priority="38" operator="equal">
      <formula>"Электропитание не совместимо с типом пуска ЧРП"</formula>
    </cfRule>
  </conditionalFormatting>
  <conditionalFormatting sqref="B46">
    <cfRule type="cellIs" dxfId="15" priority="35" operator="equal">
      <formula>"Проверьте введенные значения"</formula>
    </cfRule>
  </conditionalFormatting>
  <conditionalFormatting sqref="B44:B45">
    <cfRule type="containsText" dxfId="14" priority="34" operator="containsText" text="Проверьте маркировку шкафа">
      <formula>NOT(ISERROR(SEARCH("Проверьте маркировку шкафа",B44)))</formula>
    </cfRule>
  </conditionalFormatting>
  <conditionalFormatting sqref="B46:C46">
    <cfRule type="containsText" dxfId="13" priority="33" operator="containsText" text="Дополнительная комплектация не соответствует выбранному оборудованию">
      <formula>NOT(ISERROR(SEARCH("Дополнительная комплектация не соответствует выбранному оборудованию",B46)))</formula>
    </cfRule>
  </conditionalFormatting>
  <conditionalFormatting sqref="I31:J33 J18:M33 I19:I20 I23:I30">
    <cfRule type="expression" dxfId="12" priority="19">
      <formula>OR($N$36=2,$N$36=3)</formula>
    </cfRule>
  </conditionalFormatting>
  <conditionalFormatting sqref="J29:M29">
    <cfRule type="expression" dxfId="11" priority="12">
      <formula>$J$28="Нет"</formula>
    </cfRule>
  </conditionalFormatting>
  <conditionalFormatting sqref="J23:M23">
    <cfRule type="expression" dxfId="10" priority="11">
      <formula>$J$22="ЭК"</formula>
    </cfRule>
  </conditionalFormatting>
  <conditionalFormatting sqref="T30 N29:S29">
    <cfRule type="expression" dxfId="9" priority="61">
      <formula>$N$28="Нет"</formula>
    </cfRule>
  </conditionalFormatting>
  <conditionalFormatting sqref="T24 N23:S23">
    <cfRule type="expression" dxfId="8" priority="63">
      <formula>$N$22="ЭК"</formula>
    </cfRule>
  </conditionalFormatting>
  <conditionalFormatting sqref="B40:M40">
    <cfRule type="cellIs" dxfId="7" priority="8" operator="equal">
      <formula>"Проверьте введенные данные"</formula>
    </cfRule>
  </conditionalFormatting>
  <conditionalFormatting sqref="B41:M41">
    <cfRule type="cellIs" dxfId="6" priority="6" operator="equal">
      <formula>"Введите значение тока вентилятора от 0,25 до 7,2А"</formula>
    </cfRule>
    <cfRule type="cellIs" dxfId="5" priority="7" operator="equal">
      <formula>"Введите значение тока вентилятора от 0,6 до 69,9А"</formula>
    </cfRule>
  </conditionalFormatting>
  <conditionalFormatting sqref="B42:M42">
    <cfRule type="cellIs" dxfId="4" priority="5" operator="equal">
      <formula>"Введите значение тока насоса (для 3ф) от 0,6 до 6,2А"</formula>
    </cfRule>
  </conditionalFormatting>
  <conditionalFormatting sqref="B43:M43">
    <cfRule type="cellIs" dxfId="3" priority="4" operator="equal">
      <formula>"Введите значение тока насоса (для 1ф) от 0,25 до 7,2А"</formula>
    </cfRule>
  </conditionalFormatting>
  <conditionalFormatting sqref="B44:M44">
    <cfRule type="cellIs" dxfId="2" priority="3" operator="equal">
      <formula>"Проверьте питание "</formula>
    </cfRule>
  </conditionalFormatting>
  <conditionalFormatting sqref="B46:M46">
    <cfRule type="cellIs" dxfId="1" priority="2" operator="equal">
      <formula>"Выберите другой материал для корпуса шкафа"</formula>
    </cfRule>
  </conditionalFormatting>
  <conditionalFormatting sqref="B15:Q15">
    <cfRule type="expression" dxfId="0" priority="71">
      <formula>OR($N$36=1,$N$36=3)</formula>
    </cfRule>
  </conditionalFormatting>
  <dataValidations count="5">
    <dataValidation type="list" allowBlank="1" showInputMessage="1" showErrorMessage="1" sqref="M15" xr:uid="{00000000-0002-0000-0000-000000000000}">
      <formula1>IF(AND(AA9=1,AA5=0),AJ17:AJ26,IF(AND(AA9=1,AA5=1),AJ17:AJ21,AJ27))</formula1>
    </dataValidation>
    <dataValidation type="decimal" allowBlank="1" showInputMessage="1" showErrorMessage="1" errorTitle="Проверьте значение тока" error="Введите значение 0,6...69,9А для 3-фазных эл/дв_x000a_Введите значение 0,25...4,9А для 1-фазных эл/дв" prompt="Введите значение: 0,6...69,9А для 3-фазных эл/дв_x000a_Введите значение: 0,25...4,9А для 1-фазных эл/дв_x000a_" sqref="B21" xr:uid="{00000000-0002-0000-0000-000001000000}">
      <formula1>0.25</formula1>
      <formula2>69.9</formula2>
    </dataValidation>
    <dataValidation type="list" allowBlank="1" showInputMessage="1" showErrorMessage="1" sqref="J24:M24" xr:uid="{00000000-0002-0000-0000-00000F000000}">
      <formula1>IF($J$22="ЭК",$AM$17:$AM$20,$AM$21:$AM$22)</formula1>
    </dataValidation>
    <dataValidation type="list" allowBlank="1" showInputMessage="1" showErrorMessage="1" sqref="K15" xr:uid="{00000000-0002-0000-0000-000010000000}">
      <formula1>$AN$17:$AN$26</formula1>
    </dataValidation>
    <dataValidation type="list" allowBlank="1" showInputMessage="1" showErrorMessage="1" sqref="I15" xr:uid="{00000000-0002-0000-0000-000014000000}">
      <formula1>$AF$17:$AF$33</formula1>
    </dataValidation>
  </dataValidations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6" r:id="rId4" name="Option Button 42">
              <controlPr defaultSize="0" autoFill="0" autoLine="0" autoPict="0" altText="Конструктор">
                <anchor moveWithCells="1">
                  <from>
                    <xdr:col>8</xdr:col>
                    <xdr:colOff>771525</xdr:colOff>
                    <xdr:row>3</xdr:row>
                    <xdr:rowOff>85725</xdr:rowOff>
                  </from>
                  <to>
                    <xdr:col>9</xdr:col>
                    <xdr:colOff>295275</xdr:colOff>
                    <xdr:row>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Option Button 43">
              <controlPr defaultSize="0" autoFill="0" autoLine="0" autoPict="0">
                <anchor moveWithCells="1">
                  <from>
                    <xdr:col>8</xdr:col>
                    <xdr:colOff>771525</xdr:colOff>
                    <xdr:row>5</xdr:row>
                    <xdr:rowOff>114300</xdr:rowOff>
                  </from>
                  <to>
                    <xdr:col>9</xdr:col>
                    <xdr:colOff>295275</xdr:colOff>
                    <xdr:row>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" name="Option Button 69">
              <controlPr defaultSize="0" autoFill="0" autoLine="0" autoPict="0">
                <anchor moveWithCells="1">
                  <from>
                    <xdr:col>8</xdr:col>
                    <xdr:colOff>771525</xdr:colOff>
                    <xdr:row>7</xdr:row>
                    <xdr:rowOff>85725</xdr:rowOff>
                  </from>
                  <to>
                    <xdr:col>9</xdr:col>
                    <xdr:colOff>295275</xdr:colOff>
                    <xdr:row>7</xdr:row>
                    <xdr:rowOff>304800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 xr:uid="{00000000-0002-0000-0000-000002000000}">
          <x14:formula1>
            <xm:f>Расчет!$B$98:$B$100</xm:f>
          </x14:formula1>
          <xm:sqref>J31 O15</xm:sqref>
        </x14:dataValidation>
        <x14:dataValidation type="list" allowBlank="1" showInputMessage="1" showErrorMessage="1" xr:uid="{00000000-0002-0000-0000-000003000000}">
          <x14:formula1>
            <xm:f>Расчет!$F$111:$F$112</xm:f>
          </x14:formula1>
          <xm:sqref>I32:M32</xm:sqref>
        </x14:dataValidation>
        <x14:dataValidation type="list" allowBlank="1" showInputMessage="1" showErrorMessage="1" xr:uid="{00000000-0002-0000-0000-000004000000}">
          <x14:formula1>
            <xm:f>Расчет!$F$92:$F$93</xm:f>
          </x14:formula1>
          <xm:sqref>J30</xm:sqref>
        </x14:dataValidation>
        <x14:dataValidation type="list" allowBlank="1" showInputMessage="1" showErrorMessage="1" xr:uid="{00000000-0002-0000-0000-000005000000}">
          <x14:formula1>
            <xm:f>Расчет!$F$74:$F$75</xm:f>
          </x14:formula1>
          <xm:sqref>J26</xm:sqref>
        </x14:dataValidation>
        <x14:dataValidation type="list" allowBlank="1" showInputMessage="1" showErrorMessage="1" xr:uid="{00000000-0002-0000-0000-000006000000}">
          <x14:formula1>
            <xm:f>Расчет!$F$79:$F$80</xm:f>
          </x14:formula1>
          <xm:sqref>J27</xm:sqref>
        </x14:dataValidation>
        <x14:dataValidation type="list" allowBlank="1" showInputMessage="1" showErrorMessage="1" xr:uid="{00000000-0002-0000-0000-000007000000}">
          <x14:formula1>
            <xm:f>Расчет!$F$69:$F$70</xm:f>
          </x14:formula1>
          <xm:sqref>J25</xm:sqref>
        </x14:dataValidation>
        <x14:dataValidation type="list" allowBlank="1" showInputMessage="1" showErrorMessage="1" xr:uid="{00000000-0002-0000-0000-000008000000}">
          <x14:formula1>
            <xm:f>Расчет!$F$84:$F$85</xm:f>
          </x14:formula1>
          <xm:sqref>J28</xm:sqref>
        </x14:dataValidation>
        <x14:dataValidation type="list" allowBlank="1" showInputMessage="1" showErrorMessage="1" xr:uid="{00000000-0002-0000-0000-000009000000}">
          <x14:formula1>
            <xm:f>Расчет!$F$88:$F$89</xm:f>
          </x14:formula1>
          <xm:sqref>J29</xm:sqref>
        </x14:dataValidation>
        <x14:dataValidation type="list" allowBlank="1" showInputMessage="1" showErrorMessage="1" xr:uid="{00000000-0002-0000-0000-00000A000000}">
          <x14:formula1>
            <xm:f>Расчет!$F$43:$F$44</xm:f>
          </x14:formula1>
          <xm:sqref>J18</xm:sqref>
        </x14:dataValidation>
        <x14:dataValidation type="list" allowBlank="1" showInputMessage="1" showErrorMessage="1" xr:uid="{00000000-0002-0000-0000-00000B000000}">
          <x14:formula1>
            <xm:f>Расчет!$F$61:$F$62</xm:f>
          </x14:formula1>
          <xm:sqref>J23</xm:sqref>
        </x14:dataValidation>
        <x14:dataValidation type="list" allowBlank="1" showInputMessage="1" showErrorMessage="1" xr:uid="{00000000-0002-0000-0000-00000C000000}">
          <x14:formula1>
            <xm:f>Расчет!$F$48:$F$49</xm:f>
          </x14:formula1>
          <xm:sqref>J19:M19</xm:sqref>
        </x14:dataValidation>
        <x14:dataValidation type="list" allowBlank="1" showInputMessage="1" showErrorMessage="1" xr:uid="{00000000-0002-0000-0000-00000D000000}">
          <x14:formula1>
            <xm:f>Расчет!$F$57:$F$58</xm:f>
          </x14:formula1>
          <xm:sqref>J22</xm:sqref>
        </x14:dataValidation>
        <x14:dataValidation type="list" allowBlank="1" showInputMessage="1" showErrorMessage="1" xr:uid="{00000000-0002-0000-0000-00000E000000}">
          <x14:formula1>
            <xm:f>Расчет!$F$52:$F$53</xm:f>
          </x14:formula1>
          <xm:sqref>J20</xm:sqref>
        </x14:dataValidation>
        <x14:dataValidation type="list" allowBlank="1" showInputMessage="1" showErrorMessage="1" xr:uid="{00000000-0002-0000-0000-000011000000}">
          <x14:formula1>
            <xm:f>Расчет!$E$43:$E$44</xm:f>
          </x14:formula1>
          <xm:sqref>D15</xm:sqref>
        </x14:dataValidation>
        <x14:dataValidation type="list" allowBlank="1" showInputMessage="1" showErrorMessage="1" xr:uid="{00000000-0002-0000-0000-000012000000}">
          <x14:formula1>
            <xm:f>Расчет!$E$48:$E$49</xm:f>
          </x14:formula1>
          <xm:sqref>E15</xm:sqref>
        </x14:dataValidation>
        <x14:dataValidation type="list" allowBlank="1" showInputMessage="1" showErrorMessage="1" xr:uid="{00000000-0002-0000-0000-000013000000}">
          <x14:formula1>
            <xm:f>Расчет!$H$312:$H$347</xm:f>
          </x14:formula1>
          <xm:sqref>G15</xm:sqref>
        </x14:dataValidation>
        <x14:dataValidation type="list" allowBlank="1" showInputMessage="1" showErrorMessage="1" xr:uid="{00000000-0002-0000-0000-000015000000}">
          <x14:formula1>
            <xm:f>Расчет!$D$124:$D$125</xm:f>
          </x14:formula1>
          <xm:sqref>Q15</xm:sqref>
        </x14:dataValidation>
        <x14:dataValidation type="list" allowBlank="1" showInputMessage="1" showErrorMessage="1" xr:uid="{7FF8AA46-7A7C-46A2-B860-EF3AFF97B137}">
          <x14:formula1>
            <xm:f>Расчет!$F$48:$F$48</xm:f>
          </x14:formula1>
          <xm:sqref>I19</xm:sqref>
        </x14:dataValidation>
        <x14:dataValidation type="list" allowBlank="1" showInputMessage="1" showErrorMessage="1" xr:uid="{3B4AB0D0-EE6D-42FC-BAB9-A285EE8CE7D3}">
          <x14:formula1>
            <xm:f>Расчет!$F$52:$F$54</xm:f>
          </x14:formula1>
          <xm:sqref>I20</xm:sqref>
        </x14:dataValidation>
        <x14:dataValidation type="list" allowBlank="1" showInputMessage="1" showErrorMessage="1" xr:uid="{CDC3A1DE-9C16-4017-BB6A-6AFB7A7403B9}">
          <x14:formula1>
            <xm:f>Расчет!#REF!</xm:f>
          </x14:formula1>
          <xm:sqref>I23 I30</xm:sqref>
        </x14:dataValidation>
        <x14:dataValidation type="list" allowBlank="1" showInputMessage="1" showErrorMessage="1" xr:uid="{D7093B44-0F8A-4F4D-8DBE-F00D2C04D262}">
          <x14:formula1>
            <xm:f>Расчет!$C$122:$C$135</xm:f>
          </x14:formula1>
          <xm:sqref>I31</xm:sqref>
        </x14:dataValidation>
        <x14:dataValidation type="list" allowBlank="1" showInputMessage="1" showErrorMessage="1" promptTitle="1111" xr:uid="{21E49DD6-5171-4C6A-8A88-8891A91DB617}">
          <x14:formula1>
            <xm:f>Расчет!$F$43:$F$44</xm:f>
          </x14:formula1>
          <xm:sqref>J18</xm:sqref>
        </x14:dataValidation>
        <x14:dataValidation type="list" allowBlank="1" showInputMessage="1" showErrorMessage="1" promptTitle="1111" xr:uid="{DCC2EB40-5CED-4872-9FA4-5A2932C3C4AC}">
          <x14:formula1>
            <xm:f>Расчет!$F$48:$F$48</xm:f>
          </x14:formula1>
          <xm:sqref>I19</xm:sqref>
        </x14:dataValidation>
        <x14:dataValidation type="list" allowBlank="1" showInputMessage="1" showErrorMessage="1" promptTitle="1111" xr:uid="{198F69BB-46DF-4C5F-9705-39D3C68C76CF}">
          <x14:formula1>
            <xm:f>Расчет!$F$52:$F$54</xm:f>
          </x14:formula1>
          <xm:sqref>I20</xm:sqref>
        </x14:dataValidation>
        <x14:dataValidation type="list" allowBlank="1" showInputMessage="1" showErrorMessage="1" promptTitle="1111" xr:uid="{D719EDA7-CFDE-4847-9117-BF4FC9059A5D}">
          <x14:formula1>
            <xm:f>Расчет!#REF!</xm:f>
          </x14:formula1>
          <xm:sqref>I23 I30</xm:sqref>
        </x14:dataValidation>
        <x14:dataValidation type="list" allowBlank="1" showInputMessage="1" showErrorMessage="1" xr:uid="{0D011206-92EF-45D1-8664-D7E90CDEE7F3}">
          <x14:formula1>
            <xm:f>Расчет!$AC$45:$AC$52</xm:f>
          </x14:formula1>
          <xm:sqref>I31</xm:sqref>
        </x14:dataValidation>
        <x14:dataValidation type="list" allowBlank="1" showInputMessage="1" showErrorMessage="1" promptTitle="1111" xr:uid="{47C06E66-C7BC-4AA2-AA43-ED8F3CE66D46}">
          <x14:formula1>
            <xm:f>Расчет!$F$111:$F$112</xm:f>
          </x14:formula1>
          <xm:sqref>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84"/>
  <sheetViews>
    <sheetView workbookViewId="0">
      <selection activeCell="J9" sqref="J9"/>
    </sheetView>
  </sheetViews>
  <sheetFormatPr defaultRowHeight="15" x14ac:dyDescent="0.25"/>
  <cols>
    <col min="3" max="3" width="15" style="1" bestFit="1" customWidth="1"/>
    <col min="4" max="4" width="31.5703125" style="1" bestFit="1" customWidth="1"/>
    <col min="5" max="6" width="11" style="1" bestFit="1" customWidth="1"/>
    <col min="7" max="7" width="12.42578125" style="1" bestFit="1" customWidth="1"/>
    <col min="8" max="8" width="17.7109375" style="1" bestFit="1" customWidth="1"/>
    <col min="9" max="9" width="14.140625" style="1" customWidth="1"/>
    <col min="10" max="10" width="14.28515625" style="1" customWidth="1"/>
    <col min="11" max="11" width="17.7109375" style="1" bestFit="1" customWidth="1"/>
  </cols>
  <sheetData>
    <row r="2" spans="3:11" ht="18.75" x14ac:dyDescent="0.25">
      <c r="D2" s="570" t="s">
        <v>944</v>
      </c>
    </row>
    <row r="3" spans="3:11" x14ac:dyDescent="0.25">
      <c r="I3" s="47"/>
      <c r="J3" s="574" t="s">
        <v>942</v>
      </c>
      <c r="K3" s="571"/>
    </row>
    <row r="4" spans="3:11" ht="45.75" customHeight="1" x14ac:dyDescent="0.25">
      <c r="C4" s="572" t="s">
        <v>929</v>
      </c>
      <c r="D4" s="572" t="s">
        <v>1</v>
      </c>
      <c r="E4" s="573" t="s">
        <v>930</v>
      </c>
      <c r="F4" s="573" t="s">
        <v>931</v>
      </c>
      <c r="G4" s="573" t="s">
        <v>932</v>
      </c>
      <c r="H4" s="576" t="s">
        <v>941</v>
      </c>
      <c r="I4" s="577" t="s">
        <v>629</v>
      </c>
      <c r="J4" s="577" t="s">
        <v>943</v>
      </c>
      <c r="K4" s="577" t="s">
        <v>941</v>
      </c>
    </row>
    <row r="5" spans="3:11" x14ac:dyDescent="0.25">
      <c r="C5" s="579" t="s">
        <v>903</v>
      </c>
      <c r="D5" s="580"/>
      <c r="E5" s="580"/>
      <c r="F5" s="580"/>
      <c r="G5" s="580"/>
      <c r="H5" s="580"/>
      <c r="I5" s="580"/>
      <c r="J5" s="580"/>
      <c r="K5" s="581"/>
    </row>
    <row r="6" spans="3:11" x14ac:dyDescent="0.25">
      <c r="C6" s="575"/>
      <c r="D6" s="54" t="s">
        <v>871</v>
      </c>
      <c r="E6" s="54">
        <v>0.4</v>
      </c>
      <c r="F6" s="54">
        <v>3</v>
      </c>
      <c r="G6" s="54">
        <v>1.5</v>
      </c>
      <c r="H6" s="578">
        <v>10</v>
      </c>
      <c r="I6" s="54" t="s">
        <v>125</v>
      </c>
      <c r="J6" s="54" t="s">
        <v>933</v>
      </c>
      <c r="K6" s="54">
        <v>10</v>
      </c>
    </row>
    <row r="7" spans="3:11" x14ac:dyDescent="0.25">
      <c r="C7" s="575"/>
      <c r="D7" s="54" t="s">
        <v>945</v>
      </c>
      <c r="E7" s="54">
        <v>0.75</v>
      </c>
      <c r="F7" s="54">
        <v>4.2</v>
      </c>
      <c r="G7" s="54">
        <v>2.7</v>
      </c>
      <c r="H7" s="578">
        <v>10</v>
      </c>
      <c r="I7" s="54" t="s">
        <v>125</v>
      </c>
      <c r="J7" s="54" t="s">
        <v>933</v>
      </c>
      <c r="K7" s="54">
        <v>10</v>
      </c>
    </row>
    <row r="8" spans="3:11" x14ac:dyDescent="0.25">
      <c r="C8" s="9"/>
      <c r="D8" s="9" t="s">
        <v>872</v>
      </c>
      <c r="E8" s="9">
        <v>1.1000000000000001</v>
      </c>
      <c r="F8" s="9">
        <v>4.5</v>
      </c>
      <c r="G8" s="9">
        <v>3</v>
      </c>
      <c r="H8" s="40">
        <v>10</v>
      </c>
      <c r="I8" s="9" t="s">
        <v>125</v>
      </c>
      <c r="J8" s="9" t="s">
        <v>933</v>
      </c>
      <c r="K8" s="9">
        <v>10</v>
      </c>
    </row>
    <row r="9" spans="3:11" x14ac:dyDescent="0.25">
      <c r="C9" s="9"/>
      <c r="D9" s="9" t="s">
        <v>951</v>
      </c>
      <c r="E9" s="9">
        <v>1.5</v>
      </c>
      <c r="F9" s="9">
        <v>5.7</v>
      </c>
      <c r="G9" s="9">
        <v>4</v>
      </c>
      <c r="H9" s="40">
        <v>10</v>
      </c>
      <c r="I9" s="9" t="s">
        <v>125</v>
      </c>
      <c r="J9" s="9" t="s">
        <v>933</v>
      </c>
      <c r="K9" s="9">
        <v>10</v>
      </c>
    </row>
    <row r="10" spans="3:11" x14ac:dyDescent="0.25">
      <c r="C10" s="9"/>
      <c r="D10" s="9" t="s">
        <v>873</v>
      </c>
      <c r="E10" s="73">
        <v>2.2000000000000002</v>
      </c>
      <c r="F10" s="73">
        <v>6</v>
      </c>
      <c r="G10" s="73">
        <v>5</v>
      </c>
      <c r="H10" s="198">
        <v>16</v>
      </c>
      <c r="I10" s="9" t="s">
        <v>126</v>
      </c>
      <c r="J10" s="9" t="s">
        <v>934</v>
      </c>
      <c r="K10" s="9">
        <v>16</v>
      </c>
    </row>
    <row r="11" spans="3:11" x14ac:dyDescent="0.25">
      <c r="C11" s="9"/>
      <c r="D11" s="9" t="s">
        <v>952</v>
      </c>
      <c r="E11" s="73">
        <v>3</v>
      </c>
      <c r="F11" s="73">
        <v>7.6</v>
      </c>
      <c r="G11" s="73">
        <v>6.8</v>
      </c>
      <c r="H11" s="198">
        <v>16</v>
      </c>
      <c r="I11" s="9" t="s">
        <v>126</v>
      </c>
      <c r="J11" s="9" t="s">
        <v>934</v>
      </c>
      <c r="K11" s="9">
        <v>16</v>
      </c>
    </row>
    <row r="12" spans="3:11" x14ac:dyDescent="0.25">
      <c r="C12" s="9"/>
      <c r="D12" s="9" t="s">
        <v>874</v>
      </c>
      <c r="E12" s="73">
        <v>4</v>
      </c>
      <c r="F12" s="73">
        <v>10.3</v>
      </c>
      <c r="G12" s="73">
        <v>8.6</v>
      </c>
      <c r="H12" s="198">
        <v>16</v>
      </c>
      <c r="I12" s="9" t="s">
        <v>126</v>
      </c>
      <c r="J12" s="9" t="s">
        <v>934</v>
      </c>
      <c r="K12" s="9">
        <v>16</v>
      </c>
    </row>
    <row r="13" spans="3:11" x14ac:dyDescent="0.25">
      <c r="C13" s="9"/>
      <c r="D13" s="9" t="s">
        <v>875</v>
      </c>
      <c r="E13" s="73">
        <v>5.5</v>
      </c>
      <c r="F13" s="73">
        <v>15.2</v>
      </c>
      <c r="G13" s="73">
        <v>12.5</v>
      </c>
      <c r="H13" s="198">
        <v>25</v>
      </c>
      <c r="I13" s="9" t="s">
        <v>128</v>
      </c>
      <c r="J13" s="9" t="s">
        <v>936</v>
      </c>
      <c r="K13" s="9">
        <v>32</v>
      </c>
    </row>
    <row r="14" spans="3:11" x14ac:dyDescent="0.25">
      <c r="C14" s="9"/>
      <c r="D14" s="9" t="s">
        <v>876</v>
      </c>
      <c r="E14" s="73">
        <v>7.5</v>
      </c>
      <c r="F14" s="73">
        <v>21.2</v>
      </c>
      <c r="G14" s="73">
        <v>17.5</v>
      </c>
      <c r="H14" s="198">
        <v>40</v>
      </c>
      <c r="I14" s="9" t="s">
        <v>129</v>
      </c>
      <c r="J14" s="9" t="s">
        <v>937</v>
      </c>
      <c r="K14" s="9">
        <v>40</v>
      </c>
    </row>
    <row r="15" spans="3:11" x14ac:dyDescent="0.25">
      <c r="C15" s="9"/>
      <c r="D15" s="9" t="s">
        <v>877</v>
      </c>
      <c r="E15" s="73">
        <v>11</v>
      </c>
      <c r="F15" s="73">
        <v>28.8</v>
      </c>
      <c r="G15" s="73">
        <v>24</v>
      </c>
      <c r="H15" s="198">
        <v>40</v>
      </c>
      <c r="I15" s="9" t="s">
        <v>129</v>
      </c>
      <c r="J15" s="9" t="s">
        <v>937</v>
      </c>
      <c r="K15" s="9">
        <v>40</v>
      </c>
    </row>
    <row r="16" spans="3:11" x14ac:dyDescent="0.25">
      <c r="C16" s="9"/>
      <c r="D16" s="9" t="s">
        <v>878</v>
      </c>
      <c r="E16" s="73">
        <v>15</v>
      </c>
      <c r="F16" s="73">
        <v>35</v>
      </c>
      <c r="G16" s="73">
        <v>32</v>
      </c>
      <c r="H16" s="198">
        <v>40</v>
      </c>
      <c r="I16" s="9" t="s">
        <v>129</v>
      </c>
      <c r="J16" s="9" t="s">
        <v>937</v>
      </c>
      <c r="K16" s="9">
        <v>40</v>
      </c>
    </row>
    <row r="17" spans="3:11" x14ac:dyDescent="0.25">
      <c r="C17" s="9"/>
      <c r="D17" s="9" t="s">
        <v>879</v>
      </c>
      <c r="E17" s="73">
        <v>18.5</v>
      </c>
      <c r="F17" s="73">
        <v>38</v>
      </c>
      <c r="G17" s="73">
        <v>37</v>
      </c>
      <c r="H17" s="198">
        <v>100</v>
      </c>
      <c r="I17" s="9" t="s">
        <v>131</v>
      </c>
      <c r="J17" s="9" t="s">
        <v>939</v>
      </c>
      <c r="K17" s="9">
        <v>100</v>
      </c>
    </row>
    <row r="18" spans="3:11" x14ac:dyDescent="0.25">
      <c r="C18" s="9"/>
      <c r="D18" s="9" t="s">
        <v>880</v>
      </c>
      <c r="E18" s="73">
        <v>22</v>
      </c>
      <c r="F18" s="73">
        <v>46</v>
      </c>
      <c r="G18" s="73">
        <v>45</v>
      </c>
      <c r="H18" s="198">
        <v>100</v>
      </c>
      <c r="I18" s="9" t="s">
        <v>131</v>
      </c>
      <c r="J18" s="9" t="s">
        <v>939</v>
      </c>
      <c r="K18" s="9">
        <v>100</v>
      </c>
    </row>
    <row r="19" spans="3:11" x14ac:dyDescent="0.25">
      <c r="C19" s="9"/>
      <c r="D19" s="9" t="s">
        <v>881</v>
      </c>
      <c r="E19" s="73">
        <v>30</v>
      </c>
      <c r="F19" s="73">
        <v>62</v>
      </c>
      <c r="G19" s="73">
        <v>60</v>
      </c>
      <c r="H19" s="198">
        <v>160</v>
      </c>
      <c r="I19" s="9"/>
      <c r="J19" s="9"/>
      <c r="K19" s="9"/>
    </row>
    <row r="20" spans="3:11" x14ac:dyDescent="0.25">
      <c r="C20" s="9"/>
      <c r="D20" s="9" t="s">
        <v>882</v>
      </c>
      <c r="E20" s="73">
        <v>37</v>
      </c>
      <c r="F20" s="73">
        <v>76</v>
      </c>
      <c r="G20" s="73">
        <v>75</v>
      </c>
      <c r="H20" s="198">
        <v>160</v>
      </c>
      <c r="I20" s="9"/>
      <c r="J20" s="9"/>
      <c r="K20" s="9"/>
    </row>
    <row r="21" spans="3:11" x14ac:dyDescent="0.25">
      <c r="C21" s="22"/>
      <c r="D21" s="9"/>
      <c r="E21" s="73"/>
      <c r="F21" s="73"/>
      <c r="G21" s="73"/>
      <c r="H21" s="73"/>
      <c r="I21" s="9"/>
      <c r="J21" s="9"/>
      <c r="K21" s="9"/>
    </row>
    <row r="22" spans="3:11" x14ac:dyDescent="0.25">
      <c r="C22" s="22"/>
      <c r="D22" s="321" t="s">
        <v>946</v>
      </c>
      <c r="E22" s="73">
        <v>0.4</v>
      </c>
      <c r="F22" s="73">
        <v>3</v>
      </c>
      <c r="G22" s="73">
        <v>1.5</v>
      </c>
      <c r="H22" s="73">
        <v>10</v>
      </c>
      <c r="I22" s="9" t="s">
        <v>125</v>
      </c>
      <c r="J22" s="9" t="s">
        <v>933</v>
      </c>
      <c r="K22" s="9">
        <v>10</v>
      </c>
    </row>
    <row r="23" spans="3:11" x14ac:dyDescent="0.25">
      <c r="C23" s="22"/>
      <c r="D23" s="321" t="s">
        <v>947</v>
      </c>
      <c r="E23" s="73">
        <v>0.75</v>
      </c>
      <c r="F23" s="73">
        <v>4.2</v>
      </c>
      <c r="G23" s="73">
        <v>2.7</v>
      </c>
      <c r="H23" s="73">
        <v>10</v>
      </c>
      <c r="I23" s="9" t="s">
        <v>125</v>
      </c>
      <c r="J23" s="9" t="s">
        <v>933</v>
      </c>
      <c r="K23" s="9">
        <v>10</v>
      </c>
    </row>
    <row r="24" spans="3:11" x14ac:dyDescent="0.25">
      <c r="C24" s="22"/>
      <c r="D24" s="321" t="s">
        <v>948</v>
      </c>
      <c r="E24" s="73">
        <v>1.1000000000000001</v>
      </c>
      <c r="F24" s="73">
        <v>4.5</v>
      </c>
      <c r="G24" s="73">
        <v>3</v>
      </c>
      <c r="H24" s="73">
        <v>10</v>
      </c>
      <c r="I24" s="9" t="s">
        <v>125</v>
      </c>
      <c r="J24" s="9" t="s">
        <v>933</v>
      </c>
      <c r="K24" s="9">
        <v>10</v>
      </c>
    </row>
    <row r="25" spans="3:11" x14ac:dyDescent="0.25">
      <c r="C25" s="22"/>
      <c r="D25" s="321" t="s">
        <v>949</v>
      </c>
      <c r="E25" s="73">
        <v>1.5</v>
      </c>
      <c r="F25" s="73">
        <v>5.7</v>
      </c>
      <c r="G25" s="73">
        <v>4</v>
      </c>
      <c r="H25" s="73">
        <v>10</v>
      </c>
      <c r="I25" s="9" t="s">
        <v>125</v>
      </c>
      <c r="J25" s="9" t="s">
        <v>933</v>
      </c>
      <c r="K25" s="9">
        <v>10</v>
      </c>
    </row>
    <row r="26" spans="3:11" x14ac:dyDescent="0.25">
      <c r="C26" s="22"/>
      <c r="D26" s="321" t="s">
        <v>950</v>
      </c>
      <c r="E26" s="73">
        <v>2.2000000000000002</v>
      </c>
      <c r="F26" s="73">
        <v>6</v>
      </c>
      <c r="G26" s="73">
        <v>5</v>
      </c>
      <c r="H26" s="73">
        <v>16</v>
      </c>
      <c r="I26" s="9" t="s">
        <v>126</v>
      </c>
      <c r="J26" s="9" t="s">
        <v>934</v>
      </c>
      <c r="K26" s="9">
        <v>16</v>
      </c>
    </row>
    <row r="27" spans="3:11" x14ac:dyDescent="0.25">
      <c r="C27" s="22"/>
      <c r="D27" s="321" t="s">
        <v>953</v>
      </c>
      <c r="E27" s="73">
        <v>3</v>
      </c>
      <c r="F27" s="73">
        <v>7.6</v>
      </c>
      <c r="G27" s="73">
        <v>6.8</v>
      </c>
      <c r="H27" s="73">
        <v>16</v>
      </c>
      <c r="I27" s="9" t="s">
        <v>126</v>
      </c>
      <c r="J27" s="9" t="s">
        <v>934</v>
      </c>
      <c r="K27" s="9">
        <v>16</v>
      </c>
    </row>
    <row r="28" spans="3:11" x14ac:dyDescent="0.25">
      <c r="C28" s="22"/>
      <c r="D28" s="321" t="s">
        <v>954</v>
      </c>
      <c r="E28" s="73">
        <v>4</v>
      </c>
      <c r="F28" s="73">
        <v>10.3</v>
      </c>
      <c r="G28" s="73">
        <v>8.6</v>
      </c>
      <c r="H28" s="73">
        <v>16</v>
      </c>
      <c r="I28" s="9" t="s">
        <v>126</v>
      </c>
      <c r="J28" s="9" t="s">
        <v>934</v>
      </c>
      <c r="K28" s="9">
        <v>16</v>
      </c>
    </row>
    <row r="29" spans="3:11" x14ac:dyDescent="0.25">
      <c r="C29" s="22"/>
      <c r="D29" s="321" t="s">
        <v>955</v>
      </c>
      <c r="E29" s="73">
        <v>5.5</v>
      </c>
      <c r="F29" s="73">
        <v>15.2</v>
      </c>
      <c r="G29" s="73">
        <v>12.5</v>
      </c>
      <c r="H29" s="73">
        <v>25</v>
      </c>
      <c r="I29" s="9" t="s">
        <v>128</v>
      </c>
      <c r="J29" s="9" t="s">
        <v>936</v>
      </c>
      <c r="K29" s="9">
        <v>32</v>
      </c>
    </row>
    <row r="30" spans="3:11" x14ac:dyDescent="0.25">
      <c r="C30" s="22"/>
      <c r="D30" s="321" t="s">
        <v>956</v>
      </c>
      <c r="E30" s="73">
        <v>7.5</v>
      </c>
      <c r="F30" s="73">
        <v>21.2</v>
      </c>
      <c r="G30" s="73">
        <v>17.5</v>
      </c>
      <c r="H30" s="73">
        <v>40</v>
      </c>
      <c r="I30" s="9" t="s">
        <v>129</v>
      </c>
      <c r="J30" s="9" t="s">
        <v>937</v>
      </c>
      <c r="K30" s="9">
        <v>40</v>
      </c>
    </row>
    <row r="31" spans="3:11" x14ac:dyDescent="0.25">
      <c r="C31" s="22"/>
      <c r="D31" s="321" t="s">
        <v>957</v>
      </c>
      <c r="E31" s="73">
        <v>11</v>
      </c>
      <c r="F31" s="73">
        <v>28.8</v>
      </c>
      <c r="G31" s="73">
        <v>24</v>
      </c>
      <c r="H31" s="73">
        <v>40</v>
      </c>
      <c r="I31" s="9" t="s">
        <v>129</v>
      </c>
      <c r="J31" s="9" t="s">
        <v>937</v>
      </c>
      <c r="K31" s="9">
        <v>40</v>
      </c>
    </row>
    <row r="32" spans="3:11" x14ac:dyDescent="0.25">
      <c r="C32" s="22"/>
      <c r="D32" s="321" t="s">
        <v>958</v>
      </c>
      <c r="E32" s="73">
        <v>15</v>
      </c>
      <c r="F32" s="73">
        <v>42</v>
      </c>
      <c r="G32" s="73">
        <v>32</v>
      </c>
      <c r="H32" s="73">
        <v>63</v>
      </c>
      <c r="I32" s="9" t="s">
        <v>130</v>
      </c>
      <c r="J32" s="9" t="s">
        <v>938</v>
      </c>
      <c r="K32" s="9">
        <v>63</v>
      </c>
    </row>
    <row r="33" spans="3:11" x14ac:dyDescent="0.25">
      <c r="C33" s="22"/>
      <c r="D33" s="321" t="s">
        <v>959</v>
      </c>
      <c r="E33" s="73">
        <v>18.5</v>
      </c>
      <c r="F33" s="73">
        <v>47</v>
      </c>
      <c r="G33" s="73">
        <v>40</v>
      </c>
      <c r="H33" s="73">
        <v>63</v>
      </c>
      <c r="I33" s="9" t="s">
        <v>130</v>
      </c>
      <c r="J33" s="9" t="s">
        <v>938</v>
      </c>
      <c r="K33" s="9">
        <v>63</v>
      </c>
    </row>
    <row r="34" spans="3:11" x14ac:dyDescent="0.25">
      <c r="C34" s="22"/>
      <c r="D34" s="321" t="s">
        <v>960</v>
      </c>
      <c r="E34" s="73">
        <v>22</v>
      </c>
      <c r="F34" s="73">
        <v>57</v>
      </c>
      <c r="G34" s="73">
        <v>47</v>
      </c>
      <c r="H34" s="73">
        <v>100</v>
      </c>
      <c r="I34" s="9" t="s">
        <v>131</v>
      </c>
      <c r="J34" s="9" t="s">
        <v>939</v>
      </c>
      <c r="K34" s="9">
        <v>100</v>
      </c>
    </row>
    <row r="35" spans="3:11" x14ac:dyDescent="0.25">
      <c r="C35" s="22"/>
      <c r="D35" s="321" t="s">
        <v>961</v>
      </c>
      <c r="E35" s="73">
        <v>30</v>
      </c>
      <c r="F35" s="73"/>
      <c r="G35" s="73">
        <v>65</v>
      </c>
      <c r="H35" s="198">
        <v>160</v>
      </c>
      <c r="I35" s="9"/>
      <c r="J35" s="9"/>
      <c r="K35" s="9"/>
    </row>
    <row r="36" spans="3:11" x14ac:dyDescent="0.25">
      <c r="C36" s="22"/>
      <c r="D36" s="321" t="s">
        <v>962</v>
      </c>
      <c r="E36" s="73">
        <v>37</v>
      </c>
      <c r="F36" s="73"/>
      <c r="G36" s="73">
        <v>80</v>
      </c>
      <c r="H36" s="198">
        <v>160</v>
      </c>
      <c r="I36" s="9"/>
      <c r="J36" s="9"/>
      <c r="K36" s="9"/>
    </row>
    <row r="37" spans="3:11" x14ac:dyDescent="0.25">
      <c r="C37" s="22"/>
      <c r="D37" s="22"/>
      <c r="E37" s="282"/>
      <c r="F37" s="282"/>
      <c r="G37" s="282"/>
      <c r="H37" s="289"/>
      <c r="I37" s="22"/>
      <c r="J37" s="22"/>
      <c r="K37" s="22"/>
    </row>
    <row r="38" spans="3:11" x14ac:dyDescent="0.25">
      <c r="C38" s="579" t="s">
        <v>904</v>
      </c>
      <c r="D38" s="579"/>
      <c r="E38" s="579"/>
      <c r="F38" s="579"/>
      <c r="G38" s="579"/>
      <c r="H38" s="579"/>
      <c r="I38" s="579"/>
      <c r="J38" s="579"/>
      <c r="K38" s="579"/>
    </row>
    <row r="39" spans="3:11" x14ac:dyDescent="0.25">
      <c r="C39" s="575"/>
      <c r="D39" s="54" t="s">
        <v>883</v>
      </c>
      <c r="E39" s="179">
        <v>0.75</v>
      </c>
      <c r="F39" s="179">
        <v>4</v>
      </c>
      <c r="G39" s="179">
        <v>3</v>
      </c>
      <c r="H39" s="293">
        <v>10</v>
      </c>
      <c r="I39" s="54" t="s">
        <v>125</v>
      </c>
      <c r="J39" s="54" t="s">
        <v>933</v>
      </c>
      <c r="K39" s="54">
        <v>10</v>
      </c>
    </row>
    <row r="40" spans="3:11" x14ac:dyDescent="0.25">
      <c r="C40" s="9"/>
      <c r="D40" s="9" t="s">
        <v>884</v>
      </c>
      <c r="E40" s="73">
        <v>1.5</v>
      </c>
      <c r="F40" s="73">
        <v>6</v>
      </c>
      <c r="G40" s="73">
        <v>4</v>
      </c>
      <c r="H40" s="198">
        <v>10</v>
      </c>
      <c r="I40" s="9" t="s">
        <v>125</v>
      </c>
      <c r="J40" s="9" t="s">
        <v>933</v>
      </c>
      <c r="K40" s="9">
        <v>10</v>
      </c>
    </row>
    <row r="41" spans="3:11" x14ac:dyDescent="0.25">
      <c r="C41" s="9"/>
      <c r="D41" s="9" t="s">
        <v>885</v>
      </c>
      <c r="E41" s="73">
        <v>2.2000000000000002</v>
      </c>
      <c r="F41" s="73">
        <v>8</v>
      </c>
      <c r="G41" s="73">
        <v>5</v>
      </c>
      <c r="H41" s="198">
        <v>16</v>
      </c>
      <c r="I41" s="9" t="s">
        <v>126</v>
      </c>
      <c r="J41" s="9" t="s">
        <v>934</v>
      </c>
      <c r="K41" s="9">
        <v>16</v>
      </c>
    </row>
    <row r="42" spans="3:11" x14ac:dyDescent="0.25">
      <c r="C42" s="9"/>
      <c r="D42" s="9" t="s">
        <v>886</v>
      </c>
      <c r="E42" s="73">
        <v>4</v>
      </c>
      <c r="F42" s="73">
        <v>15</v>
      </c>
      <c r="G42" s="73">
        <v>9.5</v>
      </c>
      <c r="H42" s="198">
        <v>20</v>
      </c>
      <c r="I42" s="9" t="s">
        <v>127</v>
      </c>
      <c r="J42" s="9" t="s">
        <v>935</v>
      </c>
      <c r="K42" s="9">
        <v>20</v>
      </c>
    </row>
    <row r="43" spans="3:11" x14ac:dyDescent="0.25">
      <c r="C43" s="9"/>
      <c r="D43" s="9" t="s">
        <v>887</v>
      </c>
      <c r="E43" s="73">
        <v>5.5</v>
      </c>
      <c r="F43" s="73">
        <v>20</v>
      </c>
      <c r="G43" s="73">
        <v>13</v>
      </c>
      <c r="H43" s="198">
        <v>20</v>
      </c>
      <c r="I43" s="9" t="s">
        <v>127</v>
      </c>
      <c r="J43" s="9" t="s">
        <v>935</v>
      </c>
      <c r="K43" s="9">
        <v>20</v>
      </c>
    </row>
    <row r="44" spans="3:11" x14ac:dyDescent="0.25">
      <c r="C44" s="9"/>
      <c r="D44" s="9" t="s">
        <v>888</v>
      </c>
      <c r="E44" s="73">
        <v>7.5</v>
      </c>
      <c r="F44" s="73">
        <v>25</v>
      </c>
      <c r="G44" s="73">
        <v>16</v>
      </c>
      <c r="H44" s="198">
        <v>32</v>
      </c>
      <c r="I44" s="9" t="s">
        <v>128</v>
      </c>
      <c r="J44" s="9" t="s">
        <v>936</v>
      </c>
      <c r="K44" s="9">
        <v>32</v>
      </c>
    </row>
    <row r="45" spans="3:11" x14ac:dyDescent="0.25">
      <c r="C45" s="9"/>
      <c r="D45" s="9" t="s">
        <v>889</v>
      </c>
      <c r="E45" s="73">
        <v>11</v>
      </c>
      <c r="F45" s="73">
        <v>34</v>
      </c>
      <c r="G45" s="73">
        <v>25</v>
      </c>
      <c r="H45" s="198">
        <v>40</v>
      </c>
      <c r="I45" s="9" t="s">
        <v>129</v>
      </c>
      <c r="J45" s="9" t="s">
        <v>937</v>
      </c>
      <c r="K45" s="9">
        <v>40</v>
      </c>
    </row>
    <row r="46" spans="3:11" x14ac:dyDescent="0.25">
      <c r="C46" s="9"/>
      <c r="D46" s="9" t="s">
        <v>890</v>
      </c>
      <c r="E46" s="73">
        <v>15</v>
      </c>
      <c r="F46" s="73">
        <v>44</v>
      </c>
      <c r="G46" s="73">
        <v>32</v>
      </c>
      <c r="H46" s="198">
        <v>50</v>
      </c>
      <c r="I46" s="9" t="s">
        <v>130</v>
      </c>
      <c r="J46" s="9" t="s">
        <v>938</v>
      </c>
      <c r="K46" s="9">
        <v>63</v>
      </c>
    </row>
    <row r="47" spans="3:11" x14ac:dyDescent="0.25">
      <c r="C47" s="9"/>
      <c r="D47" s="9" t="s">
        <v>891</v>
      </c>
      <c r="E47" s="73">
        <v>18.5</v>
      </c>
      <c r="F47" s="73">
        <v>53</v>
      </c>
      <c r="G47" s="73">
        <v>38</v>
      </c>
      <c r="H47" s="198">
        <v>63</v>
      </c>
      <c r="I47" s="9" t="s">
        <v>130</v>
      </c>
      <c r="J47" s="9" t="s">
        <v>938</v>
      </c>
      <c r="K47" s="9">
        <v>63</v>
      </c>
    </row>
    <row r="48" spans="3:11" x14ac:dyDescent="0.25">
      <c r="C48" s="9"/>
      <c r="D48" s="9" t="s">
        <v>892</v>
      </c>
      <c r="E48" s="73">
        <v>22</v>
      </c>
      <c r="F48" s="73">
        <v>63</v>
      </c>
      <c r="G48" s="73">
        <v>45</v>
      </c>
      <c r="H48" s="198" t="s">
        <v>917</v>
      </c>
      <c r="I48" s="9" t="s">
        <v>131</v>
      </c>
      <c r="J48" s="9" t="s">
        <v>939</v>
      </c>
      <c r="K48" s="9">
        <v>100</v>
      </c>
    </row>
    <row r="49" spans="3:11" x14ac:dyDescent="0.25">
      <c r="C49" s="22"/>
      <c r="D49" s="22"/>
      <c r="E49" s="282"/>
      <c r="F49" s="282"/>
      <c r="G49" s="282"/>
      <c r="H49" s="289"/>
      <c r="I49" s="22"/>
      <c r="J49" s="22"/>
      <c r="K49" s="22"/>
    </row>
    <row r="50" spans="3:11" x14ac:dyDescent="0.25">
      <c r="C50" s="579" t="s">
        <v>905</v>
      </c>
      <c r="D50" s="579"/>
      <c r="E50" s="579"/>
      <c r="F50" s="579"/>
      <c r="G50" s="579"/>
      <c r="H50" s="579"/>
      <c r="I50" s="579"/>
      <c r="J50" s="579"/>
      <c r="K50" s="579"/>
    </row>
    <row r="51" spans="3:11" x14ac:dyDescent="0.25">
      <c r="C51" s="575"/>
      <c r="D51" s="54" t="s">
        <v>893</v>
      </c>
      <c r="E51" s="179">
        <v>0.7</v>
      </c>
      <c r="F51" s="179">
        <v>4</v>
      </c>
      <c r="G51" s="179">
        <v>2.2999999999999998</v>
      </c>
      <c r="H51" s="293">
        <v>10</v>
      </c>
      <c r="I51" s="54" t="s">
        <v>125</v>
      </c>
      <c r="J51" s="54" t="s">
        <v>933</v>
      </c>
      <c r="K51" s="54">
        <v>10</v>
      </c>
    </row>
    <row r="52" spans="3:11" x14ac:dyDescent="0.25">
      <c r="C52" s="9"/>
      <c r="D52" s="9" t="s">
        <v>894</v>
      </c>
      <c r="E52" s="73">
        <v>1.5</v>
      </c>
      <c r="F52" s="73">
        <v>6</v>
      </c>
      <c r="G52" s="73">
        <v>3.7</v>
      </c>
      <c r="H52" s="198">
        <v>16</v>
      </c>
      <c r="I52" s="9" t="s">
        <v>126</v>
      </c>
      <c r="J52" s="9" t="s">
        <v>934</v>
      </c>
      <c r="K52" s="9">
        <v>16</v>
      </c>
    </row>
    <row r="53" spans="3:11" x14ac:dyDescent="0.25">
      <c r="C53" s="9"/>
      <c r="D53" s="9" t="s">
        <v>896</v>
      </c>
      <c r="E53" s="73">
        <v>2.2000000000000002</v>
      </c>
      <c r="F53" s="73">
        <v>8</v>
      </c>
      <c r="G53" s="73">
        <v>5</v>
      </c>
      <c r="H53" s="198">
        <v>16</v>
      </c>
      <c r="I53" s="9" t="s">
        <v>126</v>
      </c>
      <c r="J53" s="9" t="s">
        <v>934</v>
      </c>
      <c r="K53" s="9">
        <v>16</v>
      </c>
    </row>
    <row r="54" spans="3:11" x14ac:dyDescent="0.25">
      <c r="C54" s="9"/>
      <c r="D54" s="9" t="s">
        <v>897</v>
      </c>
      <c r="E54" s="73">
        <v>3.7</v>
      </c>
      <c r="F54" s="73">
        <v>15</v>
      </c>
      <c r="G54" s="73">
        <v>8.5</v>
      </c>
      <c r="H54" s="198">
        <v>25</v>
      </c>
      <c r="I54" s="9" t="s">
        <v>128</v>
      </c>
      <c r="J54" s="9" t="s">
        <v>936</v>
      </c>
      <c r="K54" s="9">
        <v>32</v>
      </c>
    </row>
    <row r="55" spans="3:11" x14ac:dyDescent="0.25">
      <c r="C55" s="9"/>
      <c r="D55" s="9" t="s">
        <v>898</v>
      </c>
      <c r="E55" s="73">
        <v>5.5</v>
      </c>
      <c r="F55" s="73">
        <v>20</v>
      </c>
      <c r="G55" s="73">
        <v>12</v>
      </c>
      <c r="H55" s="198">
        <v>32</v>
      </c>
      <c r="I55" s="9" t="s">
        <v>128</v>
      </c>
      <c r="J55" s="9" t="s">
        <v>936</v>
      </c>
      <c r="K55" s="9">
        <v>32</v>
      </c>
    </row>
    <row r="56" spans="3:11" x14ac:dyDescent="0.25">
      <c r="C56" s="9"/>
      <c r="D56" s="9" t="s">
        <v>899</v>
      </c>
      <c r="E56" s="9">
        <v>7.5</v>
      </c>
      <c r="F56" s="73">
        <v>27</v>
      </c>
      <c r="G56" s="73">
        <v>17</v>
      </c>
      <c r="H56" s="198">
        <v>40</v>
      </c>
      <c r="I56" s="9" t="s">
        <v>129</v>
      </c>
      <c r="J56" s="9" t="s">
        <v>937</v>
      </c>
      <c r="K56" s="9">
        <v>40</v>
      </c>
    </row>
    <row r="57" spans="3:11" x14ac:dyDescent="0.25">
      <c r="C57" s="9"/>
      <c r="D57" s="9" t="s">
        <v>900</v>
      </c>
      <c r="E57" s="73">
        <v>11</v>
      </c>
      <c r="F57" s="73">
        <v>34</v>
      </c>
      <c r="G57" s="73">
        <v>24</v>
      </c>
      <c r="H57" s="198">
        <v>63</v>
      </c>
      <c r="I57" s="9" t="s">
        <v>130</v>
      </c>
      <c r="J57" s="9" t="s">
        <v>938</v>
      </c>
      <c r="K57" s="9">
        <v>63</v>
      </c>
    </row>
    <row r="58" spans="3:11" x14ac:dyDescent="0.25">
      <c r="C58" s="9"/>
      <c r="D58" s="9" t="s">
        <v>901</v>
      </c>
      <c r="E58" s="73">
        <v>15</v>
      </c>
      <c r="F58" s="73">
        <v>40</v>
      </c>
      <c r="G58" s="73">
        <v>30</v>
      </c>
      <c r="H58" s="198">
        <v>63</v>
      </c>
      <c r="I58" s="9" t="s">
        <v>130</v>
      </c>
      <c r="J58" s="9" t="s">
        <v>938</v>
      </c>
      <c r="K58" s="9">
        <v>63</v>
      </c>
    </row>
    <row r="59" spans="3:11" x14ac:dyDescent="0.25">
      <c r="C59" s="9"/>
      <c r="D59" s="9" t="s">
        <v>902</v>
      </c>
      <c r="E59" s="73">
        <v>18</v>
      </c>
      <c r="F59" s="73">
        <v>47</v>
      </c>
      <c r="G59" s="73">
        <v>37</v>
      </c>
      <c r="H59" s="198">
        <v>100</v>
      </c>
      <c r="I59" s="9" t="s">
        <v>131</v>
      </c>
      <c r="J59" s="9" t="s">
        <v>939</v>
      </c>
      <c r="K59" s="9">
        <v>100</v>
      </c>
    </row>
    <row r="60" spans="3:11" x14ac:dyDescent="0.25">
      <c r="C60" s="9"/>
      <c r="D60" s="9" t="s">
        <v>895</v>
      </c>
      <c r="E60" s="73">
        <v>22</v>
      </c>
      <c r="F60" s="73">
        <v>55</v>
      </c>
      <c r="G60" s="73">
        <v>45</v>
      </c>
      <c r="H60" s="198">
        <v>100</v>
      </c>
      <c r="I60" s="9" t="s">
        <v>131</v>
      </c>
      <c r="J60" s="9" t="s">
        <v>939</v>
      </c>
      <c r="K60" s="9">
        <v>100</v>
      </c>
    </row>
    <row r="61" spans="3:11" x14ac:dyDescent="0.25">
      <c r="C61" s="22"/>
      <c r="D61" s="22"/>
      <c r="E61" s="282"/>
      <c r="F61" s="282"/>
      <c r="G61" s="282"/>
      <c r="H61" s="289"/>
      <c r="I61" s="22"/>
      <c r="J61" s="22"/>
      <c r="K61" s="22"/>
    </row>
    <row r="62" spans="3:11" x14ac:dyDescent="0.25">
      <c r="C62" s="579" t="s">
        <v>906</v>
      </c>
      <c r="D62" s="580"/>
      <c r="E62" s="580"/>
      <c r="F62" s="580"/>
      <c r="G62" s="580"/>
      <c r="H62" s="580"/>
      <c r="I62" s="580"/>
      <c r="J62" s="580"/>
      <c r="K62" s="581"/>
    </row>
    <row r="63" spans="3:11" x14ac:dyDescent="0.25">
      <c r="C63" s="575"/>
      <c r="D63" s="54" t="s">
        <v>907</v>
      </c>
      <c r="E63" s="54">
        <v>1.5</v>
      </c>
      <c r="F63" s="54">
        <v>5.8</v>
      </c>
      <c r="G63" s="54">
        <v>3.7</v>
      </c>
      <c r="H63" s="578">
        <v>10</v>
      </c>
      <c r="I63" s="54" t="s">
        <v>125</v>
      </c>
      <c r="J63" s="54" t="s">
        <v>933</v>
      </c>
      <c r="K63" s="54">
        <v>10</v>
      </c>
    </row>
    <row r="64" spans="3:11" x14ac:dyDescent="0.25">
      <c r="C64" s="9"/>
      <c r="D64" s="9" t="s">
        <v>908</v>
      </c>
      <c r="E64" s="9">
        <v>2.2000000000000002</v>
      </c>
      <c r="F64" s="9">
        <v>6</v>
      </c>
      <c r="G64" s="9">
        <v>5.3</v>
      </c>
      <c r="H64" s="40">
        <v>10</v>
      </c>
      <c r="I64" s="9" t="s">
        <v>125</v>
      </c>
      <c r="J64" s="9" t="s">
        <v>933</v>
      </c>
      <c r="K64" s="9">
        <v>10</v>
      </c>
    </row>
    <row r="65" spans="3:11" x14ac:dyDescent="0.25">
      <c r="C65" s="9"/>
      <c r="D65" s="9" t="s">
        <v>909</v>
      </c>
      <c r="E65" s="9">
        <v>4</v>
      </c>
      <c r="F65" s="9">
        <v>14.6</v>
      </c>
      <c r="G65" s="9">
        <v>8.5</v>
      </c>
      <c r="H65" s="40">
        <v>16</v>
      </c>
      <c r="I65" s="9" t="s">
        <v>126</v>
      </c>
      <c r="J65" s="9" t="s">
        <v>934</v>
      </c>
      <c r="K65" s="9">
        <v>16</v>
      </c>
    </row>
    <row r="66" spans="3:11" x14ac:dyDescent="0.25">
      <c r="C66" s="9"/>
      <c r="D66" s="9" t="s">
        <v>910</v>
      </c>
      <c r="E66" s="9">
        <v>5.5</v>
      </c>
      <c r="F66" s="9">
        <v>18.600000000000001</v>
      </c>
      <c r="G66" s="9">
        <v>11.2</v>
      </c>
      <c r="H66" s="40">
        <v>25</v>
      </c>
      <c r="I66" s="9" t="s">
        <v>128</v>
      </c>
      <c r="J66" s="9" t="s">
        <v>936</v>
      </c>
      <c r="K66" s="9">
        <v>32</v>
      </c>
    </row>
    <row r="67" spans="3:11" x14ac:dyDescent="0.25">
      <c r="C67" s="9"/>
      <c r="D67" s="9" t="s">
        <v>911</v>
      </c>
      <c r="E67" s="9">
        <v>7.5</v>
      </c>
      <c r="F67" s="9">
        <v>24.7</v>
      </c>
      <c r="G67" s="9">
        <v>15.5</v>
      </c>
      <c r="H67" s="40">
        <v>32</v>
      </c>
      <c r="I67" s="9" t="s">
        <v>128</v>
      </c>
      <c r="J67" s="9" t="s">
        <v>936</v>
      </c>
      <c r="K67" s="9">
        <v>32</v>
      </c>
    </row>
    <row r="68" spans="3:11" x14ac:dyDescent="0.25">
      <c r="C68" s="9"/>
      <c r="D68" s="9" t="s">
        <v>912</v>
      </c>
      <c r="E68" s="9">
        <v>11</v>
      </c>
      <c r="F68" s="9">
        <v>33.1</v>
      </c>
      <c r="G68" s="9">
        <v>22</v>
      </c>
      <c r="H68" s="40">
        <v>40</v>
      </c>
      <c r="I68" s="9" t="s">
        <v>129</v>
      </c>
      <c r="J68" s="9" t="s">
        <v>937</v>
      </c>
      <c r="K68" s="9">
        <v>40</v>
      </c>
    </row>
    <row r="69" spans="3:11" x14ac:dyDescent="0.25">
      <c r="C69" s="9"/>
      <c r="D69" s="9" t="s">
        <v>913</v>
      </c>
      <c r="E69" s="9">
        <v>15</v>
      </c>
      <c r="F69" s="9">
        <v>42.5</v>
      </c>
      <c r="G69" s="9">
        <v>31</v>
      </c>
      <c r="H69" s="40">
        <v>63</v>
      </c>
      <c r="I69" s="9" t="s">
        <v>130</v>
      </c>
      <c r="J69" s="9" t="s">
        <v>938</v>
      </c>
      <c r="K69" s="9">
        <v>63</v>
      </c>
    </row>
    <row r="70" spans="3:11" x14ac:dyDescent="0.25">
      <c r="C70" s="9"/>
      <c r="D70" s="9" t="s">
        <v>914</v>
      </c>
      <c r="E70" s="9">
        <v>18.5</v>
      </c>
      <c r="F70" s="9">
        <v>50.2</v>
      </c>
      <c r="G70" s="9">
        <v>36</v>
      </c>
      <c r="H70" s="40">
        <v>63</v>
      </c>
      <c r="I70" s="9" t="s">
        <v>130</v>
      </c>
      <c r="J70" s="9" t="s">
        <v>938</v>
      </c>
      <c r="K70" s="9">
        <v>63</v>
      </c>
    </row>
    <row r="71" spans="3:11" x14ac:dyDescent="0.25">
      <c r="C71" s="9"/>
      <c r="D71" s="9" t="s">
        <v>915</v>
      </c>
      <c r="E71" s="9">
        <v>22</v>
      </c>
      <c r="F71" s="9">
        <v>58.5</v>
      </c>
      <c r="G71" s="9">
        <v>42.5</v>
      </c>
      <c r="H71" s="40">
        <v>100</v>
      </c>
      <c r="I71" s="9" t="s">
        <v>131</v>
      </c>
      <c r="J71" s="9" t="s">
        <v>939</v>
      </c>
      <c r="K71" s="9">
        <v>100</v>
      </c>
    </row>
    <row r="72" spans="3:11" x14ac:dyDescent="0.25">
      <c r="C72" s="9"/>
      <c r="D72" s="9" t="s">
        <v>916</v>
      </c>
      <c r="E72" s="9">
        <v>30</v>
      </c>
      <c r="F72" s="9">
        <v>79</v>
      </c>
      <c r="G72" s="9">
        <v>56</v>
      </c>
      <c r="H72" s="40">
        <v>100</v>
      </c>
      <c r="I72" s="9" t="s">
        <v>131</v>
      </c>
      <c r="J72" s="9" t="s">
        <v>939</v>
      </c>
      <c r="K72" s="9">
        <v>100</v>
      </c>
    </row>
    <row r="73" spans="3:11" x14ac:dyDescent="0.25">
      <c r="C73" s="22"/>
      <c r="D73" s="22"/>
      <c r="E73" s="22"/>
      <c r="F73" s="22"/>
      <c r="G73" s="22"/>
      <c r="H73" s="150"/>
      <c r="I73" s="22"/>
      <c r="J73" s="22"/>
      <c r="K73" s="22"/>
    </row>
    <row r="74" spans="3:11" x14ac:dyDescent="0.25">
      <c r="C74" s="579" t="s">
        <v>928</v>
      </c>
      <c r="D74" s="582"/>
      <c r="E74" s="582"/>
      <c r="F74" s="582"/>
      <c r="G74" s="582"/>
      <c r="H74" s="582"/>
      <c r="I74" s="582"/>
      <c r="J74" s="582"/>
      <c r="K74" s="583"/>
    </row>
    <row r="75" spans="3:11" x14ac:dyDescent="0.25">
      <c r="C75" s="575"/>
      <c r="D75" s="54" t="s">
        <v>918</v>
      </c>
      <c r="E75" s="54">
        <v>1.5</v>
      </c>
      <c r="F75" s="54">
        <v>5</v>
      </c>
      <c r="G75" s="54">
        <v>4.2</v>
      </c>
      <c r="H75" s="578">
        <v>10</v>
      </c>
      <c r="I75" s="54" t="s">
        <v>125</v>
      </c>
      <c r="J75" s="54" t="s">
        <v>933</v>
      </c>
      <c r="K75" s="54">
        <v>10</v>
      </c>
    </row>
    <row r="76" spans="3:11" x14ac:dyDescent="0.25">
      <c r="C76" s="9"/>
      <c r="D76" s="9" t="s">
        <v>919</v>
      </c>
      <c r="E76" s="9">
        <v>2.2000000000000002</v>
      </c>
      <c r="F76" s="9">
        <v>5.8</v>
      </c>
      <c r="G76" s="9">
        <v>5.5</v>
      </c>
      <c r="H76" s="40">
        <v>10</v>
      </c>
      <c r="I76" s="9" t="s">
        <v>125</v>
      </c>
      <c r="J76" s="9" t="s">
        <v>933</v>
      </c>
      <c r="K76" s="9">
        <v>10</v>
      </c>
    </row>
    <row r="77" spans="3:11" x14ac:dyDescent="0.25">
      <c r="C77" s="9"/>
      <c r="D77" s="9" t="s">
        <v>920</v>
      </c>
      <c r="E77" s="9">
        <v>4</v>
      </c>
      <c r="F77" s="9">
        <v>13.5</v>
      </c>
      <c r="G77" s="9">
        <v>9.5</v>
      </c>
      <c r="H77" s="40">
        <v>25</v>
      </c>
      <c r="I77" s="9" t="s">
        <v>128</v>
      </c>
      <c r="J77" s="9" t="s">
        <v>936</v>
      </c>
      <c r="K77" s="9">
        <v>32</v>
      </c>
    </row>
    <row r="78" spans="3:11" x14ac:dyDescent="0.25">
      <c r="C78" s="9"/>
      <c r="D78" s="9" t="s">
        <v>921</v>
      </c>
      <c r="E78" s="9">
        <v>5.5</v>
      </c>
      <c r="F78" s="9">
        <v>19.5</v>
      </c>
      <c r="G78" s="9">
        <v>14</v>
      </c>
      <c r="H78" s="40">
        <v>32</v>
      </c>
      <c r="I78" s="9" t="s">
        <v>128</v>
      </c>
      <c r="J78" s="9" t="s">
        <v>936</v>
      </c>
      <c r="K78" s="9">
        <v>32</v>
      </c>
    </row>
    <row r="79" spans="3:11" x14ac:dyDescent="0.25">
      <c r="C79" s="9"/>
      <c r="D79" s="9" t="s">
        <v>922</v>
      </c>
      <c r="E79" s="9">
        <v>7.5</v>
      </c>
      <c r="F79" s="9">
        <v>25</v>
      </c>
      <c r="G79" s="9">
        <v>18.5</v>
      </c>
      <c r="H79" s="40">
        <v>50</v>
      </c>
      <c r="I79" s="9" t="s">
        <v>130</v>
      </c>
      <c r="J79" s="9" t="s">
        <v>938</v>
      </c>
      <c r="K79" s="9">
        <v>63</v>
      </c>
    </row>
    <row r="80" spans="3:11" x14ac:dyDescent="0.25">
      <c r="C80" s="9"/>
      <c r="D80" s="9" t="s">
        <v>923</v>
      </c>
      <c r="E80" s="9">
        <v>11</v>
      </c>
      <c r="F80" s="9">
        <v>32</v>
      </c>
      <c r="G80" s="9">
        <v>25</v>
      </c>
      <c r="H80" s="40">
        <v>63</v>
      </c>
      <c r="I80" s="9" t="s">
        <v>130</v>
      </c>
      <c r="J80" s="9" t="s">
        <v>938</v>
      </c>
      <c r="K80" s="9">
        <v>63</v>
      </c>
    </row>
    <row r="81" spans="3:11" x14ac:dyDescent="0.25">
      <c r="C81" s="9"/>
      <c r="D81" s="9" t="s">
        <v>924</v>
      </c>
      <c r="E81" s="9">
        <v>15</v>
      </c>
      <c r="F81" s="9">
        <v>40</v>
      </c>
      <c r="G81" s="9">
        <v>32</v>
      </c>
      <c r="H81" s="40">
        <v>63</v>
      </c>
      <c r="I81" s="9" t="s">
        <v>130</v>
      </c>
      <c r="J81" s="9" t="s">
        <v>938</v>
      </c>
      <c r="K81" s="9">
        <v>63</v>
      </c>
    </row>
    <row r="82" spans="3:11" x14ac:dyDescent="0.25">
      <c r="C82" s="9"/>
      <c r="D82" s="9" t="s">
        <v>925</v>
      </c>
      <c r="E82" s="9">
        <v>18.5</v>
      </c>
      <c r="F82" s="9">
        <v>47</v>
      </c>
      <c r="G82" s="9">
        <v>38</v>
      </c>
      <c r="H82" s="40">
        <v>100</v>
      </c>
      <c r="I82" s="9" t="s">
        <v>131</v>
      </c>
      <c r="J82" s="9" t="s">
        <v>939</v>
      </c>
      <c r="K82" s="9">
        <v>100</v>
      </c>
    </row>
    <row r="83" spans="3:11" x14ac:dyDescent="0.25">
      <c r="C83" s="9"/>
      <c r="D83" s="9" t="s">
        <v>926</v>
      </c>
      <c r="E83" s="9">
        <v>22</v>
      </c>
      <c r="F83" s="9">
        <v>51</v>
      </c>
      <c r="G83" s="9">
        <v>45</v>
      </c>
      <c r="H83" s="40">
        <v>100</v>
      </c>
      <c r="I83" s="9" t="s">
        <v>131</v>
      </c>
      <c r="J83" s="9" t="s">
        <v>939</v>
      </c>
      <c r="K83" s="9">
        <v>100</v>
      </c>
    </row>
    <row r="84" spans="3:11" x14ac:dyDescent="0.25">
      <c r="C84" s="9"/>
      <c r="D84" s="9" t="s">
        <v>927</v>
      </c>
      <c r="E84" s="9">
        <v>30</v>
      </c>
      <c r="F84" s="9">
        <v>70</v>
      </c>
      <c r="G84" s="9">
        <v>60</v>
      </c>
      <c r="H84" s="40">
        <v>125</v>
      </c>
      <c r="I84" s="9" t="s">
        <v>132</v>
      </c>
      <c r="J84" s="9" t="s">
        <v>940</v>
      </c>
      <c r="K84" s="9">
        <v>125</v>
      </c>
    </row>
  </sheetData>
  <sheetProtection password="C7D3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AX393"/>
  <sheetViews>
    <sheetView topLeftCell="A232" zoomScale="70" zoomScaleNormal="70" workbookViewId="0">
      <selection activeCell="M245" sqref="M245"/>
    </sheetView>
  </sheetViews>
  <sheetFormatPr defaultRowHeight="15" x14ac:dyDescent="0.25"/>
  <cols>
    <col min="2" max="2" width="14.85546875" bestFit="1" customWidth="1"/>
    <col min="5" max="6" width="27.7109375" customWidth="1"/>
    <col min="7" max="7" width="24.140625" customWidth="1"/>
    <col min="8" max="8" width="32.5703125" customWidth="1"/>
    <col min="9" max="9" width="11.7109375" customWidth="1"/>
    <col min="10" max="10" width="18.28515625" customWidth="1"/>
    <col min="11" max="11" width="14" customWidth="1"/>
    <col min="12" max="12" width="12" bestFit="1" customWidth="1"/>
    <col min="13" max="13" width="12.28515625" customWidth="1"/>
    <col min="14" max="14" width="11.85546875" customWidth="1"/>
    <col min="15" max="15" width="12.28515625" customWidth="1"/>
    <col min="16" max="16" width="12.140625" customWidth="1"/>
    <col min="17" max="17" width="13.140625" customWidth="1"/>
    <col min="18" max="18" width="12.85546875" customWidth="1"/>
    <col min="19" max="19" width="15.5703125" customWidth="1"/>
    <col min="20" max="20" width="16.140625" customWidth="1"/>
    <col min="21" max="21" width="13.140625" customWidth="1"/>
    <col min="22" max="22" width="16.28515625" customWidth="1"/>
    <col min="23" max="24" width="15.85546875" customWidth="1"/>
    <col min="25" max="25" width="11.140625" customWidth="1"/>
    <col min="26" max="26" width="13.85546875" customWidth="1"/>
    <col min="27" max="27" width="12.7109375" customWidth="1"/>
    <col min="28" max="28" width="10" bestFit="1" customWidth="1"/>
    <col min="29" max="29" width="16.85546875" bestFit="1" customWidth="1"/>
    <col min="30" max="30" width="10" bestFit="1" customWidth="1"/>
    <col min="31" max="31" width="10" customWidth="1"/>
    <col min="35" max="35" width="10" customWidth="1"/>
    <col min="36" max="36" width="10.42578125" bestFit="1" customWidth="1"/>
    <col min="38" max="38" width="10.42578125" bestFit="1" customWidth="1"/>
    <col min="39" max="39" width="13.5703125" customWidth="1"/>
    <col min="40" max="40" width="9.5703125" bestFit="1" customWidth="1"/>
    <col min="42" max="42" width="8.140625" bestFit="1" customWidth="1"/>
    <col min="44" max="44" width="10.42578125" bestFit="1" customWidth="1"/>
    <col min="46" max="46" width="5.7109375" bestFit="1" customWidth="1"/>
    <col min="48" max="48" width="9.28515625" customWidth="1"/>
  </cols>
  <sheetData>
    <row r="1" spans="2:34" x14ac:dyDescent="0.25">
      <c r="D1" s="171">
        <v>2</v>
      </c>
      <c r="E1" s="172" t="s">
        <v>273</v>
      </c>
      <c r="F1" s="172"/>
      <c r="G1" s="238" t="s">
        <v>271</v>
      </c>
      <c r="H1" s="238" t="str">
        <f>IF(Расчет!J275=1,CONCATENATE(Расчет!E34,Расчет!E35,Расчет!B42,Расчет!B47,"-",Расчет!I41,"-",Расчет!J238,"-",Расчет!E33,"-",Расчет!E27,"-",Расчет!B95,"-",Расчет!E110),"Выбранной конфигурации не существует")</f>
        <v>ВЕРСА 221-Ф120-А3Р00025-А1Н00020-ХХХХХХХХ-Д0-М</v>
      </c>
      <c r="I1" s="407"/>
    </row>
    <row r="2" spans="2:34" x14ac:dyDescent="0.25">
      <c r="D2" s="171"/>
      <c r="E2" s="172" t="s">
        <v>274</v>
      </c>
      <c r="F2" s="172"/>
      <c r="G2" s="205" t="s">
        <v>272</v>
      </c>
      <c r="H2" s="205" t="str">
        <f>CONCATENATE(Главная!B15&amp;Главная!C15&amp;Главная!D15&amp;Главная!E15&amp;Главная!F15&amp;Главная!G15&amp;Главная!H15&amp;Главная!I15&amp;Главная!J15&amp;Главная!K15&amp;Главная!L15&amp;Главная!M15&amp;Главная!N15&amp;Главная!O15&amp;Главная!P15&amp;Главная!Q15)</f>
        <v>ВЕРСА 210-Ф120-А3Р00025-01Э0150А-ХХХХХХХХ-Д0-М</v>
      </c>
      <c r="I2" s="347"/>
    </row>
    <row r="3" spans="2:34" x14ac:dyDescent="0.25">
      <c r="D3" s="171"/>
      <c r="E3" s="172" t="s">
        <v>621</v>
      </c>
      <c r="F3" s="172"/>
      <c r="G3" s="414" t="s">
        <v>622</v>
      </c>
      <c r="H3" s="594" t="str">
        <f>Главная!B9</f>
        <v>ВЕРСА 210-Ф120-А3Р00025-06Э0900А-ХХХХХХХХ-Д0-М</v>
      </c>
      <c r="I3" s="594"/>
    </row>
    <row r="4" spans="2:34" x14ac:dyDescent="0.25">
      <c r="D4" s="199"/>
      <c r="E4" s="209"/>
      <c r="F4" s="209"/>
    </row>
    <row r="5" spans="2:34" x14ac:dyDescent="0.25">
      <c r="E5" s="53"/>
      <c r="F5" s="53"/>
      <c r="Q5" t="s">
        <v>84</v>
      </c>
    </row>
    <row r="6" spans="2:34" x14ac:dyDescent="0.25">
      <c r="E6" s="53"/>
      <c r="F6" s="53"/>
      <c r="I6" s="1"/>
      <c r="J6" s="1" t="s">
        <v>272</v>
      </c>
      <c r="L6" s="1" t="s">
        <v>276</v>
      </c>
      <c r="M6" s="1" t="s">
        <v>277</v>
      </c>
      <c r="N6" s="1" t="s">
        <v>278</v>
      </c>
      <c r="O6" s="1"/>
      <c r="P6" s="1" t="s">
        <v>279</v>
      </c>
      <c r="Q6" s="1"/>
      <c r="R6" s="1"/>
      <c r="S6" s="1" t="s">
        <v>467</v>
      </c>
      <c r="T6" s="1"/>
      <c r="U6" s="1"/>
      <c r="V6" s="1" t="s">
        <v>438</v>
      </c>
      <c r="Y6" s="1" t="s">
        <v>402</v>
      </c>
      <c r="AB6" s="1" t="s">
        <v>280</v>
      </c>
      <c r="AF6" t="s">
        <v>439</v>
      </c>
    </row>
    <row r="7" spans="2:34" x14ac:dyDescent="0.25">
      <c r="E7" s="53"/>
      <c r="F7" s="53"/>
      <c r="I7" s="1"/>
      <c r="J7" s="81" t="s">
        <v>275</v>
      </c>
      <c r="K7" s="167" t="s">
        <v>270</v>
      </c>
      <c r="L7" s="167" t="s">
        <v>337</v>
      </c>
      <c r="M7" s="167" t="s">
        <v>338</v>
      </c>
      <c r="N7" s="167" t="s">
        <v>339</v>
      </c>
      <c r="O7" s="167" t="s">
        <v>340</v>
      </c>
      <c r="P7" s="167" t="s">
        <v>341</v>
      </c>
      <c r="Q7" s="167" t="s">
        <v>342</v>
      </c>
      <c r="R7" s="167" t="s">
        <v>343</v>
      </c>
      <c r="S7" s="167" t="s">
        <v>344</v>
      </c>
      <c r="T7" s="167" t="s">
        <v>316</v>
      </c>
      <c r="U7" s="167" t="s">
        <v>305</v>
      </c>
      <c r="V7" s="167" t="s">
        <v>418</v>
      </c>
      <c r="W7" s="287">
        <v>26</v>
      </c>
      <c r="X7" s="340" t="s">
        <v>417</v>
      </c>
      <c r="Y7" s="340" t="s">
        <v>473</v>
      </c>
      <c r="Z7" s="228">
        <v>35</v>
      </c>
      <c r="AA7" s="228">
        <v>42</v>
      </c>
      <c r="AB7" s="228" t="s">
        <v>503</v>
      </c>
      <c r="AC7" s="167" t="s">
        <v>504</v>
      </c>
      <c r="AD7" s="167" t="s">
        <v>505</v>
      </c>
      <c r="AE7" s="167"/>
      <c r="AF7" s="167" t="s">
        <v>506</v>
      </c>
      <c r="AG7" s="287"/>
      <c r="AH7" s="287"/>
    </row>
    <row r="8" spans="2:34" x14ac:dyDescent="0.25">
      <c r="B8" t="s">
        <v>627</v>
      </c>
      <c r="E8" s="53"/>
      <c r="F8" s="53"/>
      <c r="J8" s="408" t="s">
        <v>149</v>
      </c>
      <c r="K8" s="168" t="str">
        <f>MID($H$2,1,5)</f>
        <v>ВЕРСА</v>
      </c>
      <c r="L8" s="168" t="str">
        <f>MID($H$2,6,2)</f>
        <v xml:space="preserve"> 2</v>
      </c>
      <c r="M8" s="170" t="str">
        <f>MID($H$2,8,1)</f>
        <v>1</v>
      </c>
      <c r="N8" s="170" t="str">
        <f>MID($H$2,9,1)</f>
        <v>0</v>
      </c>
      <c r="O8" s="169" t="str">
        <f>MID($H$2,10,2)</f>
        <v>-Ф</v>
      </c>
      <c r="P8" s="169" t="str">
        <f>MID($H$2,12,3)</f>
        <v>120</v>
      </c>
      <c r="Q8" s="169" t="str">
        <f>MID($H$2,11,4)</f>
        <v>Ф120</v>
      </c>
      <c r="R8" s="169" t="str">
        <f>MID($H$2,15,1)</f>
        <v>-</v>
      </c>
      <c r="S8" s="169" t="str">
        <f>MID($H$2,16,8)</f>
        <v>А3Р00025</v>
      </c>
      <c r="T8" s="169" t="str">
        <f>MID($H$2,17,1)</f>
        <v>3</v>
      </c>
      <c r="U8" s="169" t="str">
        <f>MID($H$2,24,1)</f>
        <v>-</v>
      </c>
      <c r="V8" s="169" t="str">
        <f>MID($H$2,25,8)</f>
        <v>01Э0150А</v>
      </c>
      <c r="W8" s="227" t="str">
        <f>MID($H$2,26,1)</f>
        <v>1</v>
      </c>
      <c r="X8" s="227" t="str">
        <f>MID($H$2,33,1)</f>
        <v>-</v>
      </c>
      <c r="Y8" s="227" t="str">
        <f>MID($H$2,34,8)</f>
        <v>ХХХХХХХХ</v>
      </c>
      <c r="Z8" s="227" t="str">
        <f>MID($H$2,35,1)</f>
        <v>Х</v>
      </c>
      <c r="AA8" s="227" t="str">
        <f>MID($H$2,42,1)</f>
        <v>-</v>
      </c>
      <c r="AB8" s="227" t="str">
        <f>MID($H$2,43,2)</f>
        <v>Д0</v>
      </c>
      <c r="AC8" s="169" t="str">
        <f>MID($H$2,44,1)</f>
        <v>0</v>
      </c>
      <c r="AD8" s="169" t="str">
        <f>MID($H$2,45,1)</f>
        <v>-</v>
      </c>
      <c r="AE8" s="169"/>
      <c r="AF8" s="169" t="str">
        <f>MID($H$2,46,1)</f>
        <v>М</v>
      </c>
      <c r="AG8" s="333"/>
      <c r="AH8" s="333"/>
    </row>
    <row r="9" spans="2:34" x14ac:dyDescent="0.25">
      <c r="J9" s="408" t="s">
        <v>317</v>
      </c>
      <c r="K9" s="168"/>
      <c r="L9" s="174"/>
      <c r="M9" s="170">
        <f>--M8</f>
        <v>1</v>
      </c>
      <c r="N9" s="170">
        <f>--N8</f>
        <v>0</v>
      </c>
      <c r="O9" s="169"/>
      <c r="P9" s="170">
        <f>--P8</f>
        <v>120</v>
      </c>
      <c r="Q9" s="169"/>
      <c r="R9" s="169"/>
      <c r="S9" s="169"/>
      <c r="T9" s="169">
        <f>--T8</f>
        <v>3</v>
      </c>
      <c r="U9" s="169"/>
      <c r="V9" s="169" t="e">
        <f>--V8</f>
        <v>#VALUE!</v>
      </c>
      <c r="W9" s="227">
        <f>--W8</f>
        <v>1</v>
      </c>
      <c r="X9" s="227"/>
      <c r="Y9" s="154"/>
      <c r="Z9" s="56" t="e">
        <f>--Z8</f>
        <v>#VALUE!</v>
      </c>
      <c r="AA9" s="154"/>
      <c r="AB9" s="154"/>
      <c r="AC9" s="169"/>
      <c r="AD9" s="169"/>
      <c r="AE9" s="169"/>
      <c r="AF9" s="169"/>
      <c r="AG9" s="227"/>
      <c r="AH9" s="227"/>
    </row>
    <row r="10" spans="2:34" x14ac:dyDescent="0.25">
      <c r="E10" s="1" t="s">
        <v>271</v>
      </c>
      <c r="F10" s="1" t="s">
        <v>272</v>
      </c>
      <c r="G10" s="204" t="s">
        <v>151</v>
      </c>
      <c r="H10" s="1"/>
      <c r="I10" s="1"/>
      <c r="J10" s="53"/>
      <c r="M10" s="176"/>
      <c r="N10" s="34" t="s">
        <v>437</v>
      </c>
      <c r="O10" t="s">
        <v>284</v>
      </c>
      <c r="P10" s="171">
        <f>IF(OR(P9=100,P9=101,P9=102,P9=103,P9=104,P9=120,P9=121,P9=122,P9=123,P9=124,P9=140,P9=141,P9=142,P9=143,P9=160,P9=161,P9=162,P9=163),1,0)</f>
        <v>1</v>
      </c>
      <c r="Q10" t="e">
        <f>IF(VLOOKUP(P9,$AB$82:$AB$224,1,FALSE),1,0)</f>
        <v>#N/A</v>
      </c>
      <c r="S10" s="1">
        <f>IF(AND(OR(P9=100,P9=101,P9=102,P9=103,P9=104,P9=120,P9=121,P9=122,P9=123,P9=124,P9=140,P9=141,P9=142,P9=143,P9=160,P9=161,P9=162,P9=163),
OR(S8=I88,S8=I89,S8=I90,S8=I91,S8=I92,S8=I93,S8=I94,S8=I95,S8=I96,S8=I97,S8=I98,S8=I99,S8=I100,S8=I101,S8=I102,S8=I103,S8=I104,S8=I127,S8=I128,S8=I129,S8=I130,S8=I131)),1,0)</f>
        <v>1</v>
      </c>
      <c r="T10" s="1">
        <f>IF(AND(N9=0,T9=3),1,0)</f>
        <v>1</v>
      </c>
      <c r="U10" s="3" t="s">
        <v>569</v>
      </c>
      <c r="V10" s="73" t="str">
        <f>IF(OR(P9=100,P9=101,P9=102,P9=103,P9=104,P9=110,P9=111,P9=112,P9=113,P9=114,P9=140,P9=141,P9=142,P9=143,P9=150,P9=151,P9=152,P9=153),"ТО","ЭК")</f>
        <v>ЭК</v>
      </c>
      <c r="W10" s="73">
        <f>IF(AND(N9=0,OR(W9=3,W9=1)),1,0)</f>
        <v>1</v>
      </c>
      <c r="X10" s="73" t="s">
        <v>137</v>
      </c>
      <c r="Y10" s="73" t="str">
        <f>IF(C83=1,"СУ","")</f>
        <v/>
      </c>
      <c r="Z10" s="9" t="e">
        <f>IF(AND(N9=0,OR(Z9=3,Z9=1)),1,0)</f>
        <v>#VALUE!</v>
      </c>
      <c r="AC10" s="1"/>
      <c r="AG10" s="204"/>
      <c r="AH10" s="204"/>
    </row>
    <row r="11" spans="2:34" x14ac:dyDescent="0.25">
      <c r="B11" s="297" t="s">
        <v>335</v>
      </c>
      <c r="C11" s="342"/>
      <c r="D11" s="343"/>
      <c r="E11" s="9" t="str">
        <f>IF(Расчет!B42=1,"без самозапуска","с самозапуском")</f>
        <v>с самозапуском</v>
      </c>
      <c r="F11" s="40" t="str">
        <f>IF(Расчет!C42=1,"без самозапуска","с самозапуском")</f>
        <v>без самозапуска</v>
      </c>
      <c r="G11" s="73" t="str">
        <f>IF(Расчет!D42="1","без самозапуска","с самозапуском")</f>
        <v>с самозапуском</v>
      </c>
      <c r="H11" s="1"/>
      <c r="I11" s="1"/>
      <c r="J11" s="53"/>
      <c r="M11" s="176"/>
      <c r="N11" s="34" t="s">
        <v>318</v>
      </c>
      <c r="O11" t="s">
        <v>284</v>
      </c>
      <c r="P11" s="171">
        <f>IF(OR(P9=110,P9=111,P9=112,P9=113,P9=114,P9=130,P9=131,P9=132,P9=133,P9=134,P9=150,P9=151,P9=152,P9=153,P9=170,P9=171,P9=172,P9=173),2,0)</f>
        <v>0</v>
      </c>
      <c r="S11" s="1">
        <f>IF(AND(OR(P9=110,P9=111,P9=112,P9=113,P9=114,P9=130,P9=131,P9=132,P9=133,P9=134,P9=150,P9=151,P9=152,P9=153,P9=170,P9=171,P9=172,P9=173),
OR(S8=I112,S8=I113,S8=I114,S8=I115,S8=I116,S8=I117,S8=I118,S8=I119,S8=I127,S8=I128,S8=I129,S8=I130,S8=I131)),1,0)</f>
        <v>0</v>
      </c>
      <c r="T11" s="1">
        <f>IF(AND(N9=1,T9=1),1,0)</f>
        <v>0</v>
      </c>
      <c r="U11" s="3" t="s">
        <v>570</v>
      </c>
      <c r="V11" s="73">
        <f>IF(AND(OR(P9=100,P9=101,P9=102,P9=103,P9=104,P9=110,P9=111,P9=112,P9=113,P9=114,P9=140,P9=141,P9=142,P9=143,P9=150,P9=151,P9=152,P9=153),
OR(V8=I88,V8=I89,V8=I90,V8=I91,V8=I92,V8=I127,V8=I128,V8=I129,V8=I130,V8=I131)),1,0)</f>
        <v>0</v>
      </c>
      <c r="W11" s="73">
        <f>IF(AND(N9=1,W9=1),1,0)</f>
        <v>0</v>
      </c>
      <c r="X11" s="73" t="s">
        <v>138</v>
      </c>
      <c r="Y11" s="9">
        <f>IF(AND(OR(P9=103,P9=113,P9=123,P9=133,P9=142,P9=152,P9=162,P9=172),
OR(Y8=I88,Y8=I89,Y8=I90,Y8=I91,Y8=I92,Y8=I127,Y8=I128,Y8=I129,Y8=I130,Y8=I131)),1,0)</f>
        <v>0</v>
      </c>
      <c r="Z11" s="9" t="e">
        <f>IF(AND(N9=1,Z9=1),1,0)</f>
        <v>#VALUE!</v>
      </c>
    </row>
    <row r="12" spans="2:34" x14ac:dyDescent="0.25">
      <c r="B12" s="297" t="s">
        <v>75</v>
      </c>
      <c r="C12" s="342"/>
      <c r="D12" s="343"/>
      <c r="E12" s="9" t="str">
        <f>IF(Расчет!B47=0,"Питание 3 фазы (3Р/N/PE)","Питание 1 фаза (1Р/N/PE)")</f>
        <v>Питание 1 фаза (1Р/N/PE)</v>
      </c>
      <c r="F12" s="40" t="str">
        <f>IF(Расчет!C47=0,"Питание 3 фазы (3Р/N/PE)","Питание 1 фаза (1Р/N/PE)")</f>
        <v>Питание 3 фазы (3Р/N/PE)</v>
      </c>
      <c r="G12" s="73" t="str">
        <f>IF(Расчет!D47=0,"Питание 3 фазы (3Р/N/PE)","Питание 1 фаза (1Р/N/PE)")</f>
        <v>Питание 3 фазы (3Р/N/PE)</v>
      </c>
      <c r="H12" s="1"/>
      <c r="I12" s="1"/>
      <c r="J12" s="53" t="s">
        <v>281</v>
      </c>
      <c r="M12" s="176"/>
      <c r="S12" s="1"/>
      <c r="U12" s="3" t="s">
        <v>571</v>
      </c>
      <c r="V12" s="73">
        <f>IF(AND(OR(P9=120,P9=121,P9=122,P9=123,P9=124,P9=130,P9=131,P9=132,P9=133,P9=134,P9=160,P9=161,P9=162,P9=163,P9=170,P9=171,P9=172,P9=173),
OR(V8=W124,V8=W125,V8=W126,V8=W127)),1,0)</f>
        <v>1</v>
      </c>
      <c r="W12" s="9">
        <f>IFERROR(W10+W11,0)</f>
        <v>1</v>
      </c>
      <c r="X12" s="73" t="s">
        <v>397</v>
      </c>
      <c r="Y12" s="73">
        <f>IF(AND(C83=0,Y8="ХХХХХХХХ"),1,0)</f>
        <v>1</v>
      </c>
    </row>
    <row r="13" spans="2:34" x14ac:dyDescent="0.25">
      <c r="B13" s="297" t="s">
        <v>71</v>
      </c>
      <c r="C13" s="342"/>
      <c r="D13" s="343"/>
      <c r="E13" s="9" t="str">
        <f>IF(Расчет!B51=1,"Прямой пуск / ЕС мотор","Частотный преобразователь / регулятор оборотов")</f>
        <v>Прямой пуск / ЕС мотор</v>
      </c>
      <c r="F13" s="40" t="str">
        <f>IF(Расчет!C51=1,"Прямой пуск / ЕС мотор","Частотный преобразователь / регулятор оборотов")</f>
        <v>Прямой пуск / ЕС мотор</v>
      </c>
      <c r="G13" s="73" t="str">
        <f>IF(Расчет!D51=1,"Прямой пуск / ЕС мотор","Частотный преобразователь / регулятор оборотов")</f>
        <v>Прямой пуск / ЕС мотор</v>
      </c>
      <c r="H13" s="1"/>
      <c r="I13" s="88"/>
      <c r="J13" s="53"/>
      <c r="M13" s="176"/>
      <c r="N13" s="34"/>
      <c r="U13" s="3" t="s">
        <v>572</v>
      </c>
      <c r="V13" s="9">
        <f>IF(AND(V10="ТО",V11=1),1,0)</f>
        <v>0</v>
      </c>
      <c r="W13" s="73">
        <f>IF(V10="ЭК",1,0)</f>
        <v>1</v>
      </c>
      <c r="X13" s="73" t="s">
        <v>574</v>
      </c>
    </row>
    <row r="14" spans="2:34" x14ac:dyDescent="0.25">
      <c r="B14" s="297" t="s">
        <v>310</v>
      </c>
      <c r="C14" s="342"/>
      <c r="D14" s="343"/>
      <c r="E14" s="9">
        <f>Главная!J21</f>
        <v>2</v>
      </c>
      <c r="F14" s="40" t="str">
        <f>CONCATENATE(W89,"-",X89)</f>
        <v>1,6-2,4</v>
      </c>
      <c r="G14" s="73" t="str">
        <f>CONCATENATE(W105,"-",X105)</f>
        <v>1,6-2,4</v>
      </c>
      <c r="H14" s="88"/>
      <c r="I14" s="1"/>
      <c r="U14" s="3" t="s">
        <v>573</v>
      </c>
      <c r="V14" s="73">
        <f>IF(AND(V10="ЭК",V12=1),1,0)</f>
        <v>1</v>
      </c>
      <c r="AC14" s="377"/>
      <c r="AD14" s="377"/>
      <c r="AE14" s="377"/>
      <c r="AF14" s="377"/>
      <c r="AG14" s="204"/>
      <c r="AH14" s="204"/>
    </row>
    <row r="15" spans="2:34" x14ac:dyDescent="0.25">
      <c r="B15" s="297" t="s">
        <v>459</v>
      </c>
      <c r="C15" s="342"/>
      <c r="D15" s="343"/>
      <c r="E15" s="9"/>
      <c r="F15" s="40" t="str">
        <f>IF(T8="3","Питание 3 фазы (3Р/N/PE)","Питание 1 фаза (1Р/N/PE)")</f>
        <v>Питание 3 фазы (3Р/N/PE)</v>
      </c>
      <c r="G15" s="73" t="str">
        <f>IF(T21="3","Питание 3 фазы (3Р/N/PE)","Питание 1 фаза (1Р/N/PE)")</f>
        <v>Питание 3 фазы (3Р/N/PE)</v>
      </c>
      <c r="H15" s="1"/>
      <c r="I15" s="1"/>
      <c r="J15" s="43" t="s">
        <v>626</v>
      </c>
      <c r="K15" s="362"/>
      <c r="L15" s="362"/>
      <c r="M15" s="362">
        <f>IF(M8="1",1,2)</f>
        <v>1</v>
      </c>
      <c r="N15" s="362"/>
      <c r="O15" s="362"/>
      <c r="P15" s="362">
        <f>P10+P11</f>
        <v>1</v>
      </c>
      <c r="Q15" s="43"/>
      <c r="R15" s="43"/>
      <c r="S15" s="43"/>
      <c r="T15" s="43"/>
      <c r="U15" s="43"/>
      <c r="V15" s="43"/>
      <c r="W15" s="43"/>
      <c r="X15" s="362"/>
      <c r="Y15" s="43"/>
      <c r="Z15" s="43"/>
      <c r="AA15" s="43"/>
      <c r="AB15" s="43"/>
      <c r="AC15" s="411"/>
      <c r="AD15" s="411"/>
      <c r="AE15" s="411"/>
      <c r="AF15" s="411"/>
      <c r="AG15" s="226"/>
      <c r="AH15" s="335"/>
    </row>
    <row r="16" spans="2:34" x14ac:dyDescent="0.25">
      <c r="B16" s="297" t="s">
        <v>415</v>
      </c>
      <c r="C16" s="342"/>
      <c r="D16" s="343"/>
      <c r="E16" s="9" t="str">
        <f>IF(Расчет!B56=1,"ТО","ЭК")</f>
        <v>ТО</v>
      </c>
      <c r="F16" s="40" t="str">
        <f>IF(VLOOKUP(Q8,H311:S347,6,0)=0,"ЭК","ТО")</f>
        <v>ЭК</v>
      </c>
      <c r="G16" s="73" t="str">
        <f>IF(VLOOKUP(Q21,H311:S347,6,0)=0,"ЭК","ТО")</f>
        <v>ЭК</v>
      </c>
      <c r="H16" s="1"/>
      <c r="J16" s="43" t="s">
        <v>245</v>
      </c>
      <c r="K16" s="362">
        <f>IF(K8="ВЕРСА",1,0)</f>
        <v>1</v>
      </c>
      <c r="L16" s="362">
        <f>IF(L8=" 2",1,0)</f>
        <v>1</v>
      </c>
      <c r="M16" s="362">
        <f>IF(OR(M15=1,M15=2),1,0)</f>
        <v>1</v>
      </c>
      <c r="N16" s="362">
        <f>IF(OR(N9=1,N9=0),1,0)</f>
        <v>1</v>
      </c>
      <c r="O16" s="362">
        <f>IF(O8="-Ф",1,0)</f>
        <v>1</v>
      </c>
      <c r="P16" s="412">
        <f>IF(OR(P15=1,P15=2),1,0)</f>
        <v>1</v>
      </c>
      <c r="Q16" s="43" t="e">
        <f>Q10</f>
        <v>#N/A</v>
      </c>
      <c r="R16" s="362">
        <f>IF(R8="-",1,0)</f>
        <v>1</v>
      </c>
      <c r="S16" s="362">
        <f>S10+S11</f>
        <v>1</v>
      </c>
      <c r="T16" s="362">
        <f>T10+T11</f>
        <v>1</v>
      </c>
      <c r="U16" s="362">
        <f>IF(U8="-",1,0)</f>
        <v>1</v>
      </c>
      <c r="V16" s="362">
        <f>IF(V10="ТО",V13,V14)</f>
        <v>1</v>
      </c>
      <c r="W16" s="362">
        <f>IF(V10="ТО",W12,W13)</f>
        <v>1</v>
      </c>
      <c r="X16" s="362">
        <f>IF(X8="-",1,0)</f>
        <v>1</v>
      </c>
      <c r="Y16" s="42">
        <f>Y11+Y12</f>
        <v>1</v>
      </c>
      <c r="Z16" s="362">
        <f>IFERROR(Z10+Z11,1)</f>
        <v>1</v>
      </c>
      <c r="AA16" s="42">
        <f>IF(AA8="-",1,0)</f>
        <v>1</v>
      </c>
      <c r="AB16" s="43">
        <f>IF(OR(AB8="Д0",AB8="Д1",AB8="Д2"),1,0)</f>
        <v>1</v>
      </c>
      <c r="AC16" s="43"/>
      <c r="AD16" s="42">
        <f>IF(AD8="-",1,0)</f>
        <v>1</v>
      </c>
      <c r="AE16" s="42"/>
      <c r="AF16" s="42">
        <f>IF(OR(AF8="М",AF8="П"),1,0)</f>
        <v>1</v>
      </c>
      <c r="AG16" s="42">
        <v>1</v>
      </c>
    </row>
    <row r="17" spans="2:34" x14ac:dyDescent="0.25">
      <c r="B17" s="297" t="s">
        <v>394</v>
      </c>
      <c r="C17" s="342"/>
      <c r="D17" s="343"/>
      <c r="E17" s="9" t="str">
        <f>IF(Расчет!B60=0,"Питание 3 фазы (3Р/N/PE)","Питание 1 фаза (1Р/N/PE)")</f>
        <v>Питание 1 фаза (1Р/N/PE)</v>
      </c>
      <c r="F17" s="40" t="str">
        <f>IF(AND(F16="ТО",W8="3"),"Питание 3 фазы",IF(AND(F16="ТО",W8="1"),"Питание 1 фаза","---"))</f>
        <v>---</v>
      </c>
      <c r="G17" s="73" t="str">
        <f>IF(AND(G16="ТО",W21="3"),"Питание 3 фазы",IF(AND(G16="ТО",W21="1"),"Питание 1 фаза","---"))</f>
        <v>---</v>
      </c>
      <c r="H17" s="1"/>
    </row>
    <row r="18" spans="2:34" x14ac:dyDescent="0.25">
      <c r="B18" s="297" t="s">
        <v>501</v>
      </c>
      <c r="C18" s="342"/>
      <c r="D18" s="343"/>
      <c r="E18" s="9">
        <f>Главная!L23</f>
        <v>1</v>
      </c>
      <c r="F18" s="40" t="str">
        <f>IF(F16="ТО",CONCATENATE(W94,"-",X94),"---")</f>
        <v>---</v>
      </c>
      <c r="G18" s="73" t="str">
        <f>IF(G16="ТО",CONCATENATE(W109,"-",X109),"---")</f>
        <v>---</v>
      </c>
      <c r="H18" s="1"/>
    </row>
    <row r="19" spans="2:34" x14ac:dyDescent="0.25">
      <c r="B19" s="298" t="s">
        <v>396</v>
      </c>
      <c r="C19" s="428"/>
      <c r="D19" s="429"/>
      <c r="E19" s="22" t="str">
        <f>IF(E16="ЭК",Главная!J24,"Нет")</f>
        <v>Нет</v>
      </c>
      <c r="F19" s="150" t="str">
        <f>IF(F16="ЭК",C65,"Нет")</f>
        <v>01Э0150А</v>
      </c>
      <c r="G19" s="73" t="str">
        <f>IF(G16="ЭК",D65,"Нет")</f>
        <v>06Э0900А</v>
      </c>
      <c r="H19" s="1"/>
      <c r="J19" t="s">
        <v>151</v>
      </c>
      <c r="L19" s="1" t="s">
        <v>276</v>
      </c>
      <c r="M19" s="1" t="s">
        <v>277</v>
      </c>
      <c r="N19" s="1" t="s">
        <v>278</v>
      </c>
      <c r="O19" s="1"/>
      <c r="P19" s="1" t="s">
        <v>279</v>
      </c>
      <c r="Q19" s="1"/>
      <c r="R19" s="1"/>
      <c r="S19" s="1" t="s">
        <v>467</v>
      </c>
      <c r="T19" s="1"/>
      <c r="U19" s="1"/>
      <c r="V19" s="1" t="s">
        <v>438</v>
      </c>
      <c r="Y19" s="1" t="s">
        <v>402</v>
      </c>
      <c r="AB19" s="1" t="s">
        <v>280</v>
      </c>
      <c r="AF19" t="s">
        <v>439</v>
      </c>
      <c r="AG19" s="204" t="s">
        <v>623</v>
      </c>
    </row>
    <row r="20" spans="2:34" x14ac:dyDescent="0.25">
      <c r="B20" s="297" t="s">
        <v>644</v>
      </c>
      <c r="C20" s="342"/>
      <c r="D20" s="343"/>
      <c r="E20" s="3"/>
      <c r="F20" s="50"/>
      <c r="G20" s="3"/>
      <c r="H20" s="1"/>
      <c r="J20" s="81" t="s">
        <v>275</v>
      </c>
      <c r="K20" s="167" t="s">
        <v>270</v>
      </c>
      <c r="L20" s="167" t="s">
        <v>337</v>
      </c>
      <c r="M20" s="167" t="s">
        <v>338</v>
      </c>
      <c r="N20" s="167" t="s">
        <v>339</v>
      </c>
      <c r="O20" s="167" t="s">
        <v>340</v>
      </c>
      <c r="P20" s="167" t="s">
        <v>341</v>
      </c>
      <c r="Q20" s="167" t="s">
        <v>342</v>
      </c>
      <c r="R20" s="167" t="s">
        <v>343</v>
      </c>
      <c r="S20" s="167" t="s">
        <v>344</v>
      </c>
      <c r="T20" s="167" t="s">
        <v>316</v>
      </c>
      <c r="U20" s="167" t="s">
        <v>305</v>
      </c>
      <c r="V20" s="167" t="s">
        <v>418</v>
      </c>
      <c r="W20" s="287">
        <v>26</v>
      </c>
      <c r="X20" s="340" t="s">
        <v>417</v>
      </c>
      <c r="Y20" s="340" t="s">
        <v>473</v>
      </c>
      <c r="Z20" s="228">
        <v>35</v>
      </c>
      <c r="AA20" s="228">
        <v>42</v>
      </c>
      <c r="AB20" s="228" t="s">
        <v>503</v>
      </c>
      <c r="AC20" s="167" t="s">
        <v>504</v>
      </c>
      <c r="AD20" s="167" t="s">
        <v>505</v>
      </c>
      <c r="AE20" s="167"/>
      <c r="AF20" s="167" t="s">
        <v>506</v>
      </c>
      <c r="AG20" s="287"/>
      <c r="AH20" s="287"/>
    </row>
    <row r="21" spans="2:34" x14ac:dyDescent="0.25">
      <c r="B21" s="430" t="s">
        <v>449</v>
      </c>
      <c r="C21" s="431"/>
      <c r="D21" s="432"/>
      <c r="E21" s="54" t="str">
        <f>IF(Расчет!B68=1,"Да","Нет")</f>
        <v>Нет</v>
      </c>
      <c r="F21" s="578" t="str">
        <f>IF(VLOOKUP(Q8,H312:S347,5,0)=1,"Да","Нет")</f>
        <v>Нет</v>
      </c>
      <c r="G21" s="73" t="str">
        <f>IF(VLOOKUP(Q21,H312:S347,5,0)=1,"Да","Нет")</f>
        <v>Нет</v>
      </c>
      <c r="H21" s="1"/>
      <c r="J21" s="408" t="s">
        <v>149</v>
      </c>
      <c r="K21" s="168" t="str">
        <f>MID($H$3,1,5)</f>
        <v>ВЕРСА</v>
      </c>
      <c r="L21" s="174" t="str">
        <f>MID($H$3,6,2)</f>
        <v xml:space="preserve"> 2</v>
      </c>
      <c r="M21" s="170" t="str">
        <f>MID($H$3,8,1)</f>
        <v>1</v>
      </c>
      <c r="N21" s="170" t="str">
        <f>MID($H$3,9,1)</f>
        <v>0</v>
      </c>
      <c r="O21" s="169" t="str">
        <f>MID($H$3,10,2)</f>
        <v>-Ф</v>
      </c>
      <c r="P21" s="169" t="str">
        <f>MID($H$3,12,3)</f>
        <v>120</v>
      </c>
      <c r="Q21" s="169" t="str">
        <f>MID($H$3,11,4)</f>
        <v>Ф120</v>
      </c>
      <c r="R21" s="169" t="str">
        <f>MID($H$3,15,1)</f>
        <v>-</v>
      </c>
      <c r="S21" s="169" t="str">
        <f>MID($H$3,16,8)</f>
        <v>А3Р00025</v>
      </c>
      <c r="T21" s="169" t="str">
        <f>MID($H$3,17,1)</f>
        <v>3</v>
      </c>
      <c r="U21" s="169" t="str">
        <f>MID($H$3,24,1)</f>
        <v>-</v>
      </c>
      <c r="V21" s="169" t="str">
        <f>MID($H$3,25,8)</f>
        <v>06Э0900А</v>
      </c>
      <c r="W21" s="227" t="str">
        <f>MID($H$3,26,1)</f>
        <v>6</v>
      </c>
      <c r="X21" s="227" t="str">
        <f>MID($H$3,33,1)</f>
        <v>-</v>
      </c>
      <c r="Y21" s="227" t="str">
        <f>MID($H$3,34,8)</f>
        <v>ХХХХХХХХ</v>
      </c>
      <c r="Z21" s="227" t="str">
        <f>MID($H$3,35,1)</f>
        <v>Х</v>
      </c>
      <c r="AA21" s="227" t="str">
        <f>MID($H$3,42,1)</f>
        <v>-</v>
      </c>
      <c r="AB21" s="227" t="str">
        <f>MID($H$3,43,2)</f>
        <v>Д0</v>
      </c>
      <c r="AC21" s="169" t="str">
        <f>MID($H$3,44,1)</f>
        <v>0</v>
      </c>
      <c r="AD21" s="169" t="str">
        <f>MID($H$3,45,1)</f>
        <v>-</v>
      </c>
      <c r="AE21" s="169"/>
      <c r="AF21" s="169" t="str">
        <f>MID($H$3,46,1)</f>
        <v>М</v>
      </c>
      <c r="AG21" s="333">
        <f>IF(LEN(H3)=46,1,0)</f>
        <v>1</v>
      </c>
      <c r="AH21" s="333"/>
    </row>
    <row r="22" spans="2:34" x14ac:dyDescent="0.25">
      <c r="B22" s="297" t="s">
        <v>450</v>
      </c>
      <c r="C22" s="342"/>
      <c r="D22" s="343"/>
      <c r="E22" s="9" t="str">
        <f>IF(Расчет!B73=1,"Да","Нет")</f>
        <v>Нет</v>
      </c>
      <c r="F22" s="40" t="str">
        <f>IF(VLOOKUP(Q8,H312:S347,8,0)=1,"Да","Нет")</f>
        <v>Нет</v>
      </c>
      <c r="G22" s="73" t="str">
        <f>IF(VLOOKUP(Q21,H312:S347,8,0)=1,"Да","Нет")</f>
        <v>Нет</v>
      </c>
      <c r="H22" s="1"/>
      <c r="J22" s="408" t="s">
        <v>317</v>
      </c>
      <c r="K22" s="154"/>
      <c r="L22" s="154"/>
      <c r="M22" s="413">
        <f>--M21</f>
        <v>1</v>
      </c>
      <c r="N22" s="413">
        <f>--N21</f>
        <v>0</v>
      </c>
      <c r="O22" s="154"/>
      <c r="P22" s="154">
        <f>--P21</f>
        <v>120</v>
      </c>
      <c r="Q22" s="154"/>
      <c r="R22" s="154"/>
      <c r="S22" s="154"/>
      <c r="T22" s="56">
        <f>--T21</f>
        <v>3</v>
      </c>
      <c r="U22" s="154"/>
      <c r="V22" s="154"/>
      <c r="W22" s="227">
        <f>--W21</f>
        <v>6</v>
      </c>
      <c r="X22" s="154"/>
      <c r="Y22" s="154"/>
      <c r="Z22" s="227" t="e">
        <f>--Z21</f>
        <v>#VALUE!</v>
      </c>
      <c r="AA22" s="154"/>
      <c r="AB22" s="154"/>
      <c r="AC22" s="154"/>
      <c r="AD22" s="154"/>
      <c r="AE22" s="154"/>
      <c r="AF22" s="154"/>
      <c r="AG22" s="154"/>
      <c r="AH22" s="154"/>
    </row>
    <row r="23" spans="2:34" x14ac:dyDescent="0.25">
      <c r="B23" s="297" t="s">
        <v>451</v>
      </c>
      <c r="C23" s="342"/>
      <c r="D23" s="343"/>
      <c r="E23" s="9" t="str">
        <f>IF(Расчет!B78=1,"Да","Нет")</f>
        <v>Нет</v>
      </c>
      <c r="F23" s="40" t="str">
        <f>IF(VLOOKUP(Q8,H312:S347,9,0)=1,"Да","Нет")</f>
        <v>Нет</v>
      </c>
      <c r="G23" s="73" t="str">
        <f>IF(VLOOKUP(Q21,H312:S347,9,0)=1,"Да","Нет")</f>
        <v>Нет</v>
      </c>
      <c r="H23" s="1"/>
      <c r="J23" s="53"/>
      <c r="M23" s="1"/>
      <c r="N23" s="34" t="s">
        <v>437</v>
      </c>
      <c r="O23" t="s">
        <v>284</v>
      </c>
      <c r="P23" s="65">
        <f>IF(OR(P22=100,P22=101,P22=102,P22=103,P22=104,P22=120,P22=121,P22=122,P22=123,P22=124,P22=140,P22=141,P22=142,P22=143,P22=160,P22=161,P22=162,P22=163),1,0)</f>
        <v>1</v>
      </c>
      <c r="Q23" t="e">
        <f>IF(VLOOKUP(Q21,$AB$82:$AB$152,1,FALSE),1,0)</f>
        <v>#N/A</v>
      </c>
      <c r="S23" s="3">
        <f>IF(AND(OR(P22=100,P22=101,P22=102,P22=103,P22=104,P22=120,P22=121,P22=122,P22=123,P22=124,P22=140,P22=141,P22=142,P22=143,P22=160,P22=161,P22=162,P22=163),
OR(S21=I88,S21=I89,S21=I90,S21=I91,S21=I92,S21=I93,S21=I94,S21=I95,S21=I96,S21=I97,S21=I98,S21=I99,S21=I100,S21=I101,S21=I102,S21=I103,S21=I104,S21=I127,S21=I128,S21=I129,S21=I130,S21=I131)),1,0)</f>
        <v>1</v>
      </c>
      <c r="T23" s="40">
        <f>IF(AND(N22=0,T22=3),1,0)</f>
        <v>1</v>
      </c>
      <c r="U23" s="3" t="s">
        <v>569</v>
      </c>
      <c r="V23" s="73" t="str">
        <f>IF(OR(P22=100,P22=101,P22=102,P22=103,P22=104,P22=110,P22=111,P22=112,P22=113,P22=114,P22=140,P22=141,P22=142,P22=143,P22=150,P22=151,P22=152,P22=153),"ТО","ЭК")</f>
        <v>ЭК</v>
      </c>
      <c r="W23" s="73">
        <f>IF(AND(N22=0,OR(W22=3,W22=1)),1,0)</f>
        <v>0</v>
      </c>
      <c r="X23" s="73" t="s">
        <v>137</v>
      </c>
      <c r="Y23" s="232" t="str">
        <f>IF(D83=1,"СУ","")</f>
        <v/>
      </c>
      <c r="Z23" s="73" t="e">
        <f>IF(AND(N22=0,OR(Z22=3,Z22=1)),1,0)</f>
        <v>#VALUE!</v>
      </c>
      <c r="AA23" s="204"/>
      <c r="AB23" s="204"/>
      <c r="AC23" s="204"/>
      <c r="AD23" s="204"/>
      <c r="AE23" s="204"/>
      <c r="AF23" s="204"/>
      <c r="AG23" s="204"/>
      <c r="AH23" s="204"/>
    </row>
    <row r="24" spans="2:34" x14ac:dyDescent="0.25">
      <c r="B24" s="297" t="s">
        <v>452</v>
      </c>
      <c r="C24" s="342"/>
      <c r="D24" s="343"/>
      <c r="E24" s="9" t="str">
        <f>IF(Расчет!B83=1,"Да","Нет")</f>
        <v>Нет</v>
      </c>
      <c r="F24" s="40" t="str">
        <f>IF(VLOOKUP(Q8,H312:S347,10,0)=1,"Да","Нет")</f>
        <v>Нет</v>
      </c>
      <c r="G24" s="73" t="str">
        <f>IF(VLOOKUP(Q21,H312:S347,10,0)=1,"Да","Нет")</f>
        <v>Нет</v>
      </c>
      <c r="H24" s="1"/>
      <c r="N24" s="34" t="s">
        <v>318</v>
      </c>
      <c r="O24" t="s">
        <v>284</v>
      </c>
      <c r="P24" s="3">
        <f>IF(OR(P22=110,P22=111,P22=112,P22=113,P22=114,P22=130,P22=131,P22=132,P22=133,P22=134,P22=150,P22=151,P22=152,P22=153,P22=170,P22=171,P22=172,P22=173),2,0)</f>
        <v>0</v>
      </c>
      <c r="S24" s="3">
        <f>IF(AND(OR(P22=110,P22=111,P22=112,P22=113,P22=114,P22=130,P22=131,P22=132,P22=133,P22=134,P22=150,P22=151,P22=152,P22=153,P22=170,P22=171,P22=172,P22=173),
OR(S21=I112,S8=I113,S21=I114,S21=I115,S21=I116,S21=I117,S21=I118,S21=I119,S21=I127,S21=I128,S21=I129,S21=I130,S21=I131)),1,0)</f>
        <v>0</v>
      </c>
      <c r="T24" s="40">
        <f>IF(AND(N22=1,T22=1),1,0)</f>
        <v>0</v>
      </c>
      <c r="U24" s="3" t="s">
        <v>570</v>
      </c>
      <c r="V24" s="73">
        <f>IF(AND(OR(P22=100,P22=101,P22=102,P22=103,P22=104,P22=110,P22=111,P22=112,P22=113,P22=114,P22=140,P22=141,P22=142,P22=143,P22=150,P22=151,P22=152,P22=153),
OR(V21=I88,V21=I89,V21=I90,V21=I91,V21=I92,V21=I127,V21=I128,V21=I129,V21=I130,V21=I131)),1,0)</f>
        <v>0</v>
      </c>
      <c r="W24" s="73">
        <f>IF(AND(N22=1,W22=1),1,0)</f>
        <v>0</v>
      </c>
      <c r="X24" s="73" t="s">
        <v>138</v>
      </c>
      <c r="Y24" s="232">
        <f>IF(AND(OR(P22=103,P22=113,P22=123,P22=133,P22=142,P22=152,P22=162,P22=172),
OR(Y21=I88,Y21=I89,Y21=I90,Y21=I91,Y21=I92,Y21=I127,Y21=I128,Y21=I129,Y21=I130,Y21=I131)),1,0)</f>
        <v>0</v>
      </c>
      <c r="Z24" s="73" t="e">
        <f>IF(AND(N22=1,Z22=1),1,0)</f>
        <v>#VALUE!</v>
      </c>
      <c r="AA24" s="204"/>
      <c r="AB24" s="204"/>
      <c r="AC24" s="204"/>
      <c r="AD24" s="204"/>
      <c r="AE24" s="204"/>
      <c r="AF24" s="204"/>
      <c r="AG24" s="204"/>
      <c r="AH24" s="204"/>
    </row>
    <row r="25" spans="2:34" x14ac:dyDescent="0.25">
      <c r="B25" s="297" t="s">
        <v>565</v>
      </c>
      <c r="C25" s="342"/>
      <c r="D25" s="343"/>
      <c r="E25" s="9" t="str">
        <f>IF(Расчет!B87=0,"Питание 3 фазы (3Р/N/PE)","Питание 1 фаза (1Р/N/PE)")</f>
        <v>Питание 1 фаза (1Р/N/PE)</v>
      </c>
      <c r="F25" s="40" t="str">
        <f>IF(Z8="3","Питание 3 фазы",IF(Z8="1","Питание 1 фаза","Нет"))</f>
        <v>Нет</v>
      </c>
      <c r="G25" s="73" t="str">
        <f>IF(Z21="3","Питание 3 фазы",IF(Z21="1","Питание 1 фаза","Нет"))</f>
        <v>Нет</v>
      </c>
      <c r="H25" s="1"/>
      <c r="U25" s="3" t="s">
        <v>571</v>
      </c>
      <c r="V25" s="73">
        <f>IF(AND(OR(P22=120,P22=121,P22=122,P22=123,P22=124,P22=130,P22=131,P22=132,P22=133,P22=134,P22=160,P22=161,P22=162,P22=163,P22=170,P22=171,P22=172,P22=173),
OR(V21=W124,V21=W125,V21=W126,V21=W127)),1,0)</f>
        <v>1</v>
      </c>
      <c r="W25" s="73">
        <f>IFERROR(W23+W24,0)</f>
        <v>0</v>
      </c>
      <c r="X25" s="73" t="s">
        <v>397</v>
      </c>
      <c r="Y25" s="73">
        <f>IF(AND(D83=0,Y21="ХХХХХХХХ"),1,0)</f>
        <v>1</v>
      </c>
      <c r="Z25" s="204"/>
      <c r="AA25" s="204"/>
      <c r="AB25" s="204"/>
      <c r="AC25" s="204"/>
      <c r="AD25" s="204"/>
      <c r="AE25" s="204"/>
      <c r="AF25" s="204"/>
      <c r="AG25" s="204"/>
      <c r="AH25" s="204"/>
    </row>
    <row r="26" spans="2:34" x14ac:dyDescent="0.25">
      <c r="B26" s="297" t="s">
        <v>502</v>
      </c>
      <c r="C26" s="342"/>
      <c r="D26" s="343"/>
      <c r="E26" s="22">
        <f>Главная!L29</f>
        <v>1</v>
      </c>
      <c r="F26" s="150" t="str">
        <f>IF(F24="Да",CONCATENATE(W99,"-",X99),"---")</f>
        <v>---</v>
      </c>
      <c r="G26" s="73" t="str">
        <f>IF(G24="Да",CONCATENATE(W113,"-",X113),"---")</f>
        <v>---</v>
      </c>
      <c r="H26" s="1"/>
      <c r="U26" s="3" t="s">
        <v>572</v>
      </c>
      <c r="V26" s="9">
        <f>IF(AND(V23="ТО",V24=1),1,0)</f>
        <v>0</v>
      </c>
      <c r="W26" s="73">
        <f>IF(V23="ЭК",1,0)</f>
        <v>1</v>
      </c>
      <c r="X26" s="73" t="s">
        <v>574</v>
      </c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</row>
    <row r="27" spans="2:34" x14ac:dyDescent="0.25">
      <c r="B27" s="426" t="s">
        <v>647</v>
      </c>
      <c r="C27" s="427"/>
      <c r="D27" s="427"/>
      <c r="E27" s="3" t="str">
        <f>IF(B83=1,J251,"ХХХХХХХХ")</f>
        <v>ХХХХХХХХ</v>
      </c>
      <c r="F27" s="50"/>
      <c r="G27" s="3"/>
      <c r="H27" s="1"/>
      <c r="U27" s="3" t="s">
        <v>573</v>
      </c>
      <c r="V27" s="73">
        <f>IF(AND(V23="ЭК",V25=1),1,0)</f>
        <v>1</v>
      </c>
      <c r="W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</row>
    <row r="28" spans="2:34" x14ac:dyDescent="0.25">
      <c r="B28" s="297" t="s">
        <v>453</v>
      </c>
      <c r="C28" s="342"/>
      <c r="D28" s="343"/>
      <c r="E28" s="54" t="str">
        <f>IF(Расчет!B91=1,"Да","Нет")</f>
        <v>Нет</v>
      </c>
      <c r="F28" s="578" t="str">
        <f>IF(VLOOKUP(Q8,H312:S347,11,0)=1,"Да","Нет")</f>
        <v>Нет</v>
      </c>
      <c r="G28" s="73" t="str">
        <f>IF(VLOOKUP(Q21,H312:S347,11,0)=1,"Да","Нет")</f>
        <v>Нет</v>
      </c>
      <c r="H28" s="1"/>
      <c r="W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</row>
    <row r="29" spans="2:34" x14ac:dyDescent="0.25">
      <c r="B29" s="297" t="s">
        <v>336</v>
      </c>
      <c r="C29" s="342"/>
      <c r="D29" s="343"/>
      <c r="E29" s="9" t="str">
        <f>Главная!J31</f>
        <v>Д0</v>
      </c>
      <c r="F29" s="40" t="str">
        <f>Главная!O15</f>
        <v>Д0</v>
      </c>
      <c r="G29" s="73" t="str">
        <f>AB21</f>
        <v>Д0</v>
      </c>
      <c r="H29" s="1"/>
      <c r="J29" s="362" t="s">
        <v>626</v>
      </c>
      <c r="K29" s="362"/>
      <c r="L29" s="362"/>
      <c r="M29" s="362">
        <f>IF(M21="1",1,2)</f>
        <v>1</v>
      </c>
      <c r="N29" s="362"/>
      <c r="O29" s="362"/>
      <c r="P29" s="362">
        <f>P23+P24</f>
        <v>1</v>
      </c>
      <c r="Q29" s="362"/>
      <c r="R29" s="362"/>
      <c r="S29" s="362"/>
      <c r="T29" s="362"/>
      <c r="U29" s="362"/>
      <c r="V29" s="362"/>
      <c r="W29" s="362"/>
      <c r="X29" s="362"/>
      <c r="Y29" s="362"/>
      <c r="Z29" s="362"/>
      <c r="AA29" s="362"/>
      <c r="AB29" s="362"/>
      <c r="AC29" s="362"/>
      <c r="AD29" s="362"/>
      <c r="AE29" s="362"/>
      <c r="AF29" s="362"/>
      <c r="AG29" s="362"/>
      <c r="AH29" s="204"/>
    </row>
    <row r="30" spans="2:34" x14ac:dyDescent="0.25">
      <c r="B30" s="297" t="s">
        <v>145</v>
      </c>
      <c r="C30" s="342"/>
      <c r="D30" s="343"/>
      <c r="E30" s="9" t="str">
        <f>IF(Расчет!B110="М","Металл","Пластик")</f>
        <v>Металл</v>
      </c>
      <c r="F30" s="40" t="str">
        <f>IF(Расчет!C110="М","Металл","Пластик")</f>
        <v>Металл</v>
      </c>
      <c r="G30" s="73" t="str">
        <f>IF(Расчет!C110="М","Металл","Пластик")</f>
        <v>Металл</v>
      </c>
      <c r="H30" s="1"/>
      <c r="J30" s="362" t="s">
        <v>245</v>
      </c>
      <c r="K30" s="362">
        <f>IF(K21="ВЕРСА",1,0)</f>
        <v>1</v>
      </c>
      <c r="L30" s="362">
        <f>IF(L21=" 2",1,0)</f>
        <v>1</v>
      </c>
      <c r="M30" s="362">
        <f>IF(OR(M29=1,M29=2),1,0)</f>
        <v>1</v>
      </c>
      <c r="N30" s="362">
        <f>IF(OR(N21="1",N21="0"),1,0)</f>
        <v>1</v>
      </c>
      <c r="O30" s="362">
        <f>IF(O21="-Ф",1,0)</f>
        <v>1</v>
      </c>
      <c r="P30" s="362">
        <f>IF(OR(P29=1,P29=2),1,0)</f>
        <v>1</v>
      </c>
      <c r="Q30" s="362">
        <f>IFERROR(Q23,0)</f>
        <v>0</v>
      </c>
      <c r="R30" s="362">
        <f>IF(R21="-",1,0)</f>
        <v>1</v>
      </c>
      <c r="S30" s="362">
        <f>S23+S24</f>
        <v>1</v>
      </c>
      <c r="T30" s="362">
        <f>T23+T24</f>
        <v>1</v>
      </c>
      <c r="U30" s="362">
        <f>IF(U21="-",1,0)</f>
        <v>1</v>
      </c>
      <c r="V30" s="362">
        <f>IF(V23="ТО",V26,V27)</f>
        <v>1</v>
      </c>
      <c r="W30" s="362">
        <f>IF(V23="ТО",W25,W26)</f>
        <v>1</v>
      </c>
      <c r="X30" s="362">
        <f>IF(X21="-",1,0)</f>
        <v>1</v>
      </c>
      <c r="Y30" s="362">
        <f>Y24+Y25</f>
        <v>1</v>
      </c>
      <c r="Z30" s="362">
        <f>IFERROR(Z23+Z24,1)</f>
        <v>1</v>
      </c>
      <c r="AA30" s="362">
        <f>IF(AA21="-",1,0)</f>
        <v>1</v>
      </c>
      <c r="AB30" s="362">
        <f>IF(OR(AB21="Д0",AB21="Д1",AB21="Д2"),1,0)</f>
        <v>1</v>
      </c>
      <c r="AC30" s="362"/>
      <c r="AD30" s="362">
        <f>IF(AD21="-",1,0)</f>
        <v>1</v>
      </c>
      <c r="AE30" s="362"/>
      <c r="AF30" s="362">
        <f>IF(OR(AF21="М",AF21="П"),1,0)</f>
        <v>1</v>
      </c>
      <c r="AG30" s="362">
        <f>AG21</f>
        <v>1</v>
      </c>
      <c r="AH30" s="204"/>
    </row>
    <row r="31" spans="2:34" x14ac:dyDescent="0.25">
      <c r="B31" s="297" t="s">
        <v>224</v>
      </c>
      <c r="C31" s="342"/>
      <c r="D31" s="343"/>
      <c r="E31" s="9"/>
      <c r="F31" s="40" t="str">
        <f>Расчет!E127</f>
        <v>700х500х200</v>
      </c>
      <c r="G31" s="73"/>
    </row>
    <row r="32" spans="2:34" x14ac:dyDescent="0.25">
      <c r="B32" s="297" t="s">
        <v>458</v>
      </c>
      <c r="C32" s="342"/>
      <c r="D32" s="343"/>
      <c r="E32" s="9"/>
      <c r="F32" s="40" t="str">
        <f>Главная!G15</f>
        <v>Ф120</v>
      </c>
      <c r="G32" s="73" t="str">
        <f>Q21</f>
        <v>Ф120</v>
      </c>
      <c r="J32" s="373" t="s">
        <v>314</v>
      </c>
      <c r="K32" s="9">
        <f t="shared" ref="K32:P32" si="0">IF($D$1=2,K16,K30)</f>
        <v>1</v>
      </c>
      <c r="L32" s="9">
        <f t="shared" si="0"/>
        <v>1</v>
      </c>
      <c r="M32" s="9">
        <f t="shared" si="0"/>
        <v>1</v>
      </c>
      <c r="N32" s="9">
        <f t="shared" si="0"/>
        <v>1</v>
      </c>
      <c r="O32" s="9">
        <f t="shared" si="0"/>
        <v>1</v>
      </c>
      <c r="P32" s="9">
        <f t="shared" si="0"/>
        <v>1</v>
      </c>
      <c r="Q32" s="9" t="e">
        <f>IF($D$1=2,Q16,Q30)</f>
        <v>#N/A</v>
      </c>
      <c r="R32" s="9">
        <f t="shared" ref="R32:AB32" si="1">IF($D$1=2,R16,R30)</f>
        <v>1</v>
      </c>
      <c r="S32" s="9">
        <f t="shared" si="1"/>
        <v>1</v>
      </c>
      <c r="T32" s="9">
        <f t="shared" si="1"/>
        <v>1</v>
      </c>
      <c r="U32" s="9">
        <f t="shared" si="1"/>
        <v>1</v>
      </c>
      <c r="V32" s="9">
        <f t="shared" si="1"/>
        <v>1</v>
      </c>
      <c r="W32" s="9">
        <f t="shared" si="1"/>
        <v>1</v>
      </c>
      <c r="X32" s="9">
        <f t="shared" si="1"/>
        <v>1</v>
      </c>
      <c r="Y32" s="9">
        <f t="shared" si="1"/>
        <v>1</v>
      </c>
      <c r="Z32" s="9">
        <f t="shared" si="1"/>
        <v>1</v>
      </c>
      <c r="AA32" s="9">
        <f t="shared" si="1"/>
        <v>1</v>
      </c>
      <c r="AB32" s="9">
        <f t="shared" si="1"/>
        <v>1</v>
      </c>
      <c r="AC32" s="9"/>
      <c r="AD32" s="9">
        <f>IF($D$1=2,AD16,AD30)</f>
        <v>1</v>
      </c>
      <c r="AE32" s="9"/>
      <c r="AF32" s="9">
        <f>IF($D$1=2,AF16,AF30)</f>
        <v>1</v>
      </c>
      <c r="AG32" s="9">
        <f>IF($D$1=2,AG16,AG30)</f>
        <v>1</v>
      </c>
      <c r="AH32" s="9"/>
    </row>
    <row r="33" spans="2:41" x14ac:dyDescent="0.25">
      <c r="B33" s="297" t="s">
        <v>648</v>
      </c>
      <c r="C33" s="342"/>
      <c r="D33" s="343"/>
      <c r="E33" s="3" t="str">
        <f>IF(AND(B56=1,B60=1),I142,IF(AND(B56=1,B60=0),I154,B65))</f>
        <v>А1Н00020</v>
      </c>
      <c r="F33" s="3"/>
      <c r="G33" s="3"/>
      <c r="I33" s="1"/>
      <c r="J33" s="367" t="s">
        <v>315</v>
      </c>
      <c r="K33" s="9">
        <f>IFERROR(K32*L32*M32*N32*O32*P32*R32*S32*T32*U32*V32*W32*X32*Y32*Z32*AA32*AB32*AD32*AF32*AG32,)</f>
        <v>1</v>
      </c>
      <c r="L33" s="140" t="str">
        <f>IF(AND(OR(D1=2,D1=3),K33=0),"Проверьте маркировку шкафа","")</f>
        <v/>
      </c>
      <c r="M33" s="210"/>
      <c r="N33" s="211"/>
      <c r="S33" s="1"/>
    </row>
    <row r="34" spans="2:41" x14ac:dyDescent="0.25">
      <c r="E34" t="s">
        <v>435</v>
      </c>
      <c r="I34" s="1"/>
      <c r="J34" s="53"/>
      <c r="K34" s="1"/>
      <c r="M34" s="176"/>
      <c r="N34" s="34"/>
      <c r="S34" s="1"/>
    </row>
    <row r="35" spans="2:41" x14ac:dyDescent="0.25">
      <c r="E35" s="88">
        <v>2</v>
      </c>
      <c r="I35" s="1"/>
    </row>
    <row r="36" spans="2:41" x14ac:dyDescent="0.25">
      <c r="I36" s="88"/>
    </row>
    <row r="37" spans="2:41" x14ac:dyDescent="0.25">
      <c r="B37" t="s">
        <v>628</v>
      </c>
      <c r="G37" s="88"/>
      <c r="H37" s="88"/>
    </row>
    <row r="38" spans="2:41" x14ac:dyDescent="0.25">
      <c r="F38" s="88"/>
      <c r="G38" s="88"/>
      <c r="H38" s="88"/>
      <c r="I38" s="53"/>
      <c r="J38" s="1"/>
      <c r="L38" s="176"/>
      <c r="M38" s="34"/>
      <c r="R38" s="1"/>
    </row>
    <row r="40" spans="2:41" ht="15.75" thickBot="1" x14ac:dyDescent="0.3">
      <c r="B40" s="195" t="s">
        <v>122</v>
      </c>
      <c r="L40" s="173"/>
    </row>
    <row r="41" spans="2:41" ht="15.75" thickBot="1" x14ac:dyDescent="0.3">
      <c r="B41" s="182" t="s">
        <v>271</v>
      </c>
      <c r="C41" s="182" t="s">
        <v>272</v>
      </c>
      <c r="D41" t="s">
        <v>151</v>
      </c>
      <c r="E41" s="183" t="s">
        <v>245</v>
      </c>
      <c r="F41" s="3"/>
      <c r="H41" s="12" t="s">
        <v>70</v>
      </c>
      <c r="I41" s="13" t="str">
        <f>IF(E51=1,I43,I57)</f>
        <v>Ф120</v>
      </c>
      <c r="V41" t="b">
        <v>1</v>
      </c>
      <c r="X41" t="b">
        <v>0</v>
      </c>
    </row>
    <row r="42" spans="2:41" ht="15.75" thickBot="1" x14ac:dyDescent="0.3">
      <c r="B42" s="184">
        <f>IF(Главная!J18="без самозапуска",1,2)</f>
        <v>2</v>
      </c>
      <c r="C42" s="185">
        <f>M9</f>
        <v>1</v>
      </c>
      <c r="D42" s="415">
        <f>M22</f>
        <v>1</v>
      </c>
      <c r="E42" s="186">
        <f>IF($D$1=1,B42,IF($D$1=2,C42,D42))</f>
        <v>1</v>
      </c>
      <c r="F42" s="81" t="s">
        <v>72</v>
      </c>
      <c r="V42" s="1">
        <v>1</v>
      </c>
      <c r="W42" s="1"/>
      <c r="X42" s="1">
        <v>0</v>
      </c>
      <c r="Y42" s="1"/>
    </row>
    <row r="43" spans="2:41" ht="15.75" thickBot="1" x14ac:dyDescent="0.3">
      <c r="B43" s="3"/>
      <c r="C43" s="3"/>
      <c r="D43" s="3"/>
      <c r="E43" s="3">
        <v>1</v>
      </c>
      <c r="F43" s="3" t="s">
        <v>73</v>
      </c>
      <c r="H43" s="39" t="s">
        <v>124</v>
      </c>
      <c r="I43" s="75" t="str">
        <f>INDEX(I53:Z53,INDEX(MATCH(1=1,I53:Z53&lt;&gt;"",),))</f>
        <v>Ф120</v>
      </c>
    </row>
    <row r="44" spans="2:41" ht="15.75" thickBot="1" x14ac:dyDescent="0.3">
      <c r="B44" s="3"/>
      <c r="C44" s="3"/>
      <c r="D44" s="3"/>
      <c r="E44" s="3">
        <v>2</v>
      </c>
      <c r="F44" s="3" t="s">
        <v>74</v>
      </c>
      <c r="H44" s="5"/>
      <c r="I44" s="6" t="s">
        <v>81</v>
      </c>
      <c r="J44" s="6" t="s">
        <v>82</v>
      </c>
      <c r="K44" s="6" t="s">
        <v>83</v>
      </c>
      <c r="L44" s="6" t="s">
        <v>84</v>
      </c>
      <c r="M44" s="6" t="s">
        <v>404</v>
      </c>
      <c r="N44" s="6" t="s">
        <v>91</v>
      </c>
      <c r="O44" s="6" t="s">
        <v>92</v>
      </c>
      <c r="P44" s="6" t="s">
        <v>405</v>
      </c>
      <c r="Q44" s="6" t="s">
        <v>406</v>
      </c>
      <c r="R44" s="6" t="s">
        <v>407</v>
      </c>
      <c r="S44" s="319" t="s">
        <v>97</v>
      </c>
      <c r="T44" s="320" t="s">
        <v>98</v>
      </c>
      <c r="U44" s="320" t="s">
        <v>99</v>
      </c>
      <c r="V44" s="320" t="s">
        <v>100</v>
      </c>
      <c r="W44" s="320" t="s">
        <v>365</v>
      </c>
      <c r="X44" s="320" t="s">
        <v>366</v>
      </c>
      <c r="Y44" s="320" t="s">
        <v>367</v>
      </c>
      <c r="Z44" s="320" t="s">
        <v>368</v>
      </c>
      <c r="AC44" s="29" t="s">
        <v>140</v>
      </c>
      <c r="AD44" s="29"/>
      <c r="AE44" s="29"/>
      <c r="AF44" s="29" t="s">
        <v>141</v>
      </c>
      <c r="AG44" s="30"/>
      <c r="AH44" s="30"/>
      <c r="AI44" s="30"/>
      <c r="AJ44" s="30"/>
      <c r="AK44" s="30"/>
      <c r="AL44" s="30"/>
      <c r="AM44" s="30"/>
      <c r="AN44" s="30"/>
      <c r="AO44" s="31"/>
    </row>
    <row r="45" spans="2:41" ht="15.75" thickBot="1" x14ac:dyDescent="0.3">
      <c r="B45" s="3"/>
      <c r="C45" s="3"/>
      <c r="D45" s="3"/>
      <c r="E45" s="3"/>
      <c r="F45" s="3"/>
      <c r="G45" s="1" t="s">
        <v>428</v>
      </c>
      <c r="H45" s="315" t="s">
        <v>424</v>
      </c>
      <c r="I45" s="316" t="s">
        <v>85</v>
      </c>
      <c r="J45" s="316" t="s">
        <v>85</v>
      </c>
      <c r="K45" s="316" t="s">
        <v>85</v>
      </c>
      <c r="L45" s="316" t="s">
        <v>85</v>
      </c>
      <c r="M45" s="316" t="s">
        <v>85</v>
      </c>
      <c r="N45" s="316" t="s">
        <v>85</v>
      </c>
      <c r="O45" s="316" t="s">
        <v>85</v>
      </c>
      <c r="P45" s="316" t="s">
        <v>85</v>
      </c>
      <c r="Q45" s="316" t="s">
        <v>85</v>
      </c>
      <c r="R45" s="316" t="s">
        <v>85</v>
      </c>
      <c r="S45" s="316" t="s">
        <v>85</v>
      </c>
      <c r="T45" s="316" t="s">
        <v>85</v>
      </c>
      <c r="U45" s="38" t="s">
        <v>85</v>
      </c>
      <c r="V45" s="38" t="s">
        <v>85</v>
      </c>
      <c r="W45" s="38" t="s">
        <v>85</v>
      </c>
      <c r="X45" s="38" t="s">
        <v>85</v>
      </c>
      <c r="Y45" s="38" t="s">
        <v>85</v>
      </c>
      <c r="Z45" s="38" t="s">
        <v>85</v>
      </c>
      <c r="AC45" s="25" t="s">
        <v>362</v>
      </c>
      <c r="AD45" s="25">
        <v>0</v>
      </c>
      <c r="AE45" s="25"/>
      <c r="AF45" s="26" t="s">
        <v>142</v>
      </c>
      <c r="AG45" s="23"/>
      <c r="AH45" s="23"/>
      <c r="AI45" s="23"/>
      <c r="AJ45" s="23"/>
      <c r="AK45" s="23"/>
      <c r="AL45" s="23"/>
      <c r="AM45" s="23"/>
      <c r="AN45" s="23"/>
      <c r="AO45" s="24"/>
    </row>
    <row r="46" spans="2:41" ht="15.75" thickBot="1" x14ac:dyDescent="0.3">
      <c r="B46" s="3"/>
      <c r="C46" s="3"/>
      <c r="D46" s="3"/>
      <c r="E46" s="3"/>
      <c r="F46" s="3"/>
      <c r="G46" s="1" t="s">
        <v>429</v>
      </c>
      <c r="H46" s="154" t="s">
        <v>399</v>
      </c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227" t="s">
        <v>85</v>
      </c>
      <c r="T46" s="227" t="s">
        <v>85</v>
      </c>
      <c r="U46" s="227" t="s">
        <v>85</v>
      </c>
      <c r="V46" s="227" t="s">
        <v>85</v>
      </c>
      <c r="W46" s="227" t="s">
        <v>85</v>
      </c>
      <c r="X46" s="227" t="s">
        <v>85</v>
      </c>
      <c r="Y46" s="227" t="s">
        <v>85</v>
      </c>
      <c r="Z46" s="227" t="s">
        <v>85</v>
      </c>
      <c r="AC46" s="25" t="s">
        <v>363</v>
      </c>
      <c r="AD46" s="25">
        <v>1</v>
      </c>
      <c r="AE46" s="25"/>
      <c r="AF46" s="26" t="s">
        <v>359</v>
      </c>
      <c r="AG46" s="23"/>
      <c r="AH46" s="23"/>
      <c r="AI46" s="23"/>
      <c r="AJ46" s="23"/>
      <c r="AK46" s="23"/>
      <c r="AL46" s="23"/>
      <c r="AM46" s="23"/>
      <c r="AN46" s="23"/>
      <c r="AO46" s="24"/>
    </row>
    <row r="47" spans="2:41" ht="15.75" thickBot="1" x14ac:dyDescent="0.3">
      <c r="B47" s="184">
        <f>IF(Главная!J19="Питание 3 фазы (3Р/N/PE)",0,1)</f>
        <v>1</v>
      </c>
      <c r="C47" s="185">
        <f>N9</f>
        <v>0</v>
      </c>
      <c r="D47" s="417">
        <f>N22</f>
        <v>0</v>
      </c>
      <c r="E47" s="188">
        <f>IF($D$1=1,B47,IF($D$1=2,C47,D47))</f>
        <v>0</v>
      </c>
      <c r="F47" s="81" t="s">
        <v>75</v>
      </c>
      <c r="G47" s="1" t="s">
        <v>430</v>
      </c>
      <c r="H47" s="157" t="s">
        <v>397</v>
      </c>
      <c r="I47" s="177" t="s">
        <v>85</v>
      </c>
      <c r="J47" s="177" t="s">
        <v>85</v>
      </c>
      <c r="K47" s="177" t="s">
        <v>85</v>
      </c>
      <c r="L47" s="177" t="s">
        <v>85</v>
      </c>
      <c r="M47" s="177" t="s">
        <v>85</v>
      </c>
      <c r="N47" s="177"/>
      <c r="O47" s="177"/>
      <c r="P47" s="177"/>
      <c r="Q47" s="177"/>
      <c r="R47" s="177"/>
      <c r="S47" s="177" t="s">
        <v>85</v>
      </c>
      <c r="T47" s="177" t="s">
        <v>85</v>
      </c>
      <c r="U47" s="177" t="s">
        <v>85</v>
      </c>
      <c r="V47" s="177" t="s">
        <v>85</v>
      </c>
      <c r="W47" s="177"/>
      <c r="X47" s="177"/>
      <c r="Y47" s="177"/>
      <c r="Z47" s="177"/>
      <c r="AC47" s="378" t="s">
        <v>360</v>
      </c>
      <c r="AD47" s="378">
        <v>2</v>
      </c>
      <c r="AE47" s="378"/>
      <c r="AF47" s="26" t="s">
        <v>361</v>
      </c>
      <c r="AG47" s="23"/>
      <c r="AH47" s="23"/>
      <c r="AI47" s="23"/>
      <c r="AJ47" s="23"/>
      <c r="AK47" s="23"/>
      <c r="AL47" s="23"/>
      <c r="AM47" s="23"/>
      <c r="AN47" s="23"/>
      <c r="AO47" s="24"/>
    </row>
    <row r="48" spans="2:41" x14ac:dyDescent="0.25">
      <c r="B48" s="3"/>
      <c r="C48" s="3"/>
      <c r="D48" s="3"/>
      <c r="E48" s="3">
        <v>1</v>
      </c>
      <c r="F48" s="3" t="s">
        <v>77</v>
      </c>
      <c r="G48" s="1" t="s">
        <v>430</v>
      </c>
      <c r="H48" s="291" t="s">
        <v>398</v>
      </c>
      <c r="I48" s="276"/>
      <c r="J48" s="276"/>
      <c r="K48" s="276"/>
      <c r="L48" s="276"/>
      <c r="M48" s="171"/>
      <c r="N48" s="276" t="s">
        <v>85</v>
      </c>
      <c r="O48" s="276" t="s">
        <v>85</v>
      </c>
      <c r="P48" s="276" t="s">
        <v>85</v>
      </c>
      <c r="Q48" s="276" t="s">
        <v>85</v>
      </c>
      <c r="R48" s="276" t="s">
        <v>85</v>
      </c>
      <c r="S48" s="276"/>
      <c r="T48" s="276"/>
      <c r="U48" s="11"/>
      <c r="V48" s="11"/>
      <c r="W48" s="11" t="s">
        <v>85</v>
      </c>
      <c r="X48" s="11" t="s">
        <v>85</v>
      </c>
      <c r="Y48" s="11" t="s">
        <v>85</v>
      </c>
      <c r="Z48" s="11" t="s">
        <v>85</v>
      </c>
      <c r="AC48" s="32"/>
      <c r="AD48" s="32"/>
      <c r="AE48" s="32"/>
      <c r="AF48" s="96"/>
    </row>
    <row r="49" spans="2:32" x14ac:dyDescent="0.25">
      <c r="B49" s="3"/>
      <c r="C49" s="3"/>
      <c r="D49" s="3"/>
      <c r="E49" s="3">
        <v>0</v>
      </c>
      <c r="F49" s="3" t="s">
        <v>76</v>
      </c>
      <c r="G49" s="1" t="s">
        <v>431</v>
      </c>
      <c r="H49" s="315" t="s">
        <v>400</v>
      </c>
      <c r="I49" s="316"/>
      <c r="J49" s="316" t="s">
        <v>85</v>
      </c>
      <c r="K49" s="316"/>
      <c r="L49" s="316"/>
      <c r="M49" s="38"/>
      <c r="N49" s="58"/>
      <c r="O49" s="317" t="s">
        <v>85</v>
      </c>
      <c r="P49" s="317"/>
      <c r="Q49" s="317"/>
      <c r="R49" s="287"/>
      <c r="S49" s="316"/>
      <c r="T49" s="316"/>
      <c r="U49" s="38"/>
      <c r="V49" s="38"/>
      <c r="W49" s="38"/>
      <c r="X49" s="38"/>
      <c r="Y49" s="38"/>
      <c r="Z49" s="38"/>
      <c r="AC49" s="32"/>
      <c r="AD49" s="32"/>
      <c r="AE49" s="32"/>
    </row>
    <row r="50" spans="2:32" x14ac:dyDescent="0.25">
      <c r="B50" s="3"/>
      <c r="C50" s="3"/>
      <c r="D50" s="3"/>
      <c r="E50" s="3"/>
      <c r="F50" s="3"/>
      <c r="G50" s="1" t="s">
        <v>432</v>
      </c>
      <c r="H50" s="315" t="s">
        <v>401</v>
      </c>
      <c r="I50" s="316"/>
      <c r="J50" s="316"/>
      <c r="K50" s="316" t="s">
        <v>85</v>
      </c>
      <c r="L50" s="316"/>
      <c r="M50" s="38"/>
      <c r="N50" s="58"/>
      <c r="O50" s="317"/>
      <c r="P50" s="317" t="s">
        <v>85</v>
      </c>
      <c r="Q50" s="317"/>
      <c r="R50" s="287"/>
      <c r="S50" s="316"/>
      <c r="T50" s="316" t="s">
        <v>85</v>
      </c>
      <c r="U50" s="38"/>
      <c r="V50" s="38"/>
      <c r="W50" s="38"/>
      <c r="X50" s="316" t="s">
        <v>85</v>
      </c>
      <c r="Y50" s="38"/>
      <c r="Z50" s="38"/>
      <c r="AC50" s="32"/>
      <c r="AD50" s="32"/>
      <c r="AE50" s="32"/>
      <c r="AF50" s="96"/>
    </row>
    <row r="51" spans="2:32" ht="17.25" x14ac:dyDescent="0.3">
      <c r="B51" s="189">
        <f>IF(Главная!J20="Прямой пуск / ЕС мотор",1,2)</f>
        <v>1</v>
      </c>
      <c r="C51" s="190">
        <f>P15</f>
        <v>1</v>
      </c>
      <c r="D51" s="418">
        <f>P29</f>
        <v>1</v>
      </c>
      <c r="E51" s="145">
        <f>IF($D$1=1,B51,IF($D$1=2,C51,D51))</f>
        <v>1</v>
      </c>
      <c r="F51" s="81" t="s">
        <v>71</v>
      </c>
      <c r="G51" s="1" t="s">
        <v>433</v>
      </c>
      <c r="H51" s="314" t="s">
        <v>402</v>
      </c>
      <c r="I51" s="277"/>
      <c r="J51" s="277"/>
      <c r="K51" s="277"/>
      <c r="L51" s="277" t="s">
        <v>85</v>
      </c>
      <c r="M51" s="279"/>
      <c r="N51" s="278"/>
      <c r="O51" s="318"/>
      <c r="P51" s="318"/>
      <c r="Q51" s="318" t="s">
        <v>85</v>
      </c>
      <c r="R51" s="286"/>
      <c r="S51" s="277"/>
      <c r="T51" s="277"/>
      <c r="U51" s="279" t="s">
        <v>85</v>
      </c>
      <c r="V51" s="279"/>
      <c r="W51" s="279"/>
      <c r="X51" s="277"/>
      <c r="Y51" s="279" t="s">
        <v>85</v>
      </c>
      <c r="Z51" s="279"/>
      <c r="AB51" s="10"/>
      <c r="AC51" s="32"/>
      <c r="AD51" s="32"/>
      <c r="AE51" s="32"/>
      <c r="AF51" s="96"/>
    </row>
    <row r="52" spans="2:32" ht="17.25" x14ac:dyDescent="0.3">
      <c r="B52" s="3"/>
      <c r="C52" s="3"/>
      <c r="D52" s="3"/>
      <c r="E52" s="191">
        <v>1</v>
      </c>
      <c r="F52" s="3" t="s">
        <v>425</v>
      </c>
      <c r="G52" s="1" t="s">
        <v>434</v>
      </c>
      <c r="H52" s="314" t="s">
        <v>403</v>
      </c>
      <c r="I52" s="277"/>
      <c r="J52" s="277"/>
      <c r="K52" s="277"/>
      <c r="L52" s="277"/>
      <c r="M52" s="279" t="s">
        <v>85</v>
      </c>
      <c r="N52" s="278"/>
      <c r="O52" s="318"/>
      <c r="P52" s="318"/>
      <c r="Q52" s="318"/>
      <c r="R52" s="286" t="s">
        <v>85</v>
      </c>
      <c r="S52" s="277"/>
      <c r="T52" s="277"/>
      <c r="U52" s="279"/>
      <c r="V52" s="279" t="s">
        <v>85</v>
      </c>
      <c r="W52" s="279"/>
      <c r="X52" s="277"/>
      <c r="Y52" s="279"/>
      <c r="Z52" s="279" t="s">
        <v>85</v>
      </c>
      <c r="AB52" s="10"/>
      <c r="AC52" s="32"/>
      <c r="AD52" s="32"/>
      <c r="AE52" s="32"/>
      <c r="AF52" s="96"/>
    </row>
    <row r="53" spans="2:32" ht="30" x14ac:dyDescent="0.25">
      <c r="B53" s="3"/>
      <c r="C53" s="3"/>
      <c r="D53" s="3"/>
      <c r="E53" s="192">
        <v>2</v>
      </c>
      <c r="F53" s="193" t="s">
        <v>228</v>
      </c>
      <c r="G53" s="1"/>
      <c r="H53" s="312" t="s">
        <v>123</v>
      </c>
      <c r="I53" s="332" t="str">
        <f>IF(AND($E$51=1,$E$56=1,$E$68=0,$E$73=0,$E$78=0,$E$83=0,$E$91=0),"Ф100","")</f>
        <v/>
      </c>
      <c r="J53" s="313" t="str">
        <f>IF(AND($E$51=1,$E$56=1,$E$68=0,$E$73=1,$E$78=0,$E$83=0,$E$91=0),"Ф101","")</f>
        <v/>
      </c>
      <c r="K53" s="313" t="str">
        <f>IF(AND($E$51=1,$E$56=1,$E$68=0,$E$73=0,$E$78=1,$E$83=0,$E$91=0),"Ф102","")</f>
        <v/>
      </c>
      <c r="L53" s="313" t="str">
        <f>IF(AND($E$51=1,$E$56=1,$E$68=0,$E$73=0,$E$78=0,$E$83=1,$E$91=0),"Ф103","")</f>
        <v/>
      </c>
      <c r="M53" s="313" t="str">
        <f>IF(AND($E$51=1,$E$56=1,$E$68=0,$E$73=0,$E$78=0,$E$83=0,$E$91=1),"Ф104","")</f>
        <v/>
      </c>
      <c r="N53" s="313" t="str">
        <f>IF(AND($E$51=1,$E$56=2,$E$68=0,$E$73=0,$E$78=0,$E$83=0,$E$91=0),"Ф120","")</f>
        <v>Ф120</v>
      </c>
      <c r="O53" s="313" t="str">
        <f>IF(AND($E$51=1,$E$56=2,$E$68=0,$E$73=1,$E$78=0,$E$83=0,$E$91=0),"Ф121","")</f>
        <v/>
      </c>
      <c r="P53" s="313" t="str">
        <f>IF(AND($E$51=1,$E$56=2,$E$68=0,$E$73=0,$E$78=1,$E$83=0,$E$91=0),"Ф122","")</f>
        <v/>
      </c>
      <c r="Q53" s="313" t="str">
        <f>IF(AND($E$51=1,$E$56=2,$E$68=0,$E$73=0,$E$78=0,$E$83=1,$E$91=0),"Ф123","")</f>
        <v/>
      </c>
      <c r="R53" s="313" t="str">
        <f>IF(AND($E$51=1,$E$56=2,$E$68=0,$E$73=0,$E$78=0,$E$83=0,$E$91=1),"Ф124","")</f>
        <v/>
      </c>
      <c r="S53" s="313" t="str">
        <f>IF(AND($E$51=1,$E$56=1,$E$68=1,$E$73=0,$E$78=0,$E$83=0,$E$91=0),"Ф140","")</f>
        <v/>
      </c>
      <c r="T53" s="313" t="str">
        <f>IF(AND($E$51=1,$E$56=1,$E$68=1,$E$73=0,$E$78=1,$E$83=0,$E$91=0),"Ф141","")</f>
        <v/>
      </c>
      <c r="U53" s="16" t="str">
        <f>IF(AND($E$51=1,$E$56=1,$E$68=1,$E$73=0,$E$78=0,$E$83=1,$E$91=0),"Ф142","")</f>
        <v/>
      </c>
      <c r="V53" s="16" t="str">
        <f>IF(AND($E$51=1,$E$56=1,$E$68=1,$E$73=0,$E$78=0,$E$83=0,$E$91=1),"Ф143","")</f>
        <v/>
      </c>
      <c r="W53" s="16" t="str">
        <f>IF(AND($E$51=1,$E$56=2,$E$68=1,$E$73=0,$E$78=0,$E$83=0,$E$91=0),"Ф160","")</f>
        <v/>
      </c>
      <c r="X53" s="16" t="str">
        <f>IF(AND($E$51=1,$E$56=2,$E$68=1,$E$73=0,$E$78=1,$E$83=0,$E$91=0),"Ф161","")</f>
        <v/>
      </c>
      <c r="Y53" s="16" t="str">
        <f>IF(AND($E$51=1,$E$56=2,$E$68=1,$E$73=0,$E$78=0,$E$83=1,$E$91=0),"Ф162","")</f>
        <v/>
      </c>
      <c r="Z53" s="16" t="str">
        <f>IF(AND($E$51=1,$E$56=2,$E$68=1,$E$73=0,$E$78=0,$E$83=0,$E$91=1),"Ф163","")</f>
        <v/>
      </c>
      <c r="AC53" s="32"/>
      <c r="AD53" s="32"/>
      <c r="AE53" s="32"/>
      <c r="AF53" s="96"/>
    </row>
    <row r="54" spans="2:32" x14ac:dyDescent="0.25">
      <c r="B54" s="3"/>
      <c r="C54" s="3"/>
      <c r="D54" s="3"/>
      <c r="E54" s="191"/>
      <c r="F54" s="193"/>
      <c r="H54" s="3"/>
      <c r="I54" s="3">
        <v>1</v>
      </c>
      <c r="J54" s="3">
        <v>2</v>
      </c>
      <c r="K54" s="3">
        <v>3</v>
      </c>
      <c r="L54" s="3">
        <v>4</v>
      </c>
      <c r="M54" s="3">
        <v>5</v>
      </c>
      <c r="N54" s="3">
        <v>6</v>
      </c>
      <c r="O54" s="3">
        <v>7</v>
      </c>
      <c r="P54" s="3">
        <v>8</v>
      </c>
      <c r="Q54" s="3">
        <v>9</v>
      </c>
      <c r="R54" s="3">
        <v>10</v>
      </c>
      <c r="S54" s="3">
        <v>11</v>
      </c>
      <c r="T54" s="3">
        <v>12</v>
      </c>
      <c r="U54" s="9">
        <v>13</v>
      </c>
      <c r="V54" s="9">
        <v>14</v>
      </c>
      <c r="W54" s="9">
        <v>15</v>
      </c>
      <c r="X54" s="9">
        <v>16</v>
      </c>
      <c r="Y54" s="9">
        <v>16</v>
      </c>
      <c r="Z54" s="9">
        <v>16</v>
      </c>
      <c r="AC54" s="32"/>
      <c r="AD54" s="32"/>
      <c r="AE54" s="32"/>
      <c r="AF54" s="96"/>
    </row>
    <row r="55" spans="2:32" x14ac:dyDescent="0.25">
      <c r="B55" s="3"/>
      <c r="C55" s="3"/>
      <c r="D55" s="3"/>
      <c r="E55" s="191"/>
      <c r="F55" s="193"/>
      <c r="AC55" s="32"/>
      <c r="AD55" s="32"/>
      <c r="AE55" s="32"/>
      <c r="AF55" s="96"/>
    </row>
    <row r="56" spans="2:32" ht="15.75" thickBot="1" x14ac:dyDescent="0.3">
      <c r="B56" s="189">
        <f>IF(Главная!J22="ТО",1,2)</f>
        <v>1</v>
      </c>
      <c r="C56" s="203">
        <f>IF(V10="ТО",1,2)</f>
        <v>2</v>
      </c>
      <c r="D56" s="416">
        <f>IF(V23="ТО",1,2)</f>
        <v>2</v>
      </c>
      <c r="E56" s="197">
        <f>IF($D$1=1,B56,IF($D$1=2,C56,D56))</f>
        <v>2</v>
      </c>
      <c r="F56" s="331" t="s">
        <v>415</v>
      </c>
      <c r="G56" s="1"/>
      <c r="AC56" s="32"/>
      <c r="AD56" s="32"/>
      <c r="AE56" s="32"/>
      <c r="AF56" s="96"/>
    </row>
    <row r="57" spans="2:32" ht="15.75" thickBot="1" x14ac:dyDescent="0.3">
      <c r="B57" s="3"/>
      <c r="C57" s="3"/>
      <c r="D57" s="3"/>
      <c r="E57" s="191">
        <v>1</v>
      </c>
      <c r="F57" s="193" t="s">
        <v>397</v>
      </c>
      <c r="G57" s="1"/>
      <c r="H57" s="39" t="s">
        <v>124</v>
      </c>
      <c r="I57" s="75" t="e">
        <f>INDEX(I67:Z67,INDEX(MATCH(1=1,I67:Z67&lt;&gt;"",),))</f>
        <v>#N/A</v>
      </c>
      <c r="AC57" s="32"/>
      <c r="AD57" s="32"/>
      <c r="AE57" s="32"/>
      <c r="AF57" s="96"/>
    </row>
    <row r="58" spans="2:32" x14ac:dyDescent="0.25">
      <c r="B58" s="3"/>
      <c r="C58" s="3"/>
      <c r="D58" s="3"/>
      <c r="E58" s="191">
        <v>2</v>
      </c>
      <c r="F58" s="193" t="s">
        <v>398</v>
      </c>
      <c r="G58" s="1"/>
      <c r="H58" s="5"/>
      <c r="I58" s="6" t="s">
        <v>86</v>
      </c>
      <c r="J58" s="6" t="s">
        <v>87</v>
      </c>
      <c r="K58" s="6" t="s">
        <v>88</v>
      </c>
      <c r="L58" s="6" t="s">
        <v>89</v>
      </c>
      <c r="M58" s="6" t="s">
        <v>90</v>
      </c>
      <c r="N58" s="6" t="s">
        <v>93</v>
      </c>
      <c r="O58" s="6" t="s">
        <v>94</v>
      </c>
      <c r="P58" s="6" t="s">
        <v>95</v>
      </c>
      <c r="Q58" s="6" t="s">
        <v>96</v>
      </c>
      <c r="R58" s="6" t="s">
        <v>408</v>
      </c>
      <c r="S58" s="319" t="s">
        <v>101</v>
      </c>
      <c r="T58" s="319" t="s">
        <v>102</v>
      </c>
      <c r="U58" s="319" t="s">
        <v>409</v>
      </c>
      <c r="V58" s="319" t="s">
        <v>410</v>
      </c>
      <c r="W58" s="319" t="s">
        <v>369</v>
      </c>
      <c r="X58" s="319" t="s">
        <v>370</v>
      </c>
      <c r="Y58" s="319" t="s">
        <v>371</v>
      </c>
      <c r="Z58" s="319" t="s">
        <v>372</v>
      </c>
      <c r="AF58" s="96"/>
    </row>
    <row r="59" spans="2:32" x14ac:dyDescent="0.25">
      <c r="B59" s="3"/>
      <c r="C59" s="3"/>
      <c r="D59" s="3"/>
      <c r="E59" s="191"/>
      <c r="F59" s="193"/>
      <c r="G59" s="1" t="s">
        <v>428</v>
      </c>
      <c r="H59" s="315" t="s">
        <v>103</v>
      </c>
      <c r="I59" s="316" t="s">
        <v>85</v>
      </c>
      <c r="J59" s="316" t="s">
        <v>85</v>
      </c>
      <c r="K59" s="316" t="s">
        <v>85</v>
      </c>
      <c r="L59" s="316" t="s">
        <v>85</v>
      </c>
      <c r="M59" s="316" t="s">
        <v>85</v>
      </c>
      <c r="N59" s="316" t="s">
        <v>85</v>
      </c>
      <c r="O59" s="316" t="s">
        <v>85</v>
      </c>
      <c r="P59" s="316" t="s">
        <v>85</v>
      </c>
      <c r="Q59" s="316" t="s">
        <v>85</v>
      </c>
      <c r="R59" s="316" t="s">
        <v>85</v>
      </c>
      <c r="S59" s="316" t="s">
        <v>85</v>
      </c>
      <c r="T59" s="316" t="s">
        <v>85</v>
      </c>
      <c r="U59" s="38" t="s">
        <v>85</v>
      </c>
      <c r="V59" s="38" t="s">
        <v>85</v>
      </c>
      <c r="W59" s="38" t="s">
        <v>85</v>
      </c>
      <c r="X59" s="38" t="s">
        <v>85</v>
      </c>
      <c r="Y59" s="38" t="s">
        <v>85</v>
      </c>
      <c r="Z59" s="38" t="s">
        <v>85</v>
      </c>
      <c r="AF59" s="96"/>
    </row>
    <row r="60" spans="2:32" x14ac:dyDescent="0.25">
      <c r="B60" s="189">
        <f>IF(Главная!J23="1ф",1,0)</f>
        <v>1</v>
      </c>
      <c r="C60" s="190">
        <f>IF(W9=3,0,1)</f>
        <v>1</v>
      </c>
      <c r="D60" s="418">
        <f>IF(W22=3,0,1)</f>
        <v>1</v>
      </c>
      <c r="E60" s="71">
        <f>IF($D$1=1,B60,IF($D$1=2,C60,D60))</f>
        <v>1</v>
      </c>
      <c r="F60" s="311" t="s">
        <v>499</v>
      </c>
      <c r="G60" s="1" t="s">
        <v>429</v>
      </c>
      <c r="H60" s="154" t="s">
        <v>399</v>
      </c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227" t="s">
        <v>85</v>
      </c>
      <c r="T60" s="227" t="s">
        <v>85</v>
      </c>
      <c r="U60" s="227" t="s">
        <v>85</v>
      </c>
      <c r="V60" s="227" t="s">
        <v>85</v>
      </c>
      <c r="W60" s="227" t="s">
        <v>85</v>
      </c>
      <c r="X60" s="227" t="s">
        <v>85</v>
      </c>
      <c r="Y60" s="227" t="s">
        <v>85</v>
      </c>
      <c r="Z60" s="227" t="s">
        <v>85</v>
      </c>
    </row>
    <row r="61" spans="2:32" x14ac:dyDescent="0.25">
      <c r="B61" s="3" t="s">
        <v>77</v>
      </c>
      <c r="C61" s="3"/>
      <c r="D61" s="3"/>
      <c r="E61" s="3">
        <v>1</v>
      </c>
      <c r="F61" s="193" t="s">
        <v>138</v>
      </c>
      <c r="G61" s="1" t="s">
        <v>430</v>
      </c>
      <c r="H61" s="157" t="s">
        <v>397</v>
      </c>
      <c r="I61" s="177" t="s">
        <v>85</v>
      </c>
      <c r="J61" s="177" t="s">
        <v>85</v>
      </c>
      <c r="K61" s="177" t="s">
        <v>85</v>
      </c>
      <c r="L61" s="177" t="s">
        <v>85</v>
      </c>
      <c r="M61" s="177" t="s">
        <v>85</v>
      </c>
      <c r="N61" s="177"/>
      <c r="O61" s="177"/>
      <c r="P61" s="177"/>
      <c r="Q61" s="177"/>
      <c r="R61" s="177"/>
      <c r="S61" s="177" t="s">
        <v>85</v>
      </c>
      <c r="T61" s="177" t="s">
        <v>85</v>
      </c>
      <c r="U61" s="177" t="s">
        <v>85</v>
      </c>
      <c r="V61" s="177" t="s">
        <v>85</v>
      </c>
      <c r="W61" s="156"/>
      <c r="X61" s="156"/>
      <c r="Y61" s="156"/>
      <c r="Z61" s="156"/>
    </row>
    <row r="62" spans="2:32" x14ac:dyDescent="0.25">
      <c r="B62" s="3" t="s">
        <v>76</v>
      </c>
      <c r="C62" s="3"/>
      <c r="D62" s="3"/>
      <c r="E62" s="3">
        <v>0</v>
      </c>
      <c r="F62" s="193" t="s">
        <v>137</v>
      </c>
      <c r="G62" s="1" t="s">
        <v>430</v>
      </c>
      <c r="H62" s="291" t="s">
        <v>398</v>
      </c>
      <c r="I62" s="276"/>
      <c r="J62" s="276"/>
      <c r="K62" s="276"/>
      <c r="L62" s="276"/>
      <c r="M62" s="171"/>
      <c r="N62" s="276" t="s">
        <v>85</v>
      </c>
      <c r="O62" s="276" t="s">
        <v>85</v>
      </c>
      <c r="P62" s="276" t="s">
        <v>85</v>
      </c>
      <c r="Q62" s="276" t="s">
        <v>85</v>
      </c>
      <c r="R62" s="276" t="s">
        <v>85</v>
      </c>
      <c r="S62" s="276"/>
      <c r="T62" s="276"/>
      <c r="U62" s="11"/>
      <c r="V62" s="11"/>
      <c r="W62" s="11" t="s">
        <v>85</v>
      </c>
      <c r="X62" s="11" t="s">
        <v>85</v>
      </c>
      <c r="Y62" s="11" t="s">
        <v>85</v>
      </c>
      <c r="Z62" s="11" t="s">
        <v>85</v>
      </c>
    </row>
    <row r="63" spans="2:32" x14ac:dyDescent="0.25">
      <c r="B63" s="3"/>
      <c r="C63" s="3"/>
      <c r="D63" s="3"/>
      <c r="E63" s="3"/>
      <c r="F63" s="3"/>
      <c r="G63" s="1" t="s">
        <v>431</v>
      </c>
      <c r="H63" s="315" t="s">
        <v>400</v>
      </c>
      <c r="I63" s="316"/>
      <c r="J63" s="316" t="s">
        <v>85</v>
      </c>
      <c r="K63" s="316"/>
      <c r="L63" s="316"/>
      <c r="M63" s="38"/>
      <c r="N63" s="58"/>
      <c r="O63" s="317" t="s">
        <v>85</v>
      </c>
      <c r="P63" s="317"/>
      <c r="Q63" s="317"/>
      <c r="R63" s="287"/>
      <c r="S63" s="316"/>
      <c r="T63" s="316"/>
      <c r="U63" s="38"/>
      <c r="V63" s="38"/>
      <c r="W63" s="38"/>
      <c r="X63" s="38"/>
      <c r="Y63" s="38"/>
      <c r="Z63" s="38"/>
    </row>
    <row r="64" spans="2:32" x14ac:dyDescent="0.25">
      <c r="B64" s="3"/>
      <c r="C64" s="3"/>
      <c r="D64" s="3"/>
      <c r="E64" s="191"/>
      <c r="F64" s="193"/>
      <c r="G64" s="1" t="s">
        <v>432</v>
      </c>
      <c r="H64" s="315" t="s">
        <v>401</v>
      </c>
      <c r="I64" s="316"/>
      <c r="J64" s="316"/>
      <c r="K64" s="316" t="s">
        <v>85</v>
      </c>
      <c r="L64" s="316"/>
      <c r="M64" s="38"/>
      <c r="N64" s="58"/>
      <c r="O64" s="317"/>
      <c r="P64" s="317" t="s">
        <v>85</v>
      </c>
      <c r="Q64" s="317"/>
      <c r="R64" s="287"/>
      <c r="S64" s="316"/>
      <c r="T64" s="316" t="s">
        <v>85</v>
      </c>
      <c r="U64" s="38"/>
      <c r="V64" s="38"/>
      <c r="W64" s="38"/>
      <c r="X64" s="38" t="s">
        <v>85</v>
      </c>
      <c r="Y64" s="38"/>
      <c r="Z64" s="38"/>
    </row>
    <row r="65" spans="2:42" x14ac:dyDescent="0.25">
      <c r="B65" s="189" t="str">
        <f>Главная!J24</f>
        <v>-</v>
      </c>
      <c r="C65" s="203" t="str">
        <f>IF(C56=2,V8,"---")</f>
        <v>01Э0150А</v>
      </c>
      <c r="D65" s="416" t="str">
        <f>IF(D56=2,V21,"---")</f>
        <v>06Э0900А</v>
      </c>
      <c r="E65" s="197" t="str">
        <f>IF($D$1=1,B65,IF($D$1=2,C65,D65))</f>
        <v>01Э0150А</v>
      </c>
      <c r="F65" s="331" t="s">
        <v>411</v>
      </c>
      <c r="G65" s="1" t="s">
        <v>433</v>
      </c>
      <c r="H65" s="314" t="s">
        <v>402</v>
      </c>
      <c r="I65" s="277"/>
      <c r="J65" s="277"/>
      <c r="K65" s="277"/>
      <c r="L65" s="277" t="s">
        <v>85</v>
      </c>
      <c r="M65" s="279"/>
      <c r="N65" s="278"/>
      <c r="O65" s="318"/>
      <c r="P65" s="318"/>
      <c r="Q65" s="318" t="s">
        <v>85</v>
      </c>
      <c r="R65" s="286"/>
      <c r="S65" s="277"/>
      <c r="T65" s="277"/>
      <c r="U65" s="279" t="s">
        <v>85</v>
      </c>
      <c r="V65" s="279"/>
      <c r="W65" s="279"/>
      <c r="X65" s="279"/>
      <c r="Y65" s="279" t="s">
        <v>85</v>
      </c>
      <c r="Z65" s="279"/>
      <c r="AC65" s="34"/>
      <c r="AD65" s="34"/>
      <c r="AE65" s="34"/>
      <c r="AF65" s="96"/>
    </row>
    <row r="66" spans="2:42" ht="15.75" thickBot="1" x14ac:dyDescent="0.3">
      <c r="B66" s="3"/>
      <c r="C66" s="3"/>
      <c r="D66" s="3"/>
      <c r="E66" s="191"/>
      <c r="F66" s="193"/>
      <c r="G66" s="1" t="s">
        <v>434</v>
      </c>
      <c r="H66" s="314" t="s">
        <v>403</v>
      </c>
      <c r="I66" s="277"/>
      <c r="J66" s="277"/>
      <c r="K66" s="277"/>
      <c r="L66" s="277"/>
      <c r="M66" s="279" t="s">
        <v>85</v>
      </c>
      <c r="N66" s="278"/>
      <c r="O66" s="318"/>
      <c r="P66" s="318"/>
      <c r="Q66" s="318"/>
      <c r="R66" s="286" t="s">
        <v>85</v>
      </c>
      <c r="S66" s="277"/>
      <c r="T66" s="277"/>
      <c r="U66" s="279"/>
      <c r="V66" s="279" t="s">
        <v>85</v>
      </c>
      <c r="W66" s="279"/>
      <c r="X66" s="279"/>
      <c r="Y66" s="279"/>
      <c r="Z66" s="279" t="s">
        <v>85</v>
      </c>
      <c r="AF66" s="96"/>
    </row>
    <row r="67" spans="2:42" ht="15.75" thickBot="1" x14ac:dyDescent="0.3">
      <c r="B67" s="3"/>
      <c r="C67" s="3"/>
      <c r="D67" s="3"/>
      <c r="E67" s="191"/>
      <c r="F67" s="193"/>
      <c r="H67" s="76" t="s">
        <v>123</v>
      </c>
      <c r="I67" s="77" t="str">
        <f>IF(AND($E$51=2,$E$56=1,$E$68=0,$E$73=0,$E$78=0,$E$83=0,$E$91=0),"Ф110","")</f>
        <v/>
      </c>
      <c r="J67" s="77" t="str">
        <f>IF(AND($E$51=2,$E$56=1,$E$68=0,$E$73=1,$E$78=0,$E$83=0,$E$91=0),"Ф111","")</f>
        <v/>
      </c>
      <c r="K67" s="77" t="str">
        <f>IF(AND($E$51=2,$E$56=1,$E$68=0,$E$73=0,$E$78=1,$E$83=0,$E$91=0),"Ф112","")</f>
        <v/>
      </c>
      <c r="L67" s="77" t="str">
        <f>IF(AND($E$51=2,$E$56=1,$E$68=0,$E$73=0,$E$78=0,$E$83=1,$E$91=0),"Ф113","")</f>
        <v/>
      </c>
      <c r="M67" s="77" t="str">
        <f>IF(AND($E$51=2,$E$56=1,$E$68=0,$E$73=0,$E$78=0,$E$83=0,$E$91=1),"Ф114","")</f>
        <v/>
      </c>
      <c r="N67" s="77" t="str">
        <f>IF(AND($E$51=2,$E$56=2,$E$68=0,$E$73=0,$E$78=0,$E$83=0,$E$91=0),"Ф130","")</f>
        <v/>
      </c>
      <c r="O67" s="77" t="str">
        <f>IF(AND($E$51=2,$E$56=2,$E$68=0,$E$73=1,$E$78=0,$E$83=0,$E$91=0),"Ф131","")</f>
        <v/>
      </c>
      <c r="P67" s="77" t="str">
        <f>IF(AND($E$51=2,$E$56=2,$E$68=0,$E$73=0,$E$78=1,$E$83=0,$E$91=0),"Ф132","")</f>
        <v/>
      </c>
      <c r="Q67" s="77" t="str">
        <f>IF(AND($E$51=2,$E$56=2,$E$68=0,$E$73=0,$E$78=0,$E$83=1,$E$91=0),"Ф133","")</f>
        <v/>
      </c>
      <c r="R67" s="77" t="str">
        <f>IF(AND($E$51=2,$E$56=2,$E$68=0,$E$73=0,$E$78=0,$E$83=0,$E$91=1),"Ф134","")</f>
        <v/>
      </c>
      <c r="S67" s="77" t="str">
        <f>IF(AND($E$51=2,$E$56=1,$E$68=1,$E$73=0,$E$78=0,$E$83=0,$E$91=0),"Ф150","")</f>
        <v/>
      </c>
      <c r="T67" s="284" t="str">
        <f>IF(AND($E$51=2,$E$56=1,$E$68=1,$E$73=0,$E$78=1,$E$83=0,$E$91=0),"Ф151","")</f>
        <v/>
      </c>
      <c r="U67" s="285" t="str">
        <f>IF(AND($E$51=2,$E$56=1,$E$68=1,$E$73=0,$E$78=0,$E$83=1,$E$91=0),"Ф152","")</f>
        <v/>
      </c>
      <c r="V67" s="285" t="str">
        <f>IF(AND($E$51=2,$E$56=1,$E$68=1,$E$73=0,$E$78=0,$E$83=0,$E$91=1),"Ф153","")</f>
        <v/>
      </c>
      <c r="W67" s="285" t="str">
        <f>IF(AND($E$51=2,$E$56=2,$E$68=1,$E$73=0,$E$78=0,$E$83=0,$E$91=0),"Ф170","")</f>
        <v/>
      </c>
      <c r="X67" s="285" t="str">
        <f>IF(AND($E$51=2,$E$56=2,$E$68=1,$E$73=0,$E$78=1,$E$83=0,$E$91=0),"Ф171","")</f>
        <v/>
      </c>
      <c r="Y67" s="285" t="str">
        <f>IF(AND($E$51=2,$E$56=2,$E$68=1,$E$73=0,$E$78=0,$E$83=1,$E$91=0),"Ф172","")</f>
        <v/>
      </c>
      <c r="Z67" s="285" t="str">
        <f>IF(AND($E$51=2,$E$56=2,$E$68=1,$E$73=0,$E$78=0,$E$83=0,$E$91=1),"Ф173","")</f>
        <v/>
      </c>
      <c r="AD67" s="97"/>
      <c r="AE67" s="97"/>
      <c r="AH67" s="1"/>
      <c r="AJ67" s="196"/>
    </row>
    <row r="68" spans="2:42" x14ac:dyDescent="0.25">
      <c r="B68" s="239">
        <f>IF(Главная!J25="Да",1,0)</f>
        <v>0</v>
      </c>
      <c r="C68" s="203">
        <f>IF(F21="Да",1,0)</f>
        <v>0</v>
      </c>
      <c r="D68" s="418">
        <f>IF(G21="Да",1,0)</f>
        <v>0</v>
      </c>
      <c r="E68" s="197">
        <f>IF($D$1=1,B68,IF($D$1=2,C68,D68))</f>
        <v>0</v>
      </c>
      <c r="F68" s="331" t="s">
        <v>426</v>
      </c>
      <c r="AD68" s="1"/>
      <c r="AE68" s="1"/>
      <c r="AH68" s="1"/>
    </row>
    <row r="69" spans="2:42" x14ac:dyDescent="0.25">
      <c r="B69" s="3"/>
      <c r="C69" s="3"/>
      <c r="D69" s="3"/>
      <c r="E69" s="191">
        <v>1</v>
      </c>
      <c r="F69" s="193" t="s">
        <v>423</v>
      </c>
    </row>
    <row r="70" spans="2:42" x14ac:dyDescent="0.25">
      <c r="B70" s="3"/>
      <c r="C70" s="3"/>
      <c r="D70" s="3"/>
      <c r="E70" s="191">
        <v>0</v>
      </c>
      <c r="F70" s="193" t="s">
        <v>80</v>
      </c>
      <c r="H70" s="374"/>
      <c r="I70" s="375"/>
    </row>
    <row r="71" spans="2:42" x14ac:dyDescent="0.25">
      <c r="B71" s="3"/>
      <c r="C71" s="3"/>
      <c r="D71" s="3"/>
      <c r="E71" s="191"/>
      <c r="F71" s="193"/>
      <c r="H71" s="4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</row>
    <row r="72" spans="2:42" x14ac:dyDescent="0.25">
      <c r="B72" s="3"/>
      <c r="C72" s="3"/>
      <c r="D72" s="3"/>
      <c r="E72" s="191"/>
      <c r="F72" s="193"/>
      <c r="H72" s="4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1"/>
      <c r="V72" s="1"/>
      <c r="W72" s="1"/>
      <c r="X72" s="1"/>
    </row>
    <row r="73" spans="2:42" x14ac:dyDescent="0.25">
      <c r="B73" s="239">
        <f>IF(Главная!J26="Да",1,0)</f>
        <v>0</v>
      </c>
      <c r="C73" s="203">
        <f>IF(F22="Да",1,0)</f>
        <v>0</v>
      </c>
      <c r="D73" s="416">
        <f>IF(G22="Да",1,0)</f>
        <v>0</v>
      </c>
      <c r="E73" s="197">
        <f>IF($D$1=1,B73,IF($D$1=2,C73,D73))</f>
        <v>0</v>
      </c>
      <c r="F73" s="331" t="s">
        <v>419</v>
      </c>
    </row>
    <row r="74" spans="2:42" x14ac:dyDescent="0.25">
      <c r="B74" s="3"/>
      <c r="C74" s="3"/>
      <c r="D74" s="3"/>
      <c r="E74" s="191">
        <v>1</v>
      </c>
      <c r="F74" s="193" t="s">
        <v>423</v>
      </c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1"/>
      <c r="V74" s="1"/>
      <c r="W74" s="1"/>
      <c r="X74" s="1"/>
    </row>
    <row r="75" spans="2:42" x14ac:dyDescent="0.25">
      <c r="B75" s="3"/>
      <c r="C75" s="3"/>
      <c r="D75" s="3"/>
      <c r="E75" s="191">
        <v>0</v>
      </c>
      <c r="F75" s="193" t="s">
        <v>80</v>
      </c>
      <c r="H75" s="4"/>
      <c r="I75" s="245"/>
      <c r="J75" s="245"/>
      <c r="K75" s="245"/>
      <c r="L75" s="245"/>
      <c r="N75" s="245"/>
      <c r="O75" s="245"/>
      <c r="P75" s="245"/>
      <c r="Q75" s="245"/>
      <c r="R75" s="245"/>
      <c r="S75" s="245"/>
      <c r="T75" s="245"/>
      <c r="U75" s="1"/>
      <c r="V75" s="1"/>
      <c r="W75" s="1"/>
      <c r="X75" s="1"/>
      <c r="AB75" s="1"/>
      <c r="AC75" s="303"/>
    </row>
    <row r="76" spans="2:42" x14ac:dyDescent="0.25">
      <c r="B76" s="3"/>
      <c r="C76" s="3"/>
      <c r="D76" s="3"/>
      <c r="E76" s="191"/>
      <c r="F76" s="193"/>
      <c r="H76" s="4"/>
      <c r="I76" s="245"/>
      <c r="J76" s="245"/>
      <c r="K76" s="245"/>
      <c r="L76" s="245"/>
      <c r="O76" s="245"/>
      <c r="P76" s="245"/>
      <c r="Q76" s="245"/>
      <c r="R76" s="245"/>
      <c r="S76" s="245"/>
      <c r="T76" s="245"/>
      <c r="U76" s="1"/>
      <c r="V76" s="1"/>
      <c r="W76" s="1"/>
      <c r="X76" s="1"/>
      <c r="AD76" s="302"/>
      <c r="AE76" s="302"/>
      <c r="AF76" s="302"/>
      <c r="AG76" s="302"/>
      <c r="AH76" s="302"/>
      <c r="AI76" s="304"/>
      <c r="AJ76" s="304"/>
      <c r="AK76" s="302"/>
      <c r="AL76" s="302"/>
      <c r="AM76" s="304"/>
      <c r="AN76" s="302"/>
      <c r="AP76" s="302"/>
    </row>
    <row r="77" spans="2:42" x14ac:dyDescent="0.25">
      <c r="B77" s="3"/>
      <c r="C77" s="3"/>
      <c r="D77" s="3"/>
      <c r="E77" s="191"/>
      <c r="F77" s="193"/>
      <c r="H77" s="4"/>
      <c r="I77" s="245"/>
      <c r="J77" s="245"/>
      <c r="K77" s="245"/>
      <c r="L77" s="245"/>
      <c r="O77" s="245"/>
      <c r="P77" s="245"/>
      <c r="Q77" s="245"/>
      <c r="R77" s="245"/>
      <c r="S77" s="245"/>
      <c r="T77" s="245"/>
      <c r="U77" s="1"/>
      <c r="V77" s="1"/>
      <c r="W77" s="1"/>
      <c r="X77" s="1"/>
      <c r="AC77" s="32"/>
      <c r="AD77" s="1"/>
      <c r="AE77" s="1"/>
      <c r="AF77" s="109"/>
      <c r="AG77" s="1"/>
      <c r="AH77" s="1"/>
      <c r="AI77" s="1"/>
      <c r="AJ77" s="1"/>
      <c r="AK77" s="1"/>
      <c r="AL77" s="1"/>
      <c r="AM77" s="1"/>
      <c r="AN77" s="1"/>
      <c r="AO77" s="204"/>
      <c r="AP77" s="204"/>
    </row>
    <row r="78" spans="2:42" x14ac:dyDescent="0.25">
      <c r="B78" s="239">
        <f>IF(Главная!J27="Да",1,0)</f>
        <v>0</v>
      </c>
      <c r="C78" s="203">
        <f>IF(F23="Да",1,0)</f>
        <v>0</v>
      </c>
      <c r="D78" s="416">
        <f>IF(G23="Да",1,0)</f>
        <v>0</v>
      </c>
      <c r="E78" s="197">
        <f>IF($D$1=1,B78,IF($D$1=2,C78,D78))</f>
        <v>0</v>
      </c>
      <c r="F78" s="331" t="s">
        <v>420</v>
      </c>
      <c r="H78" s="4"/>
      <c r="I78" s="245"/>
      <c r="J78" s="245"/>
      <c r="K78" s="245"/>
      <c r="L78" s="245"/>
      <c r="O78" s="245"/>
      <c r="P78" s="245"/>
      <c r="Q78" s="245"/>
      <c r="R78" s="245"/>
      <c r="S78" s="245"/>
      <c r="T78" s="245"/>
      <c r="U78" s="1"/>
      <c r="V78" s="1"/>
      <c r="W78" s="1"/>
      <c r="X78" s="1"/>
      <c r="AB78" s="1"/>
      <c r="AC78" s="32"/>
      <c r="AD78" s="1"/>
      <c r="AE78" s="1"/>
      <c r="AF78" s="109"/>
      <c r="AG78" s="1"/>
      <c r="AH78" s="1"/>
      <c r="AI78" s="1"/>
      <c r="AJ78" s="1"/>
      <c r="AK78" s="1"/>
      <c r="AL78" s="1"/>
      <c r="AM78" s="1"/>
      <c r="AN78" s="1"/>
      <c r="AP78" s="305"/>
    </row>
    <row r="79" spans="2:42" ht="12.75" customHeight="1" x14ac:dyDescent="0.25">
      <c r="B79" s="9"/>
      <c r="C79" s="3"/>
      <c r="D79" s="3"/>
      <c r="E79" s="191">
        <v>1</v>
      </c>
      <c r="F79" s="193" t="s">
        <v>423</v>
      </c>
      <c r="H79" s="4"/>
      <c r="I79" s="245"/>
      <c r="J79" s="245"/>
      <c r="K79" s="245"/>
      <c r="L79" s="245"/>
      <c r="O79" s="245"/>
      <c r="P79" s="245"/>
      <c r="Q79" s="245"/>
      <c r="R79" s="245"/>
      <c r="S79" s="245"/>
      <c r="T79" s="245"/>
      <c r="U79" s="1"/>
      <c r="V79" s="1"/>
      <c r="W79" s="1"/>
      <c r="X79" s="1"/>
      <c r="AB79" s="1"/>
      <c r="AC79" s="308" t="s">
        <v>380</v>
      </c>
      <c r="AD79" s="308" t="s">
        <v>380</v>
      </c>
      <c r="AE79" s="308" t="s">
        <v>380</v>
      </c>
      <c r="AG79" s="1"/>
      <c r="AH79" s="1"/>
      <c r="AI79" s="213" t="s">
        <v>382</v>
      </c>
      <c r="AJ79" s="72">
        <f>IF(AD80="Д0",0,AJ80)</f>
        <v>0</v>
      </c>
      <c r="AK79" s="1"/>
      <c r="AL79" s="1"/>
      <c r="AP79" s="204"/>
    </row>
    <row r="80" spans="2:42" x14ac:dyDescent="0.25">
      <c r="B80" s="9"/>
      <c r="C80" s="3"/>
      <c r="D80" s="3"/>
      <c r="E80" s="191">
        <v>0</v>
      </c>
      <c r="F80" s="193" t="s">
        <v>80</v>
      </c>
      <c r="H80" s="37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AB80" s="1"/>
      <c r="AC80" s="397" t="str">
        <f>E114</f>
        <v>Ф120</v>
      </c>
      <c r="AD80" s="397" t="str">
        <f>E95</f>
        <v>Д0</v>
      </c>
      <c r="AE80" s="306" t="str">
        <f>IF(E47=1,"1ф","3ф")</f>
        <v>3ф</v>
      </c>
      <c r="AG80" s="1"/>
      <c r="AH80" s="1"/>
      <c r="AI80" s="309" t="s">
        <v>381</v>
      </c>
      <c r="AJ80" s="398" t="e">
        <f t="array" ref="AJ80">INDEX(AX82:AX224,MATCH(AC80&amp;AD80&amp;AE80,AC82:AC224&amp;AD82:AD224&amp;AE82:AE224,0))</f>
        <v>#N/A</v>
      </c>
      <c r="AK80" s="1"/>
      <c r="AL80" s="1"/>
      <c r="AP80" s="305"/>
    </row>
    <row r="81" spans="2:50" ht="30" customHeight="1" x14ac:dyDescent="0.25">
      <c r="B81" s="9"/>
      <c r="C81" s="3"/>
      <c r="D81" s="3"/>
      <c r="E81" s="191"/>
      <c r="F81" s="193"/>
      <c r="AB81" s="1"/>
      <c r="AC81" s="399" t="s">
        <v>376</v>
      </c>
      <c r="AD81" s="399" t="s">
        <v>377</v>
      </c>
      <c r="AE81" s="399"/>
      <c r="AF81" s="400" t="s">
        <v>378</v>
      </c>
      <c r="AG81" s="401"/>
      <c r="AH81" s="400" t="s">
        <v>379</v>
      </c>
      <c r="AI81" s="401"/>
      <c r="AJ81" s="561" t="s">
        <v>856</v>
      </c>
      <c r="AK81" s="239"/>
      <c r="AL81" s="561" t="s">
        <v>857</v>
      </c>
      <c r="AM81" s="239"/>
      <c r="AN81" s="561" t="s">
        <v>858</v>
      </c>
      <c r="AO81" s="239"/>
      <c r="AP81" s="561" t="s">
        <v>859</v>
      </c>
      <c r="AQ81" s="239"/>
      <c r="AR81" s="561" t="s">
        <v>860</v>
      </c>
      <c r="AS81" s="239"/>
      <c r="AT81" s="562" t="s">
        <v>616</v>
      </c>
      <c r="AU81" s="239"/>
      <c r="AV81" s="563" t="s">
        <v>861</v>
      </c>
      <c r="AW81" s="239"/>
      <c r="AX81" s="401" t="s">
        <v>251</v>
      </c>
    </row>
    <row r="82" spans="2:50" ht="30.75" thickBot="1" x14ac:dyDescent="0.3">
      <c r="B82" s="9"/>
      <c r="C82" s="3"/>
      <c r="D82" s="3"/>
      <c r="E82" s="191"/>
      <c r="F82" s="193"/>
      <c r="H82" s="4" t="s">
        <v>440</v>
      </c>
      <c r="AA82" s="1"/>
      <c r="AB82" s="226" t="str">
        <f>MID(AC82,2,3)</f>
        <v>100</v>
      </c>
      <c r="AC82" s="228" t="s">
        <v>81</v>
      </c>
      <c r="AD82" s="228" t="s">
        <v>363</v>
      </c>
      <c r="AE82" s="228" t="s">
        <v>137</v>
      </c>
      <c r="AF82" s="287">
        <v>1</v>
      </c>
      <c r="AG82" s="287">
        <f>Материалы!$H$171</f>
        <v>472.5</v>
      </c>
      <c r="AH82" s="287">
        <v>1</v>
      </c>
      <c r="AI82" s="287">
        <f>Материалы!$H$172</f>
        <v>472.5</v>
      </c>
      <c r="AJ82" s="287">
        <v>1</v>
      </c>
      <c r="AK82" s="287">
        <f>Материалы!$H$174</f>
        <v>1552</v>
      </c>
      <c r="AL82" s="287">
        <v>0</v>
      </c>
      <c r="AM82" s="287">
        <f>Материалы!$H$175</f>
        <v>1052</v>
      </c>
      <c r="AN82" s="287">
        <v>1</v>
      </c>
      <c r="AO82" s="287">
        <f>Материалы!$H$176</f>
        <v>1570</v>
      </c>
      <c r="AP82" s="287">
        <v>1</v>
      </c>
      <c r="AQ82" s="287">
        <f>Материалы!$H$177</f>
        <v>990.5</v>
      </c>
      <c r="AR82" s="287">
        <v>0</v>
      </c>
      <c r="AS82" s="287">
        <f>Материалы!$H$178</f>
        <v>5900</v>
      </c>
      <c r="AT82" s="287">
        <v>0</v>
      </c>
      <c r="AU82" s="287">
        <f>Материалы!$H$173</f>
        <v>4807</v>
      </c>
      <c r="AV82" s="287">
        <v>0</v>
      </c>
      <c r="AW82" s="287">
        <v>0</v>
      </c>
      <c r="AX82" s="228">
        <f>AF82*AG82+AH82*AI82+AJ82*AK82+AL82*AM82+AN82*AO82+AP82*AQ82+AR82*AS82+AT82*AU82+AV82*AW82</f>
        <v>5057.5</v>
      </c>
    </row>
    <row r="83" spans="2:50" ht="18.75" customHeight="1" thickBot="1" x14ac:dyDescent="0.3">
      <c r="B83" s="239">
        <f>IF(Главная!J28="Да",1,0)</f>
        <v>0</v>
      </c>
      <c r="C83" s="203">
        <f>IF(F24="Да",1,0)</f>
        <v>0</v>
      </c>
      <c r="D83" s="416">
        <f>IF(G24="Да",1,0)</f>
        <v>0</v>
      </c>
      <c r="E83" s="197">
        <f>IF($D$1=1,B83,IF($D$1=2,C83,D83))</f>
        <v>0</v>
      </c>
      <c r="F83" s="331" t="s">
        <v>421</v>
      </c>
      <c r="H83" s="39" t="s">
        <v>322</v>
      </c>
      <c r="I83" s="226" t="str">
        <f>IF($D$1=1,I86,IF($D$1=2,I85,I84))</f>
        <v>А3Р00025</v>
      </c>
      <c r="J83" s="226">
        <f t="shared" ref="J83:S83" si="2">IF($D$1=1,J86,IF($D$1=2,J85,J84))</f>
        <v>1.6</v>
      </c>
      <c r="K83" s="226">
        <f t="shared" si="2"/>
        <v>2.4</v>
      </c>
      <c r="L83" s="226" t="str">
        <f t="shared" si="2"/>
        <v>1,6…2,5</v>
      </c>
      <c r="M83" s="226" t="str">
        <f t="shared" si="2"/>
        <v>GV2ME07</v>
      </c>
      <c r="N83" s="226">
        <f t="shared" si="2"/>
        <v>9</v>
      </c>
      <c r="O83" s="226" t="str">
        <f t="shared" si="2"/>
        <v>LC1D09P7</v>
      </c>
      <c r="P83" s="226">
        <f t="shared" si="2"/>
        <v>2.5</v>
      </c>
      <c r="Q83" s="226">
        <f t="shared" si="2"/>
        <v>1.5</v>
      </c>
      <c r="R83" s="226" t="str">
        <f t="shared" si="2"/>
        <v>700х500х200</v>
      </c>
      <c r="S83" s="226" t="str">
        <f t="shared" si="2"/>
        <v>560х408х153</v>
      </c>
      <c r="AA83" s="1"/>
      <c r="AB83" s="226" t="str">
        <f>MID(AC83,2,3)</f>
        <v>100</v>
      </c>
      <c r="AC83" s="228" t="s">
        <v>81</v>
      </c>
      <c r="AD83" s="228" t="s">
        <v>363</v>
      </c>
      <c r="AE83" s="228" t="s">
        <v>138</v>
      </c>
      <c r="AF83" s="287">
        <v>1</v>
      </c>
      <c r="AG83" s="287">
        <f>Материалы!$H$171</f>
        <v>472.5</v>
      </c>
      <c r="AH83" s="287">
        <v>1</v>
      </c>
      <c r="AI83" s="287">
        <f>Материалы!$H$172</f>
        <v>472.5</v>
      </c>
      <c r="AJ83" s="287">
        <v>1</v>
      </c>
      <c r="AK83" s="287">
        <f>Материалы!$H$174</f>
        <v>1552</v>
      </c>
      <c r="AL83" s="287">
        <v>0</v>
      </c>
      <c r="AM83" s="287">
        <f>Материалы!$H$175</f>
        <v>1052</v>
      </c>
      <c r="AN83" s="287">
        <v>1</v>
      </c>
      <c r="AO83" s="287">
        <f>Материалы!$H$176</f>
        <v>1570</v>
      </c>
      <c r="AP83" s="287">
        <v>1</v>
      </c>
      <c r="AQ83" s="287">
        <f>Материалы!$H$177</f>
        <v>990.5</v>
      </c>
      <c r="AR83" s="287">
        <v>0</v>
      </c>
      <c r="AS83" s="287">
        <f>Материалы!$H$178</f>
        <v>5900</v>
      </c>
      <c r="AT83" s="287">
        <v>0</v>
      </c>
      <c r="AU83" s="287">
        <f>Материалы!$H$173</f>
        <v>4807</v>
      </c>
      <c r="AV83" s="287">
        <v>0</v>
      </c>
      <c r="AW83" s="287">
        <v>0</v>
      </c>
      <c r="AX83" s="228">
        <f t="shared" ref="AX83:AX146" si="3">AF83*AG83+AH83*AI83+AJ83*AK83+AL83*AM83+AN83*AO83+AP83*AQ83+AR83*AS83+AT83*AU83+AV83*AW83</f>
        <v>5057.5</v>
      </c>
    </row>
    <row r="84" spans="2:50" ht="18.75" customHeight="1" thickBot="1" x14ac:dyDescent="0.3">
      <c r="B84" s="9"/>
      <c r="C84" s="3"/>
      <c r="D84" s="9"/>
      <c r="E84" s="191">
        <v>1</v>
      </c>
      <c r="F84" s="193" t="s">
        <v>423</v>
      </c>
      <c r="H84" s="39" t="s">
        <v>630</v>
      </c>
      <c r="I84" s="421" t="str">
        <f>D117</f>
        <v>А3Р00025</v>
      </c>
      <c r="J84" s="227">
        <f>VLOOKUP(I84,$I$88:$M$104,2,FALSE)</f>
        <v>1.6</v>
      </c>
      <c r="K84" s="227">
        <f>VLOOKUP(I84,$I$88:$M$104,3,FALSE)-0.1</f>
        <v>2.4</v>
      </c>
      <c r="L84" s="227" t="str">
        <f>VLOOKUP(I84,$I$88:$M$104,4)</f>
        <v>1,6…2,5</v>
      </c>
      <c r="M84" s="227" t="str">
        <f>VLOOKUP(I84,$I$88:$M$104,5)</f>
        <v>GV2ME07</v>
      </c>
      <c r="N84" s="227">
        <f>VLOOKUP(I84,$I$88:$N$104,6)</f>
        <v>9</v>
      </c>
      <c r="O84" s="227" t="str">
        <f>VLOOKUP(I84,$I$88:$O$104,7)</f>
        <v>LC1D09P7</v>
      </c>
      <c r="P84" s="227">
        <f>VLOOKUP(I84,$I$88:$P$104,8)</f>
        <v>2.5</v>
      </c>
      <c r="Q84" s="227">
        <f>VLOOKUP(I84,$I$88:$Q$104,9)</f>
        <v>1.5</v>
      </c>
      <c r="R84" s="227" t="str">
        <f>VLOOKUP(I84,$I$88:$R$104,10)</f>
        <v>700х500х200</v>
      </c>
      <c r="S84" s="227" t="str">
        <f>VLOOKUP(I84,$I$88:$S$104,11)</f>
        <v>560х408х153</v>
      </c>
      <c r="U84" t="s">
        <v>331</v>
      </c>
      <c r="AA84" s="1"/>
      <c r="AB84" s="226" t="str">
        <f t="shared" ref="AB84:AB210" si="4">MID(AC84,2,3)</f>
        <v>100</v>
      </c>
      <c r="AC84" s="228" t="s">
        <v>81</v>
      </c>
      <c r="AD84" s="228" t="s">
        <v>360</v>
      </c>
      <c r="AE84" s="228" t="s">
        <v>137</v>
      </c>
      <c r="AF84" s="287">
        <v>1</v>
      </c>
      <c r="AG84" s="287">
        <f>Материалы!$H$171</f>
        <v>472.5</v>
      </c>
      <c r="AH84" s="287">
        <v>1</v>
      </c>
      <c r="AI84" s="287">
        <f>Материалы!$H$172</f>
        <v>472.5</v>
      </c>
      <c r="AJ84" s="287">
        <v>1</v>
      </c>
      <c r="AK84" s="287">
        <f>Материалы!$H$174</f>
        <v>1552</v>
      </c>
      <c r="AL84" s="287">
        <v>2</v>
      </c>
      <c r="AM84" s="287">
        <f>Материалы!$H$175</f>
        <v>1052</v>
      </c>
      <c r="AN84" s="287">
        <v>1</v>
      </c>
      <c r="AO84" s="287">
        <f>Материалы!$H$176</f>
        <v>1570</v>
      </c>
      <c r="AP84" s="287">
        <v>1</v>
      </c>
      <c r="AQ84" s="287">
        <f>Материалы!$H$177</f>
        <v>990.5</v>
      </c>
      <c r="AR84" s="287">
        <v>0</v>
      </c>
      <c r="AS84" s="287">
        <f>Материалы!$H$178</f>
        <v>5900</v>
      </c>
      <c r="AT84" s="287">
        <v>1</v>
      </c>
      <c r="AU84" s="287">
        <f>Материалы!$H$173</f>
        <v>4807</v>
      </c>
      <c r="AV84" s="287">
        <v>0</v>
      </c>
      <c r="AW84" s="287">
        <v>0</v>
      </c>
      <c r="AX84" s="228">
        <f t="shared" si="3"/>
        <v>11968.5</v>
      </c>
    </row>
    <row r="85" spans="2:50" ht="15.75" thickBot="1" x14ac:dyDescent="0.3">
      <c r="B85" s="9"/>
      <c r="C85" s="3"/>
      <c r="D85" s="9"/>
      <c r="E85" s="191">
        <v>0</v>
      </c>
      <c r="F85" s="193" t="s">
        <v>80</v>
      </c>
      <c r="H85" s="39" t="s">
        <v>321</v>
      </c>
      <c r="I85" s="227" t="str">
        <f>C117</f>
        <v>А3Р00025</v>
      </c>
      <c r="J85" s="227">
        <f>VLOOKUP(I85,$I$88:$M$104,2,FALSE)</f>
        <v>1.6</v>
      </c>
      <c r="K85" s="227">
        <f>VLOOKUP(I85,$I$88:$M$104,3,FALSE)-0.1</f>
        <v>2.4</v>
      </c>
      <c r="L85" s="227" t="str">
        <f>VLOOKUP(I85,$I$88:$M$104,4)</f>
        <v>1,6…2,5</v>
      </c>
      <c r="M85" s="227" t="str">
        <f>VLOOKUP(I85,$I$88:$M$104,5)</f>
        <v>GV2ME07</v>
      </c>
      <c r="N85" s="227">
        <f>VLOOKUP(I85,$I$88:$N$104,6)</f>
        <v>9</v>
      </c>
      <c r="O85" s="227" t="str">
        <f>VLOOKUP(I85,$I$88:$O$104,7)</f>
        <v>LC1D09P7</v>
      </c>
      <c r="P85" s="227">
        <f>VLOOKUP(I85,$I$88:$P$104,8)</f>
        <v>2.5</v>
      </c>
      <c r="Q85" s="227">
        <f>VLOOKUP(I85,$I$88:$Q$104,9)</f>
        <v>1.5</v>
      </c>
      <c r="R85" s="227" t="str">
        <f>VLOOKUP(I85,$I$88:$R$104,10)</f>
        <v>700х500х200</v>
      </c>
      <c r="S85" s="227" t="str">
        <f>VLOOKUP(I85,$I$88:$S$104,11)</f>
        <v>560х408х153</v>
      </c>
      <c r="U85" t="s">
        <v>446</v>
      </c>
      <c r="AA85" s="1"/>
      <c r="AB85" s="226">
        <v>100</v>
      </c>
      <c r="AC85" s="228" t="s">
        <v>81</v>
      </c>
      <c r="AD85" s="228" t="s">
        <v>360</v>
      </c>
      <c r="AE85" s="228" t="s">
        <v>138</v>
      </c>
      <c r="AF85" s="287">
        <v>1</v>
      </c>
      <c r="AG85" s="287">
        <f>Материалы!$H$171</f>
        <v>472.5</v>
      </c>
      <c r="AH85" s="287">
        <v>1</v>
      </c>
      <c r="AI85" s="287">
        <f>Материалы!$H$172</f>
        <v>472.5</v>
      </c>
      <c r="AJ85" s="287">
        <v>1</v>
      </c>
      <c r="AK85" s="287">
        <f>Материалы!$H$174</f>
        <v>1552</v>
      </c>
      <c r="AL85" s="287">
        <v>2</v>
      </c>
      <c r="AM85" s="287">
        <f>Материалы!$H$175</f>
        <v>1052</v>
      </c>
      <c r="AN85" s="287">
        <v>1</v>
      </c>
      <c r="AO85" s="287">
        <f>Материалы!$H$176</f>
        <v>1570</v>
      </c>
      <c r="AP85" s="287">
        <v>1</v>
      </c>
      <c r="AQ85" s="287">
        <f>Материалы!$H$177</f>
        <v>990.5</v>
      </c>
      <c r="AR85" s="287">
        <v>0</v>
      </c>
      <c r="AS85" s="287">
        <f>Материалы!$H$178</f>
        <v>5900</v>
      </c>
      <c r="AT85" s="287">
        <v>1</v>
      </c>
      <c r="AU85" s="287">
        <f>Материалы!$H$173</f>
        <v>4807</v>
      </c>
      <c r="AV85" s="287">
        <v>0</v>
      </c>
      <c r="AW85" s="287">
        <v>0</v>
      </c>
      <c r="AX85" s="228">
        <f t="shared" si="3"/>
        <v>11968.5</v>
      </c>
    </row>
    <row r="86" spans="2:50" ht="30.75" thickBot="1" x14ac:dyDescent="0.3">
      <c r="B86" s="9"/>
      <c r="C86" s="3"/>
      <c r="D86" s="9"/>
      <c r="E86" s="191"/>
      <c r="F86" s="193"/>
      <c r="G86" t="str">
        <f>IF(AND(D1=2,T8="А3Р"),E144,INDEX(H88:H104,INDEX(MATCH(1=1,H88:H104&lt;&gt;"",),)))</f>
        <v>А3Р00025</v>
      </c>
      <c r="H86" s="39" t="s">
        <v>320</v>
      </c>
      <c r="I86" s="223" t="str">
        <f>INDEX(H88:H104,INDEX(MATCH(1=1,H88:H104&lt;&gt;"",),))</f>
        <v>А3Р00025</v>
      </c>
      <c r="J86" s="223"/>
      <c r="K86" s="223">
        <f>VLOOKUP(I86,I88:M104,3)</f>
        <v>2.5</v>
      </c>
      <c r="L86" s="224" t="str">
        <f>VLOOKUP(I86,I88:M104,4)</f>
        <v>1,6…2,5</v>
      </c>
      <c r="M86" s="223" t="str">
        <f>VLOOKUP(I86,I88:M104,5)</f>
        <v>GV2ME07</v>
      </c>
      <c r="N86" s="223">
        <f>VLOOKUP(I86,I88:N104,6)</f>
        <v>9</v>
      </c>
      <c r="O86" s="223" t="str">
        <f>VLOOKUP(I86,I88:O104,7)</f>
        <v>LC1D09P7</v>
      </c>
      <c r="P86" s="223">
        <f>VLOOKUP(I86,I88:P104,8)</f>
        <v>2.5</v>
      </c>
      <c r="Q86" s="224">
        <f>VLOOKUP(I86,I88:Q104,9)</f>
        <v>1.5</v>
      </c>
      <c r="R86" s="223" t="str">
        <f>VLOOKUP(I86,I88:R104,10)</f>
        <v>700х500х200</v>
      </c>
      <c r="S86" s="225" t="str">
        <f>VLOOKUP(I86,I88:S104,11)</f>
        <v>560х408х153</v>
      </c>
      <c r="U86" s="206" t="s">
        <v>332</v>
      </c>
      <c r="V86" s="206" t="str">
        <f>I85</f>
        <v>А3Р00025</v>
      </c>
      <c r="W86" s="56">
        <f>IFERROR(J85,0)</f>
        <v>1.6</v>
      </c>
      <c r="X86" s="56">
        <f>IFERROR(K85,0)</f>
        <v>2.4</v>
      </c>
      <c r="AA86" s="1"/>
      <c r="AB86" s="226" t="str">
        <f t="shared" si="4"/>
        <v>101</v>
      </c>
      <c r="AC86" s="463" t="s">
        <v>82</v>
      </c>
      <c r="AD86" s="463" t="s">
        <v>363</v>
      </c>
      <c r="AE86" s="463" t="s">
        <v>137</v>
      </c>
      <c r="AF86" s="73">
        <v>1</v>
      </c>
      <c r="AG86" s="73">
        <f>Материалы!$H$171</f>
        <v>472.5</v>
      </c>
      <c r="AH86" s="73">
        <v>1</v>
      </c>
      <c r="AI86" s="73">
        <f>Материалы!$H$172</f>
        <v>472.5</v>
      </c>
      <c r="AJ86" s="73">
        <v>1</v>
      </c>
      <c r="AK86" s="73">
        <f>Материалы!$H$174</f>
        <v>1552</v>
      </c>
      <c r="AL86" s="73">
        <v>0</v>
      </c>
      <c r="AM86" s="73">
        <f>Материалы!$H$175</f>
        <v>1052</v>
      </c>
      <c r="AN86" s="73">
        <v>1</v>
      </c>
      <c r="AO86" s="73">
        <f>Материалы!$H$176</f>
        <v>1570</v>
      </c>
      <c r="AP86" s="73">
        <v>1</v>
      </c>
      <c r="AQ86" s="73">
        <f>Материалы!$H$177</f>
        <v>990.5</v>
      </c>
      <c r="AR86" s="73">
        <v>0</v>
      </c>
      <c r="AS86" s="73">
        <f>Материалы!$H$178</f>
        <v>5900</v>
      </c>
      <c r="AT86" s="73">
        <v>0</v>
      </c>
      <c r="AU86" s="73">
        <f>Материалы!$H$173</f>
        <v>4807</v>
      </c>
      <c r="AV86" s="73">
        <v>0</v>
      </c>
      <c r="AW86" s="73">
        <v>0</v>
      </c>
      <c r="AX86" s="463">
        <f t="shared" si="3"/>
        <v>5057.5</v>
      </c>
    </row>
    <row r="87" spans="2:50" x14ac:dyDescent="0.25">
      <c r="B87" s="189">
        <f>IF(Главная!J29="1ф",1,0)</f>
        <v>1</v>
      </c>
      <c r="C87" s="190">
        <f>IF(F25="Питание 3 фазы",0,1)</f>
        <v>1</v>
      </c>
      <c r="D87" s="418">
        <f>IF(G25="Питание 3 фазы",0,1)</f>
        <v>1</v>
      </c>
      <c r="E87" s="197">
        <f>IF($D$1=1,B87,IF($D$1=2,C87,D87))</f>
        <v>1</v>
      </c>
      <c r="F87" s="311" t="s">
        <v>500</v>
      </c>
      <c r="H87" s="16"/>
      <c r="I87" s="41" t="s">
        <v>78</v>
      </c>
      <c r="J87" s="27" t="s">
        <v>161</v>
      </c>
      <c r="K87" s="27" t="s">
        <v>162</v>
      </c>
      <c r="L87" s="41" t="s">
        <v>121</v>
      </c>
      <c r="M87" s="363" t="s">
        <v>121</v>
      </c>
      <c r="N87" s="27" t="s">
        <v>47</v>
      </c>
      <c r="O87" s="27" t="s">
        <v>47</v>
      </c>
      <c r="P87" s="44" t="s">
        <v>54</v>
      </c>
      <c r="Q87" s="83" t="s">
        <v>160</v>
      </c>
      <c r="R87" s="27" t="s">
        <v>204</v>
      </c>
      <c r="S87" s="27" t="s">
        <v>205</v>
      </c>
      <c r="T87" s="1"/>
      <c r="U87" s="212" t="s">
        <v>333</v>
      </c>
      <c r="V87" s="212" t="str">
        <f>I109</f>
        <v>А3Р00025</v>
      </c>
      <c r="W87" s="38">
        <f>IFERROR(J109,0)</f>
        <v>0</v>
      </c>
      <c r="X87" s="38">
        <f>IFERROR(K109,0)</f>
        <v>0</v>
      </c>
      <c r="AA87" s="1"/>
      <c r="AB87" s="226" t="str">
        <f t="shared" ref="AB87" si="5">MID(AC87,2,3)</f>
        <v>101</v>
      </c>
      <c r="AC87" s="463" t="s">
        <v>82</v>
      </c>
      <c r="AD87" s="463" t="s">
        <v>363</v>
      </c>
      <c r="AE87" s="554" t="s">
        <v>138</v>
      </c>
      <c r="AF87" s="73">
        <v>1</v>
      </c>
      <c r="AG87" s="73">
        <f>Материалы!$H$171</f>
        <v>472.5</v>
      </c>
      <c r="AH87" s="73">
        <v>1</v>
      </c>
      <c r="AI87" s="73">
        <f>Материалы!$H$172</f>
        <v>472.5</v>
      </c>
      <c r="AJ87" s="73">
        <v>1</v>
      </c>
      <c r="AK87" s="73">
        <f>Материалы!$H$174</f>
        <v>1552</v>
      </c>
      <c r="AL87" s="73">
        <v>0</v>
      </c>
      <c r="AM87" s="73">
        <f>Материалы!$H$175</f>
        <v>1052</v>
      </c>
      <c r="AN87" s="73">
        <v>1</v>
      </c>
      <c r="AO87" s="73">
        <f>Материалы!$H$176</f>
        <v>1570</v>
      </c>
      <c r="AP87" s="73">
        <v>1</v>
      </c>
      <c r="AQ87" s="73">
        <f>Материалы!$H$177</f>
        <v>990.5</v>
      </c>
      <c r="AR87" s="73">
        <v>0</v>
      </c>
      <c r="AS87" s="73">
        <f>Материалы!$H$178</f>
        <v>5900</v>
      </c>
      <c r="AT87" s="73">
        <v>0</v>
      </c>
      <c r="AU87" s="73">
        <f>Материалы!$H$173</f>
        <v>4807</v>
      </c>
      <c r="AV87" s="73">
        <v>0</v>
      </c>
      <c r="AW87" s="73">
        <v>0</v>
      </c>
      <c r="AX87" s="463">
        <f t="shared" si="3"/>
        <v>5057.5</v>
      </c>
    </row>
    <row r="88" spans="2:50" x14ac:dyDescent="0.25">
      <c r="B88" s="3" t="s">
        <v>77</v>
      </c>
      <c r="C88" s="3"/>
      <c r="D88" s="9"/>
      <c r="E88" s="3">
        <v>1</v>
      </c>
      <c r="F88" s="193" t="s">
        <v>138</v>
      </c>
      <c r="H88" s="11" t="str">
        <f>IF(AND(J88&lt;=Главная!$J$21,Главная!$J$21&lt;K88),I88,"")</f>
        <v/>
      </c>
      <c r="I88" s="43" t="s">
        <v>104</v>
      </c>
      <c r="J88" s="9">
        <v>0.25</v>
      </c>
      <c r="K88" s="9">
        <v>1</v>
      </c>
      <c r="L88" s="42" t="str">
        <f>Материалы!D7</f>
        <v>0,63…1</v>
      </c>
      <c r="M88" s="362" t="str">
        <f>Материалы!E7</f>
        <v>GV2ME05</v>
      </c>
      <c r="N88" s="38">
        <f>Материалы!D45</f>
        <v>9</v>
      </c>
      <c r="O88" s="38" t="str">
        <f>Материалы!E45</f>
        <v>LC1D09P7</v>
      </c>
      <c r="P88" s="9">
        <v>2.5</v>
      </c>
      <c r="Q88" s="40">
        <v>1.5</v>
      </c>
      <c r="R88" s="9" t="str">
        <f>Материалы!$D$114</f>
        <v>700х500х200</v>
      </c>
      <c r="S88" s="9" t="str">
        <f>Материалы!$D$112</f>
        <v>560х408х153</v>
      </c>
      <c r="U88" s="156" t="s">
        <v>334</v>
      </c>
      <c r="V88" s="244" t="str">
        <f>I124</f>
        <v>А3Р00025</v>
      </c>
      <c r="W88" s="156">
        <f>IFERROR(J124,0)</f>
        <v>0</v>
      </c>
      <c r="X88" s="156">
        <f>IFERROR(K124,0)</f>
        <v>0</v>
      </c>
      <c r="AA88" s="1"/>
      <c r="AB88" s="226" t="str">
        <f t="shared" si="4"/>
        <v>101</v>
      </c>
      <c r="AC88" s="463" t="s">
        <v>82</v>
      </c>
      <c r="AD88" s="463" t="s">
        <v>360</v>
      </c>
      <c r="AE88" s="463" t="s">
        <v>137</v>
      </c>
      <c r="AF88" s="73">
        <v>1</v>
      </c>
      <c r="AG88" s="73">
        <f>Материалы!$H$171</f>
        <v>472.5</v>
      </c>
      <c r="AH88" s="73">
        <v>1</v>
      </c>
      <c r="AI88" s="73">
        <f>Материалы!$H$172</f>
        <v>472.5</v>
      </c>
      <c r="AJ88" s="73">
        <v>1</v>
      </c>
      <c r="AK88" s="73">
        <f>Материалы!$H$174</f>
        <v>1552</v>
      </c>
      <c r="AL88" s="73">
        <v>2</v>
      </c>
      <c r="AM88" s="73">
        <f>Материалы!$H$175</f>
        <v>1052</v>
      </c>
      <c r="AN88" s="73">
        <v>1</v>
      </c>
      <c r="AO88" s="73">
        <f>Материалы!$H$176</f>
        <v>1570</v>
      </c>
      <c r="AP88" s="73">
        <v>1</v>
      </c>
      <c r="AQ88" s="73">
        <f>Материалы!$H$177</f>
        <v>990.5</v>
      </c>
      <c r="AR88" s="73">
        <v>0</v>
      </c>
      <c r="AS88" s="73">
        <f>Материалы!$H$178</f>
        <v>5900</v>
      </c>
      <c r="AT88" s="73">
        <v>1</v>
      </c>
      <c r="AU88" s="73">
        <f>Материалы!$H$173</f>
        <v>4807</v>
      </c>
      <c r="AV88" s="73">
        <v>0</v>
      </c>
      <c r="AW88" s="73">
        <v>0</v>
      </c>
      <c r="AX88" s="463">
        <f t="shared" si="3"/>
        <v>11968.5</v>
      </c>
    </row>
    <row r="89" spans="2:50" x14ac:dyDescent="0.25">
      <c r="B89" s="3" t="s">
        <v>76</v>
      </c>
      <c r="C89" s="3"/>
      <c r="D89" s="9"/>
      <c r="E89" s="3">
        <v>0</v>
      </c>
      <c r="F89" s="193" t="s">
        <v>137</v>
      </c>
      <c r="H89" s="11" t="str">
        <f>IF(AND(J89&lt;=Главная!$J$21,Главная!$J$21&lt;K89),I89,"")</f>
        <v/>
      </c>
      <c r="I89" s="43" t="s">
        <v>105</v>
      </c>
      <c r="J89" s="9">
        <v>1</v>
      </c>
      <c r="K89" s="9">
        <v>1.6</v>
      </c>
      <c r="L89" s="42" t="str">
        <f>Материалы!D8</f>
        <v>1…1,6</v>
      </c>
      <c r="M89" s="362" t="str">
        <f>Материалы!E8</f>
        <v>GV2ME06</v>
      </c>
      <c r="N89" s="38">
        <f>Материалы!D45</f>
        <v>9</v>
      </c>
      <c r="O89" s="38" t="str">
        <f>Материалы!E45</f>
        <v>LC1D09P7</v>
      </c>
      <c r="P89" s="9">
        <v>2.5</v>
      </c>
      <c r="Q89" s="40">
        <v>1.5</v>
      </c>
      <c r="R89" s="9" t="str">
        <f>Материалы!$D$114</f>
        <v>700х500х200</v>
      </c>
      <c r="S89" s="9" t="str">
        <f>Материалы!$D$112</f>
        <v>560х408х153</v>
      </c>
      <c r="U89" s="74" t="s">
        <v>251</v>
      </c>
      <c r="V89" s="208"/>
      <c r="W89" s="145">
        <f>SUM(W86:W88)</f>
        <v>1.6</v>
      </c>
      <c r="X89" s="145">
        <f>SUM(X86:X88)</f>
        <v>2.4</v>
      </c>
      <c r="AA89" s="1"/>
      <c r="AB89" s="226" t="str">
        <f t="shared" ref="AB89" si="6">MID(AC89,2,3)</f>
        <v>101</v>
      </c>
      <c r="AC89" s="463" t="s">
        <v>82</v>
      </c>
      <c r="AD89" s="463" t="s">
        <v>360</v>
      </c>
      <c r="AE89" s="554" t="s">
        <v>138</v>
      </c>
      <c r="AF89" s="73">
        <v>1</v>
      </c>
      <c r="AG89" s="73">
        <f>Материалы!$H$171</f>
        <v>472.5</v>
      </c>
      <c r="AH89" s="73">
        <v>1</v>
      </c>
      <c r="AI89" s="73">
        <f>Материалы!$H$172</f>
        <v>472.5</v>
      </c>
      <c r="AJ89" s="73">
        <v>1</v>
      </c>
      <c r="AK89" s="73">
        <f>Материалы!$H$174</f>
        <v>1552</v>
      </c>
      <c r="AL89" s="73">
        <v>2</v>
      </c>
      <c r="AM89" s="73">
        <f>Материалы!$H$175</f>
        <v>1052</v>
      </c>
      <c r="AN89" s="73">
        <v>1</v>
      </c>
      <c r="AO89" s="73">
        <f>Материалы!$H$176</f>
        <v>1570</v>
      </c>
      <c r="AP89" s="73">
        <v>1</v>
      </c>
      <c r="AQ89" s="73">
        <f>Материалы!$H$177</f>
        <v>990.5</v>
      </c>
      <c r="AR89" s="73">
        <v>0</v>
      </c>
      <c r="AS89" s="73">
        <f>Материалы!$H$178</f>
        <v>5900</v>
      </c>
      <c r="AT89" s="73">
        <v>1</v>
      </c>
      <c r="AU89" s="73">
        <f>Материалы!$H$173</f>
        <v>4807</v>
      </c>
      <c r="AV89" s="73">
        <v>0</v>
      </c>
      <c r="AW89" s="73">
        <v>0</v>
      </c>
      <c r="AX89" s="463">
        <f t="shared" si="3"/>
        <v>11968.5</v>
      </c>
    </row>
    <row r="90" spans="2:50" x14ac:dyDescent="0.25">
      <c r="B90" s="9"/>
      <c r="C90" s="3"/>
      <c r="D90" s="9"/>
      <c r="E90" s="191"/>
      <c r="F90" s="193"/>
      <c r="H90" s="11" t="str">
        <f>IF(AND(J90&lt;=Главная!$J$21,Главная!$J$21&lt;K90),I90,"")</f>
        <v>А3Р00025</v>
      </c>
      <c r="I90" s="43" t="s">
        <v>106</v>
      </c>
      <c r="J90" s="9">
        <v>1.6</v>
      </c>
      <c r="K90" s="9">
        <v>2.5</v>
      </c>
      <c r="L90" s="42" t="str">
        <f>Материалы!D9</f>
        <v>1,6…2,5</v>
      </c>
      <c r="M90" s="362" t="str">
        <f>Материалы!E9</f>
        <v>GV2ME07</v>
      </c>
      <c r="N90" s="38">
        <f>Материалы!D45</f>
        <v>9</v>
      </c>
      <c r="O90" s="38" t="str">
        <f>Материалы!E45</f>
        <v>LC1D09P7</v>
      </c>
      <c r="P90" s="9">
        <v>2.5</v>
      </c>
      <c r="Q90" s="40">
        <v>1.5</v>
      </c>
      <c r="R90" s="9" t="str">
        <f>Материалы!$D$114</f>
        <v>700х500х200</v>
      </c>
      <c r="S90" s="9" t="str">
        <f>Материалы!$D$112</f>
        <v>560х408х153</v>
      </c>
      <c r="AA90" s="1"/>
      <c r="AB90" s="226" t="str">
        <f t="shared" si="4"/>
        <v>102</v>
      </c>
      <c r="AC90" s="228" t="s">
        <v>83</v>
      </c>
      <c r="AD90" s="228" t="s">
        <v>363</v>
      </c>
      <c r="AE90" s="228" t="s">
        <v>137</v>
      </c>
      <c r="AF90" s="287">
        <v>1</v>
      </c>
      <c r="AG90" s="287">
        <f>Материалы!$H$171</f>
        <v>472.5</v>
      </c>
      <c r="AH90" s="287">
        <v>1</v>
      </c>
      <c r="AI90" s="287">
        <f>Материалы!$H$172</f>
        <v>472.5</v>
      </c>
      <c r="AJ90" s="287">
        <v>1</v>
      </c>
      <c r="AK90" s="287">
        <f>Материалы!$H$174</f>
        <v>1552</v>
      </c>
      <c r="AL90" s="287">
        <v>2</v>
      </c>
      <c r="AM90" s="287">
        <f>Материалы!$H$175</f>
        <v>1052</v>
      </c>
      <c r="AN90" s="287">
        <v>1</v>
      </c>
      <c r="AO90" s="287">
        <f>Материалы!$H$176</f>
        <v>1570</v>
      </c>
      <c r="AP90" s="287">
        <v>1</v>
      </c>
      <c r="AQ90" s="287">
        <f>Материалы!$H$177</f>
        <v>990.5</v>
      </c>
      <c r="AR90" s="287">
        <v>0</v>
      </c>
      <c r="AS90" s="287">
        <f>Материалы!$H$178</f>
        <v>5900</v>
      </c>
      <c r="AT90" s="287">
        <v>0</v>
      </c>
      <c r="AU90" s="287">
        <f>Материалы!$H$173</f>
        <v>4807</v>
      </c>
      <c r="AV90" s="287">
        <v>0</v>
      </c>
      <c r="AW90" s="287">
        <v>0</v>
      </c>
      <c r="AX90" s="228">
        <f t="shared" si="3"/>
        <v>7161.5</v>
      </c>
    </row>
    <row r="91" spans="2:50" x14ac:dyDescent="0.25">
      <c r="B91" s="239">
        <f>IF(Главная!J30="Да",1,0)</f>
        <v>0</v>
      </c>
      <c r="C91" s="203">
        <f>IF(F28="Да",1,0)</f>
        <v>0</v>
      </c>
      <c r="D91" s="418">
        <f>IF(G28="Да",1,0)</f>
        <v>0</v>
      </c>
      <c r="E91" s="197">
        <f>IF($D$1=1,B91,IF($D$1=2,C91,D91))</f>
        <v>0</v>
      </c>
      <c r="F91" s="331" t="s">
        <v>422</v>
      </c>
      <c r="H91" s="11" t="str">
        <f>IF(AND(J91&lt;=Главная!$J$21,Главная!$J$21&lt;K91),I91,"")</f>
        <v/>
      </c>
      <c r="I91" s="43" t="s">
        <v>107</v>
      </c>
      <c r="J91" s="9">
        <v>2.5</v>
      </c>
      <c r="K91" s="9">
        <v>4</v>
      </c>
      <c r="L91" s="42" t="str">
        <f>Материалы!D10</f>
        <v>2,5…4</v>
      </c>
      <c r="M91" s="362" t="str">
        <f>Материалы!E10</f>
        <v>GV2ME08</v>
      </c>
      <c r="N91" s="38">
        <f>Материалы!D45</f>
        <v>9</v>
      </c>
      <c r="O91" s="38" t="str">
        <f>Материалы!E45</f>
        <v>LC1D09P7</v>
      </c>
      <c r="P91" s="9">
        <v>2.5</v>
      </c>
      <c r="Q91" s="40">
        <v>1.5</v>
      </c>
      <c r="R91" s="9" t="str">
        <f>Материалы!$D$114</f>
        <v>700х500х200</v>
      </c>
      <c r="S91" s="9" t="str">
        <f>Материалы!$D$112</f>
        <v>560х408х153</v>
      </c>
      <c r="U91" t="s">
        <v>507</v>
      </c>
      <c r="AA91" s="1"/>
      <c r="AB91" s="226" t="str">
        <f t="shared" ref="AB91" si="7">MID(AC91,2,3)</f>
        <v>102</v>
      </c>
      <c r="AC91" s="228" t="s">
        <v>83</v>
      </c>
      <c r="AD91" s="228" t="s">
        <v>363</v>
      </c>
      <c r="AE91" s="228" t="s">
        <v>138</v>
      </c>
      <c r="AF91" s="287">
        <v>1</v>
      </c>
      <c r="AG91" s="287">
        <f>Материалы!$H$171</f>
        <v>472.5</v>
      </c>
      <c r="AH91" s="287">
        <v>1</v>
      </c>
      <c r="AI91" s="287">
        <f>Материалы!$H$172</f>
        <v>472.5</v>
      </c>
      <c r="AJ91" s="287">
        <v>1</v>
      </c>
      <c r="AK91" s="287">
        <f>Материалы!$H$174</f>
        <v>1552</v>
      </c>
      <c r="AL91" s="287">
        <v>2</v>
      </c>
      <c r="AM91" s="287">
        <f>Материалы!$H$175</f>
        <v>1052</v>
      </c>
      <c r="AN91" s="287">
        <v>1</v>
      </c>
      <c r="AO91" s="287">
        <f>Материалы!$H$176</f>
        <v>1570</v>
      </c>
      <c r="AP91" s="287">
        <v>1</v>
      </c>
      <c r="AQ91" s="287">
        <f>Материалы!$H$177</f>
        <v>990.5</v>
      </c>
      <c r="AR91" s="287">
        <v>0</v>
      </c>
      <c r="AS91" s="287">
        <f>Материалы!$H$178</f>
        <v>5900</v>
      </c>
      <c r="AT91" s="287">
        <v>0</v>
      </c>
      <c r="AU91" s="287">
        <f>Материалы!$H$173</f>
        <v>4807</v>
      </c>
      <c r="AV91" s="287">
        <v>0</v>
      </c>
      <c r="AW91" s="287">
        <v>0</v>
      </c>
      <c r="AX91" s="228">
        <f t="shared" si="3"/>
        <v>7161.5</v>
      </c>
    </row>
    <row r="92" spans="2:50" x14ac:dyDescent="0.25">
      <c r="B92" s="3"/>
      <c r="C92" s="3"/>
      <c r="D92" s="3"/>
      <c r="E92" s="191">
        <v>1</v>
      </c>
      <c r="F92" s="193" t="s">
        <v>423</v>
      </c>
      <c r="H92" s="11" t="str">
        <f>IF(AND(J92&lt;=Главная!$J$21,Главная!$J$21&lt;K92),I92,"")</f>
        <v/>
      </c>
      <c r="I92" s="43" t="s">
        <v>108</v>
      </c>
      <c r="J92" s="9">
        <v>4</v>
      </c>
      <c r="K92" s="9">
        <v>6.3</v>
      </c>
      <c r="L92" s="42" t="str">
        <f>Материалы!D11</f>
        <v>4…6,3</v>
      </c>
      <c r="M92" s="362" t="str">
        <f>Материалы!E11</f>
        <v>GV2ME10</v>
      </c>
      <c r="N92" s="38">
        <f>Материалы!D45</f>
        <v>9</v>
      </c>
      <c r="O92" s="38" t="str">
        <f>Материалы!E45</f>
        <v>LC1D09P7</v>
      </c>
      <c r="P92" s="9">
        <v>2.5</v>
      </c>
      <c r="Q92" s="40">
        <v>1.5</v>
      </c>
      <c r="R92" s="9" t="str">
        <f>Материалы!$D$114</f>
        <v>700х500х200</v>
      </c>
      <c r="S92" s="9" t="str">
        <f>Материалы!$D$112</f>
        <v>560х408х153</v>
      </c>
      <c r="U92" s="9" t="s">
        <v>448</v>
      </c>
      <c r="V92" s="9" t="str">
        <f>I141</f>
        <v/>
      </c>
      <c r="W92" s="9">
        <f>IFERROR(J141,0)</f>
        <v>0</v>
      </c>
      <c r="X92" s="9">
        <f>IFERROR(K141,0)</f>
        <v>0</v>
      </c>
      <c r="AA92" s="1"/>
      <c r="AB92" s="226" t="str">
        <f t="shared" si="4"/>
        <v>102</v>
      </c>
      <c r="AC92" s="228" t="s">
        <v>83</v>
      </c>
      <c r="AD92" s="228" t="s">
        <v>360</v>
      </c>
      <c r="AE92" s="228" t="s">
        <v>137</v>
      </c>
      <c r="AF92" s="287">
        <v>1</v>
      </c>
      <c r="AG92" s="287">
        <f>Материалы!$H$171</f>
        <v>472.5</v>
      </c>
      <c r="AH92" s="287">
        <v>1</v>
      </c>
      <c r="AI92" s="287">
        <f>Материалы!$H$172</f>
        <v>472.5</v>
      </c>
      <c r="AJ92" s="287">
        <v>1</v>
      </c>
      <c r="AK92" s="287">
        <f>Материалы!$H$174</f>
        <v>1552</v>
      </c>
      <c r="AL92" s="287">
        <v>2</v>
      </c>
      <c r="AM92" s="287">
        <f>Материалы!$H$175</f>
        <v>1052</v>
      </c>
      <c r="AN92" s="287">
        <v>1</v>
      </c>
      <c r="AO92" s="287">
        <f>Материалы!$H$176</f>
        <v>1570</v>
      </c>
      <c r="AP92" s="287">
        <v>1</v>
      </c>
      <c r="AQ92" s="287">
        <f>Материалы!$H$177</f>
        <v>990.5</v>
      </c>
      <c r="AR92" s="287">
        <v>0</v>
      </c>
      <c r="AS92" s="287">
        <f>Материалы!$H$178</f>
        <v>5900</v>
      </c>
      <c r="AT92" s="287">
        <v>1</v>
      </c>
      <c r="AU92" s="287">
        <f>Материалы!$H$173</f>
        <v>4807</v>
      </c>
      <c r="AV92" s="287">
        <v>0</v>
      </c>
      <c r="AW92" s="287">
        <v>0</v>
      </c>
      <c r="AX92" s="228">
        <f t="shared" si="3"/>
        <v>11968.5</v>
      </c>
    </row>
    <row r="93" spans="2:50" x14ac:dyDescent="0.25">
      <c r="B93" s="3"/>
      <c r="C93" s="3"/>
      <c r="D93" s="3"/>
      <c r="E93" s="191">
        <v>0</v>
      </c>
      <c r="F93" s="193" t="s">
        <v>80</v>
      </c>
      <c r="H93" s="11" t="str">
        <f>IF(AND(J93&lt;=Главная!$J$21,Главная!$J$21&lt;K93),I93,"")</f>
        <v/>
      </c>
      <c r="I93" s="43" t="s">
        <v>109</v>
      </c>
      <c r="J93" s="9">
        <v>6.3</v>
      </c>
      <c r="K93" s="9">
        <v>10</v>
      </c>
      <c r="L93" s="42" t="str">
        <f>Материалы!D12</f>
        <v>6…10</v>
      </c>
      <c r="M93" s="362" t="str">
        <f>Материалы!E12</f>
        <v>GV2ME14</v>
      </c>
      <c r="N93" s="38">
        <f>Материалы!D46</f>
        <v>12</v>
      </c>
      <c r="O93" s="38" t="str">
        <f>Материалы!E46</f>
        <v>LC1D12P7</v>
      </c>
      <c r="P93" s="9">
        <v>4</v>
      </c>
      <c r="Q93" s="40">
        <v>1.5</v>
      </c>
      <c r="R93" s="9" t="str">
        <f>Материалы!$D$114</f>
        <v>700х500х200</v>
      </c>
      <c r="S93" s="9" t="str">
        <f>Материалы!$D$112</f>
        <v>560х408х153</v>
      </c>
      <c r="U93" s="9" t="s">
        <v>447</v>
      </c>
      <c r="V93" s="9" t="str">
        <f>I153</f>
        <v/>
      </c>
      <c r="W93" s="9">
        <f>IFERROR(J153,0)</f>
        <v>0</v>
      </c>
      <c r="X93" s="9">
        <f>IFERROR(K153,0)</f>
        <v>0</v>
      </c>
      <c r="AB93" s="226" t="str">
        <f t="shared" ref="AB93" si="8">MID(AC93,2,3)</f>
        <v>102</v>
      </c>
      <c r="AC93" s="228" t="s">
        <v>83</v>
      </c>
      <c r="AD93" s="228" t="s">
        <v>360</v>
      </c>
      <c r="AE93" s="228" t="s">
        <v>138</v>
      </c>
      <c r="AF93" s="287">
        <v>1</v>
      </c>
      <c r="AG93" s="287">
        <f>Материалы!$H$171</f>
        <v>472.5</v>
      </c>
      <c r="AH93" s="287">
        <v>1</v>
      </c>
      <c r="AI93" s="287">
        <f>Материалы!$H$172</f>
        <v>472.5</v>
      </c>
      <c r="AJ93" s="287">
        <v>1</v>
      </c>
      <c r="AK93" s="287">
        <f>Материалы!$H$174</f>
        <v>1552</v>
      </c>
      <c r="AL93" s="287">
        <v>2</v>
      </c>
      <c r="AM93" s="287">
        <f>Материалы!$H$175</f>
        <v>1052</v>
      </c>
      <c r="AN93" s="287">
        <v>1</v>
      </c>
      <c r="AO93" s="287">
        <f>Материалы!$H$176</f>
        <v>1570</v>
      </c>
      <c r="AP93" s="287">
        <v>1</v>
      </c>
      <c r="AQ93" s="287">
        <f>Материалы!$H$177</f>
        <v>990.5</v>
      </c>
      <c r="AR93" s="287">
        <v>0</v>
      </c>
      <c r="AS93" s="287">
        <f>Материалы!$H$178</f>
        <v>5900</v>
      </c>
      <c r="AT93" s="287">
        <v>1</v>
      </c>
      <c r="AU93" s="287">
        <f>Материалы!$H$173</f>
        <v>4807</v>
      </c>
      <c r="AV93" s="287">
        <v>0</v>
      </c>
      <c r="AW93" s="287">
        <v>0</v>
      </c>
      <c r="AX93" s="228">
        <f t="shared" si="3"/>
        <v>11968.5</v>
      </c>
    </row>
    <row r="94" spans="2:50" x14ac:dyDescent="0.25">
      <c r="B94" s="9"/>
      <c r="C94" s="3"/>
      <c r="D94" s="9"/>
      <c r="E94" s="191"/>
      <c r="F94" s="193"/>
      <c r="H94" s="11" t="str">
        <f>IF(AND(J94&lt;=Главная!$J$21,Главная!$J$21&lt;K94),I94,"")</f>
        <v/>
      </c>
      <c r="I94" s="43" t="s">
        <v>110</v>
      </c>
      <c r="J94" s="9">
        <v>10</v>
      </c>
      <c r="K94" s="9">
        <v>14</v>
      </c>
      <c r="L94" s="42" t="str">
        <f>Материалы!D13</f>
        <v>9…14</v>
      </c>
      <c r="M94" s="362" t="str">
        <f>Материалы!E13</f>
        <v>GV2ME16</v>
      </c>
      <c r="N94" s="38">
        <f>Материалы!D47</f>
        <v>18</v>
      </c>
      <c r="O94" s="38" t="str">
        <f>Материалы!E47</f>
        <v>LC1D18P7</v>
      </c>
      <c r="P94" s="9">
        <v>4</v>
      </c>
      <c r="Q94" s="40">
        <v>2.5</v>
      </c>
      <c r="R94" s="9" t="str">
        <f>Материалы!$D$114</f>
        <v>700х500х200</v>
      </c>
      <c r="S94" s="9" t="s">
        <v>209</v>
      </c>
      <c r="U94" s="74" t="s">
        <v>251</v>
      </c>
      <c r="V94" s="208"/>
      <c r="W94" s="145">
        <f>SUM(W92:W93)</f>
        <v>0</v>
      </c>
      <c r="X94" s="145">
        <f>SUM(X92:X93)</f>
        <v>0</v>
      </c>
      <c r="AB94" s="226" t="str">
        <f t="shared" si="4"/>
        <v>103</v>
      </c>
      <c r="AC94" s="463" t="s">
        <v>84</v>
      </c>
      <c r="AD94" s="463" t="s">
        <v>363</v>
      </c>
      <c r="AE94" s="463" t="s">
        <v>137</v>
      </c>
      <c r="AF94" s="73">
        <v>1</v>
      </c>
      <c r="AG94" s="73">
        <f>Материалы!$H$171</f>
        <v>472.5</v>
      </c>
      <c r="AH94" s="73">
        <v>1</v>
      </c>
      <c r="AI94" s="73">
        <f>Материалы!$H$172</f>
        <v>472.5</v>
      </c>
      <c r="AJ94" s="73">
        <v>1</v>
      </c>
      <c r="AK94" s="73">
        <f>Материалы!$H$174</f>
        <v>1552</v>
      </c>
      <c r="AL94" s="73">
        <v>0</v>
      </c>
      <c r="AM94" s="73">
        <f>Материалы!$H$175</f>
        <v>1052</v>
      </c>
      <c r="AN94" s="73">
        <v>1</v>
      </c>
      <c r="AO94" s="73">
        <f>Материалы!$H$176</f>
        <v>1570</v>
      </c>
      <c r="AP94" s="73">
        <v>1</v>
      </c>
      <c r="AQ94" s="73">
        <f>Материалы!$H$177</f>
        <v>990.5</v>
      </c>
      <c r="AR94" s="73">
        <v>1</v>
      </c>
      <c r="AS94" s="73">
        <f>Материалы!$H$178</f>
        <v>5900</v>
      </c>
      <c r="AT94" s="73">
        <v>0</v>
      </c>
      <c r="AU94" s="73">
        <f>Материалы!$H$173</f>
        <v>4807</v>
      </c>
      <c r="AV94" s="73">
        <v>0</v>
      </c>
      <c r="AW94" s="73">
        <v>0</v>
      </c>
      <c r="AX94" s="463">
        <f t="shared" si="3"/>
        <v>10957.5</v>
      </c>
    </row>
    <row r="95" spans="2:50" x14ac:dyDescent="0.25">
      <c r="B95" s="239" t="str">
        <f>Главная!J31</f>
        <v>Д0</v>
      </c>
      <c r="C95" s="203" t="str">
        <f>AB8</f>
        <v>Д0</v>
      </c>
      <c r="D95" s="416" t="str">
        <f>AB21</f>
        <v>Д0</v>
      </c>
      <c r="E95" s="145" t="str">
        <f>IF($D$1=1,B95,IF($D$1=2,C95,D95))</f>
        <v>Д0</v>
      </c>
      <c r="F95" s="81" t="s">
        <v>144</v>
      </c>
      <c r="H95" s="11" t="str">
        <f>IF(AND(J95&lt;=Главная!$J$21,Главная!$J$21&lt;K95),I95,"")</f>
        <v/>
      </c>
      <c r="I95" s="43" t="s">
        <v>111</v>
      </c>
      <c r="J95" s="9">
        <v>14</v>
      </c>
      <c r="K95" s="9">
        <v>16</v>
      </c>
      <c r="L95" s="42" t="str">
        <f>Материалы!D14</f>
        <v>13…18</v>
      </c>
      <c r="M95" s="362" t="str">
        <f>Материалы!E14</f>
        <v>GV2ME20</v>
      </c>
      <c r="N95" s="38">
        <f>Материалы!D47</f>
        <v>18</v>
      </c>
      <c r="O95" s="38" t="str">
        <f>Материалы!E47</f>
        <v>LC1D18P7</v>
      </c>
      <c r="P95" s="9">
        <v>6</v>
      </c>
      <c r="Q95" s="40">
        <v>2.5</v>
      </c>
      <c r="R95" s="9" t="str">
        <f>Материалы!$D$114</f>
        <v>700х500х200</v>
      </c>
      <c r="S95" s="9" t="s">
        <v>209</v>
      </c>
      <c r="AA95" s="245"/>
      <c r="AB95" s="226" t="str">
        <f t="shared" ref="AB95" si="9">MID(AC95,2,3)</f>
        <v>103</v>
      </c>
      <c r="AC95" s="463" t="s">
        <v>84</v>
      </c>
      <c r="AD95" s="463" t="s">
        <v>363</v>
      </c>
      <c r="AE95" s="554" t="s">
        <v>138</v>
      </c>
      <c r="AF95" s="73">
        <v>1</v>
      </c>
      <c r="AG95" s="73">
        <f>Материалы!$H$171</f>
        <v>472.5</v>
      </c>
      <c r="AH95" s="73">
        <v>1</v>
      </c>
      <c r="AI95" s="73">
        <f>Материалы!$H$172</f>
        <v>472.5</v>
      </c>
      <c r="AJ95" s="73">
        <v>1</v>
      </c>
      <c r="AK95" s="73">
        <f>Материалы!$H$174</f>
        <v>1552</v>
      </c>
      <c r="AL95" s="73">
        <v>0</v>
      </c>
      <c r="AM95" s="73">
        <f>Материалы!$H$175</f>
        <v>1052</v>
      </c>
      <c r="AN95" s="73">
        <v>1</v>
      </c>
      <c r="AO95" s="73">
        <f>Материалы!$H$176</f>
        <v>1570</v>
      </c>
      <c r="AP95" s="73">
        <v>1</v>
      </c>
      <c r="AQ95" s="73">
        <f>Материалы!$H$177</f>
        <v>990.5</v>
      </c>
      <c r="AR95" s="73">
        <v>1</v>
      </c>
      <c r="AS95" s="73">
        <f>Материалы!$H$178</f>
        <v>5900</v>
      </c>
      <c r="AT95" s="73">
        <v>0</v>
      </c>
      <c r="AU95" s="73">
        <f>Материалы!$H$173</f>
        <v>4807</v>
      </c>
      <c r="AV95" s="73">
        <v>0</v>
      </c>
      <c r="AW95" s="73">
        <v>0</v>
      </c>
      <c r="AX95" s="463">
        <f t="shared" si="3"/>
        <v>10957.5</v>
      </c>
    </row>
    <row r="96" spans="2:50" x14ac:dyDescent="0.25">
      <c r="B96" s="239">
        <f>VLOOKUP(B95,B98:C100,2,FALSE)</f>
        <v>0</v>
      </c>
      <c r="C96" s="203">
        <f>VLOOKUP(C95,B98:C100,2,FALSE)</f>
        <v>0</v>
      </c>
      <c r="D96" s="419">
        <f>VLOOKUP(D95,B98:C100,2,FALSE)</f>
        <v>0</v>
      </c>
      <c r="E96" s="197">
        <f>IF($D$1=1,B96,IF($D$1=2,C96,D96))</f>
        <v>0</v>
      </c>
      <c r="F96" s="73"/>
      <c r="H96" s="11" t="str">
        <f>IF(AND(J96&lt;=Главная!$J$21,Главная!$J$21&lt;K96),I96,"")</f>
        <v/>
      </c>
      <c r="I96" s="43" t="s">
        <v>112</v>
      </c>
      <c r="J96" s="9">
        <v>16</v>
      </c>
      <c r="K96" s="9">
        <v>18</v>
      </c>
      <c r="L96" s="42" t="str">
        <f>Материалы!D14</f>
        <v>13…18</v>
      </c>
      <c r="M96" s="362" t="str">
        <f>Материалы!E14</f>
        <v>GV2ME20</v>
      </c>
      <c r="N96" s="38">
        <f>Материалы!D47</f>
        <v>18</v>
      </c>
      <c r="O96" s="38" t="str">
        <f>Материалы!E47</f>
        <v>LC1D18P7</v>
      </c>
      <c r="P96" s="9">
        <v>6</v>
      </c>
      <c r="Q96" s="40">
        <v>2.5</v>
      </c>
      <c r="R96" s="9" t="str">
        <f>Материалы!$D$114</f>
        <v>700х500х200</v>
      </c>
      <c r="S96" s="9" t="s">
        <v>209</v>
      </c>
      <c r="U96" t="s">
        <v>508</v>
      </c>
      <c r="AA96" s="245"/>
      <c r="AB96" s="226" t="str">
        <f t="shared" si="4"/>
        <v>103</v>
      </c>
      <c r="AC96" s="463" t="s">
        <v>84</v>
      </c>
      <c r="AD96" s="463" t="s">
        <v>360</v>
      </c>
      <c r="AE96" s="463" t="s">
        <v>137</v>
      </c>
      <c r="AF96" s="73">
        <v>1</v>
      </c>
      <c r="AG96" s="73">
        <f>Материалы!$H$171</f>
        <v>472.5</v>
      </c>
      <c r="AH96" s="73">
        <v>1</v>
      </c>
      <c r="AI96" s="73">
        <f>Материалы!$H$172</f>
        <v>472.5</v>
      </c>
      <c r="AJ96" s="73">
        <v>1</v>
      </c>
      <c r="AK96" s="73">
        <f>Материалы!$H$174</f>
        <v>1552</v>
      </c>
      <c r="AL96" s="73">
        <v>0</v>
      </c>
      <c r="AM96" s="73">
        <f>Материалы!$H$175</f>
        <v>1052</v>
      </c>
      <c r="AN96" s="73">
        <v>1</v>
      </c>
      <c r="AO96" s="73">
        <f>Материалы!$H$176</f>
        <v>1570</v>
      </c>
      <c r="AP96" s="73">
        <v>1</v>
      </c>
      <c r="AQ96" s="73">
        <f>Материалы!$H$177</f>
        <v>990.5</v>
      </c>
      <c r="AR96" s="73">
        <v>1</v>
      </c>
      <c r="AS96" s="73">
        <f>Материалы!$H$178</f>
        <v>5900</v>
      </c>
      <c r="AT96" s="73">
        <v>1</v>
      </c>
      <c r="AU96" s="73">
        <f>Материалы!$H$173</f>
        <v>4807</v>
      </c>
      <c r="AV96" s="73">
        <v>0</v>
      </c>
      <c r="AW96" s="73">
        <v>0</v>
      </c>
      <c r="AX96" s="463">
        <f t="shared" si="3"/>
        <v>15764.5</v>
      </c>
    </row>
    <row r="97" spans="2:50" x14ac:dyDescent="0.25">
      <c r="B97" s="3"/>
      <c r="C97" s="3"/>
      <c r="D97" s="3"/>
      <c r="E97" s="3"/>
      <c r="F97" s="3"/>
      <c r="H97" s="11" t="str">
        <f>IF(AND(J97&lt;=Главная!$J$21,Главная!$J$21&lt;K97),I97,"")</f>
        <v/>
      </c>
      <c r="I97" s="43" t="s">
        <v>113</v>
      </c>
      <c r="J97" s="9">
        <v>18</v>
      </c>
      <c r="K97" s="9">
        <v>20</v>
      </c>
      <c r="L97" s="42" t="str">
        <f>Материалы!D15</f>
        <v>17…23</v>
      </c>
      <c r="M97" s="362" t="str">
        <f>Материалы!E15</f>
        <v>GV2ME21</v>
      </c>
      <c r="N97" s="38">
        <f>Материалы!D48</f>
        <v>25</v>
      </c>
      <c r="O97" s="38" t="str">
        <f>Материалы!E48</f>
        <v>LC1D25P7</v>
      </c>
      <c r="P97" s="9">
        <v>6</v>
      </c>
      <c r="Q97" s="40">
        <v>4</v>
      </c>
      <c r="R97" s="9" t="str">
        <f>Материалы!$D$114</f>
        <v>700х500х200</v>
      </c>
      <c r="S97" s="9" t="s">
        <v>209</v>
      </c>
      <c r="U97" s="9" t="s">
        <v>448</v>
      </c>
      <c r="V97" s="9" t="str">
        <f>I166</f>
        <v>ХХХХХХХХ</v>
      </c>
      <c r="W97" s="9">
        <f>IFERROR(J166,0)</f>
        <v>0</v>
      </c>
      <c r="X97" s="9">
        <f>IFERROR(K166,0)</f>
        <v>0</v>
      </c>
      <c r="AA97" s="245"/>
      <c r="AB97" s="226" t="str">
        <f t="shared" ref="AB97" si="10">MID(AC97,2,3)</f>
        <v>103</v>
      </c>
      <c r="AC97" s="463" t="s">
        <v>84</v>
      </c>
      <c r="AD97" s="463" t="s">
        <v>360</v>
      </c>
      <c r="AE97" s="554" t="s">
        <v>138</v>
      </c>
      <c r="AF97" s="73">
        <v>1</v>
      </c>
      <c r="AG97" s="73">
        <f>Материалы!$H$171</f>
        <v>472.5</v>
      </c>
      <c r="AH97" s="73">
        <v>1</v>
      </c>
      <c r="AI97" s="73">
        <f>Материалы!$H$172</f>
        <v>472.5</v>
      </c>
      <c r="AJ97" s="73">
        <v>1</v>
      </c>
      <c r="AK97" s="73">
        <f>Материалы!$H$174</f>
        <v>1552</v>
      </c>
      <c r="AL97" s="73">
        <v>0</v>
      </c>
      <c r="AM97" s="73">
        <f>Материалы!$H$175</f>
        <v>1052</v>
      </c>
      <c r="AN97" s="73">
        <v>1</v>
      </c>
      <c r="AO97" s="73">
        <f>Материалы!$H$176</f>
        <v>1570</v>
      </c>
      <c r="AP97" s="73">
        <v>1</v>
      </c>
      <c r="AQ97" s="73">
        <f>Материалы!$H$177</f>
        <v>990.5</v>
      </c>
      <c r="AR97" s="73">
        <v>1</v>
      </c>
      <c r="AS97" s="73">
        <f>Материалы!$H$178</f>
        <v>5900</v>
      </c>
      <c r="AT97" s="73">
        <v>1</v>
      </c>
      <c r="AU97" s="73">
        <f>Материалы!$H$173</f>
        <v>4807</v>
      </c>
      <c r="AV97" s="73">
        <v>0</v>
      </c>
      <c r="AW97" s="73">
        <v>0</v>
      </c>
      <c r="AX97" s="463">
        <f t="shared" si="3"/>
        <v>15764.5</v>
      </c>
    </row>
    <row r="98" spans="2:50" ht="18.75" customHeight="1" x14ac:dyDescent="0.25">
      <c r="B98" s="248" t="s">
        <v>362</v>
      </c>
      <c r="C98" s="9">
        <v>0</v>
      </c>
      <c r="F98" s="181"/>
      <c r="H98" s="11" t="str">
        <f>IF(AND(J98&lt;=Главная!$J$21,Главная!$J$21&lt;K98),I98,"")</f>
        <v/>
      </c>
      <c r="I98" s="43" t="s">
        <v>114</v>
      </c>
      <c r="J98" s="9">
        <v>20</v>
      </c>
      <c r="K98" s="9">
        <v>25</v>
      </c>
      <c r="L98" s="42" t="str">
        <f>Материалы!D16</f>
        <v>20…25</v>
      </c>
      <c r="M98" s="362" t="str">
        <f>Материалы!E16</f>
        <v>GV2ME22</v>
      </c>
      <c r="N98" s="38">
        <f>Материалы!D48</f>
        <v>25</v>
      </c>
      <c r="O98" s="38" t="str">
        <f>Материалы!E48</f>
        <v>LC1D25P7</v>
      </c>
      <c r="P98" s="9">
        <v>10</v>
      </c>
      <c r="Q98" s="40">
        <v>4</v>
      </c>
      <c r="R98" s="9" t="str">
        <f>Материалы!$D$114</f>
        <v>700х500х200</v>
      </c>
      <c r="S98" s="9" t="s">
        <v>209</v>
      </c>
      <c r="U98" s="9" t="s">
        <v>447</v>
      </c>
      <c r="V98" s="9" t="str">
        <f>I178</f>
        <v>ХХХХХХХХ</v>
      </c>
      <c r="W98" s="9">
        <f>IFERROR(J178,0)</f>
        <v>0</v>
      </c>
      <c r="X98" s="9">
        <f>IFERROR(K178,0)</f>
        <v>0</v>
      </c>
      <c r="AA98" s="1"/>
      <c r="AB98" s="226" t="str">
        <f t="shared" si="4"/>
        <v>104</v>
      </c>
      <c r="AC98" s="520" t="s">
        <v>404</v>
      </c>
      <c r="AD98" s="520" t="s">
        <v>363</v>
      </c>
      <c r="AE98" s="228" t="s">
        <v>137</v>
      </c>
      <c r="AF98" s="402">
        <v>1</v>
      </c>
      <c r="AG98" s="287">
        <f>Материалы!$H$171</f>
        <v>472.5</v>
      </c>
      <c r="AH98" s="402">
        <v>1</v>
      </c>
      <c r="AI98" s="287">
        <f>Материалы!$H$172</f>
        <v>472.5</v>
      </c>
      <c r="AJ98" s="402">
        <v>1</v>
      </c>
      <c r="AK98" s="287">
        <f>Материалы!$H$174</f>
        <v>1552</v>
      </c>
      <c r="AL98" s="402">
        <v>0</v>
      </c>
      <c r="AM98" s="287">
        <f>Материалы!$H$175</f>
        <v>1052</v>
      </c>
      <c r="AN98" s="402">
        <v>1</v>
      </c>
      <c r="AO98" s="287">
        <f>Материалы!$H$176</f>
        <v>1570</v>
      </c>
      <c r="AP98" s="402">
        <v>1</v>
      </c>
      <c r="AQ98" s="287">
        <f>Материалы!$H$177</f>
        <v>990.5</v>
      </c>
      <c r="AR98" s="402">
        <v>0</v>
      </c>
      <c r="AS98" s="287">
        <f>Материалы!$H$178</f>
        <v>5900</v>
      </c>
      <c r="AT98" s="402">
        <v>0</v>
      </c>
      <c r="AU98" s="287">
        <f>Материалы!$H$173</f>
        <v>4807</v>
      </c>
      <c r="AV98" s="287">
        <v>0</v>
      </c>
      <c r="AW98" s="287">
        <v>0</v>
      </c>
      <c r="AX98" s="228">
        <f t="shared" si="3"/>
        <v>5057.5</v>
      </c>
    </row>
    <row r="99" spans="2:50" x14ac:dyDescent="0.25">
      <c r="B99" s="9" t="s">
        <v>363</v>
      </c>
      <c r="C99" s="9">
        <v>1</v>
      </c>
      <c r="H99" s="11" t="str">
        <f>IF(AND(J99&lt;=Главная!$J$21,Главная!$J$21&lt;K99),I99,"")</f>
        <v/>
      </c>
      <c r="I99" s="43" t="s">
        <v>115</v>
      </c>
      <c r="J99" s="9">
        <v>25</v>
      </c>
      <c r="K99" s="9">
        <v>32</v>
      </c>
      <c r="L99" s="42" t="str">
        <f>Материалы!D17</f>
        <v>24…32</v>
      </c>
      <c r="M99" s="362" t="str">
        <f>Материалы!E17</f>
        <v>GV2ME32</v>
      </c>
      <c r="N99" s="38">
        <f>Материалы!D49</f>
        <v>32</v>
      </c>
      <c r="O99" s="38" t="str">
        <f>Материалы!E49</f>
        <v>LC1D32P7</v>
      </c>
      <c r="P99" s="9">
        <v>16</v>
      </c>
      <c r="Q99" s="40">
        <v>6</v>
      </c>
      <c r="R99" s="9" t="str">
        <f>Материалы!$D$114</f>
        <v>700х500х200</v>
      </c>
      <c r="S99" s="9" t="s">
        <v>209</v>
      </c>
      <c r="U99" s="74" t="s">
        <v>251</v>
      </c>
      <c r="V99" s="208"/>
      <c r="W99" s="145">
        <f>SUM(W97:W98)</f>
        <v>0</v>
      </c>
      <c r="X99" s="145">
        <f>SUM(X97:X98)</f>
        <v>0</v>
      </c>
      <c r="AA99" s="245"/>
      <c r="AB99" s="226" t="str">
        <f t="shared" ref="AB99" si="11">MID(AC99,2,3)</f>
        <v>104</v>
      </c>
      <c r="AC99" s="520" t="s">
        <v>404</v>
      </c>
      <c r="AD99" s="520" t="s">
        <v>363</v>
      </c>
      <c r="AE99" s="228" t="s">
        <v>138</v>
      </c>
      <c r="AF99" s="402">
        <v>1</v>
      </c>
      <c r="AG99" s="287">
        <f>Материалы!$H$171</f>
        <v>472.5</v>
      </c>
      <c r="AH99" s="402">
        <v>1</v>
      </c>
      <c r="AI99" s="287">
        <f>Материалы!$H$172</f>
        <v>472.5</v>
      </c>
      <c r="AJ99" s="402">
        <v>1</v>
      </c>
      <c r="AK99" s="287">
        <f>Материалы!$H$174</f>
        <v>1552</v>
      </c>
      <c r="AL99" s="402">
        <v>0</v>
      </c>
      <c r="AM99" s="287">
        <f>Материалы!$H$175</f>
        <v>1052</v>
      </c>
      <c r="AN99" s="402">
        <v>1</v>
      </c>
      <c r="AO99" s="287">
        <f>Материалы!$H$176</f>
        <v>1570</v>
      </c>
      <c r="AP99" s="402">
        <v>1</v>
      </c>
      <c r="AQ99" s="287">
        <f>Материалы!$H$177</f>
        <v>990.5</v>
      </c>
      <c r="AR99" s="402">
        <v>0</v>
      </c>
      <c r="AS99" s="287">
        <f>Материалы!$H$178</f>
        <v>5900</v>
      </c>
      <c r="AT99" s="402">
        <v>0</v>
      </c>
      <c r="AU99" s="287">
        <f>Материалы!$H$173</f>
        <v>4807</v>
      </c>
      <c r="AV99" s="287">
        <v>0</v>
      </c>
      <c r="AW99" s="287">
        <v>0</v>
      </c>
      <c r="AX99" s="228">
        <f t="shared" si="3"/>
        <v>5057.5</v>
      </c>
    </row>
    <row r="100" spans="2:50" ht="15.75" customHeight="1" x14ac:dyDescent="0.25">
      <c r="B100" s="9" t="s">
        <v>360</v>
      </c>
      <c r="C100" s="9">
        <v>2</v>
      </c>
      <c r="H100" s="11" t="str">
        <f>IF(AND(J100&lt;=Главная!$J$21,Главная!$J$21&lt;K100),I100,"")</f>
        <v/>
      </c>
      <c r="I100" s="43" t="s">
        <v>116</v>
      </c>
      <c r="J100" s="9">
        <v>32</v>
      </c>
      <c r="K100" s="9">
        <v>40</v>
      </c>
      <c r="L100" s="42" t="str">
        <f>Материалы!D18</f>
        <v>30…40</v>
      </c>
      <c r="M100" s="362" t="str">
        <f>Материалы!E18</f>
        <v>GV3P40</v>
      </c>
      <c r="N100" s="38">
        <f>Материалы!D50</f>
        <v>40</v>
      </c>
      <c r="O100" s="38" t="str">
        <f>Материалы!E50</f>
        <v>LC1D40P7</v>
      </c>
      <c r="P100" s="9">
        <v>16</v>
      </c>
      <c r="Q100" s="40">
        <v>10</v>
      </c>
      <c r="R100" s="9" t="str">
        <f>Материалы!$D$115</f>
        <v>800х600х250</v>
      </c>
      <c r="S100" s="9" t="s">
        <v>209</v>
      </c>
      <c r="AA100" s="1"/>
      <c r="AB100" s="226" t="str">
        <f t="shared" si="4"/>
        <v>104</v>
      </c>
      <c r="AC100" s="520" t="s">
        <v>404</v>
      </c>
      <c r="AD100" s="520" t="s">
        <v>360</v>
      </c>
      <c r="AE100" s="228" t="s">
        <v>137</v>
      </c>
      <c r="AF100" s="402">
        <v>1</v>
      </c>
      <c r="AG100" s="287">
        <f>Материалы!$H$171</f>
        <v>472.5</v>
      </c>
      <c r="AH100" s="402">
        <v>1</v>
      </c>
      <c r="AI100" s="287">
        <f>Материалы!$H$172</f>
        <v>472.5</v>
      </c>
      <c r="AJ100" s="402">
        <v>1</v>
      </c>
      <c r="AK100" s="287">
        <f>Материалы!$H$174</f>
        <v>1552</v>
      </c>
      <c r="AL100" s="402">
        <v>2</v>
      </c>
      <c r="AM100" s="287">
        <f>Материалы!$H$175</f>
        <v>1052</v>
      </c>
      <c r="AN100" s="402">
        <v>1</v>
      </c>
      <c r="AO100" s="287">
        <f>Материалы!$H$176</f>
        <v>1570</v>
      </c>
      <c r="AP100" s="402">
        <v>1</v>
      </c>
      <c r="AQ100" s="287">
        <f>Материалы!$H$177</f>
        <v>990.5</v>
      </c>
      <c r="AR100" s="402">
        <v>0</v>
      </c>
      <c r="AS100" s="287">
        <f>Материалы!$H$178</f>
        <v>5900</v>
      </c>
      <c r="AT100" s="402">
        <v>1</v>
      </c>
      <c r="AU100" s="287">
        <f>Материалы!$H$173</f>
        <v>4807</v>
      </c>
      <c r="AV100" s="287">
        <v>0</v>
      </c>
      <c r="AW100" s="287">
        <v>0</v>
      </c>
      <c r="AX100" s="228">
        <f t="shared" si="3"/>
        <v>11968.5</v>
      </c>
    </row>
    <row r="101" spans="2:50" x14ac:dyDescent="0.25">
      <c r="B101" s="239"/>
      <c r="C101" s="203"/>
      <c r="D101" s="416"/>
      <c r="E101" s="409"/>
      <c r="F101" s="81"/>
      <c r="H101" s="11" t="str">
        <f>IF(AND(J101&lt;=Главная!$J$21,Главная!$J$21&lt;K101),I101,"")</f>
        <v/>
      </c>
      <c r="I101" s="43" t="s">
        <v>117</v>
      </c>
      <c r="J101" s="9">
        <v>40</v>
      </c>
      <c r="K101" s="9">
        <v>50</v>
      </c>
      <c r="L101" s="42" t="str">
        <f>Материалы!D19</f>
        <v>37…50</v>
      </c>
      <c r="M101" s="362" t="str">
        <f>Материалы!E19</f>
        <v>GV3P50</v>
      </c>
      <c r="N101" s="38">
        <f>Материалы!D51</f>
        <v>50</v>
      </c>
      <c r="O101" s="38" t="str">
        <f>Материалы!E51</f>
        <v>LC1D50P7</v>
      </c>
      <c r="P101" s="9">
        <v>16</v>
      </c>
      <c r="Q101" s="40">
        <v>10</v>
      </c>
      <c r="R101" s="9" t="str">
        <f>Материалы!$D$115</f>
        <v>800х600х250</v>
      </c>
      <c r="S101" s="9" t="s">
        <v>209</v>
      </c>
      <c r="U101" t="s">
        <v>151</v>
      </c>
      <c r="V101" t="s">
        <v>446</v>
      </c>
      <c r="AA101" s="245"/>
      <c r="AB101" s="226" t="str">
        <f t="shared" ref="AB101" si="12">MID(AC101,2,3)</f>
        <v>104</v>
      </c>
      <c r="AC101" s="520" t="s">
        <v>404</v>
      </c>
      <c r="AD101" s="520" t="s">
        <v>360</v>
      </c>
      <c r="AE101" s="228" t="s">
        <v>138</v>
      </c>
      <c r="AF101" s="402">
        <v>1</v>
      </c>
      <c r="AG101" s="287">
        <f>Материалы!$H$171</f>
        <v>472.5</v>
      </c>
      <c r="AH101" s="402">
        <v>1</v>
      </c>
      <c r="AI101" s="287">
        <f>Материалы!$H$172</f>
        <v>472.5</v>
      </c>
      <c r="AJ101" s="402">
        <v>1</v>
      </c>
      <c r="AK101" s="287">
        <f>Материалы!$H$174</f>
        <v>1552</v>
      </c>
      <c r="AL101" s="402">
        <v>2</v>
      </c>
      <c r="AM101" s="287">
        <f>Материалы!$H$175</f>
        <v>1052</v>
      </c>
      <c r="AN101" s="402">
        <v>1</v>
      </c>
      <c r="AO101" s="287">
        <f>Материалы!$H$176</f>
        <v>1570</v>
      </c>
      <c r="AP101" s="402">
        <v>1</v>
      </c>
      <c r="AQ101" s="287">
        <f>Материалы!$H$177</f>
        <v>990.5</v>
      </c>
      <c r="AR101" s="402">
        <v>0</v>
      </c>
      <c r="AS101" s="287">
        <f>Материалы!$H$178</f>
        <v>5900</v>
      </c>
      <c r="AT101" s="402">
        <v>1</v>
      </c>
      <c r="AU101" s="287">
        <f>Материалы!$H$173</f>
        <v>4807</v>
      </c>
      <c r="AV101" s="287">
        <v>0</v>
      </c>
      <c r="AW101" s="287">
        <v>0</v>
      </c>
      <c r="AX101" s="228">
        <f t="shared" si="3"/>
        <v>11968.5</v>
      </c>
    </row>
    <row r="102" spans="2:50" ht="30" x14ac:dyDescent="0.25">
      <c r="H102" s="11" t="str">
        <f>IF(AND(J102&lt;=Главная!$J$21,Главная!$J$21&lt;K102),I102,"")</f>
        <v/>
      </c>
      <c r="I102" s="43" t="s">
        <v>118</v>
      </c>
      <c r="J102" s="9">
        <v>20</v>
      </c>
      <c r="K102" s="9">
        <v>58</v>
      </c>
      <c r="L102" s="42" t="str">
        <f>Материалы!D20</f>
        <v>48…65</v>
      </c>
      <c r="M102" s="362" t="str">
        <f>Материалы!E20</f>
        <v>GV3P65</v>
      </c>
      <c r="N102" s="38">
        <f>Материалы!D52</f>
        <v>65</v>
      </c>
      <c r="O102" s="38" t="str">
        <f>Материалы!E52</f>
        <v>LC1D65P7</v>
      </c>
      <c r="P102" s="9">
        <v>35</v>
      </c>
      <c r="Q102" s="40">
        <v>16</v>
      </c>
      <c r="R102" s="9" t="str">
        <f>Материалы!$D$115</f>
        <v>800х600х250</v>
      </c>
      <c r="S102" s="9" t="s">
        <v>209</v>
      </c>
      <c r="U102" s="206" t="s">
        <v>332</v>
      </c>
      <c r="V102" s="73" t="str">
        <f>I84</f>
        <v>А3Р00025</v>
      </c>
      <c r="W102" s="9">
        <f>IFERROR(J84,0)</f>
        <v>1.6</v>
      </c>
      <c r="X102" s="9">
        <f>IFERROR(K84,0)</f>
        <v>2.4</v>
      </c>
      <c r="AA102" s="245"/>
      <c r="AB102" s="464" t="str">
        <f t="shared" si="4"/>
        <v>110</v>
      </c>
      <c r="AC102" s="463" t="s">
        <v>86</v>
      </c>
      <c r="AD102" s="463" t="s">
        <v>363</v>
      </c>
      <c r="AE102" s="463" t="s">
        <v>137</v>
      </c>
      <c r="AF102" s="73">
        <v>1</v>
      </c>
      <c r="AG102" s="73">
        <f>Материалы!$H$171</f>
        <v>472.5</v>
      </c>
      <c r="AH102" s="73">
        <v>1</v>
      </c>
      <c r="AI102" s="73">
        <f>Материалы!$H$172</f>
        <v>472.5</v>
      </c>
      <c r="AJ102" s="73">
        <v>1</v>
      </c>
      <c r="AK102" s="73">
        <f>Материалы!$H$174</f>
        <v>1552</v>
      </c>
      <c r="AL102" s="73">
        <v>0</v>
      </c>
      <c r="AM102" s="73">
        <f>Материалы!$H$175</f>
        <v>1052</v>
      </c>
      <c r="AN102" s="73">
        <v>1</v>
      </c>
      <c r="AO102" s="73">
        <f>Материалы!$H$176</f>
        <v>1570</v>
      </c>
      <c r="AP102" s="73">
        <v>1</v>
      </c>
      <c r="AQ102" s="73">
        <f>Материалы!$H$177</f>
        <v>990.5</v>
      </c>
      <c r="AR102" s="73">
        <v>0</v>
      </c>
      <c r="AS102" s="73">
        <f>Материалы!$H$178</f>
        <v>5900</v>
      </c>
      <c r="AT102" s="73">
        <v>0</v>
      </c>
      <c r="AU102" s="73">
        <f>Материалы!$H$173</f>
        <v>4807</v>
      </c>
      <c r="AV102" s="73">
        <v>0</v>
      </c>
      <c r="AW102" s="73">
        <v>0</v>
      </c>
      <c r="AX102" s="463">
        <f t="shared" si="3"/>
        <v>5057.5</v>
      </c>
    </row>
    <row r="103" spans="2:50" x14ac:dyDescent="0.25">
      <c r="H103" s="11" t="str">
        <f>IF(AND(J103&lt;=Главная!$J$21,Главная!$J$21&lt;=K103),I103,"")</f>
        <v/>
      </c>
      <c r="I103" s="43" t="s">
        <v>119</v>
      </c>
      <c r="J103" s="9">
        <v>58</v>
      </c>
      <c r="K103" s="9">
        <v>63</v>
      </c>
      <c r="L103" s="42" t="str">
        <f>Материалы!D21</f>
        <v>48…65</v>
      </c>
      <c r="M103" s="362" t="str">
        <f>Материалы!E21</f>
        <v>GV3P65</v>
      </c>
      <c r="N103" s="38">
        <f>Материалы!D52</f>
        <v>65</v>
      </c>
      <c r="O103" s="38" t="str">
        <f>Материалы!E52</f>
        <v>LC1D65P7</v>
      </c>
      <c r="P103" s="9">
        <v>35</v>
      </c>
      <c r="Q103" s="40">
        <v>16</v>
      </c>
      <c r="R103" s="9" t="str">
        <f>Материалы!$D$115</f>
        <v>800х600х250</v>
      </c>
      <c r="S103" s="9" t="s">
        <v>209</v>
      </c>
      <c r="U103" s="212" t="s">
        <v>333</v>
      </c>
      <c r="V103" s="73" t="str">
        <f>I108</f>
        <v>А3Р00025</v>
      </c>
      <c r="W103" s="9">
        <f>IFERROR(J108,0)</f>
        <v>0</v>
      </c>
      <c r="X103" s="9">
        <f>IFERROR(K108,0)</f>
        <v>0</v>
      </c>
      <c r="AA103" s="245"/>
      <c r="AB103" s="464" t="str">
        <f t="shared" ref="AB103" si="13">MID(AC103,2,3)</f>
        <v>110</v>
      </c>
      <c r="AC103" s="463" t="s">
        <v>86</v>
      </c>
      <c r="AD103" s="463" t="s">
        <v>363</v>
      </c>
      <c r="AE103" s="554" t="s">
        <v>138</v>
      </c>
      <c r="AF103" s="73">
        <v>1</v>
      </c>
      <c r="AG103" s="73">
        <f>Материалы!$H$171</f>
        <v>472.5</v>
      </c>
      <c r="AH103" s="73">
        <v>1</v>
      </c>
      <c r="AI103" s="73">
        <f>Материалы!$H$172</f>
        <v>472.5</v>
      </c>
      <c r="AJ103" s="73">
        <v>1</v>
      </c>
      <c r="AK103" s="73">
        <f>Материалы!$H$174</f>
        <v>1552</v>
      </c>
      <c r="AL103" s="73">
        <v>0</v>
      </c>
      <c r="AM103" s="73">
        <f>Материалы!$H$175</f>
        <v>1052</v>
      </c>
      <c r="AN103" s="73">
        <v>1</v>
      </c>
      <c r="AO103" s="73">
        <f>Материалы!$H$176</f>
        <v>1570</v>
      </c>
      <c r="AP103" s="73">
        <v>1</v>
      </c>
      <c r="AQ103" s="73">
        <f>Материалы!$H$177</f>
        <v>990.5</v>
      </c>
      <c r="AR103" s="73">
        <v>0</v>
      </c>
      <c r="AS103" s="73">
        <f>Материалы!$H$178</f>
        <v>5900</v>
      </c>
      <c r="AT103" s="73">
        <v>0</v>
      </c>
      <c r="AU103" s="73">
        <f>Материалы!$H$173</f>
        <v>4807</v>
      </c>
      <c r="AV103" s="73">
        <v>0</v>
      </c>
      <c r="AW103" s="73">
        <v>0</v>
      </c>
      <c r="AX103" s="463">
        <f t="shared" si="3"/>
        <v>5057.5</v>
      </c>
    </row>
    <row r="104" spans="2:50" x14ac:dyDescent="0.25">
      <c r="H104" s="11" t="str">
        <f>IF(AND(J104&lt;Главная!$J$21,Главная!$J$21&lt;=K104),I104,"")</f>
        <v/>
      </c>
      <c r="I104" s="43" t="s">
        <v>120</v>
      </c>
      <c r="J104" s="9">
        <v>63</v>
      </c>
      <c r="K104" s="9">
        <v>69.900000000000006</v>
      </c>
      <c r="L104" s="42" t="str">
        <f>Материалы!D22</f>
        <v>62…73</v>
      </c>
      <c r="M104" s="362" t="str">
        <f>Материалы!E22</f>
        <v>GV3P73</v>
      </c>
      <c r="N104" s="38">
        <f>Материалы!D53</f>
        <v>80</v>
      </c>
      <c r="O104" s="38" t="str">
        <f>Материалы!E53</f>
        <v>LC1D80P7</v>
      </c>
      <c r="P104" s="9">
        <v>35</v>
      </c>
      <c r="Q104" s="40">
        <v>16</v>
      </c>
      <c r="R104" s="9" t="str">
        <f>Материалы!$D$115</f>
        <v>800х600х250</v>
      </c>
      <c r="S104" s="9" t="s">
        <v>209</v>
      </c>
      <c r="U104" s="156" t="s">
        <v>334</v>
      </c>
      <c r="V104" s="73" t="str">
        <f>I123</f>
        <v>А3Р00025</v>
      </c>
      <c r="W104" s="9">
        <f>IFERROR(J123,0)</f>
        <v>0</v>
      </c>
      <c r="X104" s="9">
        <f>IFERROR(K123,0)</f>
        <v>0</v>
      </c>
      <c r="AA104" s="245"/>
      <c r="AB104" s="464" t="str">
        <f t="shared" si="4"/>
        <v>110</v>
      </c>
      <c r="AC104" s="463" t="s">
        <v>86</v>
      </c>
      <c r="AD104" s="463" t="s">
        <v>360</v>
      </c>
      <c r="AE104" s="463" t="s">
        <v>137</v>
      </c>
      <c r="AF104" s="73">
        <v>1</v>
      </c>
      <c r="AG104" s="73">
        <f>Материалы!$H$171</f>
        <v>472.5</v>
      </c>
      <c r="AH104" s="73">
        <v>1</v>
      </c>
      <c r="AI104" s="73">
        <f>Материалы!$H$172</f>
        <v>472.5</v>
      </c>
      <c r="AJ104" s="73">
        <v>1</v>
      </c>
      <c r="AK104" s="73">
        <f>Материалы!$H$174</f>
        <v>1552</v>
      </c>
      <c r="AL104" s="73">
        <v>2</v>
      </c>
      <c r="AM104" s="73">
        <f>Материалы!$H$175</f>
        <v>1052</v>
      </c>
      <c r="AN104" s="73">
        <v>1</v>
      </c>
      <c r="AO104" s="73">
        <f>Материалы!$H$176</f>
        <v>1570</v>
      </c>
      <c r="AP104" s="73">
        <v>1</v>
      </c>
      <c r="AQ104" s="73">
        <f>Материалы!$H$177</f>
        <v>990.5</v>
      </c>
      <c r="AR104" s="73">
        <v>0</v>
      </c>
      <c r="AS104" s="73">
        <f>Материалы!$H$178</f>
        <v>5900</v>
      </c>
      <c r="AT104" s="73">
        <v>1</v>
      </c>
      <c r="AU104" s="73">
        <f>Материалы!$H$173</f>
        <v>4807</v>
      </c>
      <c r="AV104" s="73">
        <v>1</v>
      </c>
      <c r="AW104" s="73">
        <v>0</v>
      </c>
      <c r="AX104" s="463">
        <f t="shared" si="3"/>
        <v>11968.5</v>
      </c>
    </row>
    <row r="105" spans="2:50" x14ac:dyDescent="0.25">
      <c r="U105" s="74" t="s">
        <v>251</v>
      </c>
      <c r="V105" s="71"/>
      <c r="W105" s="71">
        <f>SUM(W102:W104)</f>
        <v>1.6</v>
      </c>
      <c r="X105" s="71">
        <f>SUM(X102:X104)</f>
        <v>2.4</v>
      </c>
      <c r="AA105" s="245"/>
      <c r="AB105" s="464" t="str">
        <f t="shared" ref="AB105" si="14">MID(AC105,2,3)</f>
        <v>110</v>
      </c>
      <c r="AC105" s="463" t="s">
        <v>86</v>
      </c>
      <c r="AD105" s="463" t="s">
        <v>360</v>
      </c>
      <c r="AE105" s="554" t="s">
        <v>138</v>
      </c>
      <c r="AF105" s="73">
        <v>1</v>
      </c>
      <c r="AG105" s="73">
        <f>Материалы!$H$171</f>
        <v>472.5</v>
      </c>
      <c r="AH105" s="73">
        <v>1</v>
      </c>
      <c r="AI105" s="73">
        <f>Материалы!$H$172</f>
        <v>472.5</v>
      </c>
      <c r="AJ105" s="73">
        <v>1</v>
      </c>
      <c r="AK105" s="73">
        <f>Материалы!$H$174</f>
        <v>1552</v>
      </c>
      <c r="AL105" s="73">
        <v>2</v>
      </c>
      <c r="AM105" s="73">
        <f>Материалы!$H$175</f>
        <v>1052</v>
      </c>
      <c r="AN105" s="73">
        <v>1</v>
      </c>
      <c r="AO105" s="73">
        <f>Материалы!$H$176</f>
        <v>1570</v>
      </c>
      <c r="AP105" s="73">
        <v>1</v>
      </c>
      <c r="AQ105" s="73">
        <f>Материалы!$H$177</f>
        <v>990.5</v>
      </c>
      <c r="AR105" s="73">
        <v>0</v>
      </c>
      <c r="AS105" s="73">
        <f>Материалы!$H$178</f>
        <v>5900</v>
      </c>
      <c r="AT105" s="73">
        <v>1</v>
      </c>
      <c r="AU105" s="73">
        <f>Материалы!$H$173</f>
        <v>4807</v>
      </c>
      <c r="AV105" s="73">
        <v>1</v>
      </c>
      <c r="AW105" s="178">
        <f>U122</f>
        <v>4695</v>
      </c>
      <c r="AX105" s="463">
        <f t="shared" si="3"/>
        <v>16663.5</v>
      </c>
    </row>
    <row r="106" spans="2:50" ht="15.75" thickBot="1" x14ac:dyDescent="0.3">
      <c r="H106" s="14" t="s">
        <v>441</v>
      </c>
      <c r="T106" s="1"/>
      <c r="U106" t="s">
        <v>507</v>
      </c>
      <c r="AA106" s="245"/>
      <c r="AB106" s="464" t="str">
        <f t="shared" si="4"/>
        <v>111</v>
      </c>
      <c r="AC106" s="542" t="s">
        <v>87</v>
      </c>
      <c r="AD106" s="542" t="s">
        <v>363</v>
      </c>
      <c r="AE106" s="542" t="s">
        <v>137</v>
      </c>
      <c r="AF106" s="541">
        <v>1</v>
      </c>
      <c r="AG106" s="227">
        <f>Материалы!$H$171</f>
        <v>472.5</v>
      </c>
      <c r="AH106" s="541">
        <v>1</v>
      </c>
      <c r="AI106" s="227">
        <f>Материалы!$H$172</f>
        <v>472.5</v>
      </c>
      <c r="AJ106" s="541">
        <v>1</v>
      </c>
      <c r="AK106" s="227">
        <f>Материалы!$H$174</f>
        <v>1552</v>
      </c>
      <c r="AL106" s="541">
        <v>0</v>
      </c>
      <c r="AM106" s="227">
        <f>Материалы!$H$175</f>
        <v>1052</v>
      </c>
      <c r="AN106" s="541">
        <v>1</v>
      </c>
      <c r="AO106" s="227">
        <f>Материалы!$H$176</f>
        <v>1570</v>
      </c>
      <c r="AP106" s="541">
        <v>1</v>
      </c>
      <c r="AQ106" s="227">
        <f>Материалы!$H$177</f>
        <v>990.5</v>
      </c>
      <c r="AR106" s="541">
        <v>0</v>
      </c>
      <c r="AS106" s="227">
        <f>Материалы!$H$178</f>
        <v>5900</v>
      </c>
      <c r="AT106" s="541">
        <v>0</v>
      </c>
      <c r="AU106" s="227">
        <f>Материалы!$H$173</f>
        <v>4807</v>
      </c>
      <c r="AV106" s="227">
        <v>0</v>
      </c>
      <c r="AW106" s="227">
        <v>0</v>
      </c>
      <c r="AX106" s="333">
        <f t="shared" si="3"/>
        <v>5057.5</v>
      </c>
    </row>
    <row r="107" spans="2:50" ht="15.75" thickBot="1" x14ac:dyDescent="0.3">
      <c r="H107" s="39" t="s">
        <v>322</v>
      </c>
      <c r="I107" s="226" t="str">
        <f>IF($D$1=1,I110,IF($D$1=2,I109,I108))</f>
        <v>А3Р00025</v>
      </c>
      <c r="J107" s="226" t="e">
        <f t="shared" ref="J107:Q107" si="15">IF($D$1=1,J110,IF($D$1=2,J109,J108))</f>
        <v>#N/A</v>
      </c>
      <c r="K107" s="226" t="e">
        <f t="shared" si="15"/>
        <v>#N/A</v>
      </c>
      <c r="L107" s="226">
        <f t="shared" si="15"/>
        <v>125</v>
      </c>
      <c r="M107" s="226" t="str">
        <f t="shared" si="15"/>
        <v>125А 3п.</v>
      </c>
      <c r="N107" s="226">
        <f t="shared" si="15"/>
        <v>35</v>
      </c>
      <c r="O107" s="226">
        <f t="shared" si="15"/>
        <v>16</v>
      </c>
      <c r="P107" s="226" t="str">
        <f t="shared" si="15"/>
        <v>700х500х200</v>
      </c>
      <c r="Q107" s="226" t="str">
        <f t="shared" si="15"/>
        <v>-</v>
      </c>
      <c r="T107" s="4"/>
      <c r="U107" s="9" t="s">
        <v>448</v>
      </c>
      <c r="V107" s="73" t="str">
        <f>I140</f>
        <v/>
      </c>
      <c r="W107" s="73">
        <f>IFERROR(J140,0)</f>
        <v>0</v>
      </c>
      <c r="X107" s="73">
        <f>IFERROR(K140,0)</f>
        <v>0</v>
      </c>
      <c r="AA107" s="245"/>
      <c r="AB107" s="464" t="str">
        <f t="shared" ref="AB107" si="16">MID(AC107,2,3)</f>
        <v>111</v>
      </c>
      <c r="AC107" s="542" t="s">
        <v>87</v>
      </c>
      <c r="AD107" s="542" t="s">
        <v>363</v>
      </c>
      <c r="AE107" s="542" t="s">
        <v>138</v>
      </c>
      <c r="AF107" s="541">
        <v>1</v>
      </c>
      <c r="AG107" s="227">
        <f>Материалы!$H$171</f>
        <v>472.5</v>
      </c>
      <c r="AH107" s="541">
        <v>1</v>
      </c>
      <c r="AI107" s="227">
        <f>Материалы!$H$172</f>
        <v>472.5</v>
      </c>
      <c r="AJ107" s="541">
        <v>1</v>
      </c>
      <c r="AK107" s="227">
        <f>Материалы!$H$174</f>
        <v>1552</v>
      </c>
      <c r="AL107" s="541">
        <v>0</v>
      </c>
      <c r="AM107" s="227">
        <f>Материалы!$H$175</f>
        <v>1052</v>
      </c>
      <c r="AN107" s="541">
        <v>1</v>
      </c>
      <c r="AO107" s="227">
        <f>Материалы!$H$176</f>
        <v>1570</v>
      </c>
      <c r="AP107" s="541">
        <v>1</v>
      </c>
      <c r="AQ107" s="227">
        <f>Материалы!$H$177</f>
        <v>990.5</v>
      </c>
      <c r="AR107" s="541">
        <v>0</v>
      </c>
      <c r="AS107" s="227">
        <f>Материалы!$H$178</f>
        <v>5900</v>
      </c>
      <c r="AT107" s="541">
        <v>0</v>
      </c>
      <c r="AU107" s="227">
        <f>Материалы!$H$173</f>
        <v>4807</v>
      </c>
      <c r="AV107" s="227">
        <v>0</v>
      </c>
      <c r="AW107" s="227">
        <v>0</v>
      </c>
      <c r="AX107" s="333">
        <f t="shared" si="3"/>
        <v>5057.5</v>
      </c>
    </row>
    <row r="108" spans="2:50" ht="19.5" customHeight="1" thickBot="1" x14ac:dyDescent="0.3">
      <c r="H108" s="39" t="s">
        <v>630</v>
      </c>
      <c r="I108" s="227" t="str">
        <f>D117</f>
        <v>А3Р00025</v>
      </c>
      <c r="J108" s="56" t="e">
        <f>VLOOKUP(I108,$I$112:$M$119,2,FALSE)</f>
        <v>#N/A</v>
      </c>
      <c r="K108" s="56" t="e">
        <f>VLOOKUP(I108,$I$112:$M$119,3,FALSE)-0.1</f>
        <v>#N/A</v>
      </c>
      <c r="L108" s="56">
        <f>VLOOKUP(I108,$I$112:$M$119,4)</f>
        <v>125</v>
      </c>
      <c r="M108" s="56" t="str">
        <f>VLOOKUP(I108,$I$112:$M$119,5)</f>
        <v>125А 3п.</v>
      </c>
      <c r="N108" s="56">
        <f>VLOOKUP(I108,$I$111:$N$119,6)</f>
        <v>35</v>
      </c>
      <c r="O108" s="56">
        <f>VLOOKUP(I108,$I$112:$O$119,7)</f>
        <v>16</v>
      </c>
      <c r="P108" s="56" t="str">
        <f>VLOOKUP(I108,$I$112:$P$119,8)</f>
        <v>700х500х200</v>
      </c>
      <c r="Q108" s="56" t="str">
        <f>VLOOKUP(I108,$I$112:$Q$119,9)</f>
        <v>-</v>
      </c>
      <c r="U108" s="9" t="s">
        <v>447</v>
      </c>
      <c r="V108" s="73" t="str">
        <f>I152</f>
        <v/>
      </c>
      <c r="W108" s="73">
        <f>IFERROR(J152,0)</f>
        <v>0</v>
      </c>
      <c r="X108" s="73">
        <f>IFERROR(K152,0)</f>
        <v>0</v>
      </c>
      <c r="AA108" s="245"/>
      <c r="AB108" s="464" t="str">
        <f t="shared" si="4"/>
        <v>111</v>
      </c>
      <c r="AC108" s="542" t="s">
        <v>87</v>
      </c>
      <c r="AD108" s="542" t="s">
        <v>360</v>
      </c>
      <c r="AE108" s="542" t="s">
        <v>137</v>
      </c>
      <c r="AF108" s="541">
        <v>1</v>
      </c>
      <c r="AG108" s="227">
        <f>Материалы!$H$171</f>
        <v>472.5</v>
      </c>
      <c r="AH108" s="541">
        <v>1</v>
      </c>
      <c r="AI108" s="227">
        <f>Материалы!$H$172</f>
        <v>472.5</v>
      </c>
      <c r="AJ108" s="541">
        <v>1</v>
      </c>
      <c r="AK108" s="227">
        <f>Материалы!$H$174</f>
        <v>1552</v>
      </c>
      <c r="AL108" s="541">
        <v>2</v>
      </c>
      <c r="AM108" s="227">
        <f>Материалы!$H$175</f>
        <v>1052</v>
      </c>
      <c r="AN108" s="541">
        <v>1</v>
      </c>
      <c r="AO108" s="227">
        <f>Материалы!$H$176</f>
        <v>1570</v>
      </c>
      <c r="AP108" s="541">
        <v>1</v>
      </c>
      <c r="AQ108" s="227">
        <f>Материалы!$H$177</f>
        <v>990.5</v>
      </c>
      <c r="AR108" s="541">
        <v>0</v>
      </c>
      <c r="AS108" s="227">
        <f>Материалы!$H$178</f>
        <v>5900</v>
      </c>
      <c r="AT108" s="541">
        <v>1</v>
      </c>
      <c r="AU108" s="227">
        <f>Материалы!$H$173</f>
        <v>4807</v>
      </c>
      <c r="AV108" s="227">
        <v>1</v>
      </c>
      <c r="AW108" s="227">
        <v>0</v>
      </c>
      <c r="AX108" s="333">
        <f t="shared" si="3"/>
        <v>11968.5</v>
      </c>
    </row>
    <row r="109" spans="2:50" ht="15.75" thickBot="1" x14ac:dyDescent="0.3">
      <c r="H109" s="39" t="s">
        <v>321</v>
      </c>
      <c r="I109" s="56" t="str">
        <f>C117</f>
        <v>А3Р00025</v>
      </c>
      <c r="J109" s="56" t="e">
        <f>VLOOKUP(I109,$I$112:$M$119,2,FALSE)</f>
        <v>#N/A</v>
      </c>
      <c r="K109" s="56" t="e">
        <f>VLOOKUP(I109,$I$112:$M$119,3,FALSE)-0.1</f>
        <v>#N/A</v>
      </c>
      <c r="L109" s="56">
        <f>VLOOKUP(I109,$I$112:$M$119,4)</f>
        <v>125</v>
      </c>
      <c r="M109" s="56" t="str">
        <f>VLOOKUP(I109,$I$112:$M$119,5)</f>
        <v>125А 3п.</v>
      </c>
      <c r="N109" s="56">
        <f>VLOOKUP(I109,$I$111:$N$119,6)</f>
        <v>35</v>
      </c>
      <c r="O109" s="56">
        <f>VLOOKUP(I109,$I$112:$O$119,7)</f>
        <v>16</v>
      </c>
      <c r="P109" s="56" t="str">
        <f>VLOOKUP(I109,$I$112:$P$119,8)</f>
        <v>700х500х200</v>
      </c>
      <c r="Q109" s="56" t="str">
        <f>VLOOKUP(I109,$I$112:$Q$119,9)</f>
        <v>-</v>
      </c>
      <c r="U109" s="74" t="s">
        <v>251</v>
      </c>
      <c r="V109" s="57"/>
      <c r="W109" s="197">
        <f>SUM(W107:W108)</f>
        <v>0</v>
      </c>
      <c r="X109" s="409">
        <f>SUM(X107:X108)</f>
        <v>0</v>
      </c>
      <c r="AA109" s="245"/>
      <c r="AB109" s="464" t="str">
        <f t="shared" ref="AB109" si="17">MID(AC109,2,3)</f>
        <v>111</v>
      </c>
      <c r="AC109" s="542" t="s">
        <v>87</v>
      </c>
      <c r="AD109" s="542" t="s">
        <v>360</v>
      </c>
      <c r="AE109" s="542" t="s">
        <v>138</v>
      </c>
      <c r="AF109" s="541">
        <v>1</v>
      </c>
      <c r="AG109" s="227">
        <f>Материалы!$H$171</f>
        <v>472.5</v>
      </c>
      <c r="AH109" s="541">
        <v>1</v>
      </c>
      <c r="AI109" s="227">
        <f>Материалы!$H$172</f>
        <v>472.5</v>
      </c>
      <c r="AJ109" s="541">
        <v>1</v>
      </c>
      <c r="AK109" s="227">
        <f>Материалы!$H$174</f>
        <v>1552</v>
      </c>
      <c r="AL109" s="541">
        <v>2</v>
      </c>
      <c r="AM109" s="227">
        <f>Материалы!$H$175</f>
        <v>1052</v>
      </c>
      <c r="AN109" s="541">
        <v>1</v>
      </c>
      <c r="AO109" s="227">
        <f>Материалы!$H$176</f>
        <v>1570</v>
      </c>
      <c r="AP109" s="541">
        <v>1</v>
      </c>
      <c r="AQ109" s="227">
        <f>Материалы!$H$177</f>
        <v>990.5</v>
      </c>
      <c r="AR109" s="541">
        <v>0</v>
      </c>
      <c r="AS109" s="227">
        <f>Материалы!$H$178</f>
        <v>5900</v>
      </c>
      <c r="AT109" s="541">
        <v>1</v>
      </c>
      <c r="AU109" s="227">
        <f>Материалы!$H$173</f>
        <v>4807</v>
      </c>
      <c r="AV109" s="227">
        <v>1</v>
      </c>
      <c r="AW109" s="567">
        <f>U122</f>
        <v>4695</v>
      </c>
      <c r="AX109" s="333">
        <f t="shared" si="3"/>
        <v>16663.5</v>
      </c>
    </row>
    <row r="110" spans="2:50" ht="29.25" thickBot="1" x14ac:dyDescent="0.3">
      <c r="B110" s="189" t="str">
        <f>IF(Главная!J32="Пластик","П","М")</f>
        <v>М</v>
      </c>
      <c r="C110" s="190" t="str">
        <f>AF8</f>
        <v>М</v>
      </c>
      <c r="D110" s="418" t="str">
        <f>AF21</f>
        <v>М</v>
      </c>
      <c r="E110" s="145" t="str">
        <f>IF($D$1=1,B110,IF($D$1=2,C110,D110))</f>
        <v>М</v>
      </c>
      <c r="F110" s="81" t="s">
        <v>145</v>
      </c>
      <c r="H110" s="39" t="s">
        <v>320</v>
      </c>
      <c r="I110" s="222" t="str">
        <f>INDEX(H112:H119,INDEX(MATCH(1=1,H112:H119&lt;&gt;"",),))</f>
        <v>А3Н00040</v>
      </c>
      <c r="J110" s="222"/>
      <c r="K110" s="219">
        <f>VLOOKUP(I110,I112:M119,3,FALSE)</f>
        <v>4</v>
      </c>
      <c r="L110" s="220">
        <f>VLOOKUP(I110,I112:M119,4)</f>
        <v>10</v>
      </c>
      <c r="M110" s="219" t="str">
        <f>VLOOKUP(I110,I112:M119,5)</f>
        <v>10А 3п.</v>
      </c>
      <c r="N110" s="219">
        <f>VLOOKUP(I110,I111:N119,6)</f>
        <v>4</v>
      </c>
      <c r="O110" s="220">
        <f>VLOOKUP(I110,I112:O119,7)</f>
        <v>1.5</v>
      </c>
      <c r="P110" s="219" t="str">
        <f>VLOOKUP(I110,I112:P119,8)</f>
        <v>700х500х200</v>
      </c>
      <c r="Q110" s="221" t="str">
        <f>VLOOKUP(I110,I112:Q119,9)</f>
        <v>560х408х153</v>
      </c>
      <c r="T110" s="1"/>
      <c r="U110" t="s">
        <v>508</v>
      </c>
      <c r="AA110" s="245"/>
      <c r="AB110" s="464" t="str">
        <f t="shared" si="4"/>
        <v>112</v>
      </c>
      <c r="AC110" s="463" t="s">
        <v>88</v>
      </c>
      <c r="AD110" s="463" t="s">
        <v>363</v>
      </c>
      <c r="AE110" s="463" t="s">
        <v>137</v>
      </c>
      <c r="AF110" s="73">
        <v>1</v>
      </c>
      <c r="AG110" s="73">
        <f>Материалы!$H$171</f>
        <v>472.5</v>
      </c>
      <c r="AH110" s="73">
        <v>1</v>
      </c>
      <c r="AI110" s="73">
        <f>Материалы!$H$172</f>
        <v>472.5</v>
      </c>
      <c r="AJ110" s="73">
        <v>1</v>
      </c>
      <c r="AK110" s="73">
        <f>Материалы!$H$174</f>
        <v>1552</v>
      </c>
      <c r="AL110" s="73">
        <v>2</v>
      </c>
      <c r="AM110" s="73">
        <f>Материалы!$H$175</f>
        <v>1052</v>
      </c>
      <c r="AN110" s="73">
        <v>1</v>
      </c>
      <c r="AO110" s="73">
        <f>Материалы!$H$176</f>
        <v>1570</v>
      </c>
      <c r="AP110" s="73">
        <v>1</v>
      </c>
      <c r="AQ110" s="73">
        <f>Материалы!$H$177</f>
        <v>990.5</v>
      </c>
      <c r="AR110" s="73">
        <v>0</v>
      </c>
      <c r="AS110" s="73">
        <f>Материалы!$H$178</f>
        <v>5900</v>
      </c>
      <c r="AT110" s="73">
        <v>0</v>
      </c>
      <c r="AU110" s="73">
        <f>Материалы!$H$173</f>
        <v>4807</v>
      </c>
      <c r="AV110" s="73">
        <v>0</v>
      </c>
      <c r="AW110" s="73">
        <v>0</v>
      </c>
      <c r="AX110" s="463">
        <f t="shared" si="3"/>
        <v>7161.5</v>
      </c>
    </row>
    <row r="111" spans="2:50" x14ac:dyDescent="0.25">
      <c r="B111" s="3"/>
      <c r="C111" s="3"/>
      <c r="D111" s="3"/>
      <c r="E111" s="194">
        <f>IF(E110="П",1,0)</f>
        <v>0</v>
      </c>
      <c r="F111" s="181" t="s">
        <v>213</v>
      </c>
      <c r="H111" s="17"/>
      <c r="I111" s="41" t="s">
        <v>78</v>
      </c>
      <c r="J111" s="28" t="s">
        <v>69</v>
      </c>
      <c r="K111" s="28"/>
      <c r="L111" s="46" t="s">
        <v>121</v>
      </c>
      <c r="M111" s="46" t="s">
        <v>121</v>
      </c>
      <c r="N111" s="27" t="s">
        <v>54</v>
      </c>
      <c r="O111" s="49" t="s">
        <v>160</v>
      </c>
      <c r="P111" s="27" t="s">
        <v>204</v>
      </c>
      <c r="Q111" s="27" t="s">
        <v>205</v>
      </c>
      <c r="T111" s="1"/>
      <c r="U111" s="9" t="s">
        <v>448</v>
      </c>
      <c r="V111" s="3" t="str">
        <f>I165</f>
        <v>ХХХХХХХХ</v>
      </c>
      <c r="W111" s="73">
        <f>IFERROR(J165,0)</f>
        <v>0</v>
      </c>
      <c r="X111" s="73">
        <f>IFERROR(K165,0)</f>
        <v>0</v>
      </c>
      <c r="AA111" s="245"/>
      <c r="AB111" s="464" t="str">
        <f t="shared" ref="AB111" si="18">MID(AC111,2,3)</f>
        <v>112</v>
      </c>
      <c r="AC111" s="463" t="s">
        <v>88</v>
      </c>
      <c r="AD111" s="463" t="s">
        <v>363</v>
      </c>
      <c r="AE111" s="554" t="s">
        <v>138</v>
      </c>
      <c r="AF111" s="73">
        <v>1</v>
      </c>
      <c r="AG111" s="73">
        <f>Материалы!$H$171</f>
        <v>472.5</v>
      </c>
      <c r="AH111" s="73">
        <v>1</v>
      </c>
      <c r="AI111" s="73">
        <f>Материалы!$H$172</f>
        <v>472.5</v>
      </c>
      <c r="AJ111" s="73">
        <v>1</v>
      </c>
      <c r="AK111" s="73">
        <f>Материалы!$H$174</f>
        <v>1552</v>
      </c>
      <c r="AL111" s="73">
        <v>2</v>
      </c>
      <c r="AM111" s="73">
        <f>Материалы!$H$175</f>
        <v>1052</v>
      </c>
      <c r="AN111" s="73">
        <v>1</v>
      </c>
      <c r="AO111" s="73">
        <f>Материалы!$H$176</f>
        <v>1570</v>
      </c>
      <c r="AP111" s="73">
        <v>1</v>
      </c>
      <c r="AQ111" s="73">
        <f>Материалы!$H$177</f>
        <v>990.5</v>
      </c>
      <c r="AR111" s="73">
        <v>0</v>
      </c>
      <c r="AS111" s="73">
        <f>Материалы!$H$178</f>
        <v>5900</v>
      </c>
      <c r="AT111" s="73">
        <v>0</v>
      </c>
      <c r="AU111" s="73">
        <f>Материалы!$H$173</f>
        <v>4807</v>
      </c>
      <c r="AV111" s="73">
        <v>0</v>
      </c>
      <c r="AW111" s="73">
        <v>0</v>
      </c>
      <c r="AX111" s="463">
        <f t="shared" si="3"/>
        <v>7161.5</v>
      </c>
    </row>
    <row r="112" spans="2:50" x14ac:dyDescent="0.25">
      <c r="B112" s="3"/>
      <c r="C112" s="3"/>
      <c r="D112" s="3"/>
      <c r="E112" s="194">
        <f>IF(E110="М",1,0)</f>
        <v>1</v>
      </c>
      <c r="F112" s="181" t="s">
        <v>214</v>
      </c>
      <c r="H112" s="18" t="str">
        <f>IF(AND(J112&lt;Главная!$J$21,Главная!$J$21&lt;K112),I112,"")</f>
        <v>А3Н00040</v>
      </c>
      <c r="I112" s="43" t="s">
        <v>125</v>
      </c>
      <c r="J112" s="9">
        <v>0</v>
      </c>
      <c r="K112" s="9">
        <v>4</v>
      </c>
      <c r="L112" s="47">
        <v>10</v>
      </c>
      <c r="M112" s="42" t="str">
        <f>Материалы!E27</f>
        <v>10А 3п.</v>
      </c>
      <c r="N112" s="9">
        <v>4</v>
      </c>
      <c r="O112" s="40">
        <v>1.5</v>
      </c>
      <c r="P112" s="9" t="str">
        <f>Материалы!$D$114</f>
        <v>700х500х200</v>
      </c>
      <c r="Q112" s="9" t="str">
        <f>Материалы!$D$112</f>
        <v>560х408х153</v>
      </c>
      <c r="T112" s="1"/>
      <c r="U112" s="9" t="s">
        <v>447</v>
      </c>
      <c r="V112" s="3" t="str">
        <f>I177</f>
        <v>ХХХХХХХХ</v>
      </c>
      <c r="W112" s="420">
        <f>IFERROR(J177,0)</f>
        <v>0</v>
      </c>
      <c r="X112" s="73">
        <f>IFERROR(K177,0)</f>
        <v>0</v>
      </c>
      <c r="AA112" s="245"/>
      <c r="AB112" s="464" t="str">
        <f t="shared" si="4"/>
        <v>112</v>
      </c>
      <c r="AC112" s="463" t="s">
        <v>88</v>
      </c>
      <c r="AD112" s="463" t="s">
        <v>360</v>
      </c>
      <c r="AE112" s="463" t="s">
        <v>137</v>
      </c>
      <c r="AF112" s="73">
        <v>1</v>
      </c>
      <c r="AG112" s="73">
        <f>Материалы!$H$171</f>
        <v>472.5</v>
      </c>
      <c r="AH112" s="73">
        <v>1</v>
      </c>
      <c r="AI112" s="73">
        <f>Материалы!$H$172</f>
        <v>472.5</v>
      </c>
      <c r="AJ112" s="73">
        <v>1</v>
      </c>
      <c r="AK112" s="73">
        <f>Материалы!$H$174</f>
        <v>1552</v>
      </c>
      <c r="AL112" s="73">
        <v>2</v>
      </c>
      <c r="AM112" s="73">
        <f>Материалы!$H$175</f>
        <v>1052</v>
      </c>
      <c r="AN112" s="73">
        <v>1</v>
      </c>
      <c r="AO112" s="73">
        <f>Материалы!$H$176</f>
        <v>1570</v>
      </c>
      <c r="AP112" s="73">
        <v>1</v>
      </c>
      <c r="AQ112" s="73">
        <f>Материалы!$H$177</f>
        <v>990.5</v>
      </c>
      <c r="AR112" s="73">
        <v>0</v>
      </c>
      <c r="AS112" s="73">
        <f>Материалы!$H$178</f>
        <v>5900</v>
      </c>
      <c r="AT112" s="73">
        <v>1</v>
      </c>
      <c r="AU112" s="73">
        <f>Материалы!$H$173</f>
        <v>4807</v>
      </c>
      <c r="AV112" s="73">
        <v>1</v>
      </c>
      <c r="AW112" s="73">
        <v>0</v>
      </c>
      <c r="AX112" s="463">
        <f t="shared" si="3"/>
        <v>11968.5</v>
      </c>
    </row>
    <row r="113" spans="1:50" x14ac:dyDescent="0.25">
      <c r="B113" s="3"/>
      <c r="C113" s="3"/>
      <c r="D113" s="3"/>
      <c r="E113" s="3"/>
      <c r="F113" s="3"/>
      <c r="H113" s="18" t="str">
        <f>IF(AND(J113&lt;=Главная!$J$21,Главная!$J$21&lt;K113),I113,"")</f>
        <v/>
      </c>
      <c r="I113" s="43" t="s">
        <v>126</v>
      </c>
      <c r="J113" s="9">
        <v>4</v>
      </c>
      <c r="K113" s="9">
        <v>6</v>
      </c>
      <c r="L113" s="47">
        <v>16</v>
      </c>
      <c r="M113" s="42" t="str">
        <f>Материалы!E28</f>
        <v>16А 3п.</v>
      </c>
      <c r="N113" s="9">
        <v>4</v>
      </c>
      <c r="O113" s="40">
        <v>1.5</v>
      </c>
      <c r="P113" s="9" t="str">
        <f>Материалы!$D$114</f>
        <v>700х500х200</v>
      </c>
      <c r="Q113" s="9" t="str">
        <f>Материалы!$D$112</f>
        <v>560х408х153</v>
      </c>
      <c r="T113" s="1"/>
      <c r="U113" s="74" t="s">
        <v>251</v>
      </c>
      <c r="V113" s="218"/>
      <c r="W113" s="218">
        <f>SUM(W111:W112)</f>
        <v>0</v>
      </c>
      <c r="X113" s="71">
        <f>SUM(X111:X112)</f>
        <v>0</v>
      </c>
      <c r="AA113" s="245"/>
      <c r="AB113" s="464" t="str">
        <f t="shared" ref="AB113" si="19">MID(AC113,2,3)</f>
        <v>112</v>
      </c>
      <c r="AC113" s="463" t="s">
        <v>88</v>
      </c>
      <c r="AD113" s="463" t="s">
        <v>360</v>
      </c>
      <c r="AE113" s="554" t="s">
        <v>138</v>
      </c>
      <c r="AF113" s="73">
        <v>1</v>
      </c>
      <c r="AG113" s="73">
        <f>Материалы!$H$171</f>
        <v>472.5</v>
      </c>
      <c r="AH113" s="73">
        <v>1</v>
      </c>
      <c r="AI113" s="73">
        <f>Материалы!$H$172</f>
        <v>472.5</v>
      </c>
      <c r="AJ113" s="73">
        <v>1</v>
      </c>
      <c r="AK113" s="73">
        <f>Материалы!$H$174</f>
        <v>1552</v>
      </c>
      <c r="AL113" s="73">
        <v>2</v>
      </c>
      <c r="AM113" s="73">
        <f>Материалы!$H$175</f>
        <v>1052</v>
      </c>
      <c r="AN113" s="73">
        <v>1</v>
      </c>
      <c r="AO113" s="73">
        <f>Материалы!$H$176</f>
        <v>1570</v>
      </c>
      <c r="AP113" s="73">
        <v>1</v>
      </c>
      <c r="AQ113" s="73">
        <f>Материалы!$H$177</f>
        <v>990.5</v>
      </c>
      <c r="AR113" s="73">
        <v>0</v>
      </c>
      <c r="AS113" s="73">
        <f>Материалы!$H$178</f>
        <v>5900</v>
      </c>
      <c r="AT113" s="73">
        <v>1</v>
      </c>
      <c r="AU113" s="73">
        <f>Материалы!$H$173</f>
        <v>4807</v>
      </c>
      <c r="AV113" s="73">
        <v>1</v>
      </c>
      <c r="AW113" s="178">
        <f>U122</f>
        <v>4695</v>
      </c>
      <c r="AX113" s="463">
        <f t="shared" si="3"/>
        <v>16663.5</v>
      </c>
    </row>
    <row r="114" spans="1:50" ht="17.25" customHeight="1" x14ac:dyDescent="0.25">
      <c r="B114" s="189" t="str">
        <f>I41</f>
        <v>Ф120</v>
      </c>
      <c r="C114" s="190" t="str">
        <f>Q8</f>
        <v>Ф120</v>
      </c>
      <c r="D114" s="414" t="str">
        <f>Q21</f>
        <v>Ф120</v>
      </c>
      <c r="E114" s="71" t="str">
        <f>IF($D$1=1,B114,IF($D$1=2,C114,D114))</f>
        <v>Ф120</v>
      </c>
      <c r="F114" s="212" t="s">
        <v>319</v>
      </c>
      <c r="H114" s="18" t="str">
        <f>IF(AND(J114&lt;=Главная!$J$21,Главная!$J$21&lt;K114),I114,"")</f>
        <v/>
      </c>
      <c r="I114" s="43" t="s">
        <v>127</v>
      </c>
      <c r="J114" s="9">
        <v>6</v>
      </c>
      <c r="K114" s="9">
        <v>10</v>
      </c>
      <c r="L114" s="47">
        <v>20</v>
      </c>
      <c r="M114" s="42" t="str">
        <f>Материалы!E29</f>
        <v>20А 3п.</v>
      </c>
      <c r="N114" s="9">
        <v>4</v>
      </c>
      <c r="O114" s="40">
        <v>2.5</v>
      </c>
      <c r="P114" s="9" t="str">
        <f>Материалы!$D$114</f>
        <v>700х500х200</v>
      </c>
      <c r="Q114" s="9" t="str">
        <f>Материалы!$D$112</f>
        <v>560х408х153</v>
      </c>
      <c r="T114" s="1"/>
      <c r="V114" s="1"/>
      <c r="W114" s="32"/>
      <c r="AA114" s="1"/>
      <c r="AB114" s="464" t="str">
        <f t="shared" si="4"/>
        <v>113</v>
      </c>
      <c r="AC114" s="333" t="s">
        <v>89</v>
      </c>
      <c r="AD114" s="333" t="s">
        <v>363</v>
      </c>
      <c r="AE114" s="542" t="s">
        <v>137</v>
      </c>
      <c r="AF114" s="227">
        <v>1</v>
      </c>
      <c r="AG114" s="227">
        <f>Материалы!$H$171</f>
        <v>472.5</v>
      </c>
      <c r="AH114" s="227">
        <v>1</v>
      </c>
      <c r="AI114" s="227">
        <f>Материалы!$H$172</f>
        <v>472.5</v>
      </c>
      <c r="AJ114" s="227">
        <v>1</v>
      </c>
      <c r="AK114" s="227">
        <f>Материалы!$H$174</f>
        <v>1552</v>
      </c>
      <c r="AL114" s="227">
        <v>0</v>
      </c>
      <c r="AM114" s="227">
        <f>Материалы!$H$175</f>
        <v>1052</v>
      </c>
      <c r="AN114" s="227">
        <v>1</v>
      </c>
      <c r="AO114" s="227">
        <f>Материалы!$H$176</f>
        <v>1570</v>
      </c>
      <c r="AP114" s="227">
        <v>1</v>
      </c>
      <c r="AQ114" s="227">
        <f>Материалы!$H$177</f>
        <v>990.5</v>
      </c>
      <c r="AR114" s="227">
        <v>1</v>
      </c>
      <c r="AS114" s="227">
        <f>Материалы!$H$178</f>
        <v>5900</v>
      </c>
      <c r="AT114" s="227">
        <v>0</v>
      </c>
      <c r="AU114" s="227">
        <f>Материалы!$H$173</f>
        <v>4807</v>
      </c>
      <c r="AV114" s="227">
        <v>0</v>
      </c>
      <c r="AW114" s="227">
        <v>0</v>
      </c>
      <c r="AX114" s="333">
        <f t="shared" si="3"/>
        <v>10957.5</v>
      </c>
    </row>
    <row r="115" spans="1:50" x14ac:dyDescent="0.25">
      <c r="B115" s="1"/>
      <c r="C115" s="1"/>
      <c r="D115" s="1"/>
      <c r="E115" s="32"/>
      <c r="F115" s="32"/>
      <c r="H115" s="18" t="str">
        <f>IF(AND(J115&lt;=Главная!$J$21,Главная!$J$21&lt;K115),I115,"")</f>
        <v/>
      </c>
      <c r="I115" s="43" t="s">
        <v>128</v>
      </c>
      <c r="J115" s="9">
        <v>10</v>
      </c>
      <c r="K115" s="9">
        <v>16</v>
      </c>
      <c r="L115" s="47">
        <v>32</v>
      </c>
      <c r="M115" s="42" t="str">
        <f>Материалы!E30</f>
        <v>32А 3п.</v>
      </c>
      <c r="N115" s="9">
        <v>6</v>
      </c>
      <c r="O115" s="40">
        <v>2.5</v>
      </c>
      <c r="P115" s="9" t="str">
        <f>Материалы!$D$114</f>
        <v>700х500х200</v>
      </c>
      <c r="Q115" s="9" t="s">
        <v>209</v>
      </c>
      <c r="T115" s="1"/>
      <c r="W115" s="32"/>
      <c r="AA115" s="1"/>
      <c r="AB115" s="464" t="str">
        <f t="shared" ref="AB115" si="20">MID(AC115,2,3)</f>
        <v>113</v>
      </c>
      <c r="AC115" s="333" t="s">
        <v>89</v>
      </c>
      <c r="AD115" s="333" t="s">
        <v>363</v>
      </c>
      <c r="AE115" s="542" t="s">
        <v>138</v>
      </c>
      <c r="AF115" s="227">
        <v>1</v>
      </c>
      <c r="AG115" s="227">
        <f>Материалы!$H$171</f>
        <v>472.5</v>
      </c>
      <c r="AH115" s="227">
        <v>1</v>
      </c>
      <c r="AI115" s="227">
        <f>Материалы!$H$172</f>
        <v>472.5</v>
      </c>
      <c r="AJ115" s="227">
        <v>1</v>
      </c>
      <c r="AK115" s="227">
        <f>Материалы!$H$174</f>
        <v>1552</v>
      </c>
      <c r="AL115" s="227">
        <v>0</v>
      </c>
      <c r="AM115" s="227">
        <f>Материалы!$H$175</f>
        <v>1052</v>
      </c>
      <c r="AN115" s="227">
        <v>1</v>
      </c>
      <c r="AO115" s="227">
        <f>Материалы!$H$176</f>
        <v>1570</v>
      </c>
      <c r="AP115" s="227">
        <v>1</v>
      </c>
      <c r="AQ115" s="227">
        <f>Материалы!$H$177</f>
        <v>990.5</v>
      </c>
      <c r="AR115" s="227">
        <v>1</v>
      </c>
      <c r="AS115" s="227">
        <f>Материалы!$H$178</f>
        <v>5900</v>
      </c>
      <c r="AT115" s="227">
        <v>0</v>
      </c>
      <c r="AU115" s="227">
        <f>Материалы!$H$173</f>
        <v>4807</v>
      </c>
      <c r="AV115" s="227">
        <v>0</v>
      </c>
      <c r="AW115" s="227">
        <v>0</v>
      </c>
      <c r="AX115" s="333">
        <f t="shared" si="3"/>
        <v>10957.5</v>
      </c>
    </row>
    <row r="116" spans="1:50" x14ac:dyDescent="0.25">
      <c r="C116" t="s">
        <v>629</v>
      </c>
      <c r="E116" t="s">
        <v>479</v>
      </c>
      <c r="H116" s="18" t="str">
        <f>IF(AND(J116&lt;=Главная!$J$21,Главная!$J$21&lt;K116),I116,"")</f>
        <v/>
      </c>
      <c r="I116" s="43" t="s">
        <v>129</v>
      </c>
      <c r="J116" s="9">
        <v>16</v>
      </c>
      <c r="K116" s="9">
        <v>20</v>
      </c>
      <c r="L116" s="47">
        <v>40</v>
      </c>
      <c r="M116" s="42" t="str">
        <f>Материалы!E31</f>
        <v>40А 3п.</v>
      </c>
      <c r="N116" s="9">
        <v>6</v>
      </c>
      <c r="O116" s="40">
        <v>4</v>
      </c>
      <c r="P116" s="9" t="str">
        <f>Материалы!$D$114</f>
        <v>700х500х200</v>
      </c>
      <c r="Q116" s="9" t="s">
        <v>209</v>
      </c>
      <c r="T116" s="1"/>
      <c r="W116" s="32"/>
      <c r="AA116" s="245"/>
      <c r="AB116" s="464" t="str">
        <f t="shared" si="4"/>
        <v>113</v>
      </c>
      <c r="AC116" s="333" t="s">
        <v>89</v>
      </c>
      <c r="AD116" s="333" t="s">
        <v>360</v>
      </c>
      <c r="AE116" s="542" t="s">
        <v>137</v>
      </c>
      <c r="AF116" s="227">
        <v>1</v>
      </c>
      <c r="AG116" s="227">
        <f>Материалы!$H$171</f>
        <v>472.5</v>
      </c>
      <c r="AH116" s="227">
        <v>1</v>
      </c>
      <c r="AI116" s="227">
        <f>Материалы!$H$172</f>
        <v>472.5</v>
      </c>
      <c r="AJ116" s="227">
        <v>1</v>
      </c>
      <c r="AK116" s="227">
        <f>Материалы!$H$174</f>
        <v>1552</v>
      </c>
      <c r="AL116" s="227">
        <v>0</v>
      </c>
      <c r="AM116" s="227">
        <f>Материалы!$H$175</f>
        <v>1052</v>
      </c>
      <c r="AN116" s="227">
        <v>1</v>
      </c>
      <c r="AO116" s="227">
        <f>Материалы!$H$176</f>
        <v>1570</v>
      </c>
      <c r="AP116" s="227">
        <v>1</v>
      </c>
      <c r="AQ116" s="227">
        <f>Материалы!$H$177</f>
        <v>990.5</v>
      </c>
      <c r="AR116" s="227">
        <v>1</v>
      </c>
      <c r="AS116" s="227">
        <f>Материалы!$H$178</f>
        <v>5900</v>
      </c>
      <c r="AT116" s="227">
        <v>1</v>
      </c>
      <c r="AU116" s="227">
        <f>Материалы!$H$173</f>
        <v>4807</v>
      </c>
      <c r="AV116" s="227">
        <v>1</v>
      </c>
      <c r="AW116" s="227">
        <v>0</v>
      </c>
      <c r="AX116" s="333">
        <f t="shared" si="3"/>
        <v>15764.5</v>
      </c>
    </row>
    <row r="117" spans="1:50" x14ac:dyDescent="0.25">
      <c r="A117" s="3" t="s">
        <v>413</v>
      </c>
      <c r="B117" s="3"/>
      <c r="C117" s="9" t="str">
        <f>S8</f>
        <v>А3Р00025</v>
      </c>
      <c r="D117" s="3" t="str">
        <f>S21</f>
        <v>А3Р00025</v>
      </c>
      <c r="E117" s="420" t="str">
        <f>IF($D$1=1,B117,IF($D$1=2,C117,D117))</f>
        <v>А3Р00025</v>
      </c>
      <c r="F117" s="181"/>
      <c r="H117" s="18" t="str">
        <f>IF(AND(J117&lt;=Главная!$J$21,Главная!$J$21&lt;K117),I117,"")</f>
        <v/>
      </c>
      <c r="I117" s="43" t="s">
        <v>130</v>
      </c>
      <c r="J117" s="9">
        <v>20</v>
      </c>
      <c r="K117" s="9">
        <v>40</v>
      </c>
      <c r="L117" s="47">
        <v>63</v>
      </c>
      <c r="M117" s="42" t="str">
        <f>Материалы!E32</f>
        <v>63А 3п.</v>
      </c>
      <c r="N117" s="9">
        <v>16</v>
      </c>
      <c r="O117" s="40">
        <v>10</v>
      </c>
      <c r="P117" s="9" t="str">
        <f>Материалы!$D$114</f>
        <v>700х500х200</v>
      </c>
      <c r="Q117" s="9" t="s">
        <v>209</v>
      </c>
      <c r="T117" s="1"/>
      <c r="W117" s="32"/>
      <c r="AA117" s="245"/>
      <c r="AB117" s="464" t="str">
        <f t="shared" ref="AB117" si="21">MID(AC117,2,3)</f>
        <v>113</v>
      </c>
      <c r="AC117" s="333" t="s">
        <v>89</v>
      </c>
      <c r="AD117" s="333" t="s">
        <v>360</v>
      </c>
      <c r="AE117" s="542" t="s">
        <v>138</v>
      </c>
      <c r="AF117" s="227">
        <v>1</v>
      </c>
      <c r="AG117" s="227">
        <f>Материалы!$H$171</f>
        <v>472.5</v>
      </c>
      <c r="AH117" s="227">
        <v>1</v>
      </c>
      <c r="AI117" s="227">
        <f>Материалы!$H$172</f>
        <v>472.5</v>
      </c>
      <c r="AJ117" s="227">
        <v>1</v>
      </c>
      <c r="AK117" s="227">
        <f>Материалы!$H$174</f>
        <v>1552</v>
      </c>
      <c r="AL117" s="227">
        <v>0</v>
      </c>
      <c r="AM117" s="227">
        <f>Материалы!$H$175</f>
        <v>1052</v>
      </c>
      <c r="AN117" s="227">
        <v>1</v>
      </c>
      <c r="AO117" s="227">
        <f>Материалы!$H$176</f>
        <v>1570</v>
      </c>
      <c r="AP117" s="227">
        <v>1</v>
      </c>
      <c r="AQ117" s="227">
        <f>Материалы!$H$177</f>
        <v>990.5</v>
      </c>
      <c r="AR117" s="227">
        <v>1</v>
      </c>
      <c r="AS117" s="227">
        <f>Материалы!$H$178</f>
        <v>5900</v>
      </c>
      <c r="AT117" s="227">
        <v>1</v>
      </c>
      <c r="AU117" s="227">
        <f>Материалы!$H$173</f>
        <v>4807</v>
      </c>
      <c r="AV117" s="227">
        <v>1</v>
      </c>
      <c r="AW117" s="567">
        <f>U122</f>
        <v>4695</v>
      </c>
      <c r="AX117" s="333">
        <f t="shared" si="3"/>
        <v>20459.5</v>
      </c>
    </row>
    <row r="118" spans="1:50" x14ac:dyDescent="0.25">
      <c r="A118" s="3" t="s">
        <v>414</v>
      </c>
      <c r="B118" s="3"/>
      <c r="C118" s="9" t="str">
        <f>IF(C56=1,V8,"")</f>
        <v/>
      </c>
      <c r="D118" s="3" t="str">
        <f>IF(D56=1,V21,"")</f>
        <v/>
      </c>
      <c r="E118" s="420" t="str">
        <f>IF($D$1=1,B118,IF($D$1=2,C118,D118))</f>
        <v/>
      </c>
      <c r="F118" s="181"/>
      <c r="H118" s="18" t="str">
        <f>IF(AND(J118&lt;=Главная!$J$21,Главная!$J$21&lt;K118),I118,"")</f>
        <v/>
      </c>
      <c r="I118" s="43" t="s">
        <v>131</v>
      </c>
      <c r="J118" s="9">
        <v>40</v>
      </c>
      <c r="K118" s="9">
        <v>63</v>
      </c>
      <c r="L118" s="47">
        <v>100</v>
      </c>
      <c r="M118" s="42" t="str">
        <f>Материалы!E34</f>
        <v>100А 3п.</v>
      </c>
      <c r="N118" s="9">
        <v>35</v>
      </c>
      <c r="O118" s="40">
        <v>16</v>
      </c>
      <c r="P118" s="9" t="str">
        <f>Материалы!$D$114</f>
        <v>700х500х200</v>
      </c>
      <c r="Q118" s="9" t="s">
        <v>209</v>
      </c>
      <c r="T118" s="1"/>
      <c r="W118" s="32"/>
      <c r="AA118" s="245"/>
      <c r="AB118" s="464" t="str">
        <f t="shared" si="4"/>
        <v>114</v>
      </c>
      <c r="AC118" s="555" t="s">
        <v>90</v>
      </c>
      <c r="AD118" s="463" t="s">
        <v>363</v>
      </c>
      <c r="AE118" s="463" t="s">
        <v>137</v>
      </c>
      <c r="AF118" s="73">
        <v>1</v>
      </c>
      <c r="AG118" s="73">
        <f>Материалы!$H$171</f>
        <v>472.5</v>
      </c>
      <c r="AH118" s="73">
        <v>1</v>
      </c>
      <c r="AI118" s="73">
        <f>Материалы!$H$172</f>
        <v>472.5</v>
      </c>
      <c r="AJ118" s="73">
        <v>1</v>
      </c>
      <c r="AK118" s="73">
        <f>Материалы!$H$174</f>
        <v>1552</v>
      </c>
      <c r="AL118" s="73">
        <v>0</v>
      </c>
      <c r="AM118" s="73">
        <f>Материалы!$H$175</f>
        <v>1052</v>
      </c>
      <c r="AN118" s="73">
        <v>1</v>
      </c>
      <c r="AO118" s="73">
        <f>Материалы!$H$176</f>
        <v>1570</v>
      </c>
      <c r="AP118" s="73">
        <v>1</v>
      </c>
      <c r="AQ118" s="73">
        <f>Материалы!$H$177</f>
        <v>990.5</v>
      </c>
      <c r="AR118" s="73">
        <v>0</v>
      </c>
      <c r="AS118" s="73">
        <f>Материалы!$H$178</f>
        <v>5900</v>
      </c>
      <c r="AT118" s="73">
        <v>0</v>
      </c>
      <c r="AU118" s="73">
        <f>Материалы!$H$173</f>
        <v>4807</v>
      </c>
      <c r="AV118" s="73">
        <v>0</v>
      </c>
      <c r="AW118" s="73">
        <v>0</v>
      </c>
      <c r="AX118" s="463">
        <f t="shared" si="3"/>
        <v>5057.5</v>
      </c>
    </row>
    <row r="119" spans="1:50" ht="15.75" thickBot="1" x14ac:dyDescent="0.3">
      <c r="A119" s="3" t="s">
        <v>398</v>
      </c>
      <c r="B119" s="3"/>
      <c r="C119" s="3" t="str">
        <f>IF(C56=2,V8,"")</f>
        <v>01Э0150А</v>
      </c>
      <c r="D119" s="3" t="str">
        <f>IF(D56=2,V21,"")</f>
        <v>06Э0900А</v>
      </c>
      <c r="E119" s="420" t="str">
        <f>IF($D$1=1,B119,IF($D$1=2,C119,D119))</f>
        <v>01Э0150А</v>
      </c>
      <c r="F119" s="181"/>
      <c r="H119" s="19" t="str">
        <f>IF(AND(J119&lt;=Главная!$J$21,Главная!$J$21&lt;K119),I119,"")</f>
        <v/>
      </c>
      <c r="I119" s="45" t="s">
        <v>132</v>
      </c>
      <c r="J119" s="20">
        <v>63</v>
      </c>
      <c r="K119" s="20">
        <v>70</v>
      </c>
      <c r="L119" s="48">
        <v>125</v>
      </c>
      <c r="M119" s="42" t="str">
        <f>Материалы!E35</f>
        <v>125А 3п.</v>
      </c>
      <c r="N119" s="9">
        <v>35</v>
      </c>
      <c r="O119" s="40">
        <v>16</v>
      </c>
      <c r="P119" s="9" t="str">
        <f>Материалы!$D$114</f>
        <v>700х500х200</v>
      </c>
      <c r="Q119" s="9" t="s">
        <v>209</v>
      </c>
      <c r="T119" s="1"/>
      <c r="W119" s="32"/>
      <c r="AA119" s="245"/>
      <c r="AB119" s="464" t="str">
        <f t="shared" ref="AB119" si="22">MID(AC119,2,3)</f>
        <v>114</v>
      </c>
      <c r="AC119" s="555" t="s">
        <v>90</v>
      </c>
      <c r="AD119" s="463" t="s">
        <v>363</v>
      </c>
      <c r="AE119" s="554" t="s">
        <v>138</v>
      </c>
      <c r="AF119" s="73">
        <v>1</v>
      </c>
      <c r="AG119" s="73">
        <f>Материалы!$H$171</f>
        <v>472.5</v>
      </c>
      <c r="AH119" s="73">
        <v>1</v>
      </c>
      <c r="AI119" s="73">
        <f>Материалы!$H$172</f>
        <v>472.5</v>
      </c>
      <c r="AJ119" s="73">
        <v>1</v>
      </c>
      <c r="AK119" s="73">
        <f>Материалы!$H$174</f>
        <v>1552</v>
      </c>
      <c r="AL119" s="73">
        <v>0</v>
      </c>
      <c r="AM119" s="73">
        <f>Материалы!$H$175</f>
        <v>1052</v>
      </c>
      <c r="AN119" s="73">
        <v>1</v>
      </c>
      <c r="AO119" s="73">
        <f>Материалы!$H$176</f>
        <v>1570</v>
      </c>
      <c r="AP119" s="73">
        <v>1</v>
      </c>
      <c r="AQ119" s="73">
        <f>Материалы!$H$177</f>
        <v>990.5</v>
      </c>
      <c r="AR119" s="73">
        <v>0</v>
      </c>
      <c r="AS119" s="73">
        <f>Материалы!$H$178</f>
        <v>5900</v>
      </c>
      <c r="AT119" s="73">
        <v>0</v>
      </c>
      <c r="AU119" s="73">
        <f>Материалы!$H$173</f>
        <v>4807</v>
      </c>
      <c r="AV119" s="73">
        <v>0</v>
      </c>
      <c r="AW119" s="73">
        <v>0</v>
      </c>
      <c r="AX119" s="463">
        <f t="shared" si="3"/>
        <v>5057.5</v>
      </c>
    </row>
    <row r="120" spans="1:50" x14ac:dyDescent="0.25">
      <c r="A120" s="3" t="s">
        <v>511</v>
      </c>
      <c r="B120" s="3"/>
      <c r="C120" s="9" t="str">
        <f>Y8</f>
        <v>ХХХХХХХХ</v>
      </c>
      <c r="D120" s="9" t="str">
        <f>Y21</f>
        <v>ХХХХХХХХ</v>
      </c>
      <c r="E120" s="420" t="str">
        <f>IF($D$1=1,B120,IF($D$1=2,C120,D120))</f>
        <v>ХХХХХХХХ</v>
      </c>
      <c r="F120" s="181"/>
      <c r="T120" s="1"/>
      <c r="W120" s="32"/>
      <c r="AA120" s="1"/>
      <c r="AB120" s="464" t="str">
        <f t="shared" si="4"/>
        <v>114</v>
      </c>
      <c r="AC120" s="555" t="s">
        <v>90</v>
      </c>
      <c r="AD120" s="463" t="s">
        <v>360</v>
      </c>
      <c r="AE120" s="463" t="s">
        <v>137</v>
      </c>
      <c r="AF120" s="73">
        <v>1</v>
      </c>
      <c r="AG120" s="73">
        <f>Материалы!$H$171</f>
        <v>472.5</v>
      </c>
      <c r="AH120" s="73">
        <v>1</v>
      </c>
      <c r="AI120" s="73">
        <f>Материалы!$H$172</f>
        <v>472.5</v>
      </c>
      <c r="AJ120" s="73">
        <v>1</v>
      </c>
      <c r="AK120" s="73">
        <f>Материалы!$H$174</f>
        <v>1552</v>
      </c>
      <c r="AL120" s="73">
        <v>2</v>
      </c>
      <c r="AM120" s="73">
        <f>Материалы!$H$175</f>
        <v>1052</v>
      </c>
      <c r="AN120" s="73">
        <v>1</v>
      </c>
      <c r="AO120" s="73">
        <f>Материалы!$H$176</f>
        <v>1570</v>
      </c>
      <c r="AP120" s="73">
        <v>1</v>
      </c>
      <c r="AQ120" s="73">
        <f>Материалы!$H$177</f>
        <v>990.5</v>
      </c>
      <c r="AR120" s="73">
        <v>0</v>
      </c>
      <c r="AS120" s="73">
        <f>Материалы!$H$178</f>
        <v>5900</v>
      </c>
      <c r="AT120" s="73">
        <v>1</v>
      </c>
      <c r="AU120" s="73">
        <f>Материалы!$H$173</f>
        <v>4807</v>
      </c>
      <c r="AV120" s="73">
        <v>1</v>
      </c>
      <c r="AW120" s="73">
        <v>0</v>
      </c>
      <c r="AX120" s="463">
        <f t="shared" si="3"/>
        <v>11968.5</v>
      </c>
    </row>
    <row r="121" spans="1:50" ht="15.75" thickBot="1" x14ac:dyDescent="0.3">
      <c r="D121" s="1"/>
      <c r="E121" s="32"/>
      <c r="F121" s="32"/>
      <c r="H121" s="14" t="s">
        <v>442</v>
      </c>
      <c r="T121" s="1"/>
      <c r="W121" s="32"/>
      <c r="AA121" s="1"/>
      <c r="AB121" s="464" t="str">
        <f t="shared" ref="AB121" si="23">MID(AC121,2,3)</f>
        <v>114</v>
      </c>
      <c r="AC121" s="555" t="s">
        <v>90</v>
      </c>
      <c r="AD121" s="463" t="s">
        <v>360</v>
      </c>
      <c r="AE121" s="554" t="s">
        <v>138</v>
      </c>
      <c r="AF121" s="73">
        <v>1</v>
      </c>
      <c r="AG121" s="73">
        <f>Материалы!$H$171</f>
        <v>472.5</v>
      </c>
      <c r="AH121" s="73">
        <v>1</v>
      </c>
      <c r="AI121" s="73">
        <f>Материалы!$H$172</f>
        <v>472.5</v>
      </c>
      <c r="AJ121" s="73">
        <v>1</v>
      </c>
      <c r="AK121" s="73">
        <f>Материалы!$H$174</f>
        <v>1552</v>
      </c>
      <c r="AL121" s="73">
        <v>2</v>
      </c>
      <c r="AM121" s="73">
        <f>Материалы!$H$175</f>
        <v>1052</v>
      </c>
      <c r="AN121" s="73">
        <v>1</v>
      </c>
      <c r="AO121" s="73">
        <f>Материалы!$H$176</f>
        <v>1570</v>
      </c>
      <c r="AP121" s="73">
        <v>1</v>
      </c>
      <c r="AQ121" s="73">
        <f>Материалы!$H$177</f>
        <v>990.5</v>
      </c>
      <c r="AR121" s="73">
        <v>0</v>
      </c>
      <c r="AS121" s="73">
        <f>Материалы!$H$178</f>
        <v>5900</v>
      </c>
      <c r="AT121" s="73">
        <v>1</v>
      </c>
      <c r="AU121" s="73">
        <f>Материалы!$H$173</f>
        <v>4807</v>
      </c>
      <c r="AV121" s="73">
        <v>1</v>
      </c>
      <c r="AW121" s="178">
        <f>U122</f>
        <v>4695</v>
      </c>
      <c r="AX121" s="463">
        <f t="shared" si="3"/>
        <v>16663.5</v>
      </c>
    </row>
    <row r="122" spans="1:50" ht="15.75" thickBot="1" x14ac:dyDescent="0.3">
      <c r="E122" s="32"/>
      <c r="F122" s="32"/>
      <c r="H122" s="39" t="s">
        <v>322</v>
      </c>
      <c r="I122" s="228" t="str">
        <f>IF($D$1=1,I125,IF($D$1=2,I124,I123))</f>
        <v>А3Р00025</v>
      </c>
      <c r="J122" s="228" t="e">
        <f t="shared" ref="J122:S122" si="24">IF($D$1=1,J125,IF($D$1=2,J124,J123))</f>
        <v>#N/A</v>
      </c>
      <c r="K122" s="228" t="e">
        <f t="shared" si="24"/>
        <v>#N/A</v>
      </c>
      <c r="L122" s="228">
        <f t="shared" si="24"/>
        <v>16</v>
      </c>
      <c r="M122" s="228" t="str">
        <f t="shared" si="24"/>
        <v>16А 1п.</v>
      </c>
      <c r="N122" s="228">
        <f t="shared" si="24"/>
        <v>9</v>
      </c>
      <c r="O122" s="228" t="str">
        <f t="shared" si="24"/>
        <v>LC1D09P7</v>
      </c>
      <c r="P122" s="228">
        <f t="shared" si="24"/>
        <v>2.5</v>
      </c>
      <c r="Q122" s="228">
        <f t="shared" si="24"/>
        <v>2.5</v>
      </c>
      <c r="R122" s="228" t="str">
        <f t="shared" si="24"/>
        <v>700х500х200</v>
      </c>
      <c r="S122" s="228" t="str">
        <f t="shared" si="24"/>
        <v>560х408х153</v>
      </c>
      <c r="T122" s="228" t="str">
        <f>IF($D$1=1,T125,IF($D$1=2,T124,T123))</f>
        <v>РГ_7</v>
      </c>
      <c r="U122" s="566">
        <f>IF($D$1=1,U125,IF($D$1=2,U124,U123))</f>
        <v>4695</v>
      </c>
      <c r="W122" t="s">
        <v>479</v>
      </c>
      <c r="AA122" s="245"/>
      <c r="AB122" s="556" t="str">
        <f t="shared" si="4"/>
        <v>120</v>
      </c>
      <c r="AC122" s="539" t="s">
        <v>91</v>
      </c>
      <c r="AD122" s="539" t="s">
        <v>363</v>
      </c>
      <c r="AE122" s="539" t="s">
        <v>137</v>
      </c>
      <c r="AF122" s="351">
        <v>1</v>
      </c>
      <c r="AG122" s="351">
        <f>Материалы!$H$171</f>
        <v>472.5</v>
      </c>
      <c r="AH122" s="351">
        <v>1</v>
      </c>
      <c r="AI122" s="351">
        <f>Материалы!$H$172</f>
        <v>472.5</v>
      </c>
      <c r="AJ122" s="351">
        <v>1</v>
      </c>
      <c r="AK122" s="351">
        <f>Материалы!$H$174</f>
        <v>1552</v>
      </c>
      <c r="AL122" s="351">
        <v>0</v>
      </c>
      <c r="AM122" s="351">
        <f>Материалы!$H$175</f>
        <v>1052</v>
      </c>
      <c r="AN122" s="351">
        <v>0</v>
      </c>
      <c r="AO122" s="351">
        <f>Материалы!$H$176</f>
        <v>1570</v>
      </c>
      <c r="AP122" s="351">
        <v>0</v>
      </c>
      <c r="AQ122" s="351">
        <f>Материалы!$H$177</f>
        <v>990.5</v>
      </c>
      <c r="AR122" s="351">
        <v>0</v>
      </c>
      <c r="AS122" s="351">
        <f>Материалы!$H$178</f>
        <v>5900</v>
      </c>
      <c r="AT122" s="351">
        <v>0</v>
      </c>
      <c r="AU122" s="351">
        <f>Материалы!$H$173</f>
        <v>4807</v>
      </c>
      <c r="AV122" s="351">
        <v>0</v>
      </c>
      <c r="AW122" s="351">
        <v>0</v>
      </c>
      <c r="AX122" s="539">
        <f t="shared" si="3"/>
        <v>2497</v>
      </c>
    </row>
    <row r="123" spans="1:50" ht="21" customHeight="1" thickBot="1" x14ac:dyDescent="0.3">
      <c r="E123" s="94" t="s">
        <v>226</v>
      </c>
      <c r="F123" s="94"/>
      <c r="H123" s="39" t="s">
        <v>630</v>
      </c>
      <c r="I123" s="227" t="str">
        <f>D117</f>
        <v>А3Р00025</v>
      </c>
      <c r="J123" s="227" t="e">
        <f>VLOOKUP(I123,$I$127:$L$133,2,FALSE)</f>
        <v>#N/A</v>
      </c>
      <c r="K123" s="227" t="e">
        <f>VLOOKUP(I123,$I$127:$L$133,3,FALSE)</f>
        <v>#N/A</v>
      </c>
      <c r="L123" s="227">
        <f>VLOOKUP(I123,$I$127:$L$133,4)</f>
        <v>16</v>
      </c>
      <c r="M123" s="227" t="str">
        <f>VLOOKUP(I123,$I$127:$M$133,5)</f>
        <v>16А 1п.</v>
      </c>
      <c r="N123" s="227">
        <f>VLOOKUP(I123,$I$127:$N$133,6)</f>
        <v>9</v>
      </c>
      <c r="O123" s="227" t="str">
        <f>VLOOKUP(I123,$I$127:$O$133,7)</f>
        <v>LC1D09P7</v>
      </c>
      <c r="P123" s="227">
        <f>VLOOKUP(I123,$I$127:$P$133,8)</f>
        <v>2.5</v>
      </c>
      <c r="Q123" s="227">
        <f>VLOOKUP(I123,$I$127:$Q$133,9)</f>
        <v>2.5</v>
      </c>
      <c r="R123" s="227" t="str">
        <f>VLOOKUP(I123,$I$127:$R$133,10)</f>
        <v>700х500х200</v>
      </c>
      <c r="S123" s="227" t="str">
        <f>VLOOKUP(I123,$I$127:$S$133,11)</f>
        <v>560х408х153</v>
      </c>
      <c r="T123" s="227" t="str">
        <f>VLOOKUP(I123,I127:T133,12)</f>
        <v>РГ_7</v>
      </c>
      <c r="U123" s="227">
        <f>VLOOKUP(I123,I127:U133,13)</f>
        <v>4695</v>
      </c>
      <c r="W123" s="204" t="s">
        <v>398</v>
      </c>
      <c r="AA123" s="245"/>
      <c r="AB123" s="556" t="str">
        <f t="shared" ref="AB123" si="25">MID(AC123,2,3)</f>
        <v>120</v>
      </c>
      <c r="AC123" s="539" t="s">
        <v>91</v>
      </c>
      <c r="AD123" s="539" t="s">
        <v>363</v>
      </c>
      <c r="AE123" s="539" t="s">
        <v>138</v>
      </c>
      <c r="AF123" s="351">
        <v>1</v>
      </c>
      <c r="AG123" s="351">
        <f>Материалы!$H$171</f>
        <v>472.5</v>
      </c>
      <c r="AH123" s="351">
        <v>1</v>
      </c>
      <c r="AI123" s="351">
        <f>Материалы!$H$172</f>
        <v>472.5</v>
      </c>
      <c r="AJ123" s="351">
        <v>1</v>
      </c>
      <c r="AK123" s="351">
        <f>Материалы!$H$174</f>
        <v>1552</v>
      </c>
      <c r="AL123" s="351">
        <v>0</v>
      </c>
      <c r="AM123" s="351">
        <f>Материалы!$H$175</f>
        <v>1052</v>
      </c>
      <c r="AN123" s="351">
        <v>0</v>
      </c>
      <c r="AO123" s="351">
        <f>Материалы!$H$176</f>
        <v>1570</v>
      </c>
      <c r="AP123" s="351">
        <v>0</v>
      </c>
      <c r="AQ123" s="351">
        <f>Материалы!$H$177</f>
        <v>990.5</v>
      </c>
      <c r="AR123" s="351">
        <v>0</v>
      </c>
      <c r="AS123" s="351">
        <f>Материалы!$H$178</f>
        <v>5900</v>
      </c>
      <c r="AT123" s="351">
        <v>0</v>
      </c>
      <c r="AU123" s="351">
        <f>Материалы!$H$173</f>
        <v>4807</v>
      </c>
      <c r="AV123" s="351">
        <v>0</v>
      </c>
      <c r="AW123" s="351">
        <v>0</v>
      </c>
      <c r="AX123" s="539">
        <f t="shared" si="3"/>
        <v>2497</v>
      </c>
    </row>
    <row r="124" spans="1:50" ht="15.75" thickBot="1" x14ac:dyDescent="0.3">
      <c r="D124" s="37" t="s">
        <v>147</v>
      </c>
      <c r="E124" s="32" t="str">
        <f>K238</f>
        <v>700х500х200</v>
      </c>
      <c r="F124" s="32"/>
      <c r="H124" s="39" t="s">
        <v>321</v>
      </c>
      <c r="I124" s="227" t="str">
        <f>C117</f>
        <v>А3Р00025</v>
      </c>
      <c r="J124" s="227" t="e">
        <f>VLOOKUP(I124,$I$127:$L$133,2,FALSE)</f>
        <v>#N/A</v>
      </c>
      <c r="K124" s="227" t="e">
        <f>VLOOKUP(I124,$I$127:$L$133,3,FALSE)</f>
        <v>#N/A</v>
      </c>
      <c r="L124" s="227">
        <f>VLOOKUP(I124,$I$127:$L$133,4)</f>
        <v>16</v>
      </c>
      <c r="M124" s="227" t="str">
        <f>VLOOKUP(I124,$I$127:$M$133,5)</f>
        <v>16А 1п.</v>
      </c>
      <c r="N124" s="227">
        <f>VLOOKUP(I124,$I$127:$N$133,6)</f>
        <v>9</v>
      </c>
      <c r="O124" s="227" t="str">
        <f>VLOOKUP(I124,$I$127:$O$133,7)</f>
        <v>LC1D09P7</v>
      </c>
      <c r="P124" s="227">
        <f>VLOOKUP(I124,$I$127:$P$133,8)</f>
        <v>2.5</v>
      </c>
      <c r="Q124" s="227">
        <f>VLOOKUP(I124,$I$127:$Q$133,9)</f>
        <v>2.5</v>
      </c>
      <c r="R124" s="227" t="str">
        <f>VLOOKUP(I124,$I$127:$R$133,10)</f>
        <v>700х500х200</v>
      </c>
      <c r="S124" s="227" t="str">
        <f>VLOOKUP(I124,$I$127:$S$130,11)</f>
        <v>560х408х153</v>
      </c>
      <c r="T124" s="227" t="str">
        <f>VLOOKUP(I124,I127:T133,12)</f>
        <v>РГ_7</v>
      </c>
      <c r="U124" s="227">
        <f>VLOOKUP(I124,I127:U133,13)</f>
        <v>4695</v>
      </c>
      <c r="W124" s="410" t="s">
        <v>682</v>
      </c>
      <c r="AA124" s="245"/>
      <c r="AB124" s="556" t="str">
        <f t="shared" si="4"/>
        <v>120</v>
      </c>
      <c r="AC124" s="539" t="s">
        <v>91</v>
      </c>
      <c r="AD124" s="539" t="s">
        <v>360</v>
      </c>
      <c r="AE124" s="539" t="s">
        <v>137</v>
      </c>
      <c r="AF124" s="351">
        <v>1</v>
      </c>
      <c r="AG124" s="351">
        <f>Материалы!$H$171</f>
        <v>472.5</v>
      </c>
      <c r="AH124" s="351">
        <v>1</v>
      </c>
      <c r="AI124" s="351">
        <f>Материалы!$H$172</f>
        <v>472.5</v>
      </c>
      <c r="AJ124" s="351">
        <v>1</v>
      </c>
      <c r="AK124" s="351">
        <f>Материалы!$H$174</f>
        <v>1552</v>
      </c>
      <c r="AL124" s="351">
        <v>2</v>
      </c>
      <c r="AM124" s="351">
        <f>Материалы!$H$175</f>
        <v>1052</v>
      </c>
      <c r="AN124" s="351">
        <v>0</v>
      </c>
      <c r="AO124" s="351">
        <f>Материалы!$H$176</f>
        <v>1570</v>
      </c>
      <c r="AP124" s="351">
        <v>0</v>
      </c>
      <c r="AQ124" s="351">
        <f>Материалы!$H$177</f>
        <v>990.5</v>
      </c>
      <c r="AR124" s="351">
        <v>0</v>
      </c>
      <c r="AS124" s="351">
        <f>Материалы!$H$178</f>
        <v>5900</v>
      </c>
      <c r="AT124" s="351">
        <v>1</v>
      </c>
      <c r="AU124" s="351">
        <f>Материалы!$H$173</f>
        <v>4807</v>
      </c>
      <c r="AV124" s="351">
        <v>0</v>
      </c>
      <c r="AW124" s="351">
        <v>0</v>
      </c>
      <c r="AX124" s="539">
        <f t="shared" si="3"/>
        <v>9408</v>
      </c>
    </row>
    <row r="125" spans="1:50" ht="29.25" thickBot="1" x14ac:dyDescent="0.3">
      <c r="D125" s="37" t="s">
        <v>146</v>
      </c>
      <c r="E125" s="32" t="str">
        <f>L238</f>
        <v>560х408х153</v>
      </c>
      <c r="F125" s="32"/>
      <c r="H125" s="39" t="s">
        <v>320</v>
      </c>
      <c r="I125" s="219" t="str">
        <f>IF(AND(D1=2,T8="А1Н"),E148,INDEX(H127:H133,INDEX(MATCH(1=1,H127:H133&lt;&gt;"",),)))</f>
        <v>А1Н00030</v>
      </c>
      <c r="J125" s="219"/>
      <c r="K125" s="219">
        <f>VLOOKUP(I125,I127:L133,3,FALSE)</f>
        <v>2.9</v>
      </c>
      <c r="L125" s="219">
        <f>VLOOKUP(I125,I127:L133,4)</f>
        <v>6</v>
      </c>
      <c r="M125" s="219" t="str">
        <f>VLOOKUP(I125,I127:M133,5)</f>
        <v>6А 1п.</v>
      </c>
      <c r="N125" s="219">
        <f>VLOOKUP(I125,I127:N133,6)</f>
        <v>9</v>
      </c>
      <c r="O125" s="219" t="str">
        <f>VLOOKUP(I125,I127:O133,7)</f>
        <v>LC1D09P7</v>
      </c>
      <c r="P125" s="219">
        <f>VLOOKUP(I125,I127:P133,8)</f>
        <v>2.5</v>
      </c>
      <c r="Q125" s="220">
        <f>VLOOKUP(I125,I127:Q133,9)</f>
        <v>1.5</v>
      </c>
      <c r="R125" s="219" t="str">
        <f>VLOOKUP(I125,I127:R133,10)</f>
        <v>700х500х200</v>
      </c>
      <c r="S125" s="337" t="str">
        <f>VLOOKUP(I125,I127:S133,11)</f>
        <v>560х408х153</v>
      </c>
      <c r="T125" s="337" t="str">
        <f>VLOOKUP(I125,I127:T133,12)</f>
        <v>РГ_3</v>
      </c>
      <c r="U125" s="194">
        <f>VLOOKUP(I125,I127:U133,13)</f>
        <v>1792</v>
      </c>
      <c r="V125" s="32"/>
      <c r="W125" s="410" t="s">
        <v>683</v>
      </c>
      <c r="AA125" s="245"/>
      <c r="AB125" s="556" t="str">
        <f t="shared" ref="AB125" si="26">MID(AC125,2,3)</f>
        <v>120</v>
      </c>
      <c r="AC125" s="539" t="s">
        <v>91</v>
      </c>
      <c r="AD125" s="539" t="s">
        <v>360</v>
      </c>
      <c r="AE125" s="539" t="s">
        <v>138</v>
      </c>
      <c r="AF125" s="351">
        <v>1</v>
      </c>
      <c r="AG125" s="351">
        <f>Материалы!$H$171</f>
        <v>472.5</v>
      </c>
      <c r="AH125" s="351">
        <v>1</v>
      </c>
      <c r="AI125" s="351">
        <f>Материалы!$H$172</f>
        <v>472.5</v>
      </c>
      <c r="AJ125" s="351">
        <v>1</v>
      </c>
      <c r="AK125" s="351">
        <f>Материалы!$H$174</f>
        <v>1552</v>
      </c>
      <c r="AL125" s="351">
        <v>2</v>
      </c>
      <c r="AM125" s="351">
        <f>Материалы!$H$175</f>
        <v>1052</v>
      </c>
      <c r="AN125" s="351">
        <v>0</v>
      </c>
      <c r="AO125" s="351">
        <f>Материалы!$H$176</f>
        <v>1570</v>
      </c>
      <c r="AP125" s="351">
        <v>0</v>
      </c>
      <c r="AQ125" s="351">
        <f>Материалы!$H$177</f>
        <v>990.5</v>
      </c>
      <c r="AR125" s="351">
        <v>0</v>
      </c>
      <c r="AS125" s="351">
        <f>Материалы!$H$178</f>
        <v>5900</v>
      </c>
      <c r="AT125" s="351">
        <v>1</v>
      </c>
      <c r="AU125" s="351">
        <f>Материалы!$H$173</f>
        <v>4807</v>
      </c>
      <c r="AV125" s="351">
        <v>0</v>
      </c>
      <c r="AW125" s="351">
        <v>0</v>
      </c>
      <c r="AX125" s="539">
        <f t="shared" si="3"/>
        <v>9408</v>
      </c>
    </row>
    <row r="126" spans="1:50" x14ac:dyDescent="0.25">
      <c r="E126" s="2" t="s">
        <v>225</v>
      </c>
      <c r="F126" s="2"/>
      <c r="H126" s="16"/>
      <c r="I126" s="41" t="s">
        <v>78</v>
      </c>
      <c r="J126" s="28" t="s">
        <v>69</v>
      </c>
      <c r="K126" s="28"/>
      <c r="L126" s="41" t="s">
        <v>121</v>
      </c>
      <c r="M126" s="41" t="s">
        <v>121</v>
      </c>
      <c r="N126" s="27" t="s">
        <v>47</v>
      </c>
      <c r="O126" s="27" t="s">
        <v>47</v>
      </c>
      <c r="P126" s="44" t="s">
        <v>54</v>
      </c>
      <c r="Q126" s="46" t="s">
        <v>160</v>
      </c>
      <c r="R126" s="27" t="s">
        <v>204</v>
      </c>
      <c r="S126" s="38" t="s">
        <v>205</v>
      </c>
      <c r="T126" s="287" t="s">
        <v>870</v>
      </c>
      <c r="U126" s="38" t="s">
        <v>221</v>
      </c>
      <c r="W126" s="410" t="s">
        <v>684</v>
      </c>
      <c r="AA126" s="245"/>
      <c r="AB126" s="556" t="str">
        <f t="shared" si="4"/>
        <v>121</v>
      </c>
      <c r="AC126" s="463" t="s">
        <v>92</v>
      </c>
      <c r="AD126" s="463" t="s">
        <v>363</v>
      </c>
      <c r="AE126" s="463" t="s">
        <v>137</v>
      </c>
      <c r="AF126" s="73">
        <v>1</v>
      </c>
      <c r="AG126" s="73">
        <f>Материалы!$H$171</f>
        <v>472.5</v>
      </c>
      <c r="AH126" s="73">
        <v>1</v>
      </c>
      <c r="AI126" s="73">
        <f>Материалы!$H$172</f>
        <v>472.5</v>
      </c>
      <c r="AJ126" s="73">
        <v>1</v>
      </c>
      <c r="AK126" s="73">
        <f>Материалы!$H$174</f>
        <v>1552</v>
      </c>
      <c r="AL126" s="73">
        <v>0</v>
      </c>
      <c r="AM126" s="73">
        <f>Материалы!$H$175</f>
        <v>1052</v>
      </c>
      <c r="AN126" s="73">
        <v>0</v>
      </c>
      <c r="AO126" s="73">
        <f>Материалы!$H$176</f>
        <v>1570</v>
      </c>
      <c r="AP126" s="73">
        <v>0</v>
      </c>
      <c r="AQ126" s="73">
        <f>Материалы!$H$177</f>
        <v>990.5</v>
      </c>
      <c r="AR126" s="73">
        <v>0</v>
      </c>
      <c r="AS126" s="73">
        <f>Материалы!$H$178</f>
        <v>5900</v>
      </c>
      <c r="AT126" s="73">
        <v>0</v>
      </c>
      <c r="AU126" s="73">
        <f>Материалы!$H$173</f>
        <v>4807</v>
      </c>
      <c r="AV126" s="73">
        <v>0</v>
      </c>
      <c r="AW126" s="73">
        <v>0</v>
      </c>
      <c r="AX126" s="463">
        <f t="shared" si="3"/>
        <v>2497</v>
      </c>
    </row>
    <row r="127" spans="1:50" x14ac:dyDescent="0.25">
      <c r="D127" s="15"/>
      <c r="E127" s="33" t="str">
        <f>IF(E110="М",E124,E125)</f>
        <v>700х500х200</v>
      </c>
      <c r="F127" s="33"/>
      <c r="H127" s="11" t="str">
        <f>IF(AND(J127&lt;=Главная!$J$21,Главная!$J$21&lt;K127),I127,"")</f>
        <v/>
      </c>
      <c r="I127" s="42" t="s">
        <v>133</v>
      </c>
      <c r="J127" s="55">
        <v>0.25</v>
      </c>
      <c r="K127" s="55">
        <v>0.9</v>
      </c>
      <c r="L127" s="44">
        <v>2</v>
      </c>
      <c r="M127" s="42" t="str">
        <f>Материалы!E40</f>
        <v>2А 1п.</v>
      </c>
      <c r="N127" s="54">
        <f>Материалы!D45</f>
        <v>9</v>
      </c>
      <c r="O127" s="54" t="str">
        <f>Материалы!E45</f>
        <v>LC1D09P7</v>
      </c>
      <c r="P127" s="9">
        <v>2.5</v>
      </c>
      <c r="Q127" s="40">
        <v>1.5</v>
      </c>
      <c r="R127" s="9" t="str">
        <f>Материалы!$D$114</f>
        <v>700х500х200</v>
      </c>
      <c r="S127" s="9" t="str">
        <f>Материалы!$D$112</f>
        <v>560х408х153</v>
      </c>
      <c r="T127" s="73" t="str">
        <f>Материалы!E179</f>
        <v>РГ_1</v>
      </c>
      <c r="U127" s="110">
        <f>Материалы!H179</f>
        <v>1592</v>
      </c>
      <c r="W127" s="410" t="s">
        <v>970</v>
      </c>
      <c r="AA127" s="245"/>
      <c r="AB127" s="556" t="str">
        <f t="shared" ref="AB127" si="27">MID(AC127,2,3)</f>
        <v>121</v>
      </c>
      <c r="AC127" s="463" t="s">
        <v>92</v>
      </c>
      <c r="AD127" s="463" t="s">
        <v>363</v>
      </c>
      <c r="AE127" s="554" t="s">
        <v>138</v>
      </c>
      <c r="AF127" s="73">
        <v>1</v>
      </c>
      <c r="AG127" s="73">
        <f>Материалы!$H$171</f>
        <v>472.5</v>
      </c>
      <c r="AH127" s="73">
        <v>1</v>
      </c>
      <c r="AI127" s="73">
        <f>Материалы!$H$172</f>
        <v>472.5</v>
      </c>
      <c r="AJ127" s="73">
        <v>1</v>
      </c>
      <c r="AK127" s="73">
        <f>Материалы!$H$174</f>
        <v>1552</v>
      </c>
      <c r="AL127" s="73">
        <v>0</v>
      </c>
      <c r="AM127" s="73">
        <f>Материалы!$H$175</f>
        <v>1052</v>
      </c>
      <c r="AN127" s="73">
        <v>0</v>
      </c>
      <c r="AO127" s="73">
        <f>Материалы!$H$176</f>
        <v>1570</v>
      </c>
      <c r="AP127" s="73">
        <v>0</v>
      </c>
      <c r="AQ127" s="73">
        <f>Материалы!$H$177</f>
        <v>990.5</v>
      </c>
      <c r="AR127" s="73">
        <v>0</v>
      </c>
      <c r="AS127" s="73">
        <f>Материалы!$H$178</f>
        <v>5900</v>
      </c>
      <c r="AT127" s="73">
        <v>0</v>
      </c>
      <c r="AU127" s="73">
        <f>Материалы!$H$173</f>
        <v>4807</v>
      </c>
      <c r="AV127" s="73">
        <v>0</v>
      </c>
      <c r="AW127" s="73">
        <v>0</v>
      </c>
      <c r="AX127" s="463">
        <f t="shared" si="3"/>
        <v>2497</v>
      </c>
    </row>
    <row r="128" spans="1:50" x14ac:dyDescent="0.25">
      <c r="H128" s="11" t="str">
        <f>IF(AND(J128&lt;=Главная!$J$21,Главная!$J$21&lt;K128),I128,"")</f>
        <v/>
      </c>
      <c r="I128" s="42" t="s">
        <v>134</v>
      </c>
      <c r="J128" s="9">
        <v>0.9</v>
      </c>
      <c r="K128" s="9">
        <v>1.9</v>
      </c>
      <c r="L128" s="42">
        <v>4</v>
      </c>
      <c r="M128" s="42" t="str">
        <f>Материалы!E41</f>
        <v>4А 1п.</v>
      </c>
      <c r="N128" s="9">
        <f>Материалы!D45</f>
        <v>9</v>
      </c>
      <c r="O128" s="9" t="str">
        <f>Материалы!E45</f>
        <v>LC1D09P7</v>
      </c>
      <c r="P128" s="9">
        <v>2.5</v>
      </c>
      <c r="Q128" s="40">
        <v>1.5</v>
      </c>
      <c r="R128" s="9" t="str">
        <f>Материалы!$D$114</f>
        <v>700х500х200</v>
      </c>
      <c r="S128" s="9" t="str">
        <f>Материалы!$D$112</f>
        <v>560х408х153</v>
      </c>
      <c r="T128" s="73" t="str">
        <f>Материалы!E179</f>
        <v>РГ_1</v>
      </c>
      <c r="U128" s="110">
        <f>Материалы!H179</f>
        <v>1592</v>
      </c>
      <c r="W128" s="32"/>
      <c r="AA128" s="245"/>
      <c r="AB128" s="556" t="str">
        <f t="shared" si="4"/>
        <v>121</v>
      </c>
      <c r="AC128" s="463" t="s">
        <v>92</v>
      </c>
      <c r="AD128" s="463" t="s">
        <v>360</v>
      </c>
      <c r="AE128" s="463" t="s">
        <v>137</v>
      </c>
      <c r="AF128" s="73">
        <v>1</v>
      </c>
      <c r="AG128" s="73">
        <f>Материалы!$H$171</f>
        <v>472.5</v>
      </c>
      <c r="AH128" s="73">
        <v>1</v>
      </c>
      <c r="AI128" s="73">
        <f>Материалы!$H$172</f>
        <v>472.5</v>
      </c>
      <c r="AJ128" s="73">
        <v>1</v>
      </c>
      <c r="AK128" s="73">
        <f>Материалы!$H$174</f>
        <v>1552</v>
      </c>
      <c r="AL128" s="73">
        <v>2</v>
      </c>
      <c r="AM128" s="73">
        <f>Материалы!$H$175</f>
        <v>1052</v>
      </c>
      <c r="AN128" s="73">
        <v>0</v>
      </c>
      <c r="AO128" s="73">
        <f>Материалы!$H$176</f>
        <v>1570</v>
      </c>
      <c r="AP128" s="73">
        <v>0</v>
      </c>
      <c r="AQ128" s="73">
        <f>Материалы!$H$177</f>
        <v>990.5</v>
      </c>
      <c r="AR128" s="73">
        <v>0</v>
      </c>
      <c r="AS128" s="73">
        <f>Материалы!$H$178</f>
        <v>5900</v>
      </c>
      <c r="AT128" s="73">
        <v>1</v>
      </c>
      <c r="AU128" s="73">
        <f>Материалы!$H$173</f>
        <v>4807</v>
      </c>
      <c r="AV128" s="73">
        <v>0</v>
      </c>
      <c r="AW128" s="73">
        <v>0</v>
      </c>
      <c r="AX128" s="463">
        <f t="shared" si="3"/>
        <v>9408</v>
      </c>
    </row>
    <row r="129" spans="2:50" x14ac:dyDescent="0.25">
      <c r="H129" s="11" t="str">
        <f>IF(AND(J129&lt;=Главная!$J$21,Главная!$J$21&lt;K129),I129,"")</f>
        <v>А1Н00030</v>
      </c>
      <c r="I129" s="42" t="s">
        <v>135</v>
      </c>
      <c r="J129" s="9">
        <v>1.9</v>
      </c>
      <c r="K129" s="9">
        <v>2.9</v>
      </c>
      <c r="L129" s="42">
        <v>6</v>
      </c>
      <c r="M129" s="42" t="str">
        <f>Материалы!E37</f>
        <v>6А 1п.</v>
      </c>
      <c r="N129" s="9">
        <f>Материалы!D45</f>
        <v>9</v>
      </c>
      <c r="O129" s="9" t="str">
        <f>Материалы!E45</f>
        <v>LC1D09P7</v>
      </c>
      <c r="P129" s="9">
        <v>2.5</v>
      </c>
      <c r="Q129" s="40">
        <v>1.5</v>
      </c>
      <c r="R129" s="9" t="str">
        <f>Материалы!$D$114</f>
        <v>700х500х200</v>
      </c>
      <c r="S129" s="9" t="str">
        <f>Материалы!$D$112</f>
        <v>560х408х153</v>
      </c>
      <c r="T129" s="73" t="str">
        <f>Материалы!E181</f>
        <v>РГ_3</v>
      </c>
      <c r="U129" s="110">
        <f>Материалы!H181</f>
        <v>1792</v>
      </c>
      <c r="W129" s="32"/>
      <c r="AA129" s="245"/>
      <c r="AB129" s="556" t="str">
        <f t="shared" ref="AB129" si="28">MID(AC129,2,3)</f>
        <v>121</v>
      </c>
      <c r="AC129" s="463" t="s">
        <v>92</v>
      </c>
      <c r="AD129" s="463" t="s">
        <v>360</v>
      </c>
      <c r="AE129" s="554" t="s">
        <v>138</v>
      </c>
      <c r="AF129" s="73">
        <v>1</v>
      </c>
      <c r="AG129" s="73">
        <f>Материалы!$H$171</f>
        <v>472.5</v>
      </c>
      <c r="AH129" s="73">
        <v>1</v>
      </c>
      <c r="AI129" s="73">
        <f>Материалы!$H$172</f>
        <v>472.5</v>
      </c>
      <c r="AJ129" s="73">
        <v>1</v>
      </c>
      <c r="AK129" s="73">
        <f>Материалы!$H$174</f>
        <v>1552</v>
      </c>
      <c r="AL129" s="73">
        <v>2</v>
      </c>
      <c r="AM129" s="73">
        <f>Материалы!$H$175</f>
        <v>1052</v>
      </c>
      <c r="AN129" s="73">
        <v>0</v>
      </c>
      <c r="AO129" s="73">
        <f>Материалы!$H$176</f>
        <v>1570</v>
      </c>
      <c r="AP129" s="73">
        <v>0</v>
      </c>
      <c r="AQ129" s="73">
        <f>Материалы!$H$177</f>
        <v>990.5</v>
      </c>
      <c r="AR129" s="73">
        <v>0</v>
      </c>
      <c r="AS129" s="73">
        <f>Материалы!$H$178</f>
        <v>5900</v>
      </c>
      <c r="AT129" s="73">
        <v>1</v>
      </c>
      <c r="AU129" s="73">
        <f>Материалы!$H$173</f>
        <v>4807</v>
      </c>
      <c r="AV129" s="73">
        <v>0</v>
      </c>
      <c r="AW129" s="73">
        <v>0</v>
      </c>
      <c r="AX129" s="463">
        <f t="shared" si="3"/>
        <v>9408</v>
      </c>
    </row>
    <row r="130" spans="2:50" x14ac:dyDescent="0.25">
      <c r="B130" s="175"/>
      <c r="C130" s="143"/>
      <c r="D130" s="7"/>
      <c r="E130" s="95" t="s">
        <v>144</v>
      </c>
      <c r="F130" s="95"/>
      <c r="H130" s="11" t="str">
        <f>IF(AND(J130&lt;=Главная!$J$21,Главная!$J$21&lt;K130),I130,"")</f>
        <v/>
      </c>
      <c r="I130" s="42" t="s">
        <v>136</v>
      </c>
      <c r="J130" s="9">
        <v>2.9</v>
      </c>
      <c r="K130" s="9">
        <v>4.9000000000000004</v>
      </c>
      <c r="L130" s="42">
        <v>10</v>
      </c>
      <c r="M130" s="42" t="str">
        <f>Материалы!E42</f>
        <v>10А 1п.</v>
      </c>
      <c r="N130" s="9">
        <f>Материалы!D45</f>
        <v>9</v>
      </c>
      <c r="O130" s="9" t="str">
        <f>Материалы!E45</f>
        <v>LC1D09P7</v>
      </c>
      <c r="P130" s="9">
        <v>2.5</v>
      </c>
      <c r="Q130" s="40">
        <v>2.5</v>
      </c>
      <c r="R130" s="9" t="str">
        <f>Материалы!$D$114</f>
        <v>700х500х200</v>
      </c>
      <c r="S130" s="9" t="str">
        <f>Материалы!$D$112</f>
        <v>560х408х153</v>
      </c>
      <c r="T130" s="73" t="str">
        <f>Материалы!E182</f>
        <v>РГ_7</v>
      </c>
      <c r="U130" s="110">
        <f>Материалы!H182</f>
        <v>4695</v>
      </c>
      <c r="W130" s="32"/>
      <c r="AA130" s="245"/>
      <c r="AB130" s="556" t="str">
        <f t="shared" si="4"/>
        <v>122</v>
      </c>
      <c r="AC130" s="539" t="s">
        <v>405</v>
      </c>
      <c r="AD130" s="539" t="s">
        <v>363</v>
      </c>
      <c r="AE130" s="539" t="s">
        <v>137</v>
      </c>
      <c r="AF130" s="351">
        <v>1</v>
      </c>
      <c r="AG130" s="351">
        <f>Материалы!$H$171</f>
        <v>472.5</v>
      </c>
      <c r="AH130" s="351">
        <v>1</v>
      </c>
      <c r="AI130" s="351">
        <f>Материалы!$H$172</f>
        <v>472.5</v>
      </c>
      <c r="AJ130" s="351">
        <v>1</v>
      </c>
      <c r="AK130" s="351">
        <f>Материалы!$H$174</f>
        <v>1552</v>
      </c>
      <c r="AL130" s="351">
        <v>2</v>
      </c>
      <c r="AM130" s="351">
        <f>Материалы!$H$175</f>
        <v>1052</v>
      </c>
      <c r="AN130" s="351">
        <v>0</v>
      </c>
      <c r="AO130" s="351">
        <f>Материалы!$H$176</f>
        <v>1570</v>
      </c>
      <c r="AP130" s="351">
        <v>0</v>
      </c>
      <c r="AQ130" s="351">
        <f>Материалы!$H$177</f>
        <v>990.5</v>
      </c>
      <c r="AR130" s="351">
        <v>0</v>
      </c>
      <c r="AS130" s="351">
        <f>Материалы!$H$178</f>
        <v>5900</v>
      </c>
      <c r="AT130" s="351">
        <v>0</v>
      </c>
      <c r="AU130" s="351">
        <f>Материалы!$H$173</f>
        <v>4807</v>
      </c>
      <c r="AV130" s="351">
        <v>0</v>
      </c>
      <c r="AW130" s="351">
        <v>0</v>
      </c>
      <c r="AX130" s="539">
        <f t="shared" si="3"/>
        <v>4601</v>
      </c>
    </row>
    <row r="131" spans="2:50" x14ac:dyDescent="0.25">
      <c r="E131" s="238" t="s">
        <v>271</v>
      </c>
      <c r="F131" s="407"/>
      <c r="H131" s="11" t="str">
        <f>IF(AND(J131&lt;=Главная!$J$21,Главная!$J$21&lt;K131),I131,"")</f>
        <v/>
      </c>
      <c r="I131" s="42" t="s">
        <v>412</v>
      </c>
      <c r="J131" s="9">
        <v>4.9000000000000004</v>
      </c>
      <c r="K131" s="9">
        <v>7.2</v>
      </c>
      <c r="L131" s="42">
        <v>16</v>
      </c>
      <c r="M131" s="42" t="str">
        <f>Материалы!E38</f>
        <v>16А 1п.</v>
      </c>
      <c r="N131" s="9">
        <f>Материалы!D45</f>
        <v>9</v>
      </c>
      <c r="O131" s="9" t="str">
        <f>Материалы!E45</f>
        <v>LC1D09P7</v>
      </c>
      <c r="P131" s="9">
        <v>2.5</v>
      </c>
      <c r="Q131" s="9">
        <v>2.5</v>
      </c>
      <c r="R131" s="9" t="str">
        <f>Материалы!$D$114</f>
        <v>700х500х200</v>
      </c>
      <c r="S131" s="9" t="str">
        <f>Материалы!$D$112</f>
        <v>560х408х153</v>
      </c>
      <c r="T131" s="9" t="str">
        <f>Материалы!E182</f>
        <v>РГ_7</v>
      </c>
      <c r="U131" s="283">
        <f>Материалы!H182</f>
        <v>4695</v>
      </c>
      <c r="W131" s="32"/>
      <c r="AA131" s="245"/>
      <c r="AB131" s="556" t="str">
        <f t="shared" ref="AB131" si="29">MID(AC131,2,3)</f>
        <v>122</v>
      </c>
      <c r="AC131" s="539" t="s">
        <v>405</v>
      </c>
      <c r="AD131" s="539" t="s">
        <v>363</v>
      </c>
      <c r="AE131" s="539" t="s">
        <v>138</v>
      </c>
      <c r="AF131" s="351">
        <v>1</v>
      </c>
      <c r="AG131" s="351">
        <f>Материалы!$H$171</f>
        <v>472.5</v>
      </c>
      <c r="AH131" s="351">
        <v>1</v>
      </c>
      <c r="AI131" s="351">
        <f>Материалы!$H$172</f>
        <v>472.5</v>
      </c>
      <c r="AJ131" s="351">
        <v>1</v>
      </c>
      <c r="AK131" s="351">
        <f>Материалы!$H$174</f>
        <v>1552</v>
      </c>
      <c r="AL131" s="351">
        <v>2</v>
      </c>
      <c r="AM131" s="351">
        <f>Материалы!$H$175</f>
        <v>1052</v>
      </c>
      <c r="AN131" s="351">
        <v>0</v>
      </c>
      <c r="AO131" s="351">
        <f>Материалы!$H$176</f>
        <v>1570</v>
      </c>
      <c r="AP131" s="351">
        <v>0</v>
      </c>
      <c r="AQ131" s="351">
        <f>Материалы!$H$177</f>
        <v>990.5</v>
      </c>
      <c r="AR131" s="351">
        <v>0</v>
      </c>
      <c r="AS131" s="351">
        <f>Материалы!$H$178</f>
        <v>5900</v>
      </c>
      <c r="AT131" s="351">
        <v>0</v>
      </c>
      <c r="AU131" s="351">
        <f>Материалы!$H$173</f>
        <v>4807</v>
      </c>
      <c r="AV131" s="351">
        <v>0</v>
      </c>
      <c r="AW131" s="351">
        <v>0</v>
      </c>
      <c r="AX131" s="539">
        <f t="shared" si="3"/>
        <v>4601</v>
      </c>
    </row>
    <row r="132" spans="2:50" x14ac:dyDescent="0.25">
      <c r="D132" s="247" t="e">
        <f>VLOOKUP(C130,B98:C100,2,FALSE)</f>
        <v>#N/A</v>
      </c>
      <c r="E132" s="205" t="s">
        <v>272</v>
      </c>
      <c r="F132" s="347"/>
      <c r="W132" s="32"/>
      <c r="AA132" s="245"/>
      <c r="AB132" s="556" t="str">
        <f t="shared" si="4"/>
        <v>122</v>
      </c>
      <c r="AC132" s="539" t="s">
        <v>405</v>
      </c>
      <c r="AD132" s="539" t="s">
        <v>360</v>
      </c>
      <c r="AE132" s="539" t="s">
        <v>137</v>
      </c>
      <c r="AF132" s="351">
        <v>1</v>
      </c>
      <c r="AG132" s="351">
        <f>Материалы!$H$171</f>
        <v>472.5</v>
      </c>
      <c r="AH132" s="351">
        <v>1</v>
      </c>
      <c r="AI132" s="351">
        <f>Материалы!$H$172</f>
        <v>472.5</v>
      </c>
      <c r="AJ132" s="351">
        <v>1</v>
      </c>
      <c r="AK132" s="351">
        <f>Материалы!$H$174</f>
        <v>1552</v>
      </c>
      <c r="AL132" s="351">
        <v>2</v>
      </c>
      <c r="AM132" s="351">
        <f>Материалы!$H$175</f>
        <v>1052</v>
      </c>
      <c r="AN132" s="351">
        <v>0</v>
      </c>
      <c r="AO132" s="351">
        <f>Материалы!$H$176</f>
        <v>1570</v>
      </c>
      <c r="AP132" s="351">
        <v>0</v>
      </c>
      <c r="AQ132" s="351">
        <f>Материалы!$H$177</f>
        <v>990.5</v>
      </c>
      <c r="AR132" s="351">
        <v>0</v>
      </c>
      <c r="AS132" s="351">
        <f>Материалы!$H$178</f>
        <v>5900</v>
      </c>
      <c r="AT132" s="351">
        <v>1</v>
      </c>
      <c r="AU132" s="351">
        <f>Материалы!$H$173</f>
        <v>4807</v>
      </c>
      <c r="AV132" s="351">
        <v>0</v>
      </c>
      <c r="AW132" s="351">
        <v>0</v>
      </c>
      <c r="AX132" s="539">
        <f t="shared" si="3"/>
        <v>9408</v>
      </c>
    </row>
    <row r="133" spans="2:50" x14ac:dyDescent="0.25">
      <c r="E133" t="s">
        <v>151</v>
      </c>
      <c r="H133" s="11"/>
      <c r="I133" s="42"/>
      <c r="J133" s="9"/>
      <c r="K133" s="9"/>
      <c r="L133" s="42"/>
      <c r="M133" s="42"/>
      <c r="N133" s="9"/>
      <c r="O133" s="9"/>
      <c r="P133" s="9"/>
      <c r="Q133" s="40"/>
      <c r="R133" s="9"/>
      <c r="S133" s="9"/>
      <c r="T133" s="73"/>
      <c r="U133" s="110"/>
      <c r="W133" s="32"/>
      <c r="AA133" s="245"/>
      <c r="AB133" s="556" t="str">
        <f t="shared" ref="AB133" si="30">MID(AC133,2,3)</f>
        <v>122</v>
      </c>
      <c r="AC133" s="539" t="s">
        <v>405</v>
      </c>
      <c r="AD133" s="539" t="s">
        <v>360</v>
      </c>
      <c r="AE133" s="539" t="s">
        <v>138</v>
      </c>
      <c r="AF133" s="351">
        <v>1</v>
      </c>
      <c r="AG133" s="351">
        <f>Материалы!$H$171</f>
        <v>472.5</v>
      </c>
      <c r="AH133" s="351">
        <v>1</v>
      </c>
      <c r="AI133" s="351">
        <f>Материалы!$H$172</f>
        <v>472.5</v>
      </c>
      <c r="AJ133" s="351">
        <v>1</v>
      </c>
      <c r="AK133" s="351">
        <f>Материалы!$H$174</f>
        <v>1552</v>
      </c>
      <c r="AL133" s="351">
        <v>2</v>
      </c>
      <c r="AM133" s="351">
        <f>Материалы!$H$175</f>
        <v>1052</v>
      </c>
      <c r="AN133" s="351">
        <v>0</v>
      </c>
      <c r="AO133" s="351">
        <f>Материалы!$H$176</f>
        <v>1570</v>
      </c>
      <c r="AP133" s="351">
        <v>0</v>
      </c>
      <c r="AQ133" s="351">
        <f>Материалы!$H$177</f>
        <v>990.5</v>
      </c>
      <c r="AR133" s="351">
        <v>0</v>
      </c>
      <c r="AS133" s="351">
        <f>Материалы!$H$178</f>
        <v>5900</v>
      </c>
      <c r="AT133" s="351">
        <v>1</v>
      </c>
      <c r="AU133" s="351">
        <f>Материалы!$H$173</f>
        <v>4807</v>
      </c>
      <c r="AV133" s="351">
        <v>0</v>
      </c>
      <c r="AW133" s="351">
        <v>0</v>
      </c>
      <c r="AX133" s="539">
        <f t="shared" si="3"/>
        <v>9408</v>
      </c>
    </row>
    <row r="134" spans="2:50" x14ac:dyDescent="0.25">
      <c r="W134" s="32"/>
      <c r="AA134" s="1"/>
      <c r="AB134" s="556" t="str">
        <f t="shared" si="4"/>
        <v>123</v>
      </c>
      <c r="AC134" s="463" t="s">
        <v>406</v>
      </c>
      <c r="AD134" s="463" t="s">
        <v>363</v>
      </c>
      <c r="AE134" s="463" t="s">
        <v>137</v>
      </c>
      <c r="AF134" s="73">
        <v>1</v>
      </c>
      <c r="AG134" s="73">
        <f>Материалы!$H$171</f>
        <v>472.5</v>
      </c>
      <c r="AH134" s="73">
        <v>1</v>
      </c>
      <c r="AI134" s="73">
        <f>Материалы!$H$172</f>
        <v>472.5</v>
      </c>
      <c r="AJ134" s="73">
        <v>1</v>
      </c>
      <c r="AK134" s="73">
        <f>Материалы!$H$174</f>
        <v>1552</v>
      </c>
      <c r="AL134" s="73">
        <v>0</v>
      </c>
      <c r="AM134" s="73">
        <f>Материалы!$H$175</f>
        <v>1052</v>
      </c>
      <c r="AN134" s="73">
        <v>0</v>
      </c>
      <c r="AO134" s="73">
        <f>Материалы!$H$176</f>
        <v>1570</v>
      </c>
      <c r="AP134" s="73">
        <v>0</v>
      </c>
      <c r="AQ134" s="73">
        <f>Материалы!$H$177</f>
        <v>990.5</v>
      </c>
      <c r="AR134" s="73">
        <v>1</v>
      </c>
      <c r="AS134" s="73">
        <f>Материалы!$H$178</f>
        <v>5900</v>
      </c>
      <c r="AT134" s="73">
        <v>0</v>
      </c>
      <c r="AU134" s="73">
        <f>Материалы!$H$173</f>
        <v>4807</v>
      </c>
      <c r="AV134" s="73">
        <v>0</v>
      </c>
      <c r="AW134" s="73">
        <v>0</v>
      </c>
      <c r="AX134" s="463">
        <f t="shared" si="3"/>
        <v>8397</v>
      </c>
    </row>
    <row r="135" spans="2:50" x14ac:dyDescent="0.25">
      <c r="W135" s="32"/>
      <c r="AA135" s="1"/>
      <c r="AB135" s="556" t="str">
        <f t="shared" ref="AB135" si="31">MID(AC135,2,3)</f>
        <v>123</v>
      </c>
      <c r="AC135" s="463" t="s">
        <v>406</v>
      </c>
      <c r="AD135" s="463" t="s">
        <v>363</v>
      </c>
      <c r="AE135" s="554" t="s">
        <v>138</v>
      </c>
      <c r="AF135" s="73">
        <v>1</v>
      </c>
      <c r="AG135" s="73">
        <f>Материалы!$H$171</f>
        <v>472.5</v>
      </c>
      <c r="AH135" s="73">
        <v>1</v>
      </c>
      <c r="AI135" s="73">
        <f>Материалы!$H$172</f>
        <v>472.5</v>
      </c>
      <c r="AJ135" s="73">
        <v>1</v>
      </c>
      <c r="AK135" s="73">
        <f>Материалы!$H$174</f>
        <v>1552</v>
      </c>
      <c r="AL135" s="73">
        <v>0</v>
      </c>
      <c r="AM135" s="73">
        <f>Материалы!$H$175</f>
        <v>1052</v>
      </c>
      <c r="AN135" s="73">
        <v>0</v>
      </c>
      <c r="AO135" s="73">
        <f>Материалы!$H$176</f>
        <v>1570</v>
      </c>
      <c r="AP135" s="73">
        <v>0</v>
      </c>
      <c r="AQ135" s="73">
        <f>Материалы!$H$177</f>
        <v>990.5</v>
      </c>
      <c r="AR135" s="73">
        <v>1</v>
      </c>
      <c r="AS135" s="73">
        <f>Материалы!$H$178</f>
        <v>5900</v>
      </c>
      <c r="AT135" s="73">
        <v>0</v>
      </c>
      <c r="AU135" s="73">
        <f>Материалы!$H$173</f>
        <v>4807</v>
      </c>
      <c r="AV135" s="73">
        <v>0</v>
      </c>
      <c r="AW135" s="73">
        <v>0</v>
      </c>
      <c r="AX135" s="463">
        <f t="shared" si="3"/>
        <v>8397</v>
      </c>
    </row>
    <row r="136" spans="2:50" x14ac:dyDescent="0.25">
      <c r="R136" s="1"/>
      <c r="W136" s="32"/>
      <c r="AA136" s="1"/>
      <c r="AB136" s="556" t="str">
        <f t="shared" si="4"/>
        <v>123</v>
      </c>
      <c r="AC136" s="463" t="s">
        <v>406</v>
      </c>
      <c r="AD136" s="463" t="s">
        <v>360</v>
      </c>
      <c r="AE136" s="463" t="s">
        <v>137</v>
      </c>
      <c r="AF136" s="73">
        <v>1</v>
      </c>
      <c r="AG136" s="73">
        <f>Материалы!$H$171</f>
        <v>472.5</v>
      </c>
      <c r="AH136" s="73">
        <v>1</v>
      </c>
      <c r="AI136" s="73">
        <f>Материалы!$H$172</f>
        <v>472.5</v>
      </c>
      <c r="AJ136" s="73">
        <v>1</v>
      </c>
      <c r="AK136" s="73">
        <f>Материалы!$H$174</f>
        <v>1552</v>
      </c>
      <c r="AL136" s="73">
        <v>1</v>
      </c>
      <c r="AM136" s="73">
        <f>Материалы!$H$175</f>
        <v>1052</v>
      </c>
      <c r="AN136" s="73">
        <v>0</v>
      </c>
      <c r="AO136" s="73">
        <f>Материалы!$H$176</f>
        <v>1570</v>
      </c>
      <c r="AP136" s="73">
        <v>0</v>
      </c>
      <c r="AQ136" s="73">
        <f>Материалы!$H$177</f>
        <v>990.5</v>
      </c>
      <c r="AR136" s="73">
        <v>1</v>
      </c>
      <c r="AS136" s="73">
        <f>Материалы!$H$178</f>
        <v>5900</v>
      </c>
      <c r="AT136" s="73">
        <v>1</v>
      </c>
      <c r="AU136" s="73">
        <f>Материалы!$H$173</f>
        <v>4807</v>
      </c>
      <c r="AV136" s="73">
        <v>0</v>
      </c>
      <c r="AW136" s="73">
        <v>0</v>
      </c>
      <c r="AX136" s="463">
        <f t="shared" si="3"/>
        <v>14256</v>
      </c>
    </row>
    <row r="137" spans="2:50" x14ac:dyDescent="0.25">
      <c r="R137" s="1"/>
      <c r="AA137" s="1"/>
      <c r="AB137" s="556" t="str">
        <f t="shared" ref="AB137" si="32">MID(AC137,2,3)</f>
        <v>123</v>
      </c>
      <c r="AC137" s="463" t="s">
        <v>406</v>
      </c>
      <c r="AD137" s="463" t="s">
        <v>360</v>
      </c>
      <c r="AE137" s="554" t="s">
        <v>138</v>
      </c>
      <c r="AF137" s="73">
        <v>1</v>
      </c>
      <c r="AG137" s="73">
        <f>Материалы!$H$171</f>
        <v>472.5</v>
      </c>
      <c r="AH137" s="73">
        <v>1</v>
      </c>
      <c r="AI137" s="73">
        <f>Материалы!$H$172</f>
        <v>472.5</v>
      </c>
      <c r="AJ137" s="73">
        <v>1</v>
      </c>
      <c r="AK137" s="73">
        <f>Материалы!$H$174</f>
        <v>1552</v>
      </c>
      <c r="AL137" s="73">
        <v>1</v>
      </c>
      <c r="AM137" s="73">
        <f>Материалы!$H$175</f>
        <v>1052</v>
      </c>
      <c r="AN137" s="73">
        <v>0</v>
      </c>
      <c r="AO137" s="73">
        <f>Материалы!$H$176</f>
        <v>1570</v>
      </c>
      <c r="AP137" s="73">
        <v>0</v>
      </c>
      <c r="AQ137" s="73">
        <f>Материалы!$H$177</f>
        <v>990.5</v>
      </c>
      <c r="AR137" s="73">
        <v>1</v>
      </c>
      <c r="AS137" s="73">
        <f>Материалы!$H$178</f>
        <v>5900</v>
      </c>
      <c r="AT137" s="73">
        <v>1</v>
      </c>
      <c r="AU137" s="73">
        <f>Материалы!$H$173</f>
        <v>4807</v>
      </c>
      <c r="AV137" s="73">
        <v>0</v>
      </c>
      <c r="AW137" s="73">
        <v>0</v>
      </c>
      <c r="AX137" s="463">
        <f t="shared" si="3"/>
        <v>14256</v>
      </c>
    </row>
    <row r="138" spans="2:50" ht="15.75" thickBot="1" x14ac:dyDescent="0.3">
      <c r="H138" s="14" t="s">
        <v>443</v>
      </c>
      <c r="AA138" s="1"/>
      <c r="AB138" s="556" t="str">
        <f t="shared" si="4"/>
        <v>124</v>
      </c>
      <c r="AC138" s="539" t="s">
        <v>407</v>
      </c>
      <c r="AD138" s="539" t="s">
        <v>363</v>
      </c>
      <c r="AE138" s="539" t="s">
        <v>137</v>
      </c>
      <c r="AF138" s="351">
        <v>1</v>
      </c>
      <c r="AG138" s="351">
        <f>Материалы!$H$171</f>
        <v>472.5</v>
      </c>
      <c r="AH138" s="351">
        <v>1</v>
      </c>
      <c r="AI138" s="351">
        <f>Материалы!$H$172</f>
        <v>472.5</v>
      </c>
      <c r="AJ138" s="351">
        <v>1</v>
      </c>
      <c r="AK138" s="351">
        <f>Материалы!$H$174</f>
        <v>1552</v>
      </c>
      <c r="AL138" s="351">
        <v>0</v>
      </c>
      <c r="AM138" s="351">
        <f>Материалы!$H$175</f>
        <v>1052</v>
      </c>
      <c r="AN138" s="351">
        <v>0</v>
      </c>
      <c r="AO138" s="351">
        <f>Материалы!$H$176</f>
        <v>1570</v>
      </c>
      <c r="AP138" s="351">
        <v>0</v>
      </c>
      <c r="AQ138" s="351">
        <f>Материалы!$H$177</f>
        <v>990.5</v>
      </c>
      <c r="AR138" s="351">
        <v>0</v>
      </c>
      <c r="AS138" s="351">
        <f>Материалы!$H$178</f>
        <v>5900</v>
      </c>
      <c r="AT138" s="351">
        <v>0</v>
      </c>
      <c r="AU138" s="351">
        <f>Материалы!$H$173</f>
        <v>4807</v>
      </c>
      <c r="AV138" s="351">
        <v>0</v>
      </c>
      <c r="AW138" s="351">
        <v>0</v>
      </c>
      <c r="AX138" s="539">
        <f t="shared" si="3"/>
        <v>2497</v>
      </c>
    </row>
    <row r="139" spans="2:50" ht="15.75" thickBot="1" x14ac:dyDescent="0.3">
      <c r="H139" s="39" t="s">
        <v>322</v>
      </c>
      <c r="I139" s="228" t="str">
        <f>IF($D$1=1,I142,IF($D$1=2,I141,I140))</f>
        <v/>
      </c>
      <c r="J139" s="228" t="e">
        <f t="shared" ref="J139:Q139" si="33">IF($D$1=1,J142,IF($D$1=2,J141,J140))</f>
        <v>#N/A</v>
      </c>
      <c r="K139" s="228" t="e">
        <f t="shared" si="33"/>
        <v>#N/A</v>
      </c>
      <c r="L139" s="228" t="e">
        <f t="shared" si="33"/>
        <v>#N/A</v>
      </c>
      <c r="M139" s="228" t="e">
        <f t="shared" si="33"/>
        <v>#N/A</v>
      </c>
      <c r="N139" s="228" t="e">
        <f t="shared" si="33"/>
        <v>#N/A</v>
      </c>
      <c r="O139" s="228" t="e">
        <f t="shared" si="33"/>
        <v>#N/A</v>
      </c>
      <c r="P139" s="228" t="e">
        <f t="shared" si="33"/>
        <v>#N/A</v>
      </c>
      <c r="Q139" s="228" t="e">
        <f t="shared" si="33"/>
        <v>#N/A</v>
      </c>
      <c r="AA139" s="1"/>
      <c r="AB139" s="556" t="str">
        <f t="shared" ref="AB139" si="34">MID(AC139,2,3)</f>
        <v>124</v>
      </c>
      <c r="AC139" s="539" t="s">
        <v>407</v>
      </c>
      <c r="AD139" s="539" t="s">
        <v>363</v>
      </c>
      <c r="AE139" s="539" t="s">
        <v>138</v>
      </c>
      <c r="AF139" s="351">
        <v>1</v>
      </c>
      <c r="AG139" s="351">
        <f>Материалы!$H$171</f>
        <v>472.5</v>
      </c>
      <c r="AH139" s="351">
        <v>1</v>
      </c>
      <c r="AI139" s="351">
        <f>Материалы!$H$172</f>
        <v>472.5</v>
      </c>
      <c r="AJ139" s="351">
        <v>1</v>
      </c>
      <c r="AK139" s="351">
        <f>Материалы!$H$174</f>
        <v>1552</v>
      </c>
      <c r="AL139" s="351">
        <v>0</v>
      </c>
      <c r="AM139" s="351">
        <f>Материалы!$H$175</f>
        <v>1052</v>
      </c>
      <c r="AN139" s="351">
        <v>0</v>
      </c>
      <c r="AO139" s="351">
        <f>Материалы!$H$176</f>
        <v>1570</v>
      </c>
      <c r="AP139" s="351">
        <v>0</v>
      </c>
      <c r="AQ139" s="351">
        <f>Материалы!$H$177</f>
        <v>990.5</v>
      </c>
      <c r="AR139" s="351">
        <v>0</v>
      </c>
      <c r="AS139" s="351">
        <f>Материалы!$H$178</f>
        <v>5900</v>
      </c>
      <c r="AT139" s="351">
        <v>0</v>
      </c>
      <c r="AU139" s="351">
        <f>Материалы!$H$173</f>
        <v>4807</v>
      </c>
      <c r="AV139" s="351">
        <v>0</v>
      </c>
      <c r="AW139" s="351">
        <v>0</v>
      </c>
      <c r="AX139" s="539">
        <f t="shared" si="3"/>
        <v>2497</v>
      </c>
    </row>
    <row r="140" spans="2:50" ht="19.5" customHeight="1" thickBot="1" x14ac:dyDescent="0.3">
      <c r="H140" s="39" t="s">
        <v>630</v>
      </c>
      <c r="I140" s="227" t="str">
        <f>D118</f>
        <v/>
      </c>
      <c r="J140" s="56" t="e">
        <f>VLOOKUP(I140,$I$144:$L$148,2,FALSE)</f>
        <v>#N/A</v>
      </c>
      <c r="K140" s="56" t="e">
        <f>VLOOKUP(I140,$I$144:$L$148,3,FALSE)-0.1</f>
        <v>#N/A</v>
      </c>
      <c r="L140" s="56" t="e">
        <f>VLOOKUP(I140,$I$144:$L$148,4)</f>
        <v>#N/A</v>
      </c>
      <c r="M140" s="56" t="e">
        <f>VLOOKUP(I140,$I$144:$M$148,5)</f>
        <v>#N/A</v>
      </c>
      <c r="N140" s="56" t="e">
        <f>VLOOKUP(I140,$I$144:$N$148,6)</f>
        <v>#N/A</v>
      </c>
      <c r="O140" s="56" t="e">
        <f>VLOOKUP(I140,$I$144:$O$148,7)</f>
        <v>#N/A</v>
      </c>
      <c r="P140" s="56" t="e">
        <f>VLOOKUP(I140,$I$144:$P$148,8)</f>
        <v>#N/A</v>
      </c>
      <c r="Q140" s="56" t="e">
        <f>VLOOKUP(I140,$I$144:$Q$148,9)</f>
        <v>#N/A</v>
      </c>
      <c r="R140" s="335"/>
      <c r="S140" s="335"/>
      <c r="T140" s="335"/>
      <c r="U140" s="336"/>
      <c r="AA140" s="1"/>
      <c r="AB140" s="556" t="str">
        <f t="shared" si="4"/>
        <v>124</v>
      </c>
      <c r="AC140" s="539" t="s">
        <v>407</v>
      </c>
      <c r="AD140" s="539" t="s">
        <v>360</v>
      </c>
      <c r="AE140" s="539" t="s">
        <v>137</v>
      </c>
      <c r="AF140" s="351">
        <v>1</v>
      </c>
      <c r="AG140" s="351">
        <f>Материалы!$H$171</f>
        <v>472.5</v>
      </c>
      <c r="AH140" s="351">
        <v>1</v>
      </c>
      <c r="AI140" s="351">
        <f>Материалы!$H$172</f>
        <v>472.5</v>
      </c>
      <c r="AJ140" s="351">
        <v>1</v>
      </c>
      <c r="AK140" s="351">
        <f>Материалы!$H$174</f>
        <v>1552</v>
      </c>
      <c r="AL140" s="351">
        <v>2</v>
      </c>
      <c r="AM140" s="351">
        <f>Материалы!$H$175</f>
        <v>1052</v>
      </c>
      <c r="AN140" s="351">
        <v>0</v>
      </c>
      <c r="AO140" s="351">
        <f>Материалы!$H$176</f>
        <v>1570</v>
      </c>
      <c r="AP140" s="351">
        <v>0</v>
      </c>
      <c r="AQ140" s="351">
        <f>Материалы!$H$177</f>
        <v>990.5</v>
      </c>
      <c r="AR140" s="351">
        <v>0</v>
      </c>
      <c r="AS140" s="351">
        <f>Материалы!$H$178</f>
        <v>5900</v>
      </c>
      <c r="AT140" s="351">
        <v>1</v>
      </c>
      <c r="AU140" s="351">
        <f>Материалы!$H$173</f>
        <v>4807</v>
      </c>
      <c r="AV140" s="351">
        <v>0</v>
      </c>
      <c r="AW140" s="351">
        <v>0</v>
      </c>
      <c r="AX140" s="539">
        <f t="shared" si="3"/>
        <v>9408</v>
      </c>
    </row>
    <row r="141" spans="2:50" ht="15.75" thickBot="1" x14ac:dyDescent="0.3">
      <c r="H141" s="39" t="s">
        <v>321</v>
      </c>
      <c r="I141" s="56" t="str">
        <f>C118</f>
        <v/>
      </c>
      <c r="J141" s="56" t="e">
        <f>VLOOKUP(I141,$I$144:$L$148,2,FALSE)</f>
        <v>#N/A</v>
      </c>
      <c r="K141" s="56" t="e">
        <f>VLOOKUP(I141,$I$144:$L$148,3,FALSE)-0.1</f>
        <v>#N/A</v>
      </c>
      <c r="L141" s="56" t="e">
        <f>VLOOKUP(I141,$I$144:$L$148,4)</f>
        <v>#N/A</v>
      </c>
      <c r="M141" s="56" t="e">
        <f>VLOOKUP(I141,$I$144:$M$148,5)</f>
        <v>#N/A</v>
      </c>
      <c r="N141" s="56" t="e">
        <f>VLOOKUP(I141,$I$144:$N$148,6)</f>
        <v>#N/A</v>
      </c>
      <c r="O141" s="56" t="e">
        <f>VLOOKUP(I141,$I$144:$O$148,7)</f>
        <v>#N/A</v>
      </c>
      <c r="P141" s="56" t="e">
        <f>VLOOKUP(I141,$I$144:$P$148,8)</f>
        <v>#N/A</v>
      </c>
      <c r="Q141" s="56" t="e">
        <f>VLOOKUP(I141,$I$144:$Q$148,9)</f>
        <v>#N/A</v>
      </c>
      <c r="R141" s="1"/>
      <c r="S141" s="1"/>
      <c r="AA141" s="1"/>
      <c r="AB141" s="556" t="str">
        <f t="shared" ref="AB141" si="35">MID(AC141,2,3)</f>
        <v>124</v>
      </c>
      <c r="AC141" s="539" t="s">
        <v>407</v>
      </c>
      <c r="AD141" s="539" t="s">
        <v>360</v>
      </c>
      <c r="AE141" s="539" t="s">
        <v>138</v>
      </c>
      <c r="AF141" s="351">
        <v>1</v>
      </c>
      <c r="AG141" s="351">
        <f>Материалы!$H$171</f>
        <v>472.5</v>
      </c>
      <c r="AH141" s="351">
        <v>1</v>
      </c>
      <c r="AI141" s="351">
        <f>Материалы!$H$172</f>
        <v>472.5</v>
      </c>
      <c r="AJ141" s="351">
        <v>1</v>
      </c>
      <c r="AK141" s="351">
        <f>Материалы!$H$174</f>
        <v>1552</v>
      </c>
      <c r="AL141" s="351">
        <v>2</v>
      </c>
      <c r="AM141" s="351">
        <f>Материалы!$H$175</f>
        <v>1052</v>
      </c>
      <c r="AN141" s="351">
        <v>0</v>
      </c>
      <c r="AO141" s="351">
        <f>Материалы!$H$176</f>
        <v>1570</v>
      </c>
      <c r="AP141" s="351">
        <v>0</v>
      </c>
      <c r="AQ141" s="351">
        <f>Материалы!$H$177</f>
        <v>990.5</v>
      </c>
      <c r="AR141" s="351">
        <v>0</v>
      </c>
      <c r="AS141" s="351">
        <f>Материалы!$H$178</f>
        <v>5900</v>
      </c>
      <c r="AT141" s="351">
        <v>1</v>
      </c>
      <c r="AU141" s="351">
        <f>Материалы!$H$173</f>
        <v>4807</v>
      </c>
      <c r="AV141" s="351">
        <v>0</v>
      </c>
      <c r="AW141" s="351">
        <v>0</v>
      </c>
      <c r="AX141" s="539">
        <f t="shared" si="3"/>
        <v>9408</v>
      </c>
    </row>
    <row r="142" spans="2:50" ht="29.25" thickBot="1" x14ac:dyDescent="0.3">
      <c r="E142" s="34"/>
      <c r="F142" s="34"/>
      <c r="H142" s="39" t="s">
        <v>320</v>
      </c>
      <c r="I142" s="219" t="str">
        <f>INDEX(H144:H148,INDEX(MATCH(1=1,H144:H148&lt;&gt;"",),))</f>
        <v>А1Н00020</v>
      </c>
      <c r="J142" s="219"/>
      <c r="K142" s="219">
        <f>VLOOKUP(I142,$I$144:$L$148,3,FALSE)</f>
        <v>1.9</v>
      </c>
      <c r="L142" s="219">
        <f>VLOOKUP(I142,I144:L148,4)</f>
        <v>4</v>
      </c>
      <c r="M142" s="219" t="str">
        <f>VLOOKUP(I142,I144:M148,5)</f>
        <v>4А 1п.</v>
      </c>
      <c r="N142" s="219" t="str">
        <f>VLOOKUP(I142,I144:N148,6)</f>
        <v>2СО, 230В</v>
      </c>
      <c r="O142" s="219" t="str">
        <f>VLOOKUP(I142,I144:O148,7)</f>
        <v>LC1D09P7</v>
      </c>
      <c r="P142" s="219">
        <f>VLOOKUP(I142,I144:P148,8)</f>
        <v>2.5</v>
      </c>
      <c r="Q142" s="337">
        <f>VLOOKUP(I142,I144:Q148,9)</f>
        <v>1.5</v>
      </c>
      <c r="R142" s="34"/>
      <c r="S142" s="34"/>
      <c r="T142" s="34"/>
      <c r="U142" s="1"/>
      <c r="AA142" s="1"/>
      <c r="AB142" s="468" t="str">
        <f t="shared" si="4"/>
        <v>130</v>
      </c>
      <c r="AC142" s="463" t="s">
        <v>93</v>
      </c>
      <c r="AD142" s="463" t="s">
        <v>363</v>
      </c>
      <c r="AE142" s="463" t="s">
        <v>137</v>
      </c>
      <c r="AF142" s="73">
        <v>1</v>
      </c>
      <c r="AG142" s="73">
        <f>Материалы!$H$171</f>
        <v>472.5</v>
      </c>
      <c r="AH142" s="73">
        <v>1</v>
      </c>
      <c r="AI142" s="73">
        <f>Материалы!$H$172</f>
        <v>472.5</v>
      </c>
      <c r="AJ142" s="73">
        <v>1</v>
      </c>
      <c r="AK142" s="73">
        <f>Материалы!$H$174</f>
        <v>1552</v>
      </c>
      <c r="AL142" s="73">
        <v>0</v>
      </c>
      <c r="AM142" s="73">
        <f>Материалы!$H$175</f>
        <v>1052</v>
      </c>
      <c r="AN142" s="73">
        <v>0</v>
      </c>
      <c r="AO142" s="73">
        <f>Материалы!$H$176</f>
        <v>1570</v>
      </c>
      <c r="AP142" s="73">
        <v>0</v>
      </c>
      <c r="AQ142" s="73">
        <f>Материалы!$H$177</f>
        <v>990.5</v>
      </c>
      <c r="AR142" s="73">
        <v>0</v>
      </c>
      <c r="AS142" s="73">
        <f>Материалы!$H$178</f>
        <v>5900</v>
      </c>
      <c r="AT142" s="73">
        <v>0</v>
      </c>
      <c r="AU142" s="73">
        <f>Материалы!$H$173</f>
        <v>4807</v>
      </c>
      <c r="AV142" s="73">
        <v>0</v>
      </c>
      <c r="AW142" s="73">
        <v>0</v>
      </c>
      <c r="AX142" s="463">
        <f t="shared" si="3"/>
        <v>2497</v>
      </c>
    </row>
    <row r="143" spans="2:50" x14ac:dyDescent="0.25">
      <c r="E143" s="195"/>
      <c r="F143" s="195"/>
      <c r="H143" s="16"/>
      <c r="I143" s="41" t="s">
        <v>78</v>
      </c>
      <c r="J143" s="28" t="s">
        <v>69</v>
      </c>
      <c r="K143" s="28"/>
      <c r="L143" s="41" t="s">
        <v>121</v>
      </c>
      <c r="M143" s="41" t="s">
        <v>121</v>
      </c>
      <c r="N143" s="27" t="s">
        <v>47</v>
      </c>
      <c r="O143" s="27" t="s">
        <v>47</v>
      </c>
      <c r="P143" s="44" t="s">
        <v>54</v>
      </c>
      <c r="Q143" s="43" t="s">
        <v>160</v>
      </c>
      <c r="R143" s="1"/>
      <c r="S143" s="1"/>
      <c r="T143" s="204"/>
      <c r="AA143" s="1"/>
      <c r="AB143" s="468" t="str">
        <f t="shared" ref="AB143" si="36">MID(AC143,2,3)</f>
        <v>130</v>
      </c>
      <c r="AC143" s="463" t="s">
        <v>93</v>
      </c>
      <c r="AD143" s="463" t="s">
        <v>363</v>
      </c>
      <c r="AE143" s="554" t="s">
        <v>138</v>
      </c>
      <c r="AF143" s="73">
        <v>1</v>
      </c>
      <c r="AG143" s="73">
        <f>Материалы!$H$171</f>
        <v>472.5</v>
      </c>
      <c r="AH143" s="73">
        <v>1</v>
      </c>
      <c r="AI143" s="73">
        <f>Материалы!$H$172</f>
        <v>472.5</v>
      </c>
      <c r="AJ143" s="73">
        <v>1</v>
      </c>
      <c r="AK143" s="73">
        <f>Материалы!$H$174</f>
        <v>1552</v>
      </c>
      <c r="AL143" s="73">
        <v>0</v>
      </c>
      <c r="AM143" s="73">
        <f>Материалы!$H$175</f>
        <v>1052</v>
      </c>
      <c r="AN143" s="73">
        <v>0</v>
      </c>
      <c r="AO143" s="73">
        <f>Материалы!$H$176</f>
        <v>1570</v>
      </c>
      <c r="AP143" s="73">
        <v>0</v>
      </c>
      <c r="AQ143" s="73">
        <f>Материалы!$H$177</f>
        <v>990.5</v>
      </c>
      <c r="AR143" s="73">
        <v>0</v>
      </c>
      <c r="AS143" s="73">
        <f>Материалы!$H$178</f>
        <v>5900</v>
      </c>
      <c r="AT143" s="73">
        <v>0</v>
      </c>
      <c r="AU143" s="73">
        <f>Материалы!$H$173</f>
        <v>4807</v>
      </c>
      <c r="AV143" s="73">
        <v>0</v>
      </c>
      <c r="AW143" s="73">
        <v>0</v>
      </c>
      <c r="AX143" s="463">
        <f t="shared" si="3"/>
        <v>2497</v>
      </c>
    </row>
    <row r="144" spans="2:50" x14ac:dyDescent="0.25">
      <c r="E144" s="1"/>
      <c r="F144" s="1"/>
      <c r="H144" s="11" t="str">
        <f>IF(AND(J144&lt;=Главная!$L$23,Главная!$L$23&lt;K144),I144,"")</f>
        <v/>
      </c>
      <c r="I144" s="42" t="s">
        <v>133</v>
      </c>
      <c r="J144" s="56">
        <v>0.1</v>
      </c>
      <c r="K144" s="56">
        <v>0.9</v>
      </c>
      <c r="L144" s="42">
        <v>2</v>
      </c>
      <c r="M144" s="42" t="str">
        <f>Материалы!E40</f>
        <v>2А 1п.</v>
      </c>
      <c r="N144" s="9" t="str">
        <f>Материалы!D57</f>
        <v>2СО, 230В</v>
      </c>
      <c r="O144" s="9" t="str">
        <f>Материалы!E57</f>
        <v>Р_2_230</v>
      </c>
      <c r="P144" s="9">
        <v>2.5</v>
      </c>
      <c r="Q144" s="9">
        <v>1.5</v>
      </c>
      <c r="R144" s="1"/>
      <c r="S144" s="1"/>
      <c r="T144" s="204"/>
      <c r="U144" s="109"/>
      <c r="AA144" s="1"/>
      <c r="AB144" s="468" t="str">
        <f t="shared" si="4"/>
        <v>130</v>
      </c>
      <c r="AC144" s="463" t="s">
        <v>93</v>
      </c>
      <c r="AD144" s="463" t="s">
        <v>360</v>
      </c>
      <c r="AE144" s="463" t="s">
        <v>137</v>
      </c>
      <c r="AF144" s="73">
        <v>1</v>
      </c>
      <c r="AG144" s="73">
        <f>Материалы!$H$171</f>
        <v>472.5</v>
      </c>
      <c r="AH144" s="73">
        <v>1</v>
      </c>
      <c r="AI144" s="73">
        <f>Материалы!$H$172</f>
        <v>472.5</v>
      </c>
      <c r="AJ144" s="73">
        <v>1</v>
      </c>
      <c r="AK144" s="73">
        <f>Материалы!$H$174</f>
        <v>1552</v>
      </c>
      <c r="AL144" s="73">
        <v>2</v>
      </c>
      <c r="AM144" s="73">
        <f>Материалы!$H$175</f>
        <v>1052</v>
      </c>
      <c r="AN144" s="73">
        <v>0</v>
      </c>
      <c r="AO144" s="73">
        <f>Материалы!$H$176</f>
        <v>1570</v>
      </c>
      <c r="AP144" s="73">
        <v>0</v>
      </c>
      <c r="AQ144" s="73">
        <f>Материалы!$H$177</f>
        <v>990.5</v>
      </c>
      <c r="AR144" s="73">
        <v>0</v>
      </c>
      <c r="AS144" s="73">
        <f>Материалы!$H$178</f>
        <v>5900</v>
      </c>
      <c r="AT144" s="73">
        <v>1</v>
      </c>
      <c r="AU144" s="73">
        <f>Материалы!$H$173</f>
        <v>4807</v>
      </c>
      <c r="AV144" s="73">
        <v>1</v>
      </c>
      <c r="AW144" s="73">
        <v>0</v>
      </c>
      <c r="AX144" s="463">
        <f t="shared" si="3"/>
        <v>9408</v>
      </c>
    </row>
    <row r="145" spans="4:50" x14ac:dyDescent="0.25">
      <c r="E145" s="195"/>
      <c r="F145" s="195"/>
      <c r="H145" s="11" t="str">
        <f>IF(AND(J145&lt;=Главная!$L$23,Главная!$L$23&lt;K145),I145,"")</f>
        <v>А1Н00020</v>
      </c>
      <c r="I145" s="42" t="s">
        <v>134</v>
      </c>
      <c r="J145" s="9">
        <v>0.9</v>
      </c>
      <c r="K145" s="9">
        <v>1.9</v>
      </c>
      <c r="L145" s="42">
        <v>4</v>
      </c>
      <c r="M145" s="42" t="str">
        <f>Материалы!E41</f>
        <v>4А 1п.</v>
      </c>
      <c r="N145" s="9" t="str">
        <f>Материалы!D57</f>
        <v>2СО, 230В</v>
      </c>
      <c r="O145" s="9" t="str">
        <f>Материалы!E45</f>
        <v>LC1D09P7</v>
      </c>
      <c r="P145" s="9">
        <v>2.5</v>
      </c>
      <c r="Q145" s="9">
        <v>1.5</v>
      </c>
      <c r="R145" s="1"/>
      <c r="S145" s="1"/>
      <c r="T145" s="204"/>
      <c r="U145" s="109"/>
      <c r="AA145" s="1"/>
      <c r="AB145" s="468" t="str">
        <f t="shared" ref="AB145" si="37">MID(AC145,2,3)</f>
        <v>130</v>
      </c>
      <c r="AC145" s="463" t="s">
        <v>93</v>
      </c>
      <c r="AD145" s="463" t="s">
        <v>360</v>
      </c>
      <c r="AE145" s="554" t="s">
        <v>138</v>
      </c>
      <c r="AF145" s="73">
        <v>1</v>
      </c>
      <c r="AG145" s="73">
        <f>Материалы!$H$171</f>
        <v>472.5</v>
      </c>
      <c r="AH145" s="73">
        <v>1</v>
      </c>
      <c r="AI145" s="73">
        <f>Материалы!$H$172</f>
        <v>472.5</v>
      </c>
      <c r="AJ145" s="73">
        <v>1</v>
      </c>
      <c r="AK145" s="73">
        <f>Материалы!$H$174</f>
        <v>1552</v>
      </c>
      <c r="AL145" s="73">
        <v>2</v>
      </c>
      <c r="AM145" s="73">
        <f>Материалы!$H$175</f>
        <v>1052</v>
      </c>
      <c r="AN145" s="73">
        <v>0</v>
      </c>
      <c r="AO145" s="73">
        <f>Материалы!$H$176</f>
        <v>1570</v>
      </c>
      <c r="AP145" s="73">
        <v>0</v>
      </c>
      <c r="AQ145" s="73">
        <f>Материалы!$H$177</f>
        <v>990.5</v>
      </c>
      <c r="AR145" s="73">
        <v>0</v>
      </c>
      <c r="AS145" s="73">
        <f>Материалы!$H$178</f>
        <v>5900</v>
      </c>
      <c r="AT145" s="73">
        <v>1</v>
      </c>
      <c r="AU145" s="73">
        <f>Материалы!$H$173</f>
        <v>4807</v>
      </c>
      <c r="AV145" s="73">
        <v>1</v>
      </c>
      <c r="AW145" s="178">
        <f>U122</f>
        <v>4695</v>
      </c>
      <c r="AX145" s="463">
        <f t="shared" si="3"/>
        <v>14103</v>
      </c>
    </row>
    <row r="146" spans="4:50" x14ac:dyDescent="0.25">
      <c r="E146" s="1"/>
      <c r="F146" s="1"/>
      <c r="H146" s="11" t="str">
        <f>IF(AND(J146&lt;=Главная!$L$23,Главная!$L$23&lt;K146),I146,"")</f>
        <v/>
      </c>
      <c r="I146" s="42" t="s">
        <v>135</v>
      </c>
      <c r="J146" s="9">
        <v>1.9</v>
      </c>
      <c r="K146" s="9">
        <v>2.9</v>
      </c>
      <c r="L146" s="42">
        <v>6</v>
      </c>
      <c r="M146" s="246" t="str">
        <f>Материалы!E37</f>
        <v>6А 1п.</v>
      </c>
      <c r="N146" s="9" t="str">
        <f>Материалы!D57</f>
        <v>2СО, 230В</v>
      </c>
      <c r="O146" s="9" t="str">
        <f>Материалы!E45</f>
        <v>LC1D09P7</v>
      </c>
      <c r="P146" s="9">
        <v>2.5</v>
      </c>
      <c r="Q146" s="9">
        <v>1.5</v>
      </c>
      <c r="R146" s="1"/>
      <c r="S146" s="1"/>
      <c r="T146" s="204"/>
      <c r="U146" s="109"/>
      <c r="AA146" s="1"/>
      <c r="AB146" s="468" t="str">
        <f t="shared" si="4"/>
        <v>131</v>
      </c>
      <c r="AC146" s="540" t="s">
        <v>94</v>
      </c>
      <c r="AD146" s="540" t="s">
        <v>363</v>
      </c>
      <c r="AE146" s="540" t="s">
        <v>137</v>
      </c>
      <c r="AF146" s="285">
        <v>1</v>
      </c>
      <c r="AG146" s="285">
        <f>Материалы!$H$171</f>
        <v>472.5</v>
      </c>
      <c r="AH146" s="285">
        <v>1</v>
      </c>
      <c r="AI146" s="285">
        <f>Материалы!$H$172</f>
        <v>472.5</v>
      </c>
      <c r="AJ146" s="285">
        <v>1</v>
      </c>
      <c r="AK146" s="285">
        <f>Материалы!$H$174</f>
        <v>1552</v>
      </c>
      <c r="AL146" s="285">
        <v>0</v>
      </c>
      <c r="AM146" s="285">
        <f>Материалы!$H$175</f>
        <v>1052</v>
      </c>
      <c r="AN146" s="285">
        <v>0</v>
      </c>
      <c r="AO146" s="285">
        <f>Материалы!$H$176</f>
        <v>1570</v>
      </c>
      <c r="AP146" s="285">
        <v>0</v>
      </c>
      <c r="AQ146" s="285">
        <f>Материалы!$H$177</f>
        <v>990.5</v>
      </c>
      <c r="AR146" s="285">
        <v>0</v>
      </c>
      <c r="AS146" s="285">
        <f>Материалы!$H$178</f>
        <v>5900</v>
      </c>
      <c r="AT146" s="285">
        <v>0</v>
      </c>
      <c r="AU146" s="285">
        <f>Материалы!$H$173</f>
        <v>4807</v>
      </c>
      <c r="AV146" s="285">
        <v>0</v>
      </c>
      <c r="AW146" s="285">
        <v>0</v>
      </c>
      <c r="AX146" s="540">
        <f t="shared" si="3"/>
        <v>2497</v>
      </c>
    </row>
    <row r="147" spans="4:50" x14ac:dyDescent="0.25">
      <c r="E147" s="195"/>
      <c r="F147" s="195"/>
      <c r="H147" s="334" t="str">
        <f>IF(AND(J147&lt;=Главная!$L$23,Главная!$L$23&lt;K147),I147,"")</f>
        <v/>
      </c>
      <c r="I147" s="246" t="s">
        <v>136</v>
      </c>
      <c r="J147" s="22">
        <v>2.9</v>
      </c>
      <c r="K147" s="22">
        <v>4.9000000000000004</v>
      </c>
      <c r="L147" s="246">
        <v>10</v>
      </c>
      <c r="M147" s="42" t="str">
        <f>Материалы!E42</f>
        <v>10А 1п.</v>
      </c>
      <c r="N147" s="22">
        <f>Материалы!D45</f>
        <v>9</v>
      </c>
      <c r="O147" s="22" t="str">
        <f>Материалы!E45</f>
        <v>LC1D09P7</v>
      </c>
      <c r="P147" s="22">
        <v>2.5</v>
      </c>
      <c r="Q147" s="9">
        <v>2.5</v>
      </c>
      <c r="R147" s="1"/>
      <c r="S147" s="1"/>
      <c r="T147" s="204"/>
      <c r="U147" s="109"/>
      <c r="AA147" s="1"/>
      <c r="AB147" s="468" t="str">
        <f t="shared" ref="AB147" si="38">MID(AC147,2,3)</f>
        <v>131</v>
      </c>
      <c r="AC147" s="540" t="s">
        <v>94</v>
      </c>
      <c r="AD147" s="540" t="s">
        <v>363</v>
      </c>
      <c r="AE147" s="540" t="s">
        <v>138</v>
      </c>
      <c r="AF147" s="285">
        <v>1</v>
      </c>
      <c r="AG147" s="285">
        <f>Материалы!$H$171</f>
        <v>472.5</v>
      </c>
      <c r="AH147" s="285">
        <v>1</v>
      </c>
      <c r="AI147" s="285">
        <f>Материалы!$H$172</f>
        <v>472.5</v>
      </c>
      <c r="AJ147" s="285">
        <v>1</v>
      </c>
      <c r="AK147" s="285">
        <f>Материалы!$H$174</f>
        <v>1552</v>
      </c>
      <c r="AL147" s="285">
        <v>0</v>
      </c>
      <c r="AM147" s="285">
        <f>Материалы!$H$175</f>
        <v>1052</v>
      </c>
      <c r="AN147" s="285">
        <v>0</v>
      </c>
      <c r="AO147" s="285">
        <f>Материалы!$H$176</f>
        <v>1570</v>
      </c>
      <c r="AP147" s="285">
        <v>0</v>
      </c>
      <c r="AQ147" s="285">
        <f>Материалы!$H$177</f>
        <v>990.5</v>
      </c>
      <c r="AR147" s="285">
        <v>0</v>
      </c>
      <c r="AS147" s="285">
        <f>Материалы!$H$178</f>
        <v>5900</v>
      </c>
      <c r="AT147" s="285">
        <v>0</v>
      </c>
      <c r="AU147" s="285">
        <f>Материалы!$H$173</f>
        <v>4807</v>
      </c>
      <c r="AV147" s="285">
        <v>0</v>
      </c>
      <c r="AW147" s="285">
        <v>0</v>
      </c>
      <c r="AX147" s="540">
        <f t="shared" ref="AX147:AX210" si="39">AF147*AG147+AH147*AI147+AJ147*AK147+AL147*AM147+AN147*AO147+AP147*AQ147+AR147*AS147+AT147*AU147+AV147*AW147</f>
        <v>2497</v>
      </c>
    </row>
    <row r="148" spans="4:50" x14ac:dyDescent="0.25">
      <c r="E148" s="1"/>
      <c r="F148" s="1"/>
      <c r="H148" s="11" t="str">
        <f>IF(AND(J148&lt;=Главная!$L$23,Главная!$L$23&lt;K148),I148,"")</f>
        <v/>
      </c>
      <c r="I148" s="42" t="s">
        <v>412</v>
      </c>
      <c r="J148" s="9">
        <v>4.9000000000000004</v>
      </c>
      <c r="K148" s="9">
        <v>7.2</v>
      </c>
      <c r="L148" s="42">
        <v>16</v>
      </c>
      <c r="M148" s="42" t="str">
        <f>Материалы!E38</f>
        <v>16А 1п.</v>
      </c>
      <c r="N148" s="9">
        <f>Материалы!D45</f>
        <v>9</v>
      </c>
      <c r="O148" s="9" t="str">
        <f>Материалы!E45</f>
        <v>LC1D09P7</v>
      </c>
      <c r="P148" s="9">
        <v>2.5</v>
      </c>
      <c r="Q148" s="9">
        <v>2.5</v>
      </c>
      <c r="R148" s="1"/>
      <c r="S148" s="1"/>
      <c r="T148" s="1"/>
      <c r="U148" s="1"/>
      <c r="AA148" s="1"/>
      <c r="AB148" s="468" t="str">
        <f t="shared" si="4"/>
        <v>131</v>
      </c>
      <c r="AC148" s="540" t="s">
        <v>94</v>
      </c>
      <c r="AD148" s="540" t="s">
        <v>360</v>
      </c>
      <c r="AE148" s="540" t="s">
        <v>137</v>
      </c>
      <c r="AF148" s="285">
        <v>1</v>
      </c>
      <c r="AG148" s="285">
        <f>Материалы!$H$171</f>
        <v>472.5</v>
      </c>
      <c r="AH148" s="285">
        <v>1</v>
      </c>
      <c r="AI148" s="285">
        <f>Материалы!$H$172</f>
        <v>472.5</v>
      </c>
      <c r="AJ148" s="285">
        <v>1</v>
      </c>
      <c r="AK148" s="285">
        <f>Материалы!$H$174</f>
        <v>1552</v>
      </c>
      <c r="AL148" s="546">
        <v>2</v>
      </c>
      <c r="AM148" s="285">
        <f>Материалы!$H$175</f>
        <v>1052</v>
      </c>
      <c r="AN148" s="285">
        <v>0</v>
      </c>
      <c r="AO148" s="285">
        <f>Материалы!$H$176</f>
        <v>1570</v>
      </c>
      <c r="AP148" s="285">
        <v>0</v>
      </c>
      <c r="AQ148" s="285">
        <f>Материалы!$H$177</f>
        <v>990.5</v>
      </c>
      <c r="AR148" s="285">
        <v>0</v>
      </c>
      <c r="AS148" s="285">
        <f>Материалы!$H$178</f>
        <v>5900</v>
      </c>
      <c r="AT148" s="285">
        <v>1</v>
      </c>
      <c r="AU148" s="285">
        <f>Материалы!$H$173</f>
        <v>4807</v>
      </c>
      <c r="AV148" s="285">
        <v>1</v>
      </c>
      <c r="AW148" s="285">
        <v>0</v>
      </c>
      <c r="AX148" s="540">
        <f t="shared" si="39"/>
        <v>9408</v>
      </c>
    </row>
    <row r="149" spans="4:50" x14ac:dyDescent="0.25"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04"/>
      <c r="U149" s="109"/>
      <c r="AA149" s="1"/>
      <c r="AB149" s="468" t="str">
        <f t="shared" ref="AB149" si="40">MID(AC149,2,3)</f>
        <v>131</v>
      </c>
      <c r="AC149" s="540" t="s">
        <v>94</v>
      </c>
      <c r="AD149" s="540" t="s">
        <v>360</v>
      </c>
      <c r="AE149" s="540" t="s">
        <v>138</v>
      </c>
      <c r="AF149" s="285">
        <v>1</v>
      </c>
      <c r="AG149" s="285">
        <f>Материалы!$H$171</f>
        <v>472.5</v>
      </c>
      <c r="AH149" s="285">
        <v>1</v>
      </c>
      <c r="AI149" s="285">
        <f>Материалы!$H$172</f>
        <v>472.5</v>
      </c>
      <c r="AJ149" s="285">
        <v>1</v>
      </c>
      <c r="AK149" s="285">
        <f>Материалы!$H$174</f>
        <v>1552</v>
      </c>
      <c r="AL149" s="546">
        <v>2</v>
      </c>
      <c r="AM149" s="285">
        <f>Материалы!$H$175</f>
        <v>1052</v>
      </c>
      <c r="AN149" s="285">
        <v>0</v>
      </c>
      <c r="AO149" s="285">
        <f>Материалы!$H$176</f>
        <v>1570</v>
      </c>
      <c r="AP149" s="285">
        <v>0</v>
      </c>
      <c r="AQ149" s="285">
        <f>Материалы!$H$177</f>
        <v>990.5</v>
      </c>
      <c r="AR149" s="285">
        <v>0</v>
      </c>
      <c r="AS149" s="285">
        <f>Материалы!$H$178</f>
        <v>5900</v>
      </c>
      <c r="AT149" s="285">
        <v>1</v>
      </c>
      <c r="AU149" s="285">
        <f>Материалы!$H$173</f>
        <v>4807</v>
      </c>
      <c r="AV149" s="285">
        <v>1</v>
      </c>
      <c r="AW149" s="524">
        <f>U122</f>
        <v>4695</v>
      </c>
      <c r="AX149" s="540">
        <f t="shared" si="39"/>
        <v>14103</v>
      </c>
    </row>
    <row r="150" spans="4:50" x14ac:dyDescent="0.25">
      <c r="E150" s="34"/>
      <c r="F150" s="34"/>
      <c r="H150" s="4" t="s">
        <v>444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04"/>
      <c r="U150" s="109"/>
      <c r="AA150" s="1"/>
      <c r="AB150" s="468" t="str">
        <f t="shared" si="4"/>
        <v>132</v>
      </c>
      <c r="AC150" s="463" t="s">
        <v>95</v>
      </c>
      <c r="AD150" s="463" t="s">
        <v>363</v>
      </c>
      <c r="AE150" s="463" t="s">
        <v>137</v>
      </c>
      <c r="AF150" s="73">
        <v>1</v>
      </c>
      <c r="AG150" s="73">
        <f>Материалы!$H$171</f>
        <v>472.5</v>
      </c>
      <c r="AH150" s="73">
        <v>1</v>
      </c>
      <c r="AI150" s="73">
        <f>Материалы!$H$172</f>
        <v>472.5</v>
      </c>
      <c r="AJ150" s="73">
        <v>1</v>
      </c>
      <c r="AK150" s="73">
        <f>Материалы!$H$174</f>
        <v>1552</v>
      </c>
      <c r="AL150" s="307">
        <v>2</v>
      </c>
      <c r="AM150" s="73">
        <f>Материалы!$H$175</f>
        <v>1052</v>
      </c>
      <c r="AN150" s="73">
        <v>0</v>
      </c>
      <c r="AO150" s="73">
        <f>Материалы!$H$176</f>
        <v>1570</v>
      </c>
      <c r="AP150" s="73">
        <v>0</v>
      </c>
      <c r="AQ150" s="73">
        <f>Материалы!$H$177</f>
        <v>990.5</v>
      </c>
      <c r="AR150" s="73">
        <v>0</v>
      </c>
      <c r="AS150" s="73">
        <f>Материалы!$H$178</f>
        <v>5900</v>
      </c>
      <c r="AT150" s="73">
        <v>0</v>
      </c>
      <c r="AU150" s="73">
        <f>Материалы!$H$173</f>
        <v>4807</v>
      </c>
      <c r="AV150" s="73">
        <v>0</v>
      </c>
      <c r="AW150" s="73">
        <v>0</v>
      </c>
      <c r="AX150" s="463">
        <f t="shared" si="39"/>
        <v>4601</v>
      </c>
    </row>
    <row r="151" spans="4:50" ht="21.75" customHeight="1" thickBot="1" x14ac:dyDescent="0.3">
      <c r="H151" s="338" t="s">
        <v>322</v>
      </c>
      <c r="I151" s="226" t="str">
        <f>IF($D$1=1,I154,IF($D$1=2,I153,I152))</f>
        <v/>
      </c>
      <c r="J151" s="226" t="e">
        <f t="shared" ref="J151:Q151" si="41">IF($D$1=1,J154,IF($D$1=2,J153,J152))</f>
        <v>#N/A</v>
      </c>
      <c r="K151" s="226" t="e">
        <f t="shared" si="41"/>
        <v>#N/A</v>
      </c>
      <c r="L151" s="226" t="e">
        <f t="shared" si="41"/>
        <v>#N/A</v>
      </c>
      <c r="M151" s="226" t="e">
        <f t="shared" si="41"/>
        <v>#N/A</v>
      </c>
      <c r="N151" s="226" t="e">
        <f t="shared" si="41"/>
        <v>#N/A</v>
      </c>
      <c r="O151" s="226" t="e">
        <f t="shared" si="41"/>
        <v>#N/A</v>
      </c>
      <c r="P151" s="226" t="e">
        <f t="shared" si="41"/>
        <v>#N/A</v>
      </c>
      <c r="Q151" s="226" t="e">
        <f t="shared" si="41"/>
        <v>#N/A</v>
      </c>
      <c r="R151" s="1"/>
      <c r="S151" s="1"/>
      <c r="AA151" s="1"/>
      <c r="AB151" s="468" t="str">
        <f t="shared" ref="AB151" si="42">MID(AC151,2,3)</f>
        <v>132</v>
      </c>
      <c r="AC151" s="463" t="s">
        <v>95</v>
      </c>
      <c r="AD151" s="463" t="s">
        <v>363</v>
      </c>
      <c r="AE151" s="554" t="s">
        <v>138</v>
      </c>
      <c r="AF151" s="73">
        <v>1</v>
      </c>
      <c r="AG151" s="73">
        <f>Материалы!$H$171</f>
        <v>472.5</v>
      </c>
      <c r="AH151" s="73">
        <v>1</v>
      </c>
      <c r="AI151" s="73">
        <f>Материалы!$H$172</f>
        <v>472.5</v>
      </c>
      <c r="AJ151" s="73">
        <v>1</v>
      </c>
      <c r="AK151" s="73">
        <f>Материалы!$H$174</f>
        <v>1552</v>
      </c>
      <c r="AL151" s="307">
        <v>2</v>
      </c>
      <c r="AM151" s="73">
        <f>Материалы!$H$175</f>
        <v>1052</v>
      </c>
      <c r="AN151" s="73">
        <v>0</v>
      </c>
      <c r="AO151" s="73">
        <f>Материалы!$H$176</f>
        <v>1570</v>
      </c>
      <c r="AP151" s="73">
        <v>0</v>
      </c>
      <c r="AQ151" s="73">
        <f>Материалы!$H$177</f>
        <v>990.5</v>
      </c>
      <c r="AR151" s="73">
        <v>0</v>
      </c>
      <c r="AS151" s="73">
        <f>Материалы!$H$178</f>
        <v>5900</v>
      </c>
      <c r="AT151" s="73">
        <v>0</v>
      </c>
      <c r="AU151" s="73">
        <f>Материалы!$H$173</f>
        <v>4807</v>
      </c>
      <c r="AV151" s="73">
        <v>0</v>
      </c>
      <c r="AW151" s="73">
        <v>0</v>
      </c>
      <c r="AX151" s="463">
        <f t="shared" si="39"/>
        <v>4601</v>
      </c>
    </row>
    <row r="152" spans="4:50" ht="19.5" customHeight="1" thickBot="1" x14ac:dyDescent="0.3">
      <c r="H152" s="39" t="s">
        <v>630</v>
      </c>
      <c r="I152" s="227" t="str">
        <f>D118</f>
        <v/>
      </c>
      <c r="J152" s="227" t="e">
        <f>VLOOKUP(I152,I156:M160,2,FALSE)</f>
        <v>#N/A</v>
      </c>
      <c r="K152" s="227" t="e">
        <f>VLOOKUP(I152,I156:M160,3,FALSE)-0.1</f>
        <v>#N/A</v>
      </c>
      <c r="L152" s="227" t="e">
        <f>VLOOKUP(I152,I156:M160,4)</f>
        <v>#N/A</v>
      </c>
      <c r="M152" s="227" t="e">
        <f>VLOOKUP(I152,I156:M160,5)</f>
        <v>#N/A</v>
      </c>
      <c r="N152" s="227" t="e">
        <f>VLOOKUP(I152,I156:N160,6)</f>
        <v>#N/A</v>
      </c>
      <c r="O152" s="227" t="e">
        <f>VLOOKUP(I152,I156:O160,7)</f>
        <v>#N/A</v>
      </c>
      <c r="P152" s="227" t="e">
        <f>VLOOKUP(I152,I156:P160,8)</f>
        <v>#N/A</v>
      </c>
      <c r="Q152" s="227" t="e">
        <f>VLOOKUP(I152,I156:Q160,9)</f>
        <v>#N/A</v>
      </c>
      <c r="R152" s="335"/>
      <c r="S152" s="335"/>
      <c r="AA152" s="1"/>
      <c r="AB152" s="468" t="str">
        <f t="shared" si="4"/>
        <v>132</v>
      </c>
      <c r="AC152" s="463" t="s">
        <v>95</v>
      </c>
      <c r="AD152" s="463" t="s">
        <v>360</v>
      </c>
      <c r="AE152" s="463" t="s">
        <v>137</v>
      </c>
      <c r="AF152" s="73">
        <v>1</v>
      </c>
      <c r="AG152" s="73">
        <f>Материалы!$H$171</f>
        <v>472.5</v>
      </c>
      <c r="AH152" s="73">
        <v>1</v>
      </c>
      <c r="AI152" s="73">
        <f>Материалы!$H$172</f>
        <v>472.5</v>
      </c>
      <c r="AJ152" s="73">
        <v>1</v>
      </c>
      <c r="AK152" s="73">
        <f>Материалы!$H$174</f>
        <v>1552</v>
      </c>
      <c r="AL152" s="307">
        <v>2</v>
      </c>
      <c r="AM152" s="73">
        <f>Материалы!$H$175</f>
        <v>1052</v>
      </c>
      <c r="AN152" s="73">
        <v>0</v>
      </c>
      <c r="AO152" s="73">
        <f>Материалы!$H$176</f>
        <v>1570</v>
      </c>
      <c r="AP152" s="73">
        <v>0</v>
      </c>
      <c r="AQ152" s="73">
        <f>Материалы!$H$177</f>
        <v>990.5</v>
      </c>
      <c r="AR152" s="73">
        <v>0</v>
      </c>
      <c r="AS152" s="73">
        <f>Материалы!$H$178</f>
        <v>5900</v>
      </c>
      <c r="AT152" s="73">
        <v>1</v>
      </c>
      <c r="AU152" s="73">
        <f>Материалы!$H$173</f>
        <v>4807</v>
      </c>
      <c r="AV152" s="73">
        <v>1</v>
      </c>
      <c r="AW152" s="73">
        <v>0</v>
      </c>
      <c r="AX152" s="463">
        <f t="shared" si="39"/>
        <v>9408</v>
      </c>
    </row>
    <row r="153" spans="4:50" x14ac:dyDescent="0.25">
      <c r="E153" s="195"/>
      <c r="F153" s="195"/>
      <c r="H153" s="338" t="s">
        <v>321</v>
      </c>
      <c r="I153" s="227" t="str">
        <f>C118</f>
        <v/>
      </c>
      <c r="J153" s="227" t="e">
        <f>VLOOKUP(I153,I156:M160,2,FALSE)</f>
        <v>#N/A</v>
      </c>
      <c r="K153" s="227" t="e">
        <f>VLOOKUP(I153,I156:M160,3,FALSE)-0.1</f>
        <v>#N/A</v>
      </c>
      <c r="L153" s="227" t="e">
        <f>VLOOKUP(I153,I156:M160,4)</f>
        <v>#N/A</v>
      </c>
      <c r="M153" s="227" t="e">
        <f>VLOOKUP(I153,I156:M160,5)</f>
        <v>#N/A</v>
      </c>
      <c r="N153" s="227" t="e">
        <f>VLOOKUP(I153,I156:N160,6)</f>
        <v>#N/A</v>
      </c>
      <c r="O153" s="227" t="e">
        <f>VLOOKUP(I153,I156:O160,7)</f>
        <v>#N/A</v>
      </c>
      <c r="P153" s="227" t="e">
        <f>VLOOKUP(I153,I156:P160,8)</f>
        <v>#N/A</v>
      </c>
      <c r="Q153" s="227" t="e">
        <f>VLOOKUP(I153,I156:Q160,9)</f>
        <v>#N/A</v>
      </c>
      <c r="R153" s="204"/>
      <c r="S153" s="204"/>
      <c r="AA153" s="1"/>
      <c r="AB153" s="468" t="str">
        <f t="shared" ref="AB153" si="43">MID(AC153,2,3)</f>
        <v>132</v>
      </c>
      <c r="AC153" s="463" t="s">
        <v>95</v>
      </c>
      <c r="AD153" s="463" t="s">
        <v>360</v>
      </c>
      <c r="AE153" s="554" t="s">
        <v>138</v>
      </c>
      <c r="AF153" s="73">
        <v>1</v>
      </c>
      <c r="AG153" s="73">
        <f>Материалы!$H$171</f>
        <v>472.5</v>
      </c>
      <c r="AH153" s="73">
        <v>1</v>
      </c>
      <c r="AI153" s="73">
        <f>Материалы!$H$172</f>
        <v>472.5</v>
      </c>
      <c r="AJ153" s="73">
        <v>1</v>
      </c>
      <c r="AK153" s="73">
        <f>Материалы!$H$174</f>
        <v>1552</v>
      </c>
      <c r="AL153" s="307">
        <v>2</v>
      </c>
      <c r="AM153" s="73">
        <f>Материалы!$H$175</f>
        <v>1052</v>
      </c>
      <c r="AN153" s="73">
        <v>0</v>
      </c>
      <c r="AO153" s="73">
        <f>Материалы!$H$176</f>
        <v>1570</v>
      </c>
      <c r="AP153" s="73">
        <v>0</v>
      </c>
      <c r="AQ153" s="73">
        <f>Материалы!$H$177</f>
        <v>990.5</v>
      </c>
      <c r="AR153" s="73">
        <v>0</v>
      </c>
      <c r="AS153" s="73">
        <f>Материалы!$H$178</f>
        <v>5900</v>
      </c>
      <c r="AT153" s="73">
        <v>1</v>
      </c>
      <c r="AU153" s="73">
        <f>Материалы!$H$173</f>
        <v>4807</v>
      </c>
      <c r="AV153" s="73">
        <v>1</v>
      </c>
      <c r="AW153" s="178">
        <f>U122</f>
        <v>4695</v>
      </c>
      <c r="AX153" s="463">
        <f t="shared" si="39"/>
        <v>14103</v>
      </c>
    </row>
    <row r="154" spans="4:50" ht="28.5" x14ac:dyDescent="0.25">
      <c r="E154" s="1"/>
      <c r="F154" s="1"/>
      <c r="H154" s="338" t="s">
        <v>320</v>
      </c>
      <c r="I154" s="339" t="str">
        <f>INDEX(H155:H160,INDEX(MATCH(1=1,H155:H160&lt;&gt;"",),))</f>
        <v>А3Р00016</v>
      </c>
      <c r="J154" s="339">
        <f>VLOOKUP(I154,I156:M160,2,FALSE)</f>
        <v>1</v>
      </c>
      <c r="K154" s="339">
        <f>VLOOKUP(I154,I156:M160,3,FALSE)</f>
        <v>1.6</v>
      </c>
      <c r="L154" s="339" t="str">
        <f>VLOOKUP(I154,I156:M160,4)</f>
        <v>1…1,6</v>
      </c>
      <c r="M154" s="339" t="str">
        <f>VLOOKUP(I154,I156:M160,5)</f>
        <v>GV2ME06</v>
      </c>
      <c r="N154" s="339">
        <f>VLOOKUP(I154,I156:N160,6)</f>
        <v>9</v>
      </c>
      <c r="O154" s="339" t="str">
        <f>VLOOKUP(I154,I156:O160,7)</f>
        <v>LC1D09P7</v>
      </c>
      <c r="P154" s="339">
        <f>VLOOKUP(I154,I156:P160,8)</f>
        <v>2.5</v>
      </c>
      <c r="Q154" s="339">
        <f>VLOOKUP(I154,I156:Q160,9)</f>
        <v>1.5</v>
      </c>
      <c r="R154" s="335"/>
      <c r="S154" s="335"/>
      <c r="AA154" s="1"/>
      <c r="AB154" s="468" t="str">
        <f t="shared" si="4"/>
        <v>133</v>
      </c>
      <c r="AC154" s="540" t="s">
        <v>96</v>
      </c>
      <c r="AD154" s="540" t="s">
        <v>363</v>
      </c>
      <c r="AE154" s="540" t="s">
        <v>137</v>
      </c>
      <c r="AF154" s="285">
        <v>1</v>
      </c>
      <c r="AG154" s="285">
        <f>Материалы!$H$171</f>
        <v>472.5</v>
      </c>
      <c r="AH154" s="285">
        <v>1</v>
      </c>
      <c r="AI154" s="285">
        <f>Материалы!$H$172</f>
        <v>472.5</v>
      </c>
      <c r="AJ154" s="285">
        <v>1</v>
      </c>
      <c r="AK154" s="285">
        <f>Материалы!$H$174</f>
        <v>1552</v>
      </c>
      <c r="AL154" s="546">
        <v>0</v>
      </c>
      <c r="AM154" s="285">
        <f>Материалы!$H$175</f>
        <v>1052</v>
      </c>
      <c r="AN154" s="285">
        <v>0</v>
      </c>
      <c r="AO154" s="285">
        <f>Материалы!$H$176</f>
        <v>1570</v>
      </c>
      <c r="AP154" s="285">
        <v>0</v>
      </c>
      <c r="AQ154" s="285">
        <f>Материалы!$H$177</f>
        <v>990.5</v>
      </c>
      <c r="AR154" s="285">
        <v>1</v>
      </c>
      <c r="AS154" s="285">
        <f>Материалы!$H$178</f>
        <v>5900</v>
      </c>
      <c r="AT154" s="285">
        <v>0</v>
      </c>
      <c r="AU154" s="285">
        <f>Материалы!$H$173</f>
        <v>4807</v>
      </c>
      <c r="AV154" s="285">
        <v>0</v>
      </c>
      <c r="AW154" s="285">
        <v>0</v>
      </c>
      <c r="AX154" s="540">
        <f t="shared" si="39"/>
        <v>8397</v>
      </c>
    </row>
    <row r="155" spans="4:50" x14ac:dyDescent="0.25">
      <c r="E155" s="195"/>
      <c r="F155" s="195"/>
      <c r="H155" s="11"/>
      <c r="I155" s="43" t="s">
        <v>78</v>
      </c>
      <c r="J155" s="38" t="s">
        <v>161</v>
      </c>
      <c r="K155" s="38" t="s">
        <v>162</v>
      </c>
      <c r="L155" s="43" t="s">
        <v>121</v>
      </c>
      <c r="M155" s="43" t="s">
        <v>121</v>
      </c>
      <c r="N155" s="38" t="s">
        <v>47</v>
      </c>
      <c r="O155" s="38" t="s">
        <v>47</v>
      </c>
      <c r="P155" s="42" t="s">
        <v>54</v>
      </c>
      <c r="Q155" s="42" t="s">
        <v>160</v>
      </c>
      <c r="R155" s="1"/>
      <c r="S155" s="1"/>
      <c r="AA155" s="1"/>
      <c r="AB155" s="468" t="str">
        <f t="shared" ref="AB155" si="44">MID(AC155,2,3)</f>
        <v>133</v>
      </c>
      <c r="AC155" s="540" t="s">
        <v>96</v>
      </c>
      <c r="AD155" s="540" t="s">
        <v>363</v>
      </c>
      <c r="AE155" s="540" t="s">
        <v>138</v>
      </c>
      <c r="AF155" s="285">
        <v>1</v>
      </c>
      <c r="AG155" s="285">
        <f>Материалы!$H$171</f>
        <v>472.5</v>
      </c>
      <c r="AH155" s="285">
        <v>1</v>
      </c>
      <c r="AI155" s="285">
        <f>Материалы!$H$172</f>
        <v>472.5</v>
      </c>
      <c r="AJ155" s="285">
        <v>1</v>
      </c>
      <c r="AK155" s="285">
        <f>Материалы!$H$174</f>
        <v>1552</v>
      </c>
      <c r="AL155" s="546">
        <v>0</v>
      </c>
      <c r="AM155" s="285">
        <f>Материалы!$H$175</f>
        <v>1052</v>
      </c>
      <c r="AN155" s="285">
        <v>0</v>
      </c>
      <c r="AO155" s="285">
        <f>Материалы!$H$176</f>
        <v>1570</v>
      </c>
      <c r="AP155" s="285">
        <v>0</v>
      </c>
      <c r="AQ155" s="285">
        <f>Материалы!$H$177</f>
        <v>990.5</v>
      </c>
      <c r="AR155" s="285">
        <v>1</v>
      </c>
      <c r="AS155" s="285">
        <f>Материалы!$H$178</f>
        <v>5900</v>
      </c>
      <c r="AT155" s="285">
        <v>0</v>
      </c>
      <c r="AU155" s="285">
        <f>Материалы!$H$173</f>
        <v>4807</v>
      </c>
      <c r="AV155" s="285">
        <v>0</v>
      </c>
      <c r="AW155" s="285">
        <v>0</v>
      </c>
      <c r="AX155" s="540">
        <f t="shared" si="39"/>
        <v>8397</v>
      </c>
    </row>
    <row r="156" spans="4:50" x14ac:dyDescent="0.25">
      <c r="E156" s="1"/>
      <c r="F156" s="1"/>
      <c r="H156" s="11" t="str">
        <f>IF(AND(J156&lt;=Главная!$L$23,Главная!$L$23&lt;K156),I156,"")</f>
        <v/>
      </c>
      <c r="I156" s="43" t="s">
        <v>104</v>
      </c>
      <c r="J156" s="9">
        <v>0.25</v>
      </c>
      <c r="K156" s="9">
        <v>1</v>
      </c>
      <c r="L156" s="42" t="str">
        <f>Материалы!D7</f>
        <v>0,63…1</v>
      </c>
      <c r="M156" s="43" t="str">
        <f>Материалы!E7</f>
        <v>GV2ME05</v>
      </c>
      <c r="N156" s="38">
        <f>Материалы!D45</f>
        <v>9</v>
      </c>
      <c r="O156" s="38" t="str">
        <f>Материалы!E45</f>
        <v>LC1D09P7</v>
      </c>
      <c r="P156" s="9">
        <v>2.5</v>
      </c>
      <c r="Q156" s="9">
        <v>1.5</v>
      </c>
      <c r="R156" s="1"/>
      <c r="S156" s="1"/>
      <c r="AB156" s="468" t="str">
        <f t="shared" si="4"/>
        <v>133</v>
      </c>
      <c r="AC156" s="540" t="s">
        <v>96</v>
      </c>
      <c r="AD156" s="540" t="s">
        <v>360</v>
      </c>
      <c r="AE156" s="540" t="s">
        <v>137</v>
      </c>
      <c r="AF156" s="285">
        <v>1</v>
      </c>
      <c r="AG156" s="285">
        <f>Материалы!$H$171</f>
        <v>472.5</v>
      </c>
      <c r="AH156" s="285">
        <v>1</v>
      </c>
      <c r="AI156" s="285">
        <f>Материалы!$H$172</f>
        <v>472.5</v>
      </c>
      <c r="AJ156" s="285">
        <v>1</v>
      </c>
      <c r="AK156" s="285">
        <f>Материалы!$H$174</f>
        <v>1552</v>
      </c>
      <c r="AL156" s="546">
        <v>1</v>
      </c>
      <c r="AM156" s="285">
        <f>Материалы!$H$175</f>
        <v>1052</v>
      </c>
      <c r="AN156" s="285">
        <v>0</v>
      </c>
      <c r="AO156" s="285">
        <f>Материалы!$H$176</f>
        <v>1570</v>
      </c>
      <c r="AP156" s="285">
        <v>0</v>
      </c>
      <c r="AQ156" s="285">
        <f>Материалы!$H$177</f>
        <v>990.5</v>
      </c>
      <c r="AR156" s="285">
        <v>1</v>
      </c>
      <c r="AS156" s="285">
        <f>Материалы!$H$178</f>
        <v>5900</v>
      </c>
      <c r="AT156" s="285">
        <v>1</v>
      </c>
      <c r="AU156" s="285">
        <f>Материалы!$H$173</f>
        <v>4807</v>
      </c>
      <c r="AV156" s="285">
        <v>1</v>
      </c>
      <c r="AW156" s="285">
        <v>0</v>
      </c>
      <c r="AX156" s="540">
        <f t="shared" si="39"/>
        <v>14256</v>
      </c>
    </row>
    <row r="157" spans="4:50" x14ac:dyDescent="0.25">
      <c r="E157" s="1"/>
      <c r="F157" s="1"/>
      <c r="H157" s="11" t="str">
        <f>IF(AND(J157&lt;=Главная!$L$23,Главная!$L$23&lt;K157),I157,"")</f>
        <v>А3Р00016</v>
      </c>
      <c r="I157" s="43" t="s">
        <v>105</v>
      </c>
      <c r="J157" s="9">
        <v>1</v>
      </c>
      <c r="K157" s="9">
        <v>1.6</v>
      </c>
      <c r="L157" s="42" t="str">
        <f>Материалы!D8</f>
        <v>1…1,6</v>
      </c>
      <c r="M157" s="43" t="str">
        <f>Материалы!E8</f>
        <v>GV2ME06</v>
      </c>
      <c r="N157" s="38">
        <f>Материалы!D45</f>
        <v>9</v>
      </c>
      <c r="O157" s="38" t="str">
        <f>Материалы!E45</f>
        <v>LC1D09P7</v>
      </c>
      <c r="P157" s="9">
        <v>2.5</v>
      </c>
      <c r="Q157" s="9">
        <v>1.5</v>
      </c>
      <c r="R157" s="1"/>
      <c r="S157" s="1"/>
      <c r="AA157" s="245"/>
      <c r="AB157" s="468" t="str">
        <f t="shared" ref="AB157" si="45">MID(AC157,2,3)</f>
        <v>133</v>
      </c>
      <c r="AC157" s="540" t="s">
        <v>96</v>
      </c>
      <c r="AD157" s="540" t="s">
        <v>360</v>
      </c>
      <c r="AE157" s="540" t="s">
        <v>138</v>
      </c>
      <c r="AF157" s="285">
        <v>1</v>
      </c>
      <c r="AG157" s="285">
        <f>Материалы!$H$171</f>
        <v>472.5</v>
      </c>
      <c r="AH157" s="285">
        <v>1</v>
      </c>
      <c r="AI157" s="285">
        <f>Материалы!$H$172</f>
        <v>472.5</v>
      </c>
      <c r="AJ157" s="285">
        <v>1</v>
      </c>
      <c r="AK157" s="285">
        <f>Материалы!$H$174</f>
        <v>1552</v>
      </c>
      <c r="AL157" s="546">
        <v>1</v>
      </c>
      <c r="AM157" s="285">
        <f>Материалы!$H$175</f>
        <v>1052</v>
      </c>
      <c r="AN157" s="285">
        <v>0</v>
      </c>
      <c r="AO157" s="285">
        <f>Материалы!$H$176</f>
        <v>1570</v>
      </c>
      <c r="AP157" s="285">
        <v>0</v>
      </c>
      <c r="AQ157" s="285">
        <f>Материалы!$H$177</f>
        <v>990.5</v>
      </c>
      <c r="AR157" s="285">
        <v>1</v>
      </c>
      <c r="AS157" s="285">
        <f>Материалы!$H$178</f>
        <v>5900</v>
      </c>
      <c r="AT157" s="285">
        <v>1</v>
      </c>
      <c r="AU157" s="285">
        <f>Материалы!$H$173</f>
        <v>4807</v>
      </c>
      <c r="AV157" s="285">
        <v>1</v>
      </c>
      <c r="AW157" s="524">
        <f>U122</f>
        <v>4695</v>
      </c>
      <c r="AX157" s="540">
        <f t="shared" si="39"/>
        <v>18951</v>
      </c>
    </row>
    <row r="158" spans="4:50" x14ac:dyDescent="0.25">
      <c r="H158" s="11" t="str">
        <f>IF(AND(J158&lt;=Главная!$L$23,Главная!$L$23&lt;K158),I158,"")</f>
        <v/>
      </c>
      <c r="I158" s="43" t="s">
        <v>106</v>
      </c>
      <c r="J158" s="9">
        <v>1.6</v>
      </c>
      <c r="K158" s="9">
        <v>2.5</v>
      </c>
      <c r="L158" s="42" t="str">
        <f>Материалы!D9</f>
        <v>1,6…2,5</v>
      </c>
      <c r="M158" s="43" t="str">
        <f>Материалы!E9</f>
        <v>GV2ME07</v>
      </c>
      <c r="N158" s="38">
        <f>Материалы!D45</f>
        <v>9</v>
      </c>
      <c r="O158" s="38" t="str">
        <f>Материалы!E45</f>
        <v>LC1D09P7</v>
      </c>
      <c r="P158" s="9">
        <v>2.5</v>
      </c>
      <c r="Q158" s="9">
        <v>1.5</v>
      </c>
      <c r="R158" s="1"/>
      <c r="S158" s="1"/>
      <c r="AA158" s="245"/>
      <c r="AB158" s="468" t="str">
        <f t="shared" si="4"/>
        <v>134</v>
      </c>
      <c r="AC158" s="463" t="s">
        <v>408</v>
      </c>
      <c r="AD158" s="463" t="s">
        <v>363</v>
      </c>
      <c r="AE158" s="463" t="s">
        <v>137</v>
      </c>
      <c r="AF158" s="73">
        <v>1</v>
      </c>
      <c r="AG158" s="73">
        <f>Материалы!$H$171</f>
        <v>472.5</v>
      </c>
      <c r="AH158" s="73">
        <v>1</v>
      </c>
      <c r="AI158" s="73">
        <f>Материалы!$H$172</f>
        <v>472.5</v>
      </c>
      <c r="AJ158" s="73">
        <v>1</v>
      </c>
      <c r="AK158" s="73">
        <f>Материалы!$H$174</f>
        <v>1552</v>
      </c>
      <c r="AL158" s="307">
        <v>0</v>
      </c>
      <c r="AM158" s="73">
        <f>Материалы!$H$175</f>
        <v>1052</v>
      </c>
      <c r="AN158" s="73">
        <v>0</v>
      </c>
      <c r="AO158" s="73">
        <f>Материалы!$H$176</f>
        <v>1570</v>
      </c>
      <c r="AP158" s="73">
        <v>0</v>
      </c>
      <c r="AQ158" s="73">
        <f>Материалы!$H$177</f>
        <v>990.5</v>
      </c>
      <c r="AR158" s="73">
        <v>0</v>
      </c>
      <c r="AS158" s="73">
        <f>Материалы!$H$178</f>
        <v>5900</v>
      </c>
      <c r="AT158" s="73">
        <v>0</v>
      </c>
      <c r="AU158" s="73">
        <f>Материалы!$H$173</f>
        <v>4807</v>
      </c>
      <c r="AV158" s="73">
        <v>0</v>
      </c>
      <c r="AW158" s="73">
        <v>0</v>
      </c>
      <c r="AX158" s="463">
        <f t="shared" si="39"/>
        <v>2497</v>
      </c>
    </row>
    <row r="159" spans="4:50" x14ac:dyDescent="0.25">
      <c r="H159" s="11" t="str">
        <f>IF(AND(J159&lt;=Главная!$L$23,Главная!$L$23&lt;K159),I159,"")</f>
        <v/>
      </c>
      <c r="I159" s="43" t="s">
        <v>107</v>
      </c>
      <c r="J159" s="9">
        <v>2.5</v>
      </c>
      <c r="K159" s="9">
        <v>4</v>
      </c>
      <c r="L159" s="42" t="str">
        <f>Материалы!D10</f>
        <v>2,5…4</v>
      </c>
      <c r="M159" s="43" t="str">
        <f>Материалы!E10</f>
        <v>GV2ME08</v>
      </c>
      <c r="N159" s="38">
        <f>Материалы!D45</f>
        <v>9</v>
      </c>
      <c r="O159" s="38" t="str">
        <f>Материалы!E45</f>
        <v>LC1D09P7</v>
      </c>
      <c r="P159" s="9">
        <v>2.5</v>
      </c>
      <c r="Q159" s="9">
        <v>1.5</v>
      </c>
      <c r="R159" s="1"/>
      <c r="S159" s="1"/>
      <c r="AA159" s="245"/>
      <c r="AB159" s="468" t="str">
        <f t="shared" ref="AB159" si="46">MID(AC159,2,3)</f>
        <v>134</v>
      </c>
      <c r="AC159" s="463" t="s">
        <v>408</v>
      </c>
      <c r="AD159" s="463" t="s">
        <v>363</v>
      </c>
      <c r="AE159" s="554" t="s">
        <v>138</v>
      </c>
      <c r="AF159" s="73">
        <v>1</v>
      </c>
      <c r="AG159" s="73">
        <f>Материалы!$H$171</f>
        <v>472.5</v>
      </c>
      <c r="AH159" s="73">
        <v>1</v>
      </c>
      <c r="AI159" s="73">
        <f>Материалы!$H$172</f>
        <v>472.5</v>
      </c>
      <c r="AJ159" s="73">
        <v>1</v>
      </c>
      <c r="AK159" s="73">
        <f>Материалы!$H$174</f>
        <v>1552</v>
      </c>
      <c r="AL159" s="307">
        <v>0</v>
      </c>
      <c r="AM159" s="73">
        <f>Материалы!$H$175</f>
        <v>1052</v>
      </c>
      <c r="AN159" s="73">
        <v>0</v>
      </c>
      <c r="AO159" s="73">
        <f>Материалы!$H$176</f>
        <v>1570</v>
      </c>
      <c r="AP159" s="73">
        <v>0</v>
      </c>
      <c r="AQ159" s="73">
        <f>Материалы!$H$177</f>
        <v>990.5</v>
      </c>
      <c r="AR159" s="73">
        <v>0</v>
      </c>
      <c r="AS159" s="73">
        <f>Материалы!$H$178</f>
        <v>5900</v>
      </c>
      <c r="AT159" s="73">
        <v>0</v>
      </c>
      <c r="AU159" s="73">
        <f>Материалы!$H$173</f>
        <v>4807</v>
      </c>
      <c r="AV159" s="73">
        <v>0</v>
      </c>
      <c r="AW159" s="73">
        <v>0</v>
      </c>
      <c r="AX159" s="463">
        <f t="shared" si="39"/>
        <v>2497</v>
      </c>
    </row>
    <row r="160" spans="4:50" x14ac:dyDescent="0.25">
      <c r="H160" s="11" t="str">
        <f>IF(AND(J160&lt;=Главная!$L$23,Главная!$L$23&lt;K160),I160,"")</f>
        <v/>
      </c>
      <c r="I160" s="43" t="s">
        <v>108</v>
      </c>
      <c r="J160" s="9">
        <v>4</v>
      </c>
      <c r="K160" s="9">
        <v>6.3</v>
      </c>
      <c r="L160" s="42" t="str">
        <f>Материалы!D11</f>
        <v>4…6,3</v>
      </c>
      <c r="M160" s="43" t="str">
        <f>Материалы!E11</f>
        <v>GV2ME10</v>
      </c>
      <c r="N160" s="38">
        <f>Материалы!D45</f>
        <v>9</v>
      </c>
      <c r="O160" s="38" t="str">
        <f>Материалы!E45</f>
        <v>LC1D09P7</v>
      </c>
      <c r="P160" s="9">
        <v>2.5</v>
      </c>
      <c r="Q160" s="9">
        <v>1.5</v>
      </c>
      <c r="R160" s="1"/>
      <c r="S160" s="1"/>
      <c r="AA160" s="245"/>
      <c r="AB160" s="468" t="str">
        <f t="shared" si="4"/>
        <v>134</v>
      </c>
      <c r="AC160" s="463" t="s">
        <v>408</v>
      </c>
      <c r="AD160" s="463" t="s">
        <v>360</v>
      </c>
      <c r="AE160" s="463" t="s">
        <v>137</v>
      </c>
      <c r="AF160" s="73">
        <v>1</v>
      </c>
      <c r="AG160" s="73">
        <f>Материалы!$H$171</f>
        <v>472.5</v>
      </c>
      <c r="AH160" s="73">
        <v>1</v>
      </c>
      <c r="AI160" s="73">
        <f>Материалы!$H$172</f>
        <v>472.5</v>
      </c>
      <c r="AJ160" s="73">
        <v>1</v>
      </c>
      <c r="AK160" s="73">
        <f>Материалы!$H$174</f>
        <v>1552</v>
      </c>
      <c r="AL160" s="307">
        <v>2</v>
      </c>
      <c r="AM160" s="73">
        <f>Материалы!$H$175</f>
        <v>1052</v>
      </c>
      <c r="AN160" s="73">
        <v>0</v>
      </c>
      <c r="AO160" s="73">
        <f>Материалы!$H$176</f>
        <v>1570</v>
      </c>
      <c r="AP160" s="73">
        <v>0</v>
      </c>
      <c r="AQ160" s="73">
        <f>Материалы!$H$177</f>
        <v>990.5</v>
      </c>
      <c r="AR160" s="73">
        <v>0</v>
      </c>
      <c r="AS160" s="73">
        <f>Материалы!$H$178</f>
        <v>5900</v>
      </c>
      <c r="AT160" s="73">
        <v>1</v>
      </c>
      <c r="AU160" s="73">
        <f>Материалы!$H$173</f>
        <v>4807</v>
      </c>
      <c r="AV160" s="73">
        <v>1</v>
      </c>
      <c r="AW160" s="73">
        <v>0</v>
      </c>
      <c r="AX160" s="463">
        <f t="shared" si="39"/>
        <v>9408</v>
      </c>
    </row>
    <row r="161" spans="8:50" x14ac:dyDescent="0.25">
      <c r="AB161" s="468" t="str">
        <f t="shared" ref="AB161" si="47">MID(AC161,2,3)</f>
        <v>134</v>
      </c>
      <c r="AC161" s="463" t="s">
        <v>408</v>
      </c>
      <c r="AD161" s="463" t="s">
        <v>360</v>
      </c>
      <c r="AE161" s="554" t="s">
        <v>138</v>
      </c>
      <c r="AF161" s="73">
        <v>1</v>
      </c>
      <c r="AG161" s="73">
        <f>Материалы!$H$171</f>
        <v>472.5</v>
      </c>
      <c r="AH161" s="73">
        <v>1</v>
      </c>
      <c r="AI161" s="73">
        <f>Материалы!$H$172</f>
        <v>472.5</v>
      </c>
      <c r="AJ161" s="73">
        <v>1</v>
      </c>
      <c r="AK161" s="73">
        <f>Материалы!$H$174</f>
        <v>1552</v>
      </c>
      <c r="AL161" s="307">
        <v>2</v>
      </c>
      <c r="AM161" s="73">
        <f>Материалы!$H$175</f>
        <v>1052</v>
      </c>
      <c r="AN161" s="73">
        <v>0</v>
      </c>
      <c r="AO161" s="73">
        <f>Материалы!$H$176</f>
        <v>1570</v>
      </c>
      <c r="AP161" s="73">
        <v>0</v>
      </c>
      <c r="AQ161" s="73">
        <f>Материалы!$H$177</f>
        <v>990.5</v>
      </c>
      <c r="AR161" s="73">
        <v>0</v>
      </c>
      <c r="AS161" s="73">
        <f>Материалы!$H$178</f>
        <v>5900</v>
      </c>
      <c r="AT161" s="73">
        <v>1</v>
      </c>
      <c r="AU161" s="73">
        <f>Материалы!$H$173</f>
        <v>4807</v>
      </c>
      <c r="AV161" s="73">
        <v>1</v>
      </c>
      <c r="AW161" s="178">
        <f>U122</f>
        <v>4695</v>
      </c>
      <c r="AX161" s="463">
        <f t="shared" si="39"/>
        <v>14103</v>
      </c>
    </row>
    <row r="162" spans="8:50" x14ac:dyDescent="0.25">
      <c r="AB162" s="557" t="str">
        <f t="shared" si="4"/>
        <v>140</v>
      </c>
      <c r="AC162" s="544" t="s">
        <v>97</v>
      </c>
      <c r="AD162" s="544" t="s">
        <v>363</v>
      </c>
      <c r="AE162" s="544" t="s">
        <v>137</v>
      </c>
      <c r="AF162" s="543">
        <v>1</v>
      </c>
      <c r="AG162" s="543">
        <f>Материалы!$H$171</f>
        <v>472.5</v>
      </c>
      <c r="AH162" s="545">
        <v>1</v>
      </c>
      <c r="AI162" s="543">
        <f>Материалы!$H$172</f>
        <v>472.5</v>
      </c>
      <c r="AJ162" s="545">
        <v>1</v>
      </c>
      <c r="AK162" s="543">
        <f>Материалы!$H$174</f>
        <v>1552</v>
      </c>
      <c r="AL162" s="545">
        <v>0</v>
      </c>
      <c r="AM162" s="543">
        <f>Материалы!$H$175</f>
        <v>1052</v>
      </c>
      <c r="AN162" s="545">
        <v>1</v>
      </c>
      <c r="AO162" s="543">
        <f>Материалы!$H$176</f>
        <v>1570</v>
      </c>
      <c r="AP162" s="543">
        <v>1</v>
      </c>
      <c r="AQ162" s="543">
        <f>Материалы!$H$177</f>
        <v>990.5</v>
      </c>
      <c r="AR162" s="543">
        <v>0</v>
      </c>
      <c r="AS162" s="543">
        <f>Материалы!$H$178</f>
        <v>5900</v>
      </c>
      <c r="AT162" s="543">
        <v>0</v>
      </c>
      <c r="AU162" s="543">
        <f>Материалы!$H$173</f>
        <v>4807</v>
      </c>
      <c r="AV162" s="543">
        <v>0</v>
      </c>
      <c r="AW162" s="543">
        <v>0</v>
      </c>
      <c r="AX162" s="544">
        <f t="shared" si="39"/>
        <v>5057.5</v>
      </c>
    </row>
    <row r="163" spans="8:50" ht="15.75" thickBot="1" x14ac:dyDescent="0.3">
      <c r="H163" s="14" t="s">
        <v>509</v>
      </c>
      <c r="AB163" s="557" t="str">
        <f t="shared" ref="AB163" si="48">MID(AC163,2,3)</f>
        <v>140</v>
      </c>
      <c r="AC163" s="544" t="s">
        <v>97</v>
      </c>
      <c r="AD163" s="544" t="s">
        <v>363</v>
      </c>
      <c r="AE163" s="544" t="s">
        <v>138</v>
      </c>
      <c r="AF163" s="543">
        <v>1</v>
      </c>
      <c r="AG163" s="543">
        <f>Материалы!$H$171</f>
        <v>472.5</v>
      </c>
      <c r="AH163" s="545">
        <v>1</v>
      </c>
      <c r="AI163" s="543">
        <f>Материалы!$H$172</f>
        <v>472.5</v>
      </c>
      <c r="AJ163" s="545">
        <v>1</v>
      </c>
      <c r="AK163" s="543">
        <f>Материалы!$H$174</f>
        <v>1552</v>
      </c>
      <c r="AL163" s="545">
        <v>0</v>
      </c>
      <c r="AM163" s="543">
        <f>Материалы!$H$175</f>
        <v>1052</v>
      </c>
      <c r="AN163" s="545">
        <v>1</v>
      </c>
      <c r="AO163" s="543">
        <f>Материалы!$H$176</f>
        <v>1570</v>
      </c>
      <c r="AP163" s="543">
        <v>1</v>
      </c>
      <c r="AQ163" s="543">
        <f>Материалы!$H$177</f>
        <v>990.5</v>
      </c>
      <c r="AR163" s="543">
        <v>0</v>
      </c>
      <c r="AS163" s="543">
        <f>Материалы!$H$178</f>
        <v>5900</v>
      </c>
      <c r="AT163" s="543">
        <v>0</v>
      </c>
      <c r="AU163" s="543">
        <f>Материалы!$H$173</f>
        <v>4807</v>
      </c>
      <c r="AV163" s="543">
        <v>0</v>
      </c>
      <c r="AW163" s="543">
        <v>0</v>
      </c>
      <c r="AX163" s="544">
        <f t="shared" si="39"/>
        <v>5057.5</v>
      </c>
    </row>
    <row r="164" spans="8:50" ht="15.75" thickBot="1" x14ac:dyDescent="0.3">
      <c r="H164" s="39" t="s">
        <v>322</v>
      </c>
      <c r="I164" s="228" t="str">
        <f>IF($D$1=1,I167,IF($D$1=2,I166,I165))</f>
        <v>ХХХХХХХХ</v>
      </c>
      <c r="J164" s="228" t="e">
        <f t="shared" ref="J164:Q164" si="49">IF($D$1=1,J167,IF($D$1=2,J166,J165))</f>
        <v>#N/A</v>
      </c>
      <c r="K164" s="228" t="e">
        <f t="shared" si="49"/>
        <v>#N/A</v>
      </c>
      <c r="L164" s="228">
        <f t="shared" si="49"/>
        <v>16</v>
      </c>
      <c r="M164" s="228" t="str">
        <f t="shared" si="49"/>
        <v>16А 1п.</v>
      </c>
      <c r="N164" s="228">
        <f t="shared" si="49"/>
        <v>9</v>
      </c>
      <c r="O164" s="228" t="str">
        <f t="shared" si="49"/>
        <v>LC1D09P7</v>
      </c>
      <c r="P164" s="228">
        <f t="shared" si="49"/>
        <v>2.5</v>
      </c>
      <c r="Q164" s="228">
        <f t="shared" si="49"/>
        <v>2.5</v>
      </c>
      <c r="AA164" s="204"/>
      <c r="AB164" s="557" t="str">
        <f t="shared" si="4"/>
        <v>140</v>
      </c>
      <c r="AC164" s="544" t="s">
        <v>97</v>
      </c>
      <c r="AD164" s="544" t="s">
        <v>360</v>
      </c>
      <c r="AE164" s="544" t="s">
        <v>137</v>
      </c>
      <c r="AF164" s="543">
        <v>1</v>
      </c>
      <c r="AG164" s="543">
        <f>Материалы!$H$171</f>
        <v>472.5</v>
      </c>
      <c r="AH164" s="545">
        <v>1</v>
      </c>
      <c r="AI164" s="543">
        <f>Материалы!$H$172</f>
        <v>472.5</v>
      </c>
      <c r="AJ164" s="545">
        <v>1</v>
      </c>
      <c r="AK164" s="543">
        <f>Материалы!$H$174</f>
        <v>1552</v>
      </c>
      <c r="AL164" s="545">
        <v>2</v>
      </c>
      <c r="AM164" s="543">
        <f>Материалы!$H$175</f>
        <v>1052</v>
      </c>
      <c r="AN164" s="545">
        <v>1</v>
      </c>
      <c r="AO164" s="543">
        <f>Материалы!$H$176</f>
        <v>1570</v>
      </c>
      <c r="AP164" s="543">
        <v>1</v>
      </c>
      <c r="AQ164" s="543">
        <f>Материалы!$H$177</f>
        <v>990.5</v>
      </c>
      <c r="AR164" s="543">
        <v>0</v>
      </c>
      <c r="AS164" s="543">
        <f>Материалы!$H$178</f>
        <v>5900</v>
      </c>
      <c r="AT164" s="543">
        <v>1</v>
      </c>
      <c r="AU164" s="543">
        <f>Материалы!$H$173</f>
        <v>4807</v>
      </c>
      <c r="AV164" s="543">
        <v>0</v>
      </c>
      <c r="AW164" s="543">
        <v>0</v>
      </c>
      <c r="AX164" s="544">
        <f t="shared" si="39"/>
        <v>11968.5</v>
      </c>
    </row>
    <row r="165" spans="8:50" ht="19.5" customHeight="1" thickBot="1" x14ac:dyDescent="0.3">
      <c r="H165" s="39" t="s">
        <v>630</v>
      </c>
      <c r="I165" s="227" t="str">
        <f>D120</f>
        <v>ХХХХХХХХ</v>
      </c>
      <c r="J165" s="56" t="e">
        <f>VLOOKUP(I165,I169:L173,2,FALSE)</f>
        <v>#N/A</v>
      </c>
      <c r="K165" s="56" t="e">
        <f>VLOOKUP(I165,I169:L173,3,FALSE)</f>
        <v>#N/A</v>
      </c>
      <c r="L165" s="56">
        <f>VLOOKUP(I165,I169:L173,4)</f>
        <v>16</v>
      </c>
      <c r="M165" s="56" t="str">
        <f>VLOOKUP(I165,I169:M173,5)</f>
        <v>16А 1п.</v>
      </c>
      <c r="N165" s="56">
        <f>VLOOKUP(I165,I169:N173,6)</f>
        <v>9</v>
      </c>
      <c r="O165" s="56" t="str">
        <f>VLOOKUP(I165,I169:O173,7)</f>
        <v>LC1D09P7</v>
      </c>
      <c r="P165" s="56">
        <f>VLOOKUP(I165,I169:P173,8)</f>
        <v>2.5</v>
      </c>
      <c r="Q165" s="56">
        <f>VLOOKUP(I165,I169:Q173,9)</f>
        <v>2.5</v>
      </c>
      <c r="Z165" s="204"/>
      <c r="AA165" s="204"/>
      <c r="AB165" s="557" t="str">
        <f t="shared" ref="AB165" si="50">MID(AC165,2,3)</f>
        <v>140</v>
      </c>
      <c r="AC165" s="544" t="s">
        <v>97</v>
      </c>
      <c r="AD165" s="544" t="s">
        <v>360</v>
      </c>
      <c r="AE165" s="544" t="s">
        <v>138</v>
      </c>
      <c r="AF165" s="543">
        <v>1</v>
      </c>
      <c r="AG165" s="543">
        <f>Материалы!$H$171</f>
        <v>472.5</v>
      </c>
      <c r="AH165" s="545">
        <v>1</v>
      </c>
      <c r="AI165" s="543">
        <f>Материалы!$H$172</f>
        <v>472.5</v>
      </c>
      <c r="AJ165" s="545">
        <v>1</v>
      </c>
      <c r="AK165" s="543">
        <f>Материалы!$H$174</f>
        <v>1552</v>
      </c>
      <c r="AL165" s="545">
        <v>2</v>
      </c>
      <c r="AM165" s="543">
        <f>Материалы!$H$175</f>
        <v>1052</v>
      </c>
      <c r="AN165" s="545">
        <v>1</v>
      </c>
      <c r="AO165" s="543">
        <f>Материалы!$H$176</f>
        <v>1570</v>
      </c>
      <c r="AP165" s="543">
        <v>1</v>
      </c>
      <c r="AQ165" s="543">
        <f>Материалы!$H$177</f>
        <v>990.5</v>
      </c>
      <c r="AR165" s="543">
        <v>0</v>
      </c>
      <c r="AS165" s="543">
        <f>Материалы!$H$178</f>
        <v>5900</v>
      </c>
      <c r="AT165" s="543">
        <v>1</v>
      </c>
      <c r="AU165" s="543">
        <f>Материалы!$H$173</f>
        <v>4807</v>
      </c>
      <c r="AV165" s="543">
        <v>0</v>
      </c>
      <c r="AW165" s="543">
        <v>0</v>
      </c>
      <c r="AX165" s="544">
        <f t="shared" si="39"/>
        <v>11968.5</v>
      </c>
    </row>
    <row r="166" spans="8:50" ht="15.75" thickBot="1" x14ac:dyDescent="0.3">
      <c r="H166" s="39" t="s">
        <v>321</v>
      </c>
      <c r="I166" s="56" t="str">
        <f>C120</f>
        <v>ХХХХХХХХ</v>
      </c>
      <c r="J166" s="56" t="e">
        <f>VLOOKUP(I166,I169:L173,2,FALSE)</f>
        <v>#N/A</v>
      </c>
      <c r="K166" s="56" t="e">
        <f>VLOOKUP(I166,I169:L173,3,FALSE)</f>
        <v>#N/A</v>
      </c>
      <c r="L166" s="56">
        <f>VLOOKUP(I166,I169:L173,4)</f>
        <v>16</v>
      </c>
      <c r="M166" s="56" t="str">
        <f>VLOOKUP(I166,I169:M173,5)</f>
        <v>16А 1п.</v>
      </c>
      <c r="N166" s="56">
        <f>VLOOKUP(I166,I169:N173,6)</f>
        <v>9</v>
      </c>
      <c r="O166" s="56" t="str">
        <f>VLOOKUP(I166,I169:O173,7)</f>
        <v>LC1D09P7</v>
      </c>
      <c r="P166" s="56">
        <f>VLOOKUP(I166,I169:P173,8)</f>
        <v>2.5</v>
      </c>
      <c r="Q166" s="56">
        <f>VLOOKUP(I166,I169:Q173,9)</f>
        <v>2.5</v>
      </c>
      <c r="Z166" s="204"/>
      <c r="AA166" s="204"/>
      <c r="AB166" s="557" t="str">
        <f t="shared" si="4"/>
        <v>141</v>
      </c>
      <c r="AC166" s="463" t="s">
        <v>98</v>
      </c>
      <c r="AD166" s="463" t="s">
        <v>363</v>
      </c>
      <c r="AE166" s="463" t="s">
        <v>137</v>
      </c>
      <c r="AF166" s="73">
        <v>1</v>
      </c>
      <c r="AG166" s="73">
        <f>Материалы!$H$171</f>
        <v>472.5</v>
      </c>
      <c r="AH166" s="307">
        <v>1</v>
      </c>
      <c r="AI166" s="73">
        <f>Материалы!$H$172</f>
        <v>472.5</v>
      </c>
      <c r="AJ166" s="307">
        <v>1</v>
      </c>
      <c r="AK166" s="73">
        <f>Материалы!$H$174</f>
        <v>1552</v>
      </c>
      <c r="AL166" s="307">
        <v>2</v>
      </c>
      <c r="AM166" s="73">
        <f>Материалы!$H$175</f>
        <v>1052</v>
      </c>
      <c r="AN166" s="307">
        <v>1</v>
      </c>
      <c r="AO166" s="73">
        <f>Материалы!$H$176</f>
        <v>1570</v>
      </c>
      <c r="AP166" s="73">
        <v>1</v>
      </c>
      <c r="AQ166" s="73">
        <f>Материалы!$H$177</f>
        <v>990.5</v>
      </c>
      <c r="AR166" s="73">
        <v>0</v>
      </c>
      <c r="AS166" s="73">
        <f>Материалы!$H$178</f>
        <v>5900</v>
      </c>
      <c r="AT166" s="73">
        <v>0</v>
      </c>
      <c r="AU166" s="73">
        <f>Материалы!$H$173</f>
        <v>4807</v>
      </c>
      <c r="AV166" s="73">
        <v>0</v>
      </c>
      <c r="AW166" s="73">
        <v>0</v>
      </c>
      <c r="AX166" s="463">
        <f t="shared" si="39"/>
        <v>7161.5</v>
      </c>
    </row>
    <row r="167" spans="8:50" ht="29.25" thickBot="1" x14ac:dyDescent="0.3">
      <c r="H167" s="39" t="s">
        <v>320</v>
      </c>
      <c r="I167" s="219" t="str">
        <f>INDEX(H169:H173,INDEX(MATCH(1=1,H169:H173&lt;&gt;"",),))</f>
        <v>А1Н00020</v>
      </c>
      <c r="J167" s="219">
        <f>VLOOKUP(I167,I169:L173,2,FALSE)</f>
        <v>0.9</v>
      </c>
      <c r="K167" s="219">
        <f>VLOOKUP(I167,I169:L173,3,FALSE)</f>
        <v>1.9</v>
      </c>
      <c r="L167" s="219">
        <f>VLOOKUP(I167,I169:L173,4)</f>
        <v>4</v>
      </c>
      <c r="M167" s="219" t="str">
        <f>VLOOKUP(I167,I169:M173,5)</f>
        <v>4А 1п.</v>
      </c>
      <c r="N167" s="219" t="str">
        <f>VLOOKUP(I167,I169:N173,6)</f>
        <v>2СО, 230В</v>
      </c>
      <c r="O167" s="219" t="str">
        <f>VLOOKUP(I167,I169:O173,7)</f>
        <v>LC1D09P7</v>
      </c>
      <c r="P167" s="219">
        <f>VLOOKUP(I167,I169:P173,8)</f>
        <v>2.5</v>
      </c>
      <c r="Q167" s="337">
        <f>VLOOKUP(I167,I169:Q173,9)</f>
        <v>1.5</v>
      </c>
      <c r="AA167" s="204"/>
      <c r="AB167" s="557" t="str">
        <f t="shared" ref="AB167" si="51">MID(AC167,2,3)</f>
        <v>141</v>
      </c>
      <c r="AC167" s="463" t="s">
        <v>98</v>
      </c>
      <c r="AD167" s="463" t="s">
        <v>363</v>
      </c>
      <c r="AE167" s="554" t="s">
        <v>138</v>
      </c>
      <c r="AF167" s="73">
        <v>1</v>
      </c>
      <c r="AG167" s="73">
        <f>Материалы!$H$171</f>
        <v>472.5</v>
      </c>
      <c r="AH167" s="307">
        <v>1</v>
      </c>
      <c r="AI167" s="73">
        <f>Материалы!$H$172</f>
        <v>472.5</v>
      </c>
      <c r="AJ167" s="307">
        <v>1</v>
      </c>
      <c r="AK167" s="73">
        <f>Материалы!$H$174</f>
        <v>1552</v>
      </c>
      <c r="AL167" s="307">
        <v>2</v>
      </c>
      <c r="AM167" s="73">
        <f>Материалы!$H$175</f>
        <v>1052</v>
      </c>
      <c r="AN167" s="307">
        <v>1</v>
      </c>
      <c r="AO167" s="73">
        <f>Материалы!$H$176</f>
        <v>1570</v>
      </c>
      <c r="AP167" s="73">
        <v>1</v>
      </c>
      <c r="AQ167" s="73">
        <f>Материалы!$H$177</f>
        <v>990.5</v>
      </c>
      <c r="AR167" s="73">
        <v>0</v>
      </c>
      <c r="AS167" s="73">
        <f>Материалы!$H$178</f>
        <v>5900</v>
      </c>
      <c r="AT167" s="73">
        <v>0</v>
      </c>
      <c r="AU167" s="73">
        <f>Материалы!$H$173</f>
        <v>4807</v>
      </c>
      <c r="AV167" s="73">
        <v>0</v>
      </c>
      <c r="AW167" s="73">
        <v>0</v>
      </c>
      <c r="AX167" s="463">
        <f t="shared" si="39"/>
        <v>7161.5</v>
      </c>
    </row>
    <row r="168" spans="8:50" x14ac:dyDescent="0.25">
      <c r="H168" s="16"/>
      <c r="I168" s="41" t="s">
        <v>78</v>
      </c>
      <c r="J168" s="28" t="s">
        <v>69</v>
      </c>
      <c r="K168" s="28"/>
      <c r="L168" s="41" t="s">
        <v>121</v>
      </c>
      <c r="M168" s="41" t="s">
        <v>121</v>
      </c>
      <c r="N168" s="27" t="s">
        <v>47</v>
      </c>
      <c r="O168" s="27" t="s">
        <v>47</v>
      </c>
      <c r="P168" s="44" t="s">
        <v>54</v>
      </c>
      <c r="Q168" s="43" t="s">
        <v>160</v>
      </c>
      <c r="W168" s="204"/>
      <c r="Y168" s="1"/>
      <c r="Z168" s="1"/>
      <c r="AA168" s="1"/>
      <c r="AB168" s="557" t="str">
        <f t="shared" si="4"/>
        <v>141</v>
      </c>
      <c r="AC168" s="463" t="s">
        <v>98</v>
      </c>
      <c r="AD168" s="463" t="s">
        <v>360</v>
      </c>
      <c r="AE168" s="463" t="s">
        <v>137</v>
      </c>
      <c r="AF168" s="73">
        <v>1</v>
      </c>
      <c r="AG168" s="73">
        <f>Материалы!$H$171</f>
        <v>472.5</v>
      </c>
      <c r="AH168" s="307">
        <v>1</v>
      </c>
      <c r="AI168" s="73">
        <f>Материалы!$H$172</f>
        <v>472.5</v>
      </c>
      <c r="AJ168" s="307">
        <v>1</v>
      </c>
      <c r="AK168" s="73">
        <f>Материалы!$H$174</f>
        <v>1552</v>
      </c>
      <c r="AL168" s="307">
        <v>2</v>
      </c>
      <c r="AM168" s="73">
        <f>Материалы!$H$175</f>
        <v>1052</v>
      </c>
      <c r="AN168" s="307">
        <v>1</v>
      </c>
      <c r="AO168" s="73">
        <f>Материалы!$H$176</f>
        <v>1570</v>
      </c>
      <c r="AP168" s="73">
        <v>1</v>
      </c>
      <c r="AQ168" s="73">
        <f>Материалы!$H$177</f>
        <v>990.5</v>
      </c>
      <c r="AR168" s="73">
        <v>0</v>
      </c>
      <c r="AS168" s="73">
        <f>Материалы!$H$178</f>
        <v>5900</v>
      </c>
      <c r="AT168" s="73">
        <v>1</v>
      </c>
      <c r="AU168" s="73">
        <f>Материалы!$H$173</f>
        <v>4807</v>
      </c>
      <c r="AV168" s="73">
        <v>0</v>
      </c>
      <c r="AW168" s="73">
        <v>0</v>
      </c>
      <c r="AX168" s="463">
        <f t="shared" si="39"/>
        <v>11968.5</v>
      </c>
    </row>
    <row r="169" spans="8:50" x14ac:dyDescent="0.25">
      <c r="H169" s="11" t="str">
        <f>IF(AND(J169&lt;=Главная!$L$29,Главная!$L$29&lt;K169),I169,"")</f>
        <v/>
      </c>
      <c r="I169" s="42" t="s">
        <v>133</v>
      </c>
      <c r="J169" s="56">
        <v>0.1</v>
      </c>
      <c r="K169" s="56">
        <v>0.9</v>
      </c>
      <c r="L169" s="42">
        <v>2</v>
      </c>
      <c r="M169" s="42" t="str">
        <f>Материалы!E40</f>
        <v>2А 1п.</v>
      </c>
      <c r="N169" s="9" t="str">
        <f>Материалы!D57</f>
        <v>2СО, 230В</v>
      </c>
      <c r="O169" s="9" t="str">
        <f>Материалы!E57</f>
        <v>Р_2_230</v>
      </c>
      <c r="P169" s="9">
        <v>2.5</v>
      </c>
      <c r="Q169" s="9">
        <v>1.5</v>
      </c>
      <c r="W169" s="204"/>
      <c r="Y169" s="1"/>
      <c r="Z169" s="1"/>
      <c r="AA169" s="1"/>
      <c r="AB169" s="557" t="str">
        <f t="shared" ref="AB169" si="52">MID(AC169,2,3)</f>
        <v>141</v>
      </c>
      <c r="AC169" s="463" t="s">
        <v>98</v>
      </c>
      <c r="AD169" s="463" t="s">
        <v>360</v>
      </c>
      <c r="AE169" s="554" t="s">
        <v>138</v>
      </c>
      <c r="AF169" s="73">
        <v>1</v>
      </c>
      <c r="AG169" s="73">
        <f>Материалы!$H$171</f>
        <v>472.5</v>
      </c>
      <c r="AH169" s="307">
        <v>1</v>
      </c>
      <c r="AI169" s="73">
        <f>Материалы!$H$172</f>
        <v>472.5</v>
      </c>
      <c r="AJ169" s="307">
        <v>1</v>
      </c>
      <c r="AK169" s="73">
        <f>Материалы!$H$174</f>
        <v>1552</v>
      </c>
      <c r="AL169" s="307">
        <v>2</v>
      </c>
      <c r="AM169" s="73">
        <f>Материалы!$H$175</f>
        <v>1052</v>
      </c>
      <c r="AN169" s="307">
        <v>1</v>
      </c>
      <c r="AO169" s="73">
        <f>Материалы!$H$176</f>
        <v>1570</v>
      </c>
      <c r="AP169" s="73">
        <v>1</v>
      </c>
      <c r="AQ169" s="73">
        <f>Материалы!$H$177</f>
        <v>990.5</v>
      </c>
      <c r="AR169" s="73">
        <v>0</v>
      </c>
      <c r="AS169" s="73">
        <f>Материалы!$H$178</f>
        <v>5900</v>
      </c>
      <c r="AT169" s="73">
        <v>1</v>
      </c>
      <c r="AU169" s="73">
        <f>Материалы!$H$173</f>
        <v>4807</v>
      </c>
      <c r="AV169" s="73">
        <v>0</v>
      </c>
      <c r="AW169" s="73">
        <v>0</v>
      </c>
      <c r="AX169" s="463">
        <f t="shared" si="39"/>
        <v>11968.5</v>
      </c>
    </row>
    <row r="170" spans="8:50" x14ac:dyDescent="0.25">
      <c r="H170" s="11" t="str">
        <f>IF(AND(J170&lt;=Главная!$L$29,Главная!$L$29&lt;K170),I170,"")</f>
        <v>А1Н00020</v>
      </c>
      <c r="I170" s="42" t="s">
        <v>134</v>
      </c>
      <c r="J170" s="9">
        <v>0.9</v>
      </c>
      <c r="K170" s="9">
        <v>1.9</v>
      </c>
      <c r="L170" s="42">
        <v>4</v>
      </c>
      <c r="M170" s="42" t="str">
        <f>Материалы!E41</f>
        <v>4А 1п.</v>
      </c>
      <c r="N170" s="9" t="str">
        <f>Материалы!D57</f>
        <v>2СО, 230В</v>
      </c>
      <c r="O170" s="9" t="str">
        <f>Материалы!E45</f>
        <v>LC1D09P7</v>
      </c>
      <c r="P170" s="9">
        <v>2.5</v>
      </c>
      <c r="Q170" s="9">
        <v>1.5</v>
      </c>
      <c r="W170" s="204"/>
      <c r="Y170" s="1"/>
      <c r="Z170" s="1"/>
      <c r="AA170" s="1"/>
      <c r="AB170" s="557" t="str">
        <f t="shared" si="4"/>
        <v>142</v>
      </c>
      <c r="AC170" s="544" t="s">
        <v>99</v>
      </c>
      <c r="AD170" s="544" t="s">
        <v>363</v>
      </c>
      <c r="AE170" s="544" t="s">
        <v>137</v>
      </c>
      <c r="AF170" s="543">
        <v>1</v>
      </c>
      <c r="AG170" s="543">
        <f>Материалы!$H$171</f>
        <v>472.5</v>
      </c>
      <c r="AH170" s="545">
        <v>1</v>
      </c>
      <c r="AI170" s="543">
        <f>Материалы!$H$172</f>
        <v>472.5</v>
      </c>
      <c r="AJ170" s="545">
        <v>1</v>
      </c>
      <c r="AK170" s="543">
        <f>Материалы!$H$174</f>
        <v>1552</v>
      </c>
      <c r="AL170" s="545">
        <v>0</v>
      </c>
      <c r="AM170" s="543">
        <f>Материалы!$H$175</f>
        <v>1052</v>
      </c>
      <c r="AN170" s="545">
        <v>1</v>
      </c>
      <c r="AO170" s="543">
        <f>Материалы!$H$176</f>
        <v>1570</v>
      </c>
      <c r="AP170" s="543">
        <v>1</v>
      </c>
      <c r="AQ170" s="543">
        <f>Материалы!$H$177</f>
        <v>990.5</v>
      </c>
      <c r="AR170" s="543">
        <v>1</v>
      </c>
      <c r="AS170" s="543">
        <f>Материалы!$H$178</f>
        <v>5900</v>
      </c>
      <c r="AT170" s="543">
        <v>0</v>
      </c>
      <c r="AU170" s="543">
        <f>Материалы!$H$173</f>
        <v>4807</v>
      </c>
      <c r="AV170" s="543">
        <v>0</v>
      </c>
      <c r="AW170" s="543">
        <v>0</v>
      </c>
      <c r="AX170" s="544">
        <f t="shared" si="39"/>
        <v>10957.5</v>
      </c>
    </row>
    <row r="171" spans="8:50" x14ac:dyDescent="0.25">
      <c r="H171" s="11" t="str">
        <f>IF(AND(J171&lt;=Главная!$L$29,Главная!$L$29&lt;K171),I171,"")</f>
        <v/>
      </c>
      <c r="I171" s="42" t="s">
        <v>135</v>
      </c>
      <c r="J171" s="9">
        <v>1.9</v>
      </c>
      <c r="K171" s="9">
        <v>2.9</v>
      </c>
      <c r="L171" s="42">
        <v>6</v>
      </c>
      <c r="M171" s="246" t="str">
        <f>Материалы!E37</f>
        <v>6А 1п.</v>
      </c>
      <c r="N171" s="9" t="str">
        <f>Материалы!D57</f>
        <v>2СО, 230В</v>
      </c>
      <c r="O171" s="9" t="str">
        <f>Материалы!E45</f>
        <v>LC1D09P7</v>
      </c>
      <c r="P171" s="9">
        <v>2.5</v>
      </c>
      <c r="Q171" s="9">
        <v>1.5</v>
      </c>
      <c r="W171" s="204"/>
      <c r="Y171" s="1"/>
      <c r="Z171" s="1"/>
      <c r="AA171" s="1"/>
      <c r="AB171" s="557" t="str">
        <f t="shared" ref="AB171" si="53">MID(AC171,2,3)</f>
        <v>142</v>
      </c>
      <c r="AC171" s="544" t="s">
        <v>99</v>
      </c>
      <c r="AD171" s="544" t="s">
        <v>363</v>
      </c>
      <c r="AE171" s="544" t="s">
        <v>138</v>
      </c>
      <c r="AF171" s="543">
        <v>1</v>
      </c>
      <c r="AG171" s="543">
        <f>Материалы!$H$171</f>
        <v>472.5</v>
      </c>
      <c r="AH171" s="545">
        <v>1</v>
      </c>
      <c r="AI171" s="543">
        <f>Материалы!$H$172</f>
        <v>472.5</v>
      </c>
      <c r="AJ171" s="545">
        <v>1</v>
      </c>
      <c r="AK171" s="543">
        <f>Материалы!$H$174</f>
        <v>1552</v>
      </c>
      <c r="AL171" s="545">
        <v>0</v>
      </c>
      <c r="AM171" s="543">
        <f>Материалы!$H$175</f>
        <v>1052</v>
      </c>
      <c r="AN171" s="545">
        <v>1</v>
      </c>
      <c r="AO171" s="543">
        <f>Материалы!$H$176</f>
        <v>1570</v>
      </c>
      <c r="AP171" s="543">
        <v>1</v>
      </c>
      <c r="AQ171" s="543">
        <f>Материалы!$H$177</f>
        <v>990.5</v>
      </c>
      <c r="AR171" s="543">
        <v>1</v>
      </c>
      <c r="AS171" s="543">
        <f>Материалы!$H$178</f>
        <v>5900</v>
      </c>
      <c r="AT171" s="543">
        <v>0</v>
      </c>
      <c r="AU171" s="543">
        <f>Материалы!$H$173</f>
        <v>4807</v>
      </c>
      <c r="AV171" s="543">
        <v>0</v>
      </c>
      <c r="AW171" s="543">
        <v>0</v>
      </c>
      <c r="AX171" s="544">
        <f t="shared" si="39"/>
        <v>10957.5</v>
      </c>
    </row>
    <row r="172" spans="8:50" x14ac:dyDescent="0.25">
      <c r="H172" s="334" t="str">
        <f>IF(AND(J172&lt;=Главная!$L$29,Главная!$L$29&lt;K172),I172,"")</f>
        <v/>
      </c>
      <c r="I172" s="246" t="s">
        <v>136</v>
      </c>
      <c r="J172" s="22">
        <v>2.9</v>
      </c>
      <c r="K172" s="22">
        <v>4.9000000000000004</v>
      </c>
      <c r="L172" s="246">
        <v>10</v>
      </c>
      <c r="M172" s="42" t="str">
        <f>Материалы!E42</f>
        <v>10А 1п.</v>
      </c>
      <c r="N172" s="22">
        <f>Материалы!D45</f>
        <v>9</v>
      </c>
      <c r="O172" s="22" t="str">
        <f>Материалы!E45</f>
        <v>LC1D09P7</v>
      </c>
      <c r="P172" s="22">
        <v>2.5</v>
      </c>
      <c r="Q172" s="9">
        <v>2.5</v>
      </c>
      <c r="X172" s="1"/>
      <c r="Y172" s="1"/>
      <c r="Z172" s="1"/>
      <c r="AA172" s="1"/>
      <c r="AB172" s="557" t="str">
        <f t="shared" si="4"/>
        <v>142</v>
      </c>
      <c r="AC172" s="544" t="s">
        <v>99</v>
      </c>
      <c r="AD172" s="544" t="s">
        <v>360</v>
      </c>
      <c r="AE172" s="544" t="s">
        <v>137</v>
      </c>
      <c r="AF172" s="543">
        <v>1</v>
      </c>
      <c r="AG172" s="543">
        <f>Материалы!$H$171</f>
        <v>472.5</v>
      </c>
      <c r="AH172" s="545">
        <v>1</v>
      </c>
      <c r="AI172" s="543">
        <f>Материалы!$H$172</f>
        <v>472.5</v>
      </c>
      <c r="AJ172" s="545">
        <v>1</v>
      </c>
      <c r="AK172" s="543">
        <f>Материалы!$H$174</f>
        <v>1552</v>
      </c>
      <c r="AL172" s="545">
        <v>0</v>
      </c>
      <c r="AM172" s="543">
        <f>Материалы!$H$175</f>
        <v>1052</v>
      </c>
      <c r="AN172" s="545">
        <v>1</v>
      </c>
      <c r="AO172" s="543">
        <f>Материалы!$H$176</f>
        <v>1570</v>
      </c>
      <c r="AP172" s="543">
        <v>1</v>
      </c>
      <c r="AQ172" s="543">
        <f>Материалы!$H$177</f>
        <v>990.5</v>
      </c>
      <c r="AR172" s="543">
        <v>1</v>
      </c>
      <c r="AS172" s="543">
        <f>Материалы!$H$178</f>
        <v>5900</v>
      </c>
      <c r="AT172" s="543">
        <v>1</v>
      </c>
      <c r="AU172" s="543">
        <f>Материалы!$H$173</f>
        <v>4807</v>
      </c>
      <c r="AV172" s="543">
        <v>0</v>
      </c>
      <c r="AW172" s="543">
        <v>0</v>
      </c>
      <c r="AX172" s="544">
        <f t="shared" si="39"/>
        <v>15764.5</v>
      </c>
    </row>
    <row r="173" spans="8:50" x14ac:dyDescent="0.25">
      <c r="H173" s="11" t="str">
        <f>IF(AND(J173&lt;=Главная!$L$29,Главная!$L$29&lt;K173),I173,"")</f>
        <v/>
      </c>
      <c r="I173" s="42" t="s">
        <v>412</v>
      </c>
      <c r="J173" s="9">
        <v>4.9000000000000004</v>
      </c>
      <c r="K173" s="9">
        <v>7.2</v>
      </c>
      <c r="L173" s="42">
        <v>16</v>
      </c>
      <c r="M173" s="42" t="str">
        <f>Материалы!E38</f>
        <v>16А 1п.</v>
      </c>
      <c r="N173" s="9">
        <f>Материалы!D45</f>
        <v>9</v>
      </c>
      <c r="O173" s="9" t="str">
        <f>Материалы!E45</f>
        <v>LC1D09P7</v>
      </c>
      <c r="P173" s="9">
        <v>2.5</v>
      </c>
      <c r="Q173" s="9">
        <v>2.5</v>
      </c>
      <c r="W173" s="1"/>
      <c r="Y173" s="1"/>
      <c r="Z173" s="1"/>
      <c r="AA173" s="1"/>
      <c r="AB173" s="557" t="str">
        <f t="shared" ref="AB173" si="54">MID(AC173,2,3)</f>
        <v>142</v>
      </c>
      <c r="AC173" s="544" t="s">
        <v>99</v>
      </c>
      <c r="AD173" s="544" t="s">
        <v>360</v>
      </c>
      <c r="AE173" s="544" t="s">
        <v>138</v>
      </c>
      <c r="AF173" s="543">
        <v>1</v>
      </c>
      <c r="AG173" s="543">
        <f>Материалы!$H$171</f>
        <v>472.5</v>
      </c>
      <c r="AH173" s="545">
        <v>1</v>
      </c>
      <c r="AI173" s="543">
        <f>Материалы!$H$172</f>
        <v>472.5</v>
      </c>
      <c r="AJ173" s="545">
        <v>1</v>
      </c>
      <c r="AK173" s="543">
        <f>Материалы!$H$174</f>
        <v>1552</v>
      </c>
      <c r="AL173" s="545">
        <v>0</v>
      </c>
      <c r="AM173" s="543">
        <f>Материалы!$H$175</f>
        <v>1052</v>
      </c>
      <c r="AN173" s="545">
        <v>1</v>
      </c>
      <c r="AO173" s="543">
        <f>Материалы!$H$176</f>
        <v>1570</v>
      </c>
      <c r="AP173" s="543">
        <v>1</v>
      </c>
      <c r="AQ173" s="543">
        <f>Материалы!$H$177</f>
        <v>990.5</v>
      </c>
      <c r="AR173" s="543">
        <v>1</v>
      </c>
      <c r="AS173" s="543">
        <f>Материалы!$H$178</f>
        <v>5900</v>
      </c>
      <c r="AT173" s="543">
        <v>1</v>
      </c>
      <c r="AU173" s="543">
        <f>Материалы!$H$173</f>
        <v>4807</v>
      </c>
      <c r="AV173" s="543">
        <v>0</v>
      </c>
      <c r="AW173" s="543">
        <v>0</v>
      </c>
      <c r="AX173" s="544">
        <f t="shared" si="39"/>
        <v>15764.5</v>
      </c>
    </row>
    <row r="174" spans="8:50" x14ac:dyDescent="0.25">
      <c r="W174" s="1"/>
      <c r="Y174" s="1"/>
      <c r="Z174" s="1"/>
      <c r="AA174" s="1"/>
      <c r="AB174" s="557" t="str">
        <f t="shared" si="4"/>
        <v>143</v>
      </c>
      <c r="AC174" s="463" t="s">
        <v>100</v>
      </c>
      <c r="AD174" s="463" t="s">
        <v>363</v>
      </c>
      <c r="AE174" s="463" t="s">
        <v>137</v>
      </c>
      <c r="AF174" s="73">
        <v>1</v>
      </c>
      <c r="AG174" s="73">
        <f>Материалы!$H$171</f>
        <v>472.5</v>
      </c>
      <c r="AH174" s="307">
        <v>1</v>
      </c>
      <c r="AI174" s="73">
        <f>Материалы!$H$172</f>
        <v>472.5</v>
      </c>
      <c r="AJ174" s="307">
        <v>1</v>
      </c>
      <c r="AK174" s="73">
        <f>Материалы!$H$174</f>
        <v>1552</v>
      </c>
      <c r="AL174" s="307">
        <v>0</v>
      </c>
      <c r="AM174" s="73">
        <f>Материалы!$H$175</f>
        <v>1052</v>
      </c>
      <c r="AN174" s="307">
        <v>1</v>
      </c>
      <c r="AO174" s="73">
        <f>Материалы!$H$176</f>
        <v>1570</v>
      </c>
      <c r="AP174" s="73">
        <v>1</v>
      </c>
      <c r="AQ174" s="73">
        <f>Материалы!$H$177</f>
        <v>990.5</v>
      </c>
      <c r="AR174" s="73">
        <v>0</v>
      </c>
      <c r="AS174" s="73">
        <f>Материалы!$H$178</f>
        <v>5900</v>
      </c>
      <c r="AT174" s="73">
        <v>0</v>
      </c>
      <c r="AU174" s="73">
        <f>Материалы!$H$173</f>
        <v>4807</v>
      </c>
      <c r="AV174" s="73">
        <v>0</v>
      </c>
      <c r="AW174" s="73">
        <v>0</v>
      </c>
      <c r="AX174" s="463">
        <f t="shared" si="39"/>
        <v>5057.5</v>
      </c>
    </row>
    <row r="175" spans="8:50" x14ac:dyDescent="0.25">
      <c r="H175" s="4" t="s">
        <v>510</v>
      </c>
      <c r="W175" s="1"/>
      <c r="Y175" s="1"/>
      <c r="Z175" s="1"/>
      <c r="AA175" s="1"/>
      <c r="AB175" s="557" t="str">
        <f t="shared" ref="AB175" si="55">MID(AC175,2,3)</f>
        <v>143</v>
      </c>
      <c r="AC175" s="463" t="s">
        <v>100</v>
      </c>
      <c r="AD175" s="463" t="s">
        <v>363</v>
      </c>
      <c r="AE175" s="554" t="s">
        <v>138</v>
      </c>
      <c r="AF175" s="73">
        <v>1</v>
      </c>
      <c r="AG175" s="73">
        <f>Материалы!$H$171</f>
        <v>472.5</v>
      </c>
      <c r="AH175" s="307">
        <v>1</v>
      </c>
      <c r="AI175" s="73">
        <f>Материалы!$H$172</f>
        <v>472.5</v>
      </c>
      <c r="AJ175" s="307">
        <v>1</v>
      </c>
      <c r="AK175" s="73">
        <f>Материалы!$H$174</f>
        <v>1552</v>
      </c>
      <c r="AL175" s="307">
        <v>0</v>
      </c>
      <c r="AM175" s="73">
        <f>Материалы!$H$175</f>
        <v>1052</v>
      </c>
      <c r="AN175" s="307">
        <v>1</v>
      </c>
      <c r="AO175" s="73">
        <f>Материалы!$H$176</f>
        <v>1570</v>
      </c>
      <c r="AP175" s="73">
        <v>1</v>
      </c>
      <c r="AQ175" s="73">
        <f>Материалы!$H$177</f>
        <v>990.5</v>
      </c>
      <c r="AR175" s="73">
        <v>0</v>
      </c>
      <c r="AS175" s="73">
        <f>Материалы!$H$178</f>
        <v>5900</v>
      </c>
      <c r="AT175" s="73">
        <v>0</v>
      </c>
      <c r="AU175" s="73">
        <f>Материалы!$H$173</f>
        <v>4807</v>
      </c>
      <c r="AV175" s="73">
        <v>0</v>
      </c>
      <c r="AW175" s="73">
        <v>0</v>
      </c>
      <c r="AX175" s="463">
        <f t="shared" si="39"/>
        <v>5057.5</v>
      </c>
    </row>
    <row r="176" spans="8:50" ht="15.75" thickBot="1" x14ac:dyDescent="0.3">
      <c r="H176" s="338" t="s">
        <v>322</v>
      </c>
      <c r="I176" s="226" t="str">
        <f>IF($D$1=1,I179,IF($D$1=2,I178,I177))</f>
        <v>ХХХХХХХХ</v>
      </c>
      <c r="J176" s="226" t="e">
        <f t="shared" ref="J176:Q176" si="56">IF($D$1=1,J179,IF($D$1=2,J178,J177))</f>
        <v>#N/A</v>
      </c>
      <c r="K176" s="226" t="e">
        <f t="shared" si="56"/>
        <v>#N/A</v>
      </c>
      <c r="L176" s="226" t="str">
        <f t="shared" si="56"/>
        <v>4…6,3</v>
      </c>
      <c r="M176" s="226" t="str">
        <f t="shared" si="56"/>
        <v>GV2ME10</v>
      </c>
      <c r="N176" s="226">
        <f t="shared" si="56"/>
        <v>9</v>
      </c>
      <c r="O176" s="226" t="str">
        <f t="shared" si="56"/>
        <v>LC1D09P7</v>
      </c>
      <c r="P176" s="226">
        <f t="shared" si="56"/>
        <v>2.5</v>
      </c>
      <c r="Q176" s="226">
        <f t="shared" si="56"/>
        <v>1.5</v>
      </c>
      <c r="W176" s="1"/>
      <c r="Y176" s="1"/>
      <c r="AA176" s="1"/>
      <c r="AB176" s="557" t="str">
        <f t="shared" si="4"/>
        <v>143</v>
      </c>
      <c r="AC176" s="463" t="s">
        <v>100</v>
      </c>
      <c r="AD176" s="463" t="s">
        <v>360</v>
      </c>
      <c r="AE176" s="463" t="s">
        <v>137</v>
      </c>
      <c r="AF176" s="73">
        <v>1</v>
      </c>
      <c r="AG176" s="73">
        <f>Материалы!$H$171</f>
        <v>472.5</v>
      </c>
      <c r="AH176" s="307">
        <v>1</v>
      </c>
      <c r="AI176" s="73">
        <f>Материалы!$H$172</f>
        <v>472.5</v>
      </c>
      <c r="AJ176" s="307">
        <v>1</v>
      </c>
      <c r="AK176" s="73">
        <f>Материалы!$H$174</f>
        <v>1552</v>
      </c>
      <c r="AL176" s="307">
        <v>2</v>
      </c>
      <c r="AM176" s="73">
        <f>Материалы!$H$175</f>
        <v>1052</v>
      </c>
      <c r="AN176" s="307">
        <v>1</v>
      </c>
      <c r="AO176" s="73">
        <f>Материалы!$H$176</f>
        <v>1570</v>
      </c>
      <c r="AP176" s="73">
        <v>1</v>
      </c>
      <c r="AQ176" s="73">
        <f>Материалы!$H$177</f>
        <v>990.5</v>
      </c>
      <c r="AR176" s="73">
        <v>0</v>
      </c>
      <c r="AS176" s="73">
        <f>Материалы!$H$178</f>
        <v>5900</v>
      </c>
      <c r="AT176" s="73">
        <v>1</v>
      </c>
      <c r="AU176" s="73">
        <f>Материалы!$H$173</f>
        <v>4807</v>
      </c>
      <c r="AV176" s="73">
        <v>0</v>
      </c>
      <c r="AW176" s="73">
        <v>0</v>
      </c>
      <c r="AX176" s="463">
        <f t="shared" si="39"/>
        <v>11968.5</v>
      </c>
    </row>
    <row r="177" spans="7:50" ht="15" customHeight="1" thickBot="1" x14ac:dyDescent="0.3">
      <c r="H177" s="39" t="s">
        <v>630</v>
      </c>
      <c r="I177" s="227" t="str">
        <f>D120</f>
        <v>ХХХХХХХХ</v>
      </c>
      <c r="J177" s="227" t="e">
        <f>VLOOKUP(I177,I180:M185,2,FALSE)</f>
        <v>#N/A</v>
      </c>
      <c r="K177" s="227" t="e">
        <f>VLOOKUP(I177,I180:M185,3,FALSE)-0.1</f>
        <v>#N/A</v>
      </c>
      <c r="L177" s="227" t="str">
        <f>VLOOKUP(I177,I180:M185,4)</f>
        <v>4…6,3</v>
      </c>
      <c r="M177" s="227" t="str">
        <f>VLOOKUP(I177,I180:M185,5)</f>
        <v>GV2ME10</v>
      </c>
      <c r="N177" s="227">
        <f>VLOOKUP(I177,I180:N184,6)</f>
        <v>9</v>
      </c>
      <c r="O177" s="227" t="str">
        <f>VLOOKUP(I177,I180:O184,7)</f>
        <v>LC1D09P7</v>
      </c>
      <c r="P177" s="227">
        <f>VLOOKUP(I177,I180:P184,8)</f>
        <v>2.5</v>
      </c>
      <c r="Q177" s="227">
        <f>VLOOKUP(I177,I180:Q184,9)</f>
        <v>1.5</v>
      </c>
      <c r="W177" s="1"/>
      <c r="Y177" s="1"/>
      <c r="AA177" s="1"/>
      <c r="AB177" s="557" t="str">
        <f t="shared" ref="AB177" si="57">MID(AC177,2,3)</f>
        <v>143</v>
      </c>
      <c r="AC177" s="463" t="s">
        <v>100</v>
      </c>
      <c r="AD177" s="463" t="s">
        <v>360</v>
      </c>
      <c r="AE177" s="554" t="s">
        <v>138</v>
      </c>
      <c r="AF177" s="73">
        <v>1</v>
      </c>
      <c r="AG177" s="73">
        <f>Материалы!$H$171</f>
        <v>472.5</v>
      </c>
      <c r="AH177" s="307">
        <v>1</v>
      </c>
      <c r="AI177" s="73">
        <f>Материалы!$H$172</f>
        <v>472.5</v>
      </c>
      <c r="AJ177" s="307">
        <v>1</v>
      </c>
      <c r="AK177" s="73">
        <f>Материалы!$H$174</f>
        <v>1552</v>
      </c>
      <c r="AL177" s="307">
        <v>2</v>
      </c>
      <c r="AM177" s="73">
        <f>Материалы!$H$175</f>
        <v>1052</v>
      </c>
      <c r="AN177" s="307">
        <v>1</v>
      </c>
      <c r="AO177" s="73">
        <f>Материалы!$H$176</f>
        <v>1570</v>
      </c>
      <c r="AP177" s="73">
        <v>1</v>
      </c>
      <c r="AQ177" s="73">
        <f>Материалы!$H$177</f>
        <v>990.5</v>
      </c>
      <c r="AR177" s="73">
        <v>0</v>
      </c>
      <c r="AS177" s="73">
        <f>Материалы!$H$178</f>
        <v>5900</v>
      </c>
      <c r="AT177" s="73">
        <v>1</v>
      </c>
      <c r="AU177" s="73">
        <f>Материалы!$H$173</f>
        <v>4807</v>
      </c>
      <c r="AV177" s="73">
        <v>0</v>
      </c>
      <c r="AW177" s="73">
        <v>0</v>
      </c>
      <c r="AX177" s="463">
        <f t="shared" si="39"/>
        <v>11968.5</v>
      </c>
    </row>
    <row r="178" spans="7:50" x14ac:dyDescent="0.25">
      <c r="H178" s="338" t="s">
        <v>321</v>
      </c>
      <c r="I178" s="227" t="str">
        <f>C120</f>
        <v>ХХХХХХХХ</v>
      </c>
      <c r="J178" s="227" t="e">
        <f>VLOOKUP(I178,I181:M185,2,FALSE)</f>
        <v>#N/A</v>
      </c>
      <c r="K178" s="227" t="e">
        <f>VLOOKUP(I178,I181:M185,3,FALSE)-0.1</f>
        <v>#N/A</v>
      </c>
      <c r="L178" s="227" t="str">
        <f>VLOOKUP(I178,I181:M185,4)</f>
        <v>4…6,3</v>
      </c>
      <c r="M178" s="227" t="str">
        <f>VLOOKUP(I178,I181:M185,5)</f>
        <v>GV2ME10</v>
      </c>
      <c r="N178" s="227">
        <f>VLOOKUP(I178,I181:N185,6)</f>
        <v>9</v>
      </c>
      <c r="O178" s="227" t="str">
        <f>VLOOKUP(I178,I181:O185,7)</f>
        <v>LC1D09P7</v>
      </c>
      <c r="P178" s="227">
        <f>VLOOKUP(I178,I181:P185,8)</f>
        <v>2.5</v>
      </c>
      <c r="Q178" s="227">
        <f>VLOOKUP(I178,I181:Q185,9)</f>
        <v>1.5</v>
      </c>
      <c r="W178" s="1"/>
      <c r="Y178" s="1"/>
      <c r="AA178" s="1"/>
      <c r="AB178" s="558" t="str">
        <f t="shared" si="4"/>
        <v>150</v>
      </c>
      <c r="AC178" s="547" t="s">
        <v>101</v>
      </c>
      <c r="AD178" s="547" t="s">
        <v>363</v>
      </c>
      <c r="AE178" s="547" t="s">
        <v>137</v>
      </c>
      <c r="AF178" s="286">
        <v>1</v>
      </c>
      <c r="AG178" s="286">
        <f>Материалы!$H$171</f>
        <v>472.5</v>
      </c>
      <c r="AH178" s="318">
        <v>1</v>
      </c>
      <c r="AI178" s="286">
        <f>Материалы!$H$172</f>
        <v>472.5</v>
      </c>
      <c r="AJ178" s="318">
        <v>1</v>
      </c>
      <c r="AK178" s="286">
        <f>Материалы!$H$174</f>
        <v>1552</v>
      </c>
      <c r="AL178" s="318">
        <v>0</v>
      </c>
      <c r="AM178" s="286">
        <f>Материалы!$H$175</f>
        <v>1052</v>
      </c>
      <c r="AN178" s="318">
        <v>1</v>
      </c>
      <c r="AO178" s="286">
        <f>Материалы!$H$176</f>
        <v>1570</v>
      </c>
      <c r="AP178" s="286">
        <v>1</v>
      </c>
      <c r="AQ178" s="286">
        <f>Материалы!$H$177</f>
        <v>990.5</v>
      </c>
      <c r="AR178" s="286">
        <v>0</v>
      </c>
      <c r="AS178" s="286">
        <f>Материалы!$H$178</f>
        <v>5900</v>
      </c>
      <c r="AT178" s="286">
        <v>0</v>
      </c>
      <c r="AU178" s="286">
        <f>Материалы!$H$173</f>
        <v>4807</v>
      </c>
      <c r="AV178" s="286">
        <v>0</v>
      </c>
      <c r="AW178" s="286">
        <v>0</v>
      </c>
      <c r="AX178" s="547">
        <f t="shared" si="39"/>
        <v>5057.5</v>
      </c>
    </row>
    <row r="179" spans="7:50" ht="28.5" x14ac:dyDescent="0.25">
      <c r="H179" s="338" t="s">
        <v>320</v>
      </c>
      <c r="I179" s="339" t="str">
        <f>INDEX(H180:H185,INDEX(MATCH(1=1,H180:H185&lt;&gt;"",),))</f>
        <v>А3Р00016</v>
      </c>
      <c r="J179" s="339">
        <f>VLOOKUP(I179,I181:M185,2,FALSE)</f>
        <v>1</v>
      </c>
      <c r="K179" s="339">
        <f>VLOOKUP(I179,I181:M185,3,FALSE)</f>
        <v>1.6</v>
      </c>
      <c r="L179" s="339" t="str">
        <f>VLOOKUP(I179,I181:M185,4)</f>
        <v>1…1,6</v>
      </c>
      <c r="M179" s="339" t="str">
        <f>VLOOKUP(I179,I181:M185,5)</f>
        <v>GV2ME06</v>
      </c>
      <c r="N179" s="339">
        <f>VLOOKUP(I179,I181:N185,6)</f>
        <v>9</v>
      </c>
      <c r="O179" s="339" t="str">
        <f>VLOOKUP(I179,I181:O185,7)</f>
        <v>LC1D09P7</v>
      </c>
      <c r="P179" s="339">
        <f>VLOOKUP(I179,I181:P185,8)</f>
        <v>2.5</v>
      </c>
      <c r="Q179" s="339">
        <f>VLOOKUP(I179,I181:Q185,9)</f>
        <v>1.5</v>
      </c>
      <c r="W179" s="1"/>
      <c r="Y179" s="1"/>
      <c r="AA179" s="1"/>
      <c r="AB179" s="558" t="str">
        <f t="shared" ref="AB179" si="58">MID(AC179,2,3)</f>
        <v>150</v>
      </c>
      <c r="AC179" s="547" t="s">
        <v>101</v>
      </c>
      <c r="AD179" s="547" t="s">
        <v>363</v>
      </c>
      <c r="AE179" s="547" t="s">
        <v>138</v>
      </c>
      <c r="AF179" s="286">
        <v>1</v>
      </c>
      <c r="AG179" s="286">
        <f>Материалы!$H$171</f>
        <v>472.5</v>
      </c>
      <c r="AH179" s="318">
        <v>1</v>
      </c>
      <c r="AI179" s="286">
        <f>Материалы!$H$172</f>
        <v>472.5</v>
      </c>
      <c r="AJ179" s="318">
        <v>1</v>
      </c>
      <c r="AK179" s="286">
        <f>Материалы!$H$174</f>
        <v>1552</v>
      </c>
      <c r="AL179" s="318">
        <v>0</v>
      </c>
      <c r="AM179" s="286">
        <f>Материалы!$H$175</f>
        <v>1052</v>
      </c>
      <c r="AN179" s="318">
        <v>1</v>
      </c>
      <c r="AO179" s="286">
        <f>Материалы!$H$176</f>
        <v>1570</v>
      </c>
      <c r="AP179" s="286">
        <v>1</v>
      </c>
      <c r="AQ179" s="286">
        <f>Материалы!$H$177</f>
        <v>990.5</v>
      </c>
      <c r="AR179" s="286">
        <v>0</v>
      </c>
      <c r="AS179" s="286">
        <f>Материалы!$H$178</f>
        <v>5900</v>
      </c>
      <c r="AT179" s="286">
        <v>0</v>
      </c>
      <c r="AU179" s="286">
        <f>Материалы!$H$173</f>
        <v>4807</v>
      </c>
      <c r="AV179" s="286">
        <v>0</v>
      </c>
      <c r="AW179" s="286">
        <v>0</v>
      </c>
      <c r="AX179" s="547">
        <f t="shared" si="39"/>
        <v>5057.5</v>
      </c>
    </row>
    <row r="180" spans="7:50" x14ac:dyDescent="0.25">
      <c r="H180" s="11"/>
      <c r="I180" s="43" t="s">
        <v>78</v>
      </c>
      <c r="J180" s="38" t="s">
        <v>161</v>
      </c>
      <c r="K180" s="38" t="s">
        <v>162</v>
      </c>
      <c r="L180" s="43" t="s">
        <v>121</v>
      </c>
      <c r="M180" s="43" t="s">
        <v>121</v>
      </c>
      <c r="N180" s="38" t="s">
        <v>47</v>
      </c>
      <c r="O180" s="38" t="s">
        <v>47</v>
      </c>
      <c r="P180" s="42" t="s">
        <v>54</v>
      </c>
      <c r="Q180" s="42" t="s">
        <v>160</v>
      </c>
      <c r="W180" s="1"/>
      <c r="Y180" s="1"/>
      <c r="AA180" s="1"/>
      <c r="AB180" s="558" t="str">
        <f t="shared" si="4"/>
        <v>150</v>
      </c>
      <c r="AC180" s="547" t="s">
        <v>101</v>
      </c>
      <c r="AD180" s="547" t="s">
        <v>360</v>
      </c>
      <c r="AE180" s="547" t="s">
        <v>137</v>
      </c>
      <c r="AF180" s="286">
        <v>1</v>
      </c>
      <c r="AG180" s="286">
        <f>Материалы!$H$171</f>
        <v>472.5</v>
      </c>
      <c r="AH180" s="318">
        <v>1</v>
      </c>
      <c r="AI180" s="286">
        <f>Материалы!$H$172</f>
        <v>472.5</v>
      </c>
      <c r="AJ180" s="318">
        <v>1</v>
      </c>
      <c r="AK180" s="286">
        <f>Материалы!$H$174</f>
        <v>1552</v>
      </c>
      <c r="AL180" s="318">
        <v>2</v>
      </c>
      <c r="AM180" s="286">
        <f>Материалы!$H$175</f>
        <v>1052</v>
      </c>
      <c r="AN180" s="318">
        <v>1</v>
      </c>
      <c r="AO180" s="286">
        <f>Материалы!$H$176</f>
        <v>1570</v>
      </c>
      <c r="AP180" s="286">
        <v>1</v>
      </c>
      <c r="AQ180" s="286">
        <f>Материалы!$H$177</f>
        <v>990.5</v>
      </c>
      <c r="AR180" s="286">
        <v>0</v>
      </c>
      <c r="AS180" s="286">
        <f>Материалы!$H$178</f>
        <v>5900</v>
      </c>
      <c r="AT180" s="286">
        <v>1</v>
      </c>
      <c r="AU180" s="286">
        <f>Материалы!$H$173</f>
        <v>4807</v>
      </c>
      <c r="AV180" s="286">
        <v>1</v>
      </c>
      <c r="AW180" s="286">
        <v>0</v>
      </c>
      <c r="AX180" s="547">
        <f t="shared" si="39"/>
        <v>11968.5</v>
      </c>
    </row>
    <row r="181" spans="7:50" x14ac:dyDescent="0.25">
      <c r="H181" s="11" t="str">
        <f>IF(AND(J181&lt;=Главная!$L$29,Главная!$L$29&lt;K181),I181,"")</f>
        <v/>
      </c>
      <c r="I181" s="43" t="s">
        <v>104</v>
      </c>
      <c r="J181" s="9">
        <v>0.25</v>
      </c>
      <c r="K181" s="9">
        <v>1</v>
      </c>
      <c r="L181" s="42" t="str">
        <f>Материалы!D7</f>
        <v>0,63…1</v>
      </c>
      <c r="M181" s="43" t="str">
        <f>Материалы!E7</f>
        <v>GV2ME05</v>
      </c>
      <c r="N181" s="38">
        <f>Материалы!D45</f>
        <v>9</v>
      </c>
      <c r="O181" s="38" t="str">
        <f>Материалы!E45</f>
        <v>LC1D09P7</v>
      </c>
      <c r="P181" s="9">
        <v>2.5</v>
      </c>
      <c r="Q181" s="9">
        <v>1.5</v>
      </c>
      <c r="W181" s="1"/>
      <c r="Y181" s="1"/>
      <c r="AA181" s="1"/>
      <c r="AB181" s="558" t="str">
        <f t="shared" ref="AB181" si="59">MID(AC181,2,3)</f>
        <v>150</v>
      </c>
      <c r="AC181" s="547" t="s">
        <v>101</v>
      </c>
      <c r="AD181" s="547" t="s">
        <v>360</v>
      </c>
      <c r="AE181" s="547" t="s">
        <v>138</v>
      </c>
      <c r="AF181" s="286">
        <v>1</v>
      </c>
      <c r="AG181" s="286">
        <f>Материалы!$H$171</f>
        <v>472.5</v>
      </c>
      <c r="AH181" s="318">
        <v>1</v>
      </c>
      <c r="AI181" s="286">
        <f>Материалы!$H$172</f>
        <v>472.5</v>
      </c>
      <c r="AJ181" s="318">
        <v>1</v>
      </c>
      <c r="AK181" s="286">
        <f>Материалы!$H$174</f>
        <v>1552</v>
      </c>
      <c r="AL181" s="318">
        <v>2</v>
      </c>
      <c r="AM181" s="286">
        <f>Материалы!$H$175</f>
        <v>1052</v>
      </c>
      <c r="AN181" s="318">
        <v>1</v>
      </c>
      <c r="AO181" s="286">
        <f>Материалы!$H$176</f>
        <v>1570</v>
      </c>
      <c r="AP181" s="286">
        <v>1</v>
      </c>
      <c r="AQ181" s="286">
        <f>Материалы!$H$177</f>
        <v>990.5</v>
      </c>
      <c r="AR181" s="286">
        <v>0</v>
      </c>
      <c r="AS181" s="286">
        <f>Материалы!$H$178</f>
        <v>5900</v>
      </c>
      <c r="AT181" s="286">
        <v>1</v>
      </c>
      <c r="AU181" s="286">
        <f>Материалы!$H$173</f>
        <v>4807</v>
      </c>
      <c r="AV181" s="286">
        <v>1</v>
      </c>
      <c r="AW181" s="568">
        <f>U122</f>
        <v>4695</v>
      </c>
      <c r="AX181" s="547">
        <f t="shared" si="39"/>
        <v>16663.5</v>
      </c>
    </row>
    <row r="182" spans="7:50" x14ac:dyDescent="0.25">
      <c r="H182" s="11" t="str">
        <f>IF(AND(J182&lt;=Главная!$L$29,Главная!$L$29&lt;K182),I182,"")</f>
        <v>А3Р00016</v>
      </c>
      <c r="I182" s="43" t="s">
        <v>105</v>
      </c>
      <c r="J182" s="9">
        <v>1</v>
      </c>
      <c r="K182" s="9">
        <v>1.6</v>
      </c>
      <c r="L182" s="42" t="str">
        <f>Материалы!D8</f>
        <v>1…1,6</v>
      </c>
      <c r="M182" s="43" t="str">
        <f>Материалы!E8</f>
        <v>GV2ME06</v>
      </c>
      <c r="N182" s="38">
        <f>Материалы!D45</f>
        <v>9</v>
      </c>
      <c r="O182" s="38" t="str">
        <f>Материалы!E45</f>
        <v>LC1D09P7</v>
      </c>
      <c r="P182" s="9">
        <v>2.5</v>
      </c>
      <c r="Q182" s="9">
        <v>1.5</v>
      </c>
      <c r="W182" s="1"/>
      <c r="Y182" s="1"/>
      <c r="AA182" s="1"/>
      <c r="AB182" s="558" t="str">
        <f t="shared" si="4"/>
        <v>151</v>
      </c>
      <c r="AC182" s="463" t="s">
        <v>102</v>
      </c>
      <c r="AD182" s="463" t="s">
        <v>363</v>
      </c>
      <c r="AE182" s="463" t="s">
        <v>137</v>
      </c>
      <c r="AF182" s="73">
        <v>1</v>
      </c>
      <c r="AG182" s="73">
        <f>Материалы!$H$171</f>
        <v>472.5</v>
      </c>
      <c r="AH182" s="307">
        <v>1</v>
      </c>
      <c r="AI182" s="73">
        <f>Материалы!$H$172</f>
        <v>472.5</v>
      </c>
      <c r="AJ182" s="307">
        <v>1</v>
      </c>
      <c r="AK182" s="73">
        <f>Материалы!$H$174</f>
        <v>1552</v>
      </c>
      <c r="AL182" s="307">
        <v>2</v>
      </c>
      <c r="AM182" s="73">
        <f>Материалы!$H$175</f>
        <v>1052</v>
      </c>
      <c r="AN182" s="307">
        <v>1</v>
      </c>
      <c r="AO182" s="73">
        <f>Материалы!$H$176</f>
        <v>1570</v>
      </c>
      <c r="AP182" s="73">
        <v>1</v>
      </c>
      <c r="AQ182" s="73">
        <f>Материалы!$H$177</f>
        <v>990.5</v>
      </c>
      <c r="AR182" s="73">
        <v>0</v>
      </c>
      <c r="AS182" s="73">
        <f>Материалы!$H$178</f>
        <v>5900</v>
      </c>
      <c r="AT182" s="73">
        <v>0</v>
      </c>
      <c r="AU182" s="73">
        <f>Материалы!$H$173</f>
        <v>4807</v>
      </c>
      <c r="AV182" s="73">
        <v>0</v>
      </c>
      <c r="AW182" s="73">
        <v>0</v>
      </c>
      <c r="AX182" s="463">
        <f t="shared" si="39"/>
        <v>7161.5</v>
      </c>
    </row>
    <row r="183" spans="7:50" x14ac:dyDescent="0.25">
      <c r="H183" s="11" t="str">
        <f>IF(AND(J183&lt;=Главная!$L$29,Главная!$L$29&lt;K183),I183,"")</f>
        <v/>
      </c>
      <c r="I183" s="43" t="s">
        <v>106</v>
      </c>
      <c r="J183" s="9">
        <v>1.6</v>
      </c>
      <c r="K183" s="9">
        <v>2.5</v>
      </c>
      <c r="L183" s="42" t="str">
        <f>Материалы!D9</f>
        <v>1,6…2,5</v>
      </c>
      <c r="M183" s="43" t="str">
        <f>Материалы!E9</f>
        <v>GV2ME07</v>
      </c>
      <c r="N183" s="38">
        <f>Материалы!D45</f>
        <v>9</v>
      </c>
      <c r="O183" s="38" t="str">
        <f>Материалы!E45</f>
        <v>LC1D09P7</v>
      </c>
      <c r="P183" s="9">
        <v>2.5</v>
      </c>
      <c r="Q183" s="9">
        <v>1.5</v>
      </c>
      <c r="W183" s="1"/>
      <c r="Y183" s="1"/>
      <c r="AA183" s="1"/>
      <c r="AB183" s="558" t="str">
        <f t="shared" ref="AB183" si="60">MID(AC183,2,3)</f>
        <v>151</v>
      </c>
      <c r="AC183" s="463" t="s">
        <v>102</v>
      </c>
      <c r="AD183" s="463" t="s">
        <v>363</v>
      </c>
      <c r="AE183" s="554" t="s">
        <v>138</v>
      </c>
      <c r="AF183" s="73">
        <v>1</v>
      </c>
      <c r="AG183" s="73">
        <f>Материалы!$H$171</f>
        <v>472.5</v>
      </c>
      <c r="AH183" s="307">
        <v>1</v>
      </c>
      <c r="AI183" s="73">
        <f>Материалы!$H$172</f>
        <v>472.5</v>
      </c>
      <c r="AJ183" s="307">
        <v>1</v>
      </c>
      <c r="AK183" s="73">
        <f>Материалы!$H$174</f>
        <v>1552</v>
      </c>
      <c r="AL183" s="307">
        <v>2</v>
      </c>
      <c r="AM183" s="73">
        <f>Материалы!$H$175</f>
        <v>1052</v>
      </c>
      <c r="AN183" s="307">
        <v>1</v>
      </c>
      <c r="AO183" s="73">
        <f>Материалы!$H$176</f>
        <v>1570</v>
      </c>
      <c r="AP183" s="73">
        <v>1</v>
      </c>
      <c r="AQ183" s="73">
        <f>Материалы!$H$177</f>
        <v>990.5</v>
      </c>
      <c r="AR183" s="73">
        <v>0</v>
      </c>
      <c r="AS183" s="73">
        <f>Материалы!$H$178</f>
        <v>5900</v>
      </c>
      <c r="AT183" s="73">
        <v>0</v>
      </c>
      <c r="AU183" s="73">
        <f>Материалы!$H$173</f>
        <v>4807</v>
      </c>
      <c r="AV183" s="73">
        <v>0</v>
      </c>
      <c r="AW183" s="73">
        <v>0</v>
      </c>
      <c r="AX183" s="463">
        <f t="shared" si="39"/>
        <v>7161.5</v>
      </c>
    </row>
    <row r="184" spans="7:50" x14ac:dyDescent="0.25">
      <c r="H184" s="11" t="str">
        <f>IF(AND(J184&lt;=Главная!$L$29,Главная!$L$29&lt;K184),I184,"")</f>
        <v/>
      </c>
      <c r="I184" s="43" t="s">
        <v>107</v>
      </c>
      <c r="J184" s="9">
        <v>2.5</v>
      </c>
      <c r="K184" s="9">
        <v>4</v>
      </c>
      <c r="L184" s="42" t="str">
        <f>Материалы!D10</f>
        <v>2,5…4</v>
      </c>
      <c r="M184" s="43" t="str">
        <f>Материалы!E10</f>
        <v>GV2ME08</v>
      </c>
      <c r="N184" s="38">
        <f>Материалы!D45</f>
        <v>9</v>
      </c>
      <c r="O184" s="38" t="str">
        <f>Материалы!E45</f>
        <v>LC1D09P7</v>
      </c>
      <c r="P184" s="9">
        <v>2.5</v>
      </c>
      <c r="Q184" s="9">
        <v>1.5</v>
      </c>
      <c r="Y184" s="1"/>
      <c r="AA184" s="1"/>
      <c r="AB184" s="558" t="str">
        <f t="shared" si="4"/>
        <v>151</v>
      </c>
      <c r="AC184" s="463" t="s">
        <v>102</v>
      </c>
      <c r="AD184" s="463" t="s">
        <v>360</v>
      </c>
      <c r="AE184" s="463" t="s">
        <v>137</v>
      </c>
      <c r="AF184" s="73">
        <v>1</v>
      </c>
      <c r="AG184" s="73">
        <f>Материалы!$H$171</f>
        <v>472.5</v>
      </c>
      <c r="AH184" s="307">
        <v>1</v>
      </c>
      <c r="AI184" s="73">
        <f>Материалы!$H$172</f>
        <v>472.5</v>
      </c>
      <c r="AJ184" s="307">
        <v>1</v>
      </c>
      <c r="AK184" s="73">
        <f>Материалы!$H$174</f>
        <v>1552</v>
      </c>
      <c r="AL184" s="307">
        <v>2</v>
      </c>
      <c r="AM184" s="73">
        <f>Материалы!$H$175</f>
        <v>1052</v>
      </c>
      <c r="AN184" s="307">
        <v>1</v>
      </c>
      <c r="AO184" s="73">
        <f>Материалы!$H$176</f>
        <v>1570</v>
      </c>
      <c r="AP184" s="73">
        <v>1</v>
      </c>
      <c r="AQ184" s="73">
        <f>Материалы!$H$177</f>
        <v>990.5</v>
      </c>
      <c r="AR184" s="73">
        <v>0</v>
      </c>
      <c r="AS184" s="73">
        <f>Материалы!$H$178</f>
        <v>5900</v>
      </c>
      <c r="AT184" s="73">
        <v>1</v>
      </c>
      <c r="AU184" s="73">
        <f>Материалы!$H$173</f>
        <v>4807</v>
      </c>
      <c r="AV184" s="73">
        <v>1</v>
      </c>
      <c r="AW184" s="73">
        <v>0</v>
      </c>
      <c r="AX184" s="463">
        <f t="shared" si="39"/>
        <v>11968.5</v>
      </c>
    </row>
    <row r="185" spans="7:50" x14ac:dyDescent="0.25">
      <c r="H185" s="11" t="str">
        <f>IF(AND(J185&lt;=Главная!$L$29,Главная!$L$29&lt;K185),I185,"")</f>
        <v/>
      </c>
      <c r="I185" s="43" t="s">
        <v>108</v>
      </c>
      <c r="J185" s="9">
        <v>4</v>
      </c>
      <c r="K185" s="9">
        <v>6.3</v>
      </c>
      <c r="L185" s="42" t="str">
        <f>Материалы!D11</f>
        <v>4…6,3</v>
      </c>
      <c r="M185" s="43" t="str">
        <f>Материалы!E11</f>
        <v>GV2ME10</v>
      </c>
      <c r="N185" s="38">
        <f>Материалы!D45</f>
        <v>9</v>
      </c>
      <c r="O185" s="38" t="str">
        <f>Материалы!E45</f>
        <v>LC1D09P7</v>
      </c>
      <c r="P185" s="9">
        <v>2.5</v>
      </c>
      <c r="Q185" s="9">
        <v>1.5</v>
      </c>
      <c r="AB185" s="558" t="str">
        <f t="shared" ref="AB185" si="61">MID(AC185,2,3)</f>
        <v>151</v>
      </c>
      <c r="AC185" s="463" t="s">
        <v>102</v>
      </c>
      <c r="AD185" s="463" t="s">
        <v>360</v>
      </c>
      <c r="AE185" s="554" t="s">
        <v>138</v>
      </c>
      <c r="AF185" s="73">
        <v>1</v>
      </c>
      <c r="AG185" s="73">
        <f>Материалы!$H$171</f>
        <v>472.5</v>
      </c>
      <c r="AH185" s="307">
        <v>1</v>
      </c>
      <c r="AI185" s="73">
        <f>Материалы!$H$172</f>
        <v>472.5</v>
      </c>
      <c r="AJ185" s="307">
        <v>1</v>
      </c>
      <c r="AK185" s="73">
        <f>Материалы!$H$174</f>
        <v>1552</v>
      </c>
      <c r="AL185" s="307">
        <v>2</v>
      </c>
      <c r="AM185" s="73">
        <f>Материалы!$H$175</f>
        <v>1052</v>
      </c>
      <c r="AN185" s="307">
        <v>1</v>
      </c>
      <c r="AO185" s="73">
        <f>Материалы!$H$176</f>
        <v>1570</v>
      </c>
      <c r="AP185" s="73">
        <v>1</v>
      </c>
      <c r="AQ185" s="73">
        <f>Материалы!$H$177</f>
        <v>990.5</v>
      </c>
      <c r="AR185" s="73">
        <v>0</v>
      </c>
      <c r="AS185" s="73">
        <f>Материалы!$H$178</f>
        <v>5900</v>
      </c>
      <c r="AT185" s="73">
        <v>1</v>
      </c>
      <c r="AU185" s="73">
        <f>Материалы!$H$173</f>
        <v>4807</v>
      </c>
      <c r="AV185" s="73">
        <v>1</v>
      </c>
      <c r="AW185" s="178">
        <f>U122</f>
        <v>4695</v>
      </c>
      <c r="AX185" s="463">
        <f t="shared" si="39"/>
        <v>16663.5</v>
      </c>
    </row>
    <row r="186" spans="7:50" x14ac:dyDescent="0.25">
      <c r="AB186" s="558" t="str">
        <f t="shared" si="4"/>
        <v>152</v>
      </c>
      <c r="AC186" s="547" t="s">
        <v>409</v>
      </c>
      <c r="AD186" s="547" t="s">
        <v>363</v>
      </c>
      <c r="AE186" s="547" t="s">
        <v>137</v>
      </c>
      <c r="AF186" s="286">
        <v>1</v>
      </c>
      <c r="AG186" s="286">
        <f>Материалы!$H$171</f>
        <v>472.5</v>
      </c>
      <c r="AH186" s="318">
        <v>1</v>
      </c>
      <c r="AI186" s="286">
        <f>Материалы!$H$172</f>
        <v>472.5</v>
      </c>
      <c r="AJ186" s="318">
        <v>1</v>
      </c>
      <c r="AK186" s="286">
        <f>Материалы!$H$174</f>
        <v>1552</v>
      </c>
      <c r="AL186" s="318">
        <v>0</v>
      </c>
      <c r="AM186" s="286">
        <f>Материалы!$H$175</f>
        <v>1052</v>
      </c>
      <c r="AN186" s="318">
        <v>1</v>
      </c>
      <c r="AO186" s="286">
        <f>Материалы!$H$176</f>
        <v>1570</v>
      </c>
      <c r="AP186" s="286">
        <v>1</v>
      </c>
      <c r="AQ186" s="286">
        <f>Материалы!$H$177</f>
        <v>990.5</v>
      </c>
      <c r="AR186" s="286">
        <v>1</v>
      </c>
      <c r="AS186" s="286">
        <f>Материалы!$H$178</f>
        <v>5900</v>
      </c>
      <c r="AT186" s="286">
        <v>0</v>
      </c>
      <c r="AU186" s="286">
        <f>Материалы!$H$173</f>
        <v>4807</v>
      </c>
      <c r="AV186" s="286">
        <v>0</v>
      </c>
      <c r="AW186" s="286">
        <v>0</v>
      </c>
      <c r="AX186" s="547">
        <f t="shared" si="39"/>
        <v>10957.5</v>
      </c>
    </row>
    <row r="187" spans="7:50" x14ac:dyDescent="0.25">
      <c r="AB187" s="558" t="str">
        <f t="shared" ref="AB187" si="62">MID(AC187,2,3)</f>
        <v>152</v>
      </c>
      <c r="AC187" s="547" t="s">
        <v>409</v>
      </c>
      <c r="AD187" s="547" t="s">
        <v>363</v>
      </c>
      <c r="AE187" s="547" t="s">
        <v>138</v>
      </c>
      <c r="AF187" s="286">
        <v>1</v>
      </c>
      <c r="AG187" s="286">
        <f>Материалы!$H$171</f>
        <v>472.5</v>
      </c>
      <c r="AH187" s="318">
        <v>1</v>
      </c>
      <c r="AI187" s="286">
        <f>Материалы!$H$172</f>
        <v>472.5</v>
      </c>
      <c r="AJ187" s="318">
        <v>1</v>
      </c>
      <c r="AK187" s="286">
        <f>Материалы!$H$174</f>
        <v>1552</v>
      </c>
      <c r="AL187" s="318">
        <v>0</v>
      </c>
      <c r="AM187" s="286">
        <f>Материалы!$H$175</f>
        <v>1052</v>
      </c>
      <c r="AN187" s="318">
        <v>1</v>
      </c>
      <c r="AO187" s="286">
        <f>Материалы!$H$176</f>
        <v>1570</v>
      </c>
      <c r="AP187" s="286">
        <v>1</v>
      </c>
      <c r="AQ187" s="286">
        <f>Материалы!$H$177</f>
        <v>990.5</v>
      </c>
      <c r="AR187" s="286">
        <v>1</v>
      </c>
      <c r="AS187" s="286">
        <f>Материалы!$H$178</f>
        <v>5900</v>
      </c>
      <c r="AT187" s="286">
        <v>0</v>
      </c>
      <c r="AU187" s="286">
        <f>Материалы!$H$173</f>
        <v>4807</v>
      </c>
      <c r="AV187" s="286">
        <v>0</v>
      </c>
      <c r="AW187" s="286">
        <v>0</v>
      </c>
      <c r="AX187" s="547">
        <f t="shared" si="39"/>
        <v>10957.5</v>
      </c>
    </row>
    <row r="188" spans="7:50" x14ac:dyDescent="0.25">
      <c r="I188" s="239" t="s">
        <v>271</v>
      </c>
      <c r="J188" s="239" t="s">
        <v>271</v>
      </c>
      <c r="K188" s="203" t="s">
        <v>272</v>
      </c>
      <c r="L188" s="203" t="s">
        <v>272</v>
      </c>
      <c r="M188" s="227" t="s">
        <v>624</v>
      </c>
      <c r="N188" s="227" t="s">
        <v>624</v>
      </c>
      <c r="P188" s="99"/>
      <c r="AB188" s="558" t="str">
        <f t="shared" si="4"/>
        <v>152</v>
      </c>
      <c r="AC188" s="547" t="s">
        <v>409</v>
      </c>
      <c r="AD188" s="547" t="s">
        <v>360</v>
      </c>
      <c r="AE188" s="547" t="s">
        <v>137</v>
      </c>
      <c r="AF188" s="286">
        <v>1</v>
      </c>
      <c r="AG188" s="286">
        <f>Материалы!$H$171</f>
        <v>472.5</v>
      </c>
      <c r="AH188" s="318">
        <v>1</v>
      </c>
      <c r="AI188" s="286">
        <f>Материалы!$H$172</f>
        <v>472.5</v>
      </c>
      <c r="AJ188" s="318">
        <v>1</v>
      </c>
      <c r="AK188" s="286">
        <f>Материалы!$H$174</f>
        <v>1552</v>
      </c>
      <c r="AL188" s="318">
        <v>0</v>
      </c>
      <c r="AM188" s="286">
        <f>Материалы!$H$175</f>
        <v>1052</v>
      </c>
      <c r="AN188" s="318">
        <v>1</v>
      </c>
      <c r="AO188" s="286">
        <f>Материалы!$H$176</f>
        <v>1570</v>
      </c>
      <c r="AP188" s="286">
        <v>1</v>
      </c>
      <c r="AQ188" s="286">
        <f>Материалы!$H$177</f>
        <v>990.5</v>
      </c>
      <c r="AR188" s="286">
        <v>1</v>
      </c>
      <c r="AS188" s="286">
        <f>Материалы!$H$178</f>
        <v>5900</v>
      </c>
      <c r="AT188" s="286">
        <v>1</v>
      </c>
      <c r="AU188" s="286">
        <f>Материалы!$H$173</f>
        <v>4807</v>
      </c>
      <c r="AV188" s="286">
        <v>1</v>
      </c>
      <c r="AW188" s="286">
        <v>0</v>
      </c>
      <c r="AX188" s="547">
        <f t="shared" si="39"/>
        <v>15764.5</v>
      </c>
    </row>
    <row r="189" spans="7:50" x14ac:dyDescent="0.25">
      <c r="G189" s="593"/>
      <c r="H189" s="3"/>
      <c r="I189" s="239" t="s">
        <v>138</v>
      </c>
      <c r="J189" s="239" t="s">
        <v>137</v>
      </c>
      <c r="K189" s="203" t="s">
        <v>138</v>
      </c>
      <c r="L189" s="203" t="s">
        <v>137</v>
      </c>
      <c r="M189" s="227" t="s">
        <v>138</v>
      </c>
      <c r="N189" s="227" t="s">
        <v>137</v>
      </c>
      <c r="P189" s="99"/>
      <c r="Y189" s="32"/>
      <c r="Z189" s="32"/>
      <c r="AB189" s="558" t="str">
        <f t="shared" ref="AB189" si="63">MID(AC189,2,3)</f>
        <v>152</v>
      </c>
      <c r="AC189" s="547" t="s">
        <v>409</v>
      </c>
      <c r="AD189" s="547" t="s">
        <v>360</v>
      </c>
      <c r="AE189" s="547" t="s">
        <v>138</v>
      </c>
      <c r="AF189" s="286">
        <v>1</v>
      </c>
      <c r="AG189" s="286">
        <f>Материалы!$H$171</f>
        <v>472.5</v>
      </c>
      <c r="AH189" s="318">
        <v>1</v>
      </c>
      <c r="AI189" s="286">
        <f>Материалы!$H$172</f>
        <v>472.5</v>
      </c>
      <c r="AJ189" s="318">
        <v>1</v>
      </c>
      <c r="AK189" s="286">
        <f>Материалы!$H$174</f>
        <v>1552</v>
      </c>
      <c r="AL189" s="318">
        <v>0</v>
      </c>
      <c r="AM189" s="286">
        <f>Материалы!$H$175</f>
        <v>1052</v>
      </c>
      <c r="AN189" s="318">
        <v>1</v>
      </c>
      <c r="AO189" s="286">
        <f>Материалы!$H$176</f>
        <v>1570</v>
      </c>
      <c r="AP189" s="286">
        <v>1</v>
      </c>
      <c r="AQ189" s="286">
        <f>Материалы!$H$177</f>
        <v>990.5</v>
      </c>
      <c r="AR189" s="286">
        <v>1</v>
      </c>
      <c r="AS189" s="286">
        <f>Материалы!$H$178</f>
        <v>5900</v>
      </c>
      <c r="AT189" s="286">
        <v>1</v>
      </c>
      <c r="AU189" s="286">
        <f>Материалы!$H$173</f>
        <v>4807</v>
      </c>
      <c r="AV189" s="286">
        <v>1</v>
      </c>
      <c r="AW189" s="568">
        <f>U122</f>
        <v>4695</v>
      </c>
      <c r="AX189" s="547">
        <f t="shared" si="39"/>
        <v>20459.5</v>
      </c>
    </row>
    <row r="190" spans="7:50" x14ac:dyDescent="0.25">
      <c r="G190" s="593"/>
      <c r="H190" s="58" t="s">
        <v>523</v>
      </c>
      <c r="I190" s="73"/>
      <c r="J190" s="73"/>
      <c r="K190" s="73"/>
      <c r="L190" s="73"/>
      <c r="M190" s="73"/>
      <c r="N190" s="73"/>
      <c r="P190" s="99"/>
      <c r="Y190" s="32"/>
      <c r="Z190" s="32"/>
      <c r="AB190" s="558" t="str">
        <f t="shared" si="4"/>
        <v>153</v>
      </c>
      <c r="AC190" s="463" t="s">
        <v>410</v>
      </c>
      <c r="AD190" s="463" t="s">
        <v>363</v>
      </c>
      <c r="AE190" s="463" t="s">
        <v>137</v>
      </c>
      <c r="AF190" s="73">
        <v>1</v>
      </c>
      <c r="AG190" s="73">
        <f>Материалы!$H$171</f>
        <v>472.5</v>
      </c>
      <c r="AH190" s="307">
        <v>1</v>
      </c>
      <c r="AI190" s="73">
        <f>Материалы!$H$172</f>
        <v>472.5</v>
      </c>
      <c r="AJ190" s="307">
        <v>1</v>
      </c>
      <c r="AK190" s="73">
        <f>Материалы!$H$174</f>
        <v>1552</v>
      </c>
      <c r="AL190" s="307">
        <v>0</v>
      </c>
      <c r="AM190" s="73">
        <f>Материалы!$H$175</f>
        <v>1052</v>
      </c>
      <c r="AN190" s="307">
        <v>1</v>
      </c>
      <c r="AO190" s="73">
        <f>Материалы!$H$176</f>
        <v>1570</v>
      </c>
      <c r="AP190" s="73">
        <v>1</v>
      </c>
      <c r="AQ190" s="73">
        <f>Материалы!$H$177</f>
        <v>990.5</v>
      </c>
      <c r="AR190" s="73">
        <v>0</v>
      </c>
      <c r="AS190" s="73">
        <f>Материалы!$H$178</f>
        <v>5900</v>
      </c>
      <c r="AT190" s="73">
        <v>0</v>
      </c>
      <c r="AU190" s="73">
        <f>Материалы!$H$173</f>
        <v>4807</v>
      </c>
      <c r="AV190" s="73">
        <v>0</v>
      </c>
      <c r="AW190" s="73">
        <v>0</v>
      </c>
      <c r="AX190" s="463">
        <f t="shared" si="39"/>
        <v>5057.5</v>
      </c>
    </row>
    <row r="191" spans="7:50" x14ac:dyDescent="0.25">
      <c r="G191" s="593"/>
      <c r="H191" s="58" t="s">
        <v>524</v>
      </c>
      <c r="I191" s="73">
        <f>B47</f>
        <v>1</v>
      </c>
      <c r="J191" s="73"/>
      <c r="K191" s="73">
        <f>C47</f>
        <v>0</v>
      </c>
      <c r="L191" s="201">
        <f>C47</f>
        <v>0</v>
      </c>
      <c r="M191" s="201">
        <f>D47</f>
        <v>0</v>
      </c>
      <c r="N191" s="201">
        <f>D47</f>
        <v>0</v>
      </c>
      <c r="P191" s="99"/>
      <c r="Y191" s="32"/>
      <c r="Z191" s="32"/>
      <c r="AB191" s="558" t="str">
        <f t="shared" ref="AB191" si="64">MID(AC191,2,3)</f>
        <v>153</v>
      </c>
      <c r="AC191" s="463" t="s">
        <v>410</v>
      </c>
      <c r="AD191" s="463" t="s">
        <v>363</v>
      </c>
      <c r="AE191" s="554" t="s">
        <v>138</v>
      </c>
      <c r="AF191" s="73">
        <v>1</v>
      </c>
      <c r="AG191" s="73">
        <f>Материалы!$H$171</f>
        <v>472.5</v>
      </c>
      <c r="AH191" s="307">
        <v>1</v>
      </c>
      <c r="AI191" s="73">
        <f>Материалы!$H$172</f>
        <v>472.5</v>
      </c>
      <c r="AJ191" s="307">
        <v>1</v>
      </c>
      <c r="AK191" s="73">
        <f>Материалы!$H$174</f>
        <v>1552</v>
      </c>
      <c r="AL191" s="307">
        <v>0</v>
      </c>
      <c r="AM191" s="73">
        <f>Материалы!$H$175</f>
        <v>1052</v>
      </c>
      <c r="AN191" s="307">
        <v>1</v>
      </c>
      <c r="AO191" s="73">
        <f>Материалы!$H$176</f>
        <v>1570</v>
      </c>
      <c r="AP191" s="73">
        <v>1</v>
      </c>
      <c r="AQ191" s="73">
        <f>Материалы!$H$177</f>
        <v>990.5</v>
      </c>
      <c r="AR191" s="73">
        <v>0</v>
      </c>
      <c r="AS191" s="73">
        <f>Материалы!$H$178</f>
        <v>5900</v>
      </c>
      <c r="AT191" s="73">
        <v>0</v>
      </c>
      <c r="AU191" s="73">
        <f>Материалы!$H$173</f>
        <v>4807</v>
      </c>
      <c r="AV191" s="73">
        <v>0</v>
      </c>
      <c r="AW191" s="73">
        <v>0</v>
      </c>
      <c r="AX191" s="463">
        <f t="shared" si="39"/>
        <v>5057.5</v>
      </c>
    </row>
    <row r="192" spans="7:50" x14ac:dyDescent="0.25">
      <c r="G192" s="593"/>
      <c r="H192" s="58" t="s">
        <v>631</v>
      </c>
      <c r="I192" s="73">
        <f>IF(AND(B47=1,B51=1),K125,0)</f>
        <v>2.9</v>
      </c>
      <c r="J192" s="73">
        <f>IF(AND(B47=0,B51=1),K86,0)</f>
        <v>0</v>
      </c>
      <c r="K192" s="73">
        <f>IF(C47=1,X88,0)</f>
        <v>0</v>
      </c>
      <c r="L192" s="73">
        <f>IF(AND(C47=0,C51=1),X86,0)</f>
        <v>2.4</v>
      </c>
      <c r="M192" s="73">
        <f>IF(D47=1,X104,0)</f>
        <v>0</v>
      </c>
      <c r="N192" s="73">
        <f>IF(AND(D47=0,D51=1),X102,0)</f>
        <v>2.4</v>
      </c>
      <c r="P192" s="99"/>
      <c r="Y192" s="32"/>
      <c r="Z192" s="32"/>
      <c r="AB192" s="558" t="str">
        <f t="shared" si="4"/>
        <v>153</v>
      </c>
      <c r="AC192" s="463" t="s">
        <v>410</v>
      </c>
      <c r="AD192" s="463" t="s">
        <v>360</v>
      </c>
      <c r="AE192" s="463" t="s">
        <v>137</v>
      </c>
      <c r="AF192" s="73">
        <v>1</v>
      </c>
      <c r="AG192" s="73">
        <f>Материалы!$H$171</f>
        <v>472.5</v>
      </c>
      <c r="AH192" s="307">
        <v>1</v>
      </c>
      <c r="AI192" s="73">
        <f>Материалы!$H$172</f>
        <v>472.5</v>
      </c>
      <c r="AJ192" s="307">
        <v>1</v>
      </c>
      <c r="AK192" s="73">
        <f>Материалы!$H$174</f>
        <v>1552</v>
      </c>
      <c r="AL192" s="307">
        <v>2</v>
      </c>
      <c r="AM192" s="73">
        <f>Материалы!$H$175</f>
        <v>1052</v>
      </c>
      <c r="AN192" s="307">
        <v>1</v>
      </c>
      <c r="AO192" s="73">
        <f>Материалы!$H$176</f>
        <v>1570</v>
      </c>
      <c r="AP192" s="73">
        <v>1</v>
      </c>
      <c r="AQ192" s="73">
        <f>Материалы!$H$177</f>
        <v>990.5</v>
      </c>
      <c r="AR192" s="73">
        <v>0</v>
      </c>
      <c r="AS192" s="73">
        <f>Материалы!$H$178</f>
        <v>5900</v>
      </c>
      <c r="AT192" s="73">
        <v>1</v>
      </c>
      <c r="AU192" s="73">
        <f>Материалы!$H$173</f>
        <v>4807</v>
      </c>
      <c r="AV192" s="73">
        <v>1</v>
      </c>
      <c r="AW192" s="73">
        <v>0</v>
      </c>
      <c r="AX192" s="463">
        <f t="shared" si="39"/>
        <v>11968.5</v>
      </c>
    </row>
    <row r="193" spans="7:50" x14ac:dyDescent="0.25">
      <c r="G193" s="593"/>
      <c r="H193" s="422" t="s">
        <v>632</v>
      </c>
      <c r="I193" s="3">
        <f>IF(AND(B47=1,B51=2),K125,0)</f>
        <v>0</v>
      </c>
      <c r="J193" s="9">
        <f>IF(AND(B47=0,B51=2),L107,0)</f>
        <v>0</v>
      </c>
      <c r="K193" s="9">
        <v>0</v>
      </c>
      <c r="L193" s="9">
        <f>IF(AND(C47=0,C51=2),L107,0)</f>
        <v>0</v>
      </c>
      <c r="M193" s="73">
        <v>0</v>
      </c>
      <c r="N193" s="73">
        <f>IF(AND(D47=0,D51=2),L107,0)</f>
        <v>0</v>
      </c>
      <c r="P193" s="99"/>
      <c r="Y193" s="32"/>
      <c r="Z193" s="32"/>
      <c r="AB193" s="558" t="str">
        <f t="shared" ref="AB193" si="65">MID(AC193,2,3)</f>
        <v>153</v>
      </c>
      <c r="AC193" s="463" t="s">
        <v>410</v>
      </c>
      <c r="AD193" s="463" t="s">
        <v>360</v>
      </c>
      <c r="AE193" s="554" t="s">
        <v>138</v>
      </c>
      <c r="AF193" s="73">
        <v>1</v>
      </c>
      <c r="AG193" s="73">
        <f>Материалы!$H$171</f>
        <v>472.5</v>
      </c>
      <c r="AH193" s="307">
        <v>1</v>
      </c>
      <c r="AI193" s="73">
        <f>Материалы!$H$172</f>
        <v>472.5</v>
      </c>
      <c r="AJ193" s="307">
        <v>1</v>
      </c>
      <c r="AK193" s="73">
        <f>Материалы!$H$174</f>
        <v>1552</v>
      </c>
      <c r="AL193" s="307">
        <v>2</v>
      </c>
      <c r="AM193" s="73">
        <f>Материалы!$H$175</f>
        <v>1052</v>
      </c>
      <c r="AN193" s="307">
        <v>1</v>
      </c>
      <c r="AO193" s="73">
        <f>Материалы!$H$176</f>
        <v>1570</v>
      </c>
      <c r="AP193" s="73">
        <v>1</v>
      </c>
      <c r="AQ193" s="73">
        <f>Материалы!$H$177</f>
        <v>990.5</v>
      </c>
      <c r="AR193" s="73">
        <v>0</v>
      </c>
      <c r="AS193" s="73">
        <f>Материалы!$H$178</f>
        <v>5900</v>
      </c>
      <c r="AT193" s="73">
        <v>1</v>
      </c>
      <c r="AU193" s="73">
        <f>Материалы!$H$173</f>
        <v>4807</v>
      </c>
      <c r="AV193" s="73">
        <v>1</v>
      </c>
      <c r="AW193" s="178">
        <f>U122</f>
        <v>4695</v>
      </c>
      <c r="AX193" s="463">
        <f t="shared" si="39"/>
        <v>16663.5</v>
      </c>
    </row>
    <row r="194" spans="7:50" x14ac:dyDescent="0.25">
      <c r="G194" s="593"/>
      <c r="H194" s="58" t="s">
        <v>414</v>
      </c>
      <c r="I194" s="73">
        <f>IF(AND(B56=1,B60=1),K142,0)</f>
        <v>1.9</v>
      </c>
      <c r="J194" s="73">
        <f>IF(AND(B56=1,B60=0),K154,0)</f>
        <v>0</v>
      </c>
      <c r="K194" s="73">
        <f>IF(AND(C56=1,C60=1),X92,0)</f>
        <v>0</v>
      </c>
      <c r="L194" s="73">
        <f>IF(AND(C56=1,C60=0),X93,0)</f>
        <v>0</v>
      </c>
      <c r="M194" s="73">
        <f>IF(AND(D56=1,D60=1),X107,0)</f>
        <v>0</v>
      </c>
      <c r="N194" s="73">
        <f>IF(AND(D56=1,D60=0),X108,0)</f>
        <v>0</v>
      </c>
      <c r="P194" s="99"/>
      <c r="Y194" s="32"/>
      <c r="Z194" s="32"/>
      <c r="AB194" s="559" t="str">
        <f t="shared" si="4"/>
        <v>160</v>
      </c>
      <c r="AC194" s="550" t="s">
        <v>365</v>
      </c>
      <c r="AD194" s="550" t="s">
        <v>363</v>
      </c>
      <c r="AE194" s="550" t="s">
        <v>137</v>
      </c>
      <c r="AF194" s="549">
        <v>1</v>
      </c>
      <c r="AG194" s="548">
        <f>Материалы!$H$171</f>
        <v>472.5</v>
      </c>
      <c r="AH194" s="549">
        <v>1</v>
      </c>
      <c r="AI194" s="548">
        <f>Материалы!$H$172</f>
        <v>472.5</v>
      </c>
      <c r="AJ194" s="549">
        <v>1</v>
      </c>
      <c r="AK194" s="548">
        <f>Материалы!$H$174</f>
        <v>1552</v>
      </c>
      <c r="AL194" s="549">
        <v>0</v>
      </c>
      <c r="AM194" s="548">
        <f>Материалы!$H$175</f>
        <v>1052</v>
      </c>
      <c r="AN194" s="549">
        <v>0</v>
      </c>
      <c r="AO194" s="548">
        <f>Материалы!$H$176</f>
        <v>1570</v>
      </c>
      <c r="AP194" s="548">
        <v>0</v>
      </c>
      <c r="AQ194" s="548">
        <f>Материалы!$H$177</f>
        <v>990.5</v>
      </c>
      <c r="AR194" s="548">
        <v>0</v>
      </c>
      <c r="AS194" s="548">
        <f>Материалы!$H$178</f>
        <v>5900</v>
      </c>
      <c r="AT194" s="548">
        <v>0</v>
      </c>
      <c r="AU194" s="548">
        <f>Материалы!$H$173</f>
        <v>4807</v>
      </c>
      <c r="AV194" s="548">
        <v>0</v>
      </c>
      <c r="AW194" s="548">
        <v>0</v>
      </c>
      <c r="AX194" s="550">
        <f t="shared" si="39"/>
        <v>2497</v>
      </c>
    </row>
    <row r="195" spans="7:50" x14ac:dyDescent="0.25">
      <c r="G195" s="593"/>
      <c r="H195" s="58" t="s">
        <v>511</v>
      </c>
      <c r="I195" s="73">
        <f>IF(AND(B83=1,B87=1),K167,0)</f>
        <v>0</v>
      </c>
      <c r="J195" s="73">
        <f>IF(AND(B83=1,B87=0),K179,0)</f>
        <v>0</v>
      </c>
      <c r="K195" s="73">
        <f>IF(AND(C83=1,C87=1),X97,0)</f>
        <v>0</v>
      </c>
      <c r="L195" s="73">
        <f>IF(AND(C83=1,C87=0),X98,0)</f>
        <v>0</v>
      </c>
      <c r="M195" s="73">
        <f>IF(AND(D83=1,D87=1),X111,0)</f>
        <v>0</v>
      </c>
      <c r="N195" s="73">
        <f>IF(AND(D83=1,D87=0),X112,0)</f>
        <v>0</v>
      </c>
      <c r="P195" s="99"/>
      <c r="Y195" s="32"/>
      <c r="Z195" s="32"/>
      <c r="AB195" s="559" t="str">
        <f t="shared" ref="AB195" si="66">MID(AC195,2,3)</f>
        <v>160</v>
      </c>
      <c r="AC195" s="550" t="s">
        <v>365</v>
      </c>
      <c r="AD195" s="550" t="s">
        <v>363</v>
      </c>
      <c r="AE195" s="550" t="s">
        <v>138</v>
      </c>
      <c r="AF195" s="549">
        <v>1</v>
      </c>
      <c r="AG195" s="548">
        <f>Материалы!$H$171</f>
        <v>472.5</v>
      </c>
      <c r="AH195" s="549">
        <v>1</v>
      </c>
      <c r="AI195" s="548">
        <f>Материалы!$H$172</f>
        <v>472.5</v>
      </c>
      <c r="AJ195" s="549">
        <v>1</v>
      </c>
      <c r="AK195" s="548">
        <f>Материалы!$H$174</f>
        <v>1552</v>
      </c>
      <c r="AL195" s="549">
        <v>0</v>
      </c>
      <c r="AM195" s="548">
        <f>Материалы!$H$175</f>
        <v>1052</v>
      </c>
      <c r="AN195" s="549">
        <v>0</v>
      </c>
      <c r="AO195" s="548">
        <f>Материалы!$H$176</f>
        <v>1570</v>
      </c>
      <c r="AP195" s="548">
        <v>0</v>
      </c>
      <c r="AQ195" s="548">
        <f>Материалы!$H$177</f>
        <v>990.5</v>
      </c>
      <c r="AR195" s="548">
        <v>0</v>
      </c>
      <c r="AS195" s="548">
        <f>Материалы!$H$178</f>
        <v>5900</v>
      </c>
      <c r="AT195" s="548">
        <v>0</v>
      </c>
      <c r="AU195" s="548">
        <f>Материалы!$H$173</f>
        <v>4807</v>
      </c>
      <c r="AV195" s="548">
        <v>0</v>
      </c>
      <c r="AW195" s="548">
        <v>0</v>
      </c>
      <c r="AX195" s="550">
        <f t="shared" si="39"/>
        <v>2497</v>
      </c>
    </row>
    <row r="196" spans="7:50" x14ac:dyDescent="0.25">
      <c r="G196" s="593"/>
      <c r="H196" s="58" t="s">
        <v>178</v>
      </c>
      <c r="I196" s="9">
        <v>5.9</v>
      </c>
      <c r="J196" s="9"/>
      <c r="K196" s="9">
        <v>5.9</v>
      </c>
      <c r="L196" s="9">
        <v>5.9</v>
      </c>
      <c r="M196" s="73">
        <v>5.9</v>
      </c>
      <c r="N196" s="73">
        <v>5.9</v>
      </c>
      <c r="P196" s="99"/>
      <c r="Y196" s="32"/>
      <c r="Z196" s="32"/>
      <c r="AB196" s="559" t="str">
        <f t="shared" si="4"/>
        <v>160</v>
      </c>
      <c r="AC196" s="550" t="s">
        <v>365</v>
      </c>
      <c r="AD196" s="550" t="s">
        <v>360</v>
      </c>
      <c r="AE196" s="550" t="s">
        <v>137</v>
      </c>
      <c r="AF196" s="549">
        <v>1</v>
      </c>
      <c r="AG196" s="548">
        <f>Материалы!$H$171</f>
        <v>472.5</v>
      </c>
      <c r="AH196" s="549">
        <v>1</v>
      </c>
      <c r="AI196" s="548">
        <f>Материалы!$H$172</f>
        <v>472.5</v>
      </c>
      <c r="AJ196" s="549">
        <v>1</v>
      </c>
      <c r="AK196" s="548">
        <f>Материалы!$H$174</f>
        <v>1552</v>
      </c>
      <c r="AL196" s="549">
        <v>2</v>
      </c>
      <c r="AM196" s="548">
        <f>Материалы!$H$175</f>
        <v>1052</v>
      </c>
      <c r="AN196" s="549">
        <v>0</v>
      </c>
      <c r="AO196" s="548">
        <f>Материалы!$H$176</f>
        <v>1570</v>
      </c>
      <c r="AP196" s="548">
        <v>0</v>
      </c>
      <c r="AQ196" s="548">
        <f>Материалы!$H$177</f>
        <v>990.5</v>
      </c>
      <c r="AR196" s="548">
        <v>0</v>
      </c>
      <c r="AS196" s="548">
        <f>Материалы!$H$178</f>
        <v>5900</v>
      </c>
      <c r="AT196" s="548">
        <v>1</v>
      </c>
      <c r="AU196" s="548">
        <f>Материалы!$H$173</f>
        <v>4807</v>
      </c>
      <c r="AV196" s="548">
        <v>0</v>
      </c>
      <c r="AW196" s="548">
        <v>0</v>
      </c>
      <c r="AX196" s="550">
        <f t="shared" si="39"/>
        <v>9408</v>
      </c>
    </row>
    <row r="197" spans="7:50" x14ac:dyDescent="0.25">
      <c r="G197" s="593"/>
      <c r="H197" s="81" t="s">
        <v>251</v>
      </c>
      <c r="I197" s="38">
        <f>SUM(I192:I196)</f>
        <v>10.7</v>
      </c>
      <c r="J197" s="38">
        <f>SUM(J192:J196)+I196</f>
        <v>5.9</v>
      </c>
      <c r="K197" s="38">
        <f>SUM(K192:K196)</f>
        <v>5.9</v>
      </c>
      <c r="L197" s="38">
        <f>SUM(L192:L196)</f>
        <v>8.3000000000000007</v>
      </c>
      <c r="M197" s="287">
        <f>SUM(M192:M196)</f>
        <v>5.9</v>
      </c>
      <c r="N197" s="287">
        <f>SUM(N192:N196)</f>
        <v>8.3000000000000007</v>
      </c>
      <c r="P197" s="99"/>
      <c r="X197" s="1"/>
      <c r="Y197" s="32"/>
      <c r="Z197" s="32"/>
      <c r="AB197" s="559" t="str">
        <f t="shared" ref="AB197" si="67">MID(AC197,2,3)</f>
        <v>160</v>
      </c>
      <c r="AC197" s="550" t="s">
        <v>365</v>
      </c>
      <c r="AD197" s="550" t="s">
        <v>360</v>
      </c>
      <c r="AE197" s="550" t="s">
        <v>138</v>
      </c>
      <c r="AF197" s="549">
        <v>1</v>
      </c>
      <c r="AG197" s="548">
        <f>Материалы!$H$171</f>
        <v>472.5</v>
      </c>
      <c r="AH197" s="549">
        <v>1</v>
      </c>
      <c r="AI197" s="548">
        <f>Материалы!$H$172</f>
        <v>472.5</v>
      </c>
      <c r="AJ197" s="549">
        <v>1</v>
      </c>
      <c r="AK197" s="548">
        <f>Материалы!$H$174</f>
        <v>1552</v>
      </c>
      <c r="AL197" s="549">
        <v>2</v>
      </c>
      <c r="AM197" s="548">
        <f>Материалы!$H$175</f>
        <v>1052</v>
      </c>
      <c r="AN197" s="549">
        <v>0</v>
      </c>
      <c r="AO197" s="548">
        <f>Материалы!$H$176</f>
        <v>1570</v>
      </c>
      <c r="AP197" s="548">
        <v>0</v>
      </c>
      <c r="AQ197" s="548">
        <f>Материалы!$H$177</f>
        <v>990.5</v>
      </c>
      <c r="AR197" s="548">
        <v>0</v>
      </c>
      <c r="AS197" s="548">
        <f>Материалы!$H$178</f>
        <v>5900</v>
      </c>
      <c r="AT197" s="548">
        <v>1</v>
      </c>
      <c r="AU197" s="548">
        <f>Материалы!$H$173</f>
        <v>4807</v>
      </c>
      <c r="AV197" s="548">
        <v>0</v>
      </c>
      <c r="AW197" s="548">
        <v>0</v>
      </c>
      <c r="AX197" s="550">
        <f t="shared" si="39"/>
        <v>9408</v>
      </c>
    </row>
    <row r="198" spans="7:50" x14ac:dyDescent="0.25">
      <c r="G198" s="593"/>
      <c r="H198" s="368" t="s">
        <v>544</v>
      </c>
      <c r="I198" s="9">
        <f>IF(B47=0,J197,I197)</f>
        <v>10.7</v>
      </c>
      <c r="J198" s="3"/>
      <c r="K198" s="9">
        <f>IF(C47=0,L197,K197)</f>
        <v>8.3000000000000007</v>
      </c>
      <c r="L198" s="3"/>
      <c r="M198" s="73">
        <f>IF(D47=0,N197,M197)</f>
        <v>8.3000000000000007</v>
      </c>
      <c r="N198" s="73"/>
      <c r="P198" s="99"/>
      <c r="X198" s="1"/>
      <c r="Y198" s="32"/>
      <c r="Z198" s="32"/>
      <c r="AB198" s="559" t="str">
        <f t="shared" si="4"/>
        <v>161</v>
      </c>
      <c r="AC198" s="463" t="s">
        <v>366</v>
      </c>
      <c r="AD198" s="463" t="s">
        <v>363</v>
      </c>
      <c r="AE198" s="463" t="s">
        <v>137</v>
      </c>
      <c r="AF198" s="307">
        <v>1</v>
      </c>
      <c r="AG198" s="73">
        <f>Материалы!$H$171</f>
        <v>472.5</v>
      </c>
      <c r="AH198" s="307">
        <v>1</v>
      </c>
      <c r="AI198" s="73">
        <f>Материалы!$H$172</f>
        <v>472.5</v>
      </c>
      <c r="AJ198" s="307">
        <v>1</v>
      </c>
      <c r="AK198" s="73">
        <f>Материалы!$H$174</f>
        <v>1552</v>
      </c>
      <c r="AL198" s="307">
        <v>2</v>
      </c>
      <c r="AM198" s="73">
        <f>Материалы!$H$175</f>
        <v>1052</v>
      </c>
      <c r="AN198" s="307">
        <v>0</v>
      </c>
      <c r="AO198" s="73">
        <f>Материалы!$H$176</f>
        <v>1570</v>
      </c>
      <c r="AP198" s="73">
        <v>0</v>
      </c>
      <c r="AQ198" s="73">
        <f>Материалы!$H$177</f>
        <v>990.5</v>
      </c>
      <c r="AR198" s="73">
        <v>0</v>
      </c>
      <c r="AS198" s="73">
        <f>Материалы!$H$178</f>
        <v>5900</v>
      </c>
      <c r="AT198" s="73">
        <v>0</v>
      </c>
      <c r="AU198" s="73">
        <f>Материалы!$H$173</f>
        <v>4807</v>
      </c>
      <c r="AV198" s="73">
        <v>0</v>
      </c>
      <c r="AW198" s="73">
        <v>0</v>
      </c>
      <c r="AX198" s="463">
        <f t="shared" si="39"/>
        <v>4601</v>
      </c>
    </row>
    <row r="199" spans="7:50" x14ac:dyDescent="0.25">
      <c r="X199" s="1"/>
      <c r="Y199" s="32"/>
      <c r="Z199" s="32"/>
      <c r="AB199" s="559" t="str">
        <f t="shared" ref="AB199" si="68">MID(AC199,2,3)</f>
        <v>161</v>
      </c>
      <c r="AC199" s="463" t="s">
        <v>366</v>
      </c>
      <c r="AD199" s="463" t="s">
        <v>363</v>
      </c>
      <c r="AE199" s="554" t="s">
        <v>138</v>
      </c>
      <c r="AF199" s="307">
        <v>1</v>
      </c>
      <c r="AG199" s="73">
        <f>Материалы!$H$171</f>
        <v>472.5</v>
      </c>
      <c r="AH199" s="307">
        <v>1</v>
      </c>
      <c r="AI199" s="73">
        <f>Материалы!$H$172</f>
        <v>472.5</v>
      </c>
      <c r="AJ199" s="307">
        <v>1</v>
      </c>
      <c r="AK199" s="73">
        <f>Материалы!$H$174</f>
        <v>1552</v>
      </c>
      <c r="AL199" s="307">
        <v>2</v>
      </c>
      <c r="AM199" s="73">
        <f>Материалы!$H$175</f>
        <v>1052</v>
      </c>
      <c r="AN199" s="307">
        <v>0</v>
      </c>
      <c r="AO199" s="73">
        <f>Материалы!$H$176</f>
        <v>1570</v>
      </c>
      <c r="AP199" s="73">
        <v>0</v>
      </c>
      <c r="AQ199" s="73">
        <f>Материалы!$H$177</f>
        <v>990.5</v>
      </c>
      <c r="AR199" s="73">
        <v>0</v>
      </c>
      <c r="AS199" s="73">
        <f>Материалы!$H$178</f>
        <v>5900</v>
      </c>
      <c r="AT199" s="73">
        <v>0</v>
      </c>
      <c r="AU199" s="73">
        <f>Материалы!$H$173</f>
        <v>4807</v>
      </c>
      <c r="AV199" s="73">
        <v>0</v>
      </c>
      <c r="AW199" s="73">
        <v>0</v>
      </c>
      <c r="AX199" s="463">
        <f t="shared" si="39"/>
        <v>4601</v>
      </c>
    </row>
    <row r="200" spans="7:50" x14ac:dyDescent="0.25">
      <c r="Y200" s="32"/>
      <c r="Z200" s="32"/>
      <c r="AB200" s="559" t="str">
        <f t="shared" si="4"/>
        <v>161</v>
      </c>
      <c r="AC200" s="463" t="s">
        <v>366</v>
      </c>
      <c r="AD200" s="463" t="s">
        <v>360</v>
      </c>
      <c r="AE200" s="463" t="s">
        <v>137</v>
      </c>
      <c r="AF200" s="307">
        <v>1</v>
      </c>
      <c r="AG200" s="73">
        <f>Материалы!$H$171</f>
        <v>472.5</v>
      </c>
      <c r="AH200" s="307">
        <v>1</v>
      </c>
      <c r="AI200" s="73">
        <f>Материалы!$H$172</f>
        <v>472.5</v>
      </c>
      <c r="AJ200" s="307">
        <v>1</v>
      </c>
      <c r="AK200" s="73">
        <f>Материалы!$H$174</f>
        <v>1552</v>
      </c>
      <c r="AL200" s="307">
        <v>2</v>
      </c>
      <c r="AM200" s="73">
        <f>Материалы!$H$175</f>
        <v>1052</v>
      </c>
      <c r="AN200" s="307">
        <v>0</v>
      </c>
      <c r="AO200" s="73">
        <f>Материалы!$H$176</f>
        <v>1570</v>
      </c>
      <c r="AP200" s="73">
        <v>0</v>
      </c>
      <c r="AQ200" s="73">
        <f>Материалы!$H$177</f>
        <v>990.5</v>
      </c>
      <c r="AR200" s="307">
        <v>0</v>
      </c>
      <c r="AS200" s="73">
        <f>Материалы!$H$178</f>
        <v>5900</v>
      </c>
      <c r="AT200" s="73">
        <v>1</v>
      </c>
      <c r="AU200" s="73">
        <f>Материалы!$H$173</f>
        <v>4807</v>
      </c>
      <c r="AV200" s="73">
        <v>0</v>
      </c>
      <c r="AW200" s="73">
        <v>0</v>
      </c>
      <c r="AX200" s="463">
        <f t="shared" si="39"/>
        <v>9408</v>
      </c>
    </row>
    <row r="201" spans="7:50" ht="17.25" customHeight="1" thickBot="1" x14ac:dyDescent="0.3">
      <c r="H201" s="423" t="s">
        <v>322</v>
      </c>
      <c r="I201" s="71" t="str">
        <f>IF($D$1=1,I204,IF($D$1=2,I203,I202))</f>
        <v>3P/25A</v>
      </c>
      <c r="Y201" s="32"/>
      <c r="Z201" s="32"/>
      <c r="AB201" s="559" t="str">
        <f t="shared" ref="AB201" si="69">MID(AC201,2,3)</f>
        <v>161</v>
      </c>
      <c r="AC201" s="463" t="s">
        <v>366</v>
      </c>
      <c r="AD201" s="463" t="s">
        <v>360</v>
      </c>
      <c r="AE201" s="554" t="s">
        <v>138</v>
      </c>
      <c r="AF201" s="307">
        <v>1</v>
      </c>
      <c r="AG201" s="73">
        <f>Материалы!$H$171</f>
        <v>472.5</v>
      </c>
      <c r="AH201" s="307">
        <v>1</v>
      </c>
      <c r="AI201" s="73">
        <f>Материалы!$H$172</f>
        <v>472.5</v>
      </c>
      <c r="AJ201" s="307">
        <v>1</v>
      </c>
      <c r="AK201" s="73">
        <f>Материалы!$H$174</f>
        <v>1552</v>
      </c>
      <c r="AL201" s="307">
        <v>2</v>
      </c>
      <c r="AM201" s="73">
        <f>Материалы!$H$175</f>
        <v>1052</v>
      </c>
      <c r="AN201" s="307">
        <v>0</v>
      </c>
      <c r="AO201" s="73">
        <f>Материалы!$H$176</f>
        <v>1570</v>
      </c>
      <c r="AP201" s="73">
        <v>0</v>
      </c>
      <c r="AQ201" s="73">
        <f>Материалы!$H$177</f>
        <v>990.5</v>
      </c>
      <c r="AR201" s="307">
        <v>0</v>
      </c>
      <c r="AS201" s="73">
        <f>Материалы!$H$178</f>
        <v>5900</v>
      </c>
      <c r="AT201" s="73">
        <v>1</v>
      </c>
      <c r="AU201" s="73">
        <f>Материалы!$H$173</f>
        <v>4807</v>
      </c>
      <c r="AV201" s="73">
        <v>0</v>
      </c>
      <c r="AW201" s="73">
        <v>0</v>
      </c>
      <c r="AX201" s="463">
        <f t="shared" si="39"/>
        <v>9408</v>
      </c>
    </row>
    <row r="202" spans="7:50" ht="14.25" customHeight="1" thickBot="1" x14ac:dyDescent="0.3">
      <c r="H202" s="425" t="s">
        <v>630</v>
      </c>
      <c r="I202" s="285" t="str">
        <f>INDEX(O206:O212,INDEX(MATCH(1=1,O206:O212&lt;&gt;"",),))</f>
        <v>3P/25A</v>
      </c>
      <c r="Y202" s="32"/>
      <c r="Z202" s="32"/>
      <c r="AB202" s="559" t="str">
        <f t="shared" si="4"/>
        <v>162</v>
      </c>
      <c r="AC202" s="550" t="s">
        <v>367</v>
      </c>
      <c r="AD202" s="550" t="s">
        <v>363</v>
      </c>
      <c r="AE202" s="550" t="s">
        <v>137</v>
      </c>
      <c r="AF202" s="549">
        <v>1</v>
      </c>
      <c r="AG202" s="548">
        <f>Материалы!$H$171</f>
        <v>472.5</v>
      </c>
      <c r="AH202" s="549">
        <v>1</v>
      </c>
      <c r="AI202" s="548">
        <f>Материалы!$H$172</f>
        <v>472.5</v>
      </c>
      <c r="AJ202" s="549">
        <v>1</v>
      </c>
      <c r="AK202" s="548">
        <f>Материалы!$H$174</f>
        <v>1552</v>
      </c>
      <c r="AL202" s="549">
        <v>0</v>
      </c>
      <c r="AM202" s="548">
        <f>Материалы!$H$175</f>
        <v>1052</v>
      </c>
      <c r="AN202" s="549">
        <v>0</v>
      </c>
      <c r="AO202" s="548">
        <f>Материалы!$H$176</f>
        <v>1570</v>
      </c>
      <c r="AP202" s="548">
        <v>0</v>
      </c>
      <c r="AQ202" s="548">
        <f>Материалы!$H$177</f>
        <v>990.5</v>
      </c>
      <c r="AR202" s="549">
        <v>1</v>
      </c>
      <c r="AS202" s="548">
        <f>Материалы!$H$178</f>
        <v>5900</v>
      </c>
      <c r="AT202" s="548">
        <v>0</v>
      </c>
      <c r="AU202" s="548">
        <f>Материалы!$H$173</f>
        <v>4807</v>
      </c>
      <c r="AV202" s="548">
        <v>0</v>
      </c>
      <c r="AW202" s="548">
        <v>0</v>
      </c>
      <c r="AX202" s="550">
        <f t="shared" si="39"/>
        <v>8397</v>
      </c>
    </row>
    <row r="203" spans="7:50" ht="17.25" customHeight="1" x14ac:dyDescent="0.25">
      <c r="H203" s="424" t="s">
        <v>321</v>
      </c>
      <c r="I203" s="11" t="str">
        <f>INDEX(N206:N212,INDEX(MATCH(1=1,N206:N212&lt;&gt;"",),))</f>
        <v>3P/25A</v>
      </c>
      <c r="Y203" s="32"/>
      <c r="Z203" s="32"/>
      <c r="AB203" s="559" t="str">
        <f t="shared" ref="AB203" si="70">MID(AC203,2,3)</f>
        <v>162</v>
      </c>
      <c r="AC203" s="550" t="s">
        <v>367</v>
      </c>
      <c r="AD203" s="550" t="s">
        <v>363</v>
      </c>
      <c r="AE203" s="550" t="s">
        <v>138</v>
      </c>
      <c r="AF203" s="549">
        <v>1</v>
      </c>
      <c r="AG203" s="548">
        <f>Материалы!$H$171</f>
        <v>472.5</v>
      </c>
      <c r="AH203" s="549">
        <v>1</v>
      </c>
      <c r="AI203" s="548">
        <f>Материалы!$H$172</f>
        <v>472.5</v>
      </c>
      <c r="AJ203" s="549">
        <v>1</v>
      </c>
      <c r="AK203" s="548">
        <f>Материалы!$H$174</f>
        <v>1552</v>
      </c>
      <c r="AL203" s="549">
        <v>0</v>
      </c>
      <c r="AM203" s="548">
        <f>Материалы!$H$175</f>
        <v>1052</v>
      </c>
      <c r="AN203" s="549">
        <v>0</v>
      </c>
      <c r="AO203" s="548">
        <f>Материалы!$H$176</f>
        <v>1570</v>
      </c>
      <c r="AP203" s="548">
        <v>0</v>
      </c>
      <c r="AQ203" s="548">
        <f>Материалы!$H$177</f>
        <v>990.5</v>
      </c>
      <c r="AR203" s="549">
        <v>1</v>
      </c>
      <c r="AS203" s="548">
        <f>Материалы!$H$178</f>
        <v>5900</v>
      </c>
      <c r="AT203" s="548">
        <v>0</v>
      </c>
      <c r="AU203" s="548">
        <f>Материалы!$H$173</f>
        <v>4807</v>
      </c>
      <c r="AV203" s="548">
        <v>0</v>
      </c>
      <c r="AW203" s="548">
        <v>0</v>
      </c>
      <c r="AX203" s="550">
        <f t="shared" si="39"/>
        <v>8397</v>
      </c>
    </row>
    <row r="204" spans="7:50" ht="28.5" x14ac:dyDescent="0.25">
      <c r="H204" s="338" t="s">
        <v>320</v>
      </c>
      <c r="I204" s="11" t="str">
        <f>INDEX(H206:H212,INDEX(MATCH(1=1,H206:H212&lt;&gt;"",),))</f>
        <v>3P/25A</v>
      </c>
      <c r="W204" s="292"/>
      <c r="Y204" s="32"/>
      <c r="Z204" s="32"/>
      <c r="AB204" s="559" t="str">
        <f t="shared" si="4"/>
        <v>162</v>
      </c>
      <c r="AC204" s="550" t="s">
        <v>367</v>
      </c>
      <c r="AD204" s="550" t="s">
        <v>360</v>
      </c>
      <c r="AE204" s="550" t="s">
        <v>137</v>
      </c>
      <c r="AF204" s="549">
        <v>1</v>
      </c>
      <c r="AG204" s="548">
        <f>Материалы!$H$171</f>
        <v>472.5</v>
      </c>
      <c r="AH204" s="549">
        <v>1</v>
      </c>
      <c r="AI204" s="548">
        <f>Материалы!$H$172</f>
        <v>472.5</v>
      </c>
      <c r="AJ204" s="549">
        <v>1</v>
      </c>
      <c r="AK204" s="548">
        <f>Материалы!$H$174</f>
        <v>1552</v>
      </c>
      <c r="AL204" s="549">
        <v>1</v>
      </c>
      <c r="AM204" s="548">
        <f>Материалы!$H$175</f>
        <v>1052</v>
      </c>
      <c r="AN204" s="549">
        <v>0</v>
      </c>
      <c r="AO204" s="548">
        <f>Материалы!$H$176</f>
        <v>1570</v>
      </c>
      <c r="AP204" s="548">
        <v>0</v>
      </c>
      <c r="AQ204" s="548">
        <f>Материалы!$H$177</f>
        <v>990.5</v>
      </c>
      <c r="AR204" s="548">
        <v>1</v>
      </c>
      <c r="AS204" s="548">
        <f>Материалы!$H$178</f>
        <v>5900</v>
      </c>
      <c r="AT204" s="548">
        <v>1</v>
      </c>
      <c r="AU204" s="548">
        <f>Материалы!$H$173</f>
        <v>4807</v>
      </c>
      <c r="AV204" s="548">
        <v>0</v>
      </c>
      <c r="AW204" s="548">
        <v>0</v>
      </c>
      <c r="AX204" s="550">
        <f t="shared" si="39"/>
        <v>14256</v>
      </c>
    </row>
    <row r="205" spans="7:50" x14ac:dyDescent="0.25">
      <c r="H205" s="370" t="s">
        <v>271</v>
      </c>
      <c r="I205" s="369"/>
      <c r="J205" s="369"/>
      <c r="K205" s="369"/>
      <c r="L205" s="369"/>
      <c r="M205" s="194" t="s">
        <v>551</v>
      </c>
      <c r="N205" s="190" t="s">
        <v>272</v>
      </c>
      <c r="O205" s="416" t="s">
        <v>151</v>
      </c>
      <c r="W205" s="1"/>
      <c r="Y205" s="32"/>
      <c r="Z205" s="32"/>
      <c r="AB205" s="559" t="str">
        <f t="shared" ref="AB205" si="71">MID(AC205,2,3)</f>
        <v>162</v>
      </c>
      <c r="AC205" s="550" t="s">
        <v>367</v>
      </c>
      <c r="AD205" s="550" t="s">
        <v>360</v>
      </c>
      <c r="AE205" s="550" t="s">
        <v>138</v>
      </c>
      <c r="AF205" s="549">
        <v>1</v>
      </c>
      <c r="AG205" s="548">
        <f>Материалы!$H$171</f>
        <v>472.5</v>
      </c>
      <c r="AH205" s="549">
        <v>1</v>
      </c>
      <c r="AI205" s="548">
        <f>Материалы!$H$172</f>
        <v>472.5</v>
      </c>
      <c r="AJ205" s="549">
        <v>1</v>
      </c>
      <c r="AK205" s="548">
        <f>Материалы!$H$174</f>
        <v>1552</v>
      </c>
      <c r="AL205" s="549">
        <v>1</v>
      </c>
      <c r="AM205" s="548">
        <f>Материалы!$H$175</f>
        <v>1052</v>
      </c>
      <c r="AN205" s="549">
        <v>0</v>
      </c>
      <c r="AO205" s="548">
        <f>Материалы!$H$176</f>
        <v>1570</v>
      </c>
      <c r="AP205" s="548">
        <v>0</v>
      </c>
      <c r="AQ205" s="548">
        <f>Материалы!$H$177</f>
        <v>990.5</v>
      </c>
      <c r="AR205" s="548">
        <v>1</v>
      </c>
      <c r="AS205" s="548">
        <f>Материалы!$H$178</f>
        <v>5900</v>
      </c>
      <c r="AT205" s="548">
        <v>1</v>
      </c>
      <c r="AU205" s="548">
        <f>Материалы!$H$173</f>
        <v>4807</v>
      </c>
      <c r="AV205" s="548">
        <v>0</v>
      </c>
      <c r="AW205" s="548">
        <v>0</v>
      </c>
      <c r="AX205" s="550">
        <f t="shared" si="39"/>
        <v>14256</v>
      </c>
    </row>
    <row r="206" spans="7:50" x14ac:dyDescent="0.25">
      <c r="H206" s="38" t="str">
        <f t="shared" ref="H206:H210" si="72">IF(AND(J206&lt;=$I$198,$I$198&lt;K206),M206,"")</f>
        <v>3P/25A</v>
      </c>
      <c r="I206" s="9" t="s">
        <v>545</v>
      </c>
      <c r="J206" s="9">
        <v>0.1</v>
      </c>
      <c r="K206" s="9">
        <v>24</v>
      </c>
      <c r="L206" s="9" t="str">
        <f>Материалы!D98</f>
        <v>25A</v>
      </c>
      <c r="M206" s="9" t="str">
        <f>Материалы!E98</f>
        <v>3P/25A</v>
      </c>
      <c r="N206" s="190" t="str">
        <f t="shared" ref="N206:N212" si="73">IF(AND(J206&lt;=$K$198,$K$198&lt;K206),M206,"")</f>
        <v>3P/25A</v>
      </c>
      <c r="O206" s="416" t="str">
        <f t="shared" ref="O206:O212" si="74">IF(AND(J206&lt;=$M$198,$M$198&lt;K206),M206,"")</f>
        <v>3P/25A</v>
      </c>
      <c r="W206" s="1"/>
      <c r="Y206" s="32"/>
      <c r="Z206" s="32"/>
      <c r="AB206" s="559" t="str">
        <f t="shared" si="4"/>
        <v>163</v>
      </c>
      <c r="AC206" s="463" t="s">
        <v>368</v>
      </c>
      <c r="AD206" s="463" t="s">
        <v>363</v>
      </c>
      <c r="AE206" s="463" t="s">
        <v>137</v>
      </c>
      <c r="AF206" s="307">
        <v>1</v>
      </c>
      <c r="AG206" s="73">
        <f>Материалы!$H$171</f>
        <v>472.5</v>
      </c>
      <c r="AH206" s="307">
        <v>1</v>
      </c>
      <c r="AI206" s="73">
        <f>Материалы!$H$172</f>
        <v>472.5</v>
      </c>
      <c r="AJ206" s="307">
        <v>1</v>
      </c>
      <c r="AK206" s="73">
        <f>Материалы!$H$174</f>
        <v>1552</v>
      </c>
      <c r="AL206" s="307">
        <v>0</v>
      </c>
      <c r="AM206" s="73">
        <f>Материалы!$H$175</f>
        <v>1052</v>
      </c>
      <c r="AN206" s="307">
        <v>0</v>
      </c>
      <c r="AO206" s="73">
        <f>Материалы!$H$176</f>
        <v>1570</v>
      </c>
      <c r="AP206" s="73">
        <v>0</v>
      </c>
      <c r="AQ206" s="73">
        <f>Материалы!$H$177</f>
        <v>990.5</v>
      </c>
      <c r="AR206" s="73">
        <v>0</v>
      </c>
      <c r="AS206" s="73">
        <f>Материалы!$H$178</f>
        <v>5900</v>
      </c>
      <c r="AT206" s="73">
        <v>0</v>
      </c>
      <c r="AU206" s="73">
        <f>Материалы!$H$173</f>
        <v>4807</v>
      </c>
      <c r="AV206" s="73">
        <v>0</v>
      </c>
      <c r="AW206" s="73">
        <v>0</v>
      </c>
      <c r="AX206" s="463">
        <f t="shared" si="39"/>
        <v>2497</v>
      </c>
    </row>
    <row r="207" spans="7:50" x14ac:dyDescent="0.25">
      <c r="H207" s="38" t="str">
        <f t="shared" si="72"/>
        <v/>
      </c>
      <c r="I207" s="9" t="s">
        <v>546</v>
      </c>
      <c r="J207" s="9">
        <v>24</v>
      </c>
      <c r="K207" s="9">
        <v>39</v>
      </c>
      <c r="L207" s="9" t="str">
        <f>Материалы!D99</f>
        <v>40A</v>
      </c>
      <c r="M207" s="9" t="str">
        <f>Материалы!E99</f>
        <v>3P/40A</v>
      </c>
      <c r="N207" s="205" t="str">
        <f t="shared" si="73"/>
        <v/>
      </c>
      <c r="O207" s="416" t="str">
        <f t="shared" si="74"/>
        <v/>
      </c>
      <c r="W207" s="1"/>
      <c r="AB207" s="559" t="str">
        <f t="shared" ref="AB207" si="75">MID(AC207,2,3)</f>
        <v>163</v>
      </c>
      <c r="AC207" s="463" t="s">
        <v>368</v>
      </c>
      <c r="AD207" s="463" t="s">
        <v>363</v>
      </c>
      <c r="AE207" s="554" t="s">
        <v>138</v>
      </c>
      <c r="AF207" s="307">
        <v>1</v>
      </c>
      <c r="AG207" s="73">
        <f>Материалы!$H$171</f>
        <v>472.5</v>
      </c>
      <c r="AH207" s="307">
        <v>1</v>
      </c>
      <c r="AI207" s="73">
        <f>Материалы!$H$172</f>
        <v>472.5</v>
      </c>
      <c r="AJ207" s="307">
        <v>1</v>
      </c>
      <c r="AK207" s="73">
        <f>Материалы!$H$174</f>
        <v>1552</v>
      </c>
      <c r="AL207" s="307">
        <v>0</v>
      </c>
      <c r="AM207" s="73">
        <f>Материалы!$H$175</f>
        <v>1052</v>
      </c>
      <c r="AN207" s="307">
        <v>0</v>
      </c>
      <c r="AO207" s="73">
        <f>Материалы!$H$176</f>
        <v>1570</v>
      </c>
      <c r="AP207" s="73">
        <v>0</v>
      </c>
      <c r="AQ207" s="73">
        <f>Материалы!$H$177</f>
        <v>990.5</v>
      </c>
      <c r="AR207" s="73">
        <v>0</v>
      </c>
      <c r="AS207" s="73">
        <f>Материалы!$H$178</f>
        <v>5900</v>
      </c>
      <c r="AT207" s="73">
        <v>0</v>
      </c>
      <c r="AU207" s="73">
        <f>Материалы!$H$173</f>
        <v>4807</v>
      </c>
      <c r="AV207" s="73">
        <v>0</v>
      </c>
      <c r="AW207" s="73">
        <v>0</v>
      </c>
      <c r="AX207" s="463">
        <f t="shared" si="39"/>
        <v>2497</v>
      </c>
    </row>
    <row r="208" spans="7:50" x14ac:dyDescent="0.25">
      <c r="H208" s="38" t="str">
        <f t="shared" si="72"/>
        <v/>
      </c>
      <c r="I208" s="9" t="s">
        <v>547</v>
      </c>
      <c r="J208" s="9">
        <v>39</v>
      </c>
      <c r="K208" s="9">
        <v>62</v>
      </c>
      <c r="L208" s="9" t="str">
        <f>Материалы!D100</f>
        <v>63A</v>
      </c>
      <c r="M208" s="9" t="str">
        <f>Материалы!E100</f>
        <v>3P/63A</v>
      </c>
      <c r="N208" s="205" t="str">
        <f t="shared" si="73"/>
        <v/>
      </c>
      <c r="O208" s="416" t="str">
        <f t="shared" si="74"/>
        <v/>
      </c>
      <c r="W208" s="1"/>
      <c r="AB208" s="559" t="str">
        <f t="shared" si="4"/>
        <v>163</v>
      </c>
      <c r="AC208" s="463" t="s">
        <v>368</v>
      </c>
      <c r="AD208" s="463" t="s">
        <v>360</v>
      </c>
      <c r="AE208" s="463" t="s">
        <v>137</v>
      </c>
      <c r="AF208" s="307">
        <v>1</v>
      </c>
      <c r="AG208" s="73">
        <f>Материалы!$H$171</f>
        <v>472.5</v>
      </c>
      <c r="AH208" s="307">
        <v>1</v>
      </c>
      <c r="AI208" s="73">
        <f>Материалы!$H$172</f>
        <v>472.5</v>
      </c>
      <c r="AJ208" s="307">
        <v>1</v>
      </c>
      <c r="AK208" s="73">
        <f>Материалы!$H$174</f>
        <v>1552</v>
      </c>
      <c r="AL208" s="307">
        <v>2</v>
      </c>
      <c r="AM208" s="73">
        <f>Материалы!$H$175</f>
        <v>1052</v>
      </c>
      <c r="AN208" s="307">
        <v>0</v>
      </c>
      <c r="AO208" s="73">
        <f>Материалы!$H$176</f>
        <v>1570</v>
      </c>
      <c r="AP208" s="73">
        <v>0</v>
      </c>
      <c r="AQ208" s="73">
        <f>Материалы!$H$177</f>
        <v>990.5</v>
      </c>
      <c r="AR208" s="73">
        <v>0</v>
      </c>
      <c r="AS208" s="73">
        <f>Материалы!$H$178</f>
        <v>5900</v>
      </c>
      <c r="AT208" s="73">
        <v>1</v>
      </c>
      <c r="AU208" s="73">
        <f>Материалы!$H$173</f>
        <v>4807</v>
      </c>
      <c r="AV208" s="73">
        <v>0</v>
      </c>
      <c r="AW208" s="73">
        <v>0</v>
      </c>
      <c r="AX208" s="463">
        <f t="shared" si="39"/>
        <v>9408</v>
      </c>
    </row>
    <row r="209" spans="8:50" x14ac:dyDescent="0.25">
      <c r="H209" s="38" t="str">
        <f t="shared" si="72"/>
        <v/>
      </c>
      <c r="I209" s="9" t="s">
        <v>548</v>
      </c>
      <c r="J209" s="9">
        <v>62</v>
      </c>
      <c r="K209" s="9">
        <v>79</v>
      </c>
      <c r="L209" s="9" t="str">
        <f>Материалы!D101</f>
        <v>80A</v>
      </c>
      <c r="M209" s="9" t="str">
        <f>Материалы!E101</f>
        <v>3P/80A</v>
      </c>
      <c r="N209" s="205" t="str">
        <f t="shared" si="73"/>
        <v/>
      </c>
      <c r="O209" s="416" t="str">
        <f t="shared" si="74"/>
        <v/>
      </c>
      <c r="W209" s="1"/>
      <c r="AB209" s="559" t="str">
        <f t="shared" ref="AB209" si="76">MID(AC209,2,3)</f>
        <v>163</v>
      </c>
      <c r="AC209" s="463" t="s">
        <v>368</v>
      </c>
      <c r="AD209" s="463" t="s">
        <v>360</v>
      </c>
      <c r="AE209" s="554" t="s">
        <v>138</v>
      </c>
      <c r="AF209" s="307">
        <v>1</v>
      </c>
      <c r="AG209" s="73">
        <f>Материалы!$H$171</f>
        <v>472.5</v>
      </c>
      <c r="AH209" s="307">
        <v>1</v>
      </c>
      <c r="AI209" s="73">
        <f>Материалы!$H$172</f>
        <v>472.5</v>
      </c>
      <c r="AJ209" s="307">
        <v>1</v>
      </c>
      <c r="AK209" s="73">
        <f>Материалы!$H$174</f>
        <v>1552</v>
      </c>
      <c r="AL209" s="307">
        <v>2</v>
      </c>
      <c r="AM209" s="73">
        <f>Материалы!$H$175</f>
        <v>1052</v>
      </c>
      <c r="AN209" s="307">
        <v>0</v>
      </c>
      <c r="AO209" s="73">
        <f>Материалы!$H$176</f>
        <v>1570</v>
      </c>
      <c r="AP209" s="73">
        <v>0</v>
      </c>
      <c r="AQ209" s="73">
        <f>Материалы!$H$177</f>
        <v>990.5</v>
      </c>
      <c r="AR209" s="73">
        <v>0</v>
      </c>
      <c r="AS209" s="73">
        <f>Материалы!$H$178</f>
        <v>5900</v>
      </c>
      <c r="AT209" s="73">
        <v>1</v>
      </c>
      <c r="AU209" s="73">
        <f>Материалы!$H$173</f>
        <v>4807</v>
      </c>
      <c r="AV209" s="73">
        <v>0</v>
      </c>
      <c r="AW209" s="73">
        <v>0</v>
      </c>
      <c r="AX209" s="463">
        <f t="shared" si="39"/>
        <v>9408</v>
      </c>
    </row>
    <row r="210" spans="8:50" x14ac:dyDescent="0.25">
      <c r="H210" s="38" t="str">
        <f t="shared" si="72"/>
        <v/>
      </c>
      <c r="I210" s="9" t="s">
        <v>549</v>
      </c>
      <c r="J210" s="9">
        <v>79</v>
      </c>
      <c r="K210" s="9">
        <v>99</v>
      </c>
      <c r="L210" s="9" t="str">
        <f>Материалы!D102</f>
        <v>100A</v>
      </c>
      <c r="M210" s="9" t="str">
        <f>Материалы!E102</f>
        <v>3P/100A</v>
      </c>
      <c r="N210" s="205" t="str">
        <f t="shared" si="73"/>
        <v/>
      </c>
      <c r="O210" s="416" t="str">
        <f t="shared" si="74"/>
        <v/>
      </c>
      <c r="W210" s="1"/>
      <c r="AB210" s="560" t="str">
        <f t="shared" si="4"/>
        <v>170</v>
      </c>
      <c r="AC210" s="553" t="s">
        <v>369</v>
      </c>
      <c r="AD210" s="553" t="s">
        <v>363</v>
      </c>
      <c r="AE210" s="553" t="s">
        <v>137</v>
      </c>
      <c r="AF210" s="552">
        <v>1</v>
      </c>
      <c r="AG210" s="551">
        <f>Материалы!$H$171</f>
        <v>472.5</v>
      </c>
      <c r="AH210" s="552">
        <v>1</v>
      </c>
      <c r="AI210" s="551">
        <f>Материалы!$H$172</f>
        <v>472.5</v>
      </c>
      <c r="AJ210" s="552">
        <v>1</v>
      </c>
      <c r="AK210" s="551">
        <f>Материалы!$H$174</f>
        <v>1552</v>
      </c>
      <c r="AL210" s="552">
        <v>0</v>
      </c>
      <c r="AM210" s="551">
        <f>Материалы!$H$175</f>
        <v>1052</v>
      </c>
      <c r="AN210" s="552">
        <v>0</v>
      </c>
      <c r="AO210" s="551">
        <f>Материалы!$H$176</f>
        <v>1570</v>
      </c>
      <c r="AP210" s="551">
        <v>0</v>
      </c>
      <c r="AQ210" s="551">
        <f>Материалы!$H$177</f>
        <v>990.5</v>
      </c>
      <c r="AR210" s="551">
        <v>0</v>
      </c>
      <c r="AS210" s="551">
        <f>Материалы!$H$178</f>
        <v>5900</v>
      </c>
      <c r="AT210" s="551">
        <v>0</v>
      </c>
      <c r="AU210" s="551">
        <f>Материалы!$H$173</f>
        <v>4807</v>
      </c>
      <c r="AV210" s="551">
        <v>0</v>
      </c>
      <c r="AW210" s="551">
        <v>0</v>
      </c>
      <c r="AX210" s="553">
        <f t="shared" si="39"/>
        <v>2497</v>
      </c>
    </row>
    <row r="211" spans="8:50" x14ac:dyDescent="0.25">
      <c r="H211" s="38" t="str">
        <f>IF(AND(J211&lt;=$I$198,$I$198&lt;K211),M211,"")</f>
        <v/>
      </c>
      <c r="I211" s="9" t="s">
        <v>550</v>
      </c>
      <c r="J211" s="9">
        <v>99</v>
      </c>
      <c r="K211" s="9">
        <v>124</v>
      </c>
      <c r="L211" s="9" t="str">
        <f>Материалы!D103</f>
        <v>125A</v>
      </c>
      <c r="M211" s="9" t="str">
        <f>Материалы!E103</f>
        <v>3P/125A</v>
      </c>
      <c r="N211" s="205" t="str">
        <f t="shared" si="73"/>
        <v/>
      </c>
      <c r="O211" s="416" t="str">
        <f t="shared" si="74"/>
        <v/>
      </c>
      <c r="W211" s="1"/>
      <c r="AB211" s="560" t="str">
        <f t="shared" ref="AB211" si="77">MID(AC211,2,3)</f>
        <v>170</v>
      </c>
      <c r="AC211" s="553" t="s">
        <v>369</v>
      </c>
      <c r="AD211" s="553" t="s">
        <v>363</v>
      </c>
      <c r="AE211" s="553" t="s">
        <v>138</v>
      </c>
      <c r="AF211" s="552">
        <v>1</v>
      </c>
      <c r="AG211" s="551">
        <f>Материалы!$H$171</f>
        <v>472.5</v>
      </c>
      <c r="AH211" s="552">
        <v>1</v>
      </c>
      <c r="AI211" s="551">
        <f>Материалы!$H$172</f>
        <v>472.5</v>
      </c>
      <c r="AJ211" s="552">
        <v>1</v>
      </c>
      <c r="AK211" s="551">
        <f>Материалы!$H$174</f>
        <v>1552</v>
      </c>
      <c r="AL211" s="552">
        <v>0</v>
      </c>
      <c r="AM211" s="551">
        <f>Материалы!$H$175</f>
        <v>1052</v>
      </c>
      <c r="AN211" s="552">
        <v>0</v>
      </c>
      <c r="AO211" s="551">
        <f>Материалы!$H$176</f>
        <v>1570</v>
      </c>
      <c r="AP211" s="551">
        <v>0</v>
      </c>
      <c r="AQ211" s="551">
        <f>Материалы!$H$177</f>
        <v>990.5</v>
      </c>
      <c r="AR211" s="551">
        <v>0</v>
      </c>
      <c r="AS211" s="551">
        <f>Материалы!$H$178</f>
        <v>5900</v>
      </c>
      <c r="AT211" s="551">
        <v>0</v>
      </c>
      <c r="AU211" s="551">
        <f>Материалы!$H$173</f>
        <v>4807</v>
      </c>
      <c r="AV211" s="551">
        <v>0</v>
      </c>
      <c r="AW211" s="551">
        <v>0</v>
      </c>
      <c r="AX211" s="553">
        <f t="shared" ref="AX211:AX225" si="78">AF211*AG211+AH211*AI211+AJ211*AK211+AL211*AM211+AN211*AO211+AP211*AQ211+AR211*AS211+AT211*AU211+AV211*AW211</f>
        <v>2497</v>
      </c>
    </row>
    <row r="212" spans="8:50" x14ac:dyDescent="0.25">
      <c r="H212" s="38" t="str">
        <f>IF(AND(J212&lt;=$I$198,$I$198&lt;K212),M212,"")</f>
        <v/>
      </c>
      <c r="I212" s="9" t="s">
        <v>658</v>
      </c>
      <c r="J212" s="9">
        <v>124</v>
      </c>
      <c r="K212" s="9">
        <v>160</v>
      </c>
      <c r="L212" s="9" t="str">
        <f>Материалы!D104</f>
        <v>160A</v>
      </c>
      <c r="M212" s="9" t="str">
        <f>Материалы!E104</f>
        <v>3P/160A</v>
      </c>
      <c r="N212" s="205" t="str">
        <f t="shared" si="73"/>
        <v/>
      </c>
      <c r="O212" s="416" t="str">
        <f t="shared" si="74"/>
        <v/>
      </c>
      <c r="W212" s="1"/>
      <c r="AB212" s="560" t="str">
        <f t="shared" ref="AB212:AB220" si="79">MID(AC212,2,3)</f>
        <v>170</v>
      </c>
      <c r="AC212" s="553" t="s">
        <v>369</v>
      </c>
      <c r="AD212" s="553" t="s">
        <v>360</v>
      </c>
      <c r="AE212" s="553" t="s">
        <v>137</v>
      </c>
      <c r="AF212" s="552">
        <v>1</v>
      </c>
      <c r="AG212" s="551">
        <f>Материалы!$H$171</f>
        <v>472.5</v>
      </c>
      <c r="AH212" s="552">
        <v>1</v>
      </c>
      <c r="AI212" s="551">
        <f>Материалы!$H$172</f>
        <v>472.5</v>
      </c>
      <c r="AJ212" s="552">
        <v>1</v>
      </c>
      <c r="AK212" s="551">
        <f>Материалы!$H$174</f>
        <v>1552</v>
      </c>
      <c r="AL212" s="552">
        <v>2</v>
      </c>
      <c r="AM212" s="551">
        <f>Материалы!$H$175</f>
        <v>1052</v>
      </c>
      <c r="AN212" s="552">
        <v>0</v>
      </c>
      <c r="AO212" s="551">
        <f>Материалы!$H$176</f>
        <v>1570</v>
      </c>
      <c r="AP212" s="551">
        <v>0</v>
      </c>
      <c r="AQ212" s="551">
        <f>Материалы!$H$177</f>
        <v>990.5</v>
      </c>
      <c r="AR212" s="551">
        <v>0</v>
      </c>
      <c r="AS212" s="551">
        <f>Материалы!$H$178</f>
        <v>5900</v>
      </c>
      <c r="AT212" s="551">
        <v>1</v>
      </c>
      <c r="AU212" s="551">
        <f>Материалы!$H$173</f>
        <v>4807</v>
      </c>
      <c r="AV212" s="551">
        <v>1</v>
      </c>
      <c r="AW212" s="551">
        <v>0</v>
      </c>
      <c r="AX212" s="553">
        <f t="shared" si="78"/>
        <v>9408</v>
      </c>
    </row>
    <row r="213" spans="8:50" x14ac:dyDescent="0.25">
      <c r="J213" s="1"/>
      <c r="K213" s="1"/>
      <c r="L213" s="1"/>
      <c r="N213" s="1"/>
      <c r="O213" s="1"/>
      <c r="W213" s="1"/>
      <c r="AB213" s="560" t="str">
        <f t="shared" ref="AB213" si="80">MID(AC213,2,3)</f>
        <v>170</v>
      </c>
      <c r="AC213" s="553" t="s">
        <v>369</v>
      </c>
      <c r="AD213" s="553" t="s">
        <v>360</v>
      </c>
      <c r="AE213" s="553" t="s">
        <v>138</v>
      </c>
      <c r="AF213" s="552">
        <v>1</v>
      </c>
      <c r="AG213" s="551">
        <f>Материалы!$H$171</f>
        <v>472.5</v>
      </c>
      <c r="AH213" s="552">
        <v>1</v>
      </c>
      <c r="AI213" s="551">
        <f>Материалы!$H$172</f>
        <v>472.5</v>
      </c>
      <c r="AJ213" s="552">
        <v>1</v>
      </c>
      <c r="AK213" s="551">
        <f>Материалы!$H$174</f>
        <v>1552</v>
      </c>
      <c r="AL213" s="552">
        <v>2</v>
      </c>
      <c r="AM213" s="551">
        <f>Материалы!$H$175</f>
        <v>1052</v>
      </c>
      <c r="AN213" s="552">
        <v>0</v>
      </c>
      <c r="AO213" s="551">
        <f>Материалы!$H$176</f>
        <v>1570</v>
      </c>
      <c r="AP213" s="551">
        <v>0</v>
      </c>
      <c r="AQ213" s="551">
        <f>Материалы!$H$177</f>
        <v>990.5</v>
      </c>
      <c r="AR213" s="551">
        <v>0</v>
      </c>
      <c r="AS213" s="551">
        <f>Материалы!$H$178</f>
        <v>5900</v>
      </c>
      <c r="AT213" s="551">
        <v>1</v>
      </c>
      <c r="AU213" s="551">
        <f>Материалы!$H$173</f>
        <v>4807</v>
      </c>
      <c r="AV213" s="551">
        <v>1</v>
      </c>
      <c r="AW213" s="569">
        <f>U122</f>
        <v>4695</v>
      </c>
      <c r="AX213" s="553">
        <f t="shared" si="78"/>
        <v>14103</v>
      </c>
    </row>
    <row r="214" spans="8:50" ht="15.75" thickBot="1" x14ac:dyDescent="0.3">
      <c r="H214" s="423" t="s">
        <v>322</v>
      </c>
      <c r="I214" s="71" t="str">
        <f>IF($D$1=1,I217,IF($D$1=2,I216,I215))</f>
        <v>Клемма6</v>
      </c>
      <c r="W214" s="1"/>
      <c r="AB214" s="560" t="str">
        <f t="shared" si="79"/>
        <v>171</v>
      </c>
      <c r="AC214" s="463" t="s">
        <v>370</v>
      </c>
      <c r="AD214" s="463" t="s">
        <v>363</v>
      </c>
      <c r="AE214" s="463" t="s">
        <v>137</v>
      </c>
      <c r="AF214" s="307">
        <v>1</v>
      </c>
      <c r="AG214" s="73">
        <f>Материалы!$H$171</f>
        <v>472.5</v>
      </c>
      <c r="AH214" s="307">
        <v>1</v>
      </c>
      <c r="AI214" s="73">
        <f>Материалы!$H$172</f>
        <v>472.5</v>
      </c>
      <c r="AJ214" s="307">
        <v>1</v>
      </c>
      <c r="AK214" s="73">
        <f>Материалы!$H$174</f>
        <v>1552</v>
      </c>
      <c r="AL214" s="73">
        <v>2</v>
      </c>
      <c r="AM214" s="73">
        <f>Материалы!$H$175</f>
        <v>1052</v>
      </c>
      <c r="AN214" s="307">
        <v>0</v>
      </c>
      <c r="AO214" s="73">
        <f>Материалы!$H$176</f>
        <v>1570</v>
      </c>
      <c r="AP214" s="73">
        <v>0</v>
      </c>
      <c r="AQ214" s="73">
        <f>Материалы!$H$177</f>
        <v>990.5</v>
      </c>
      <c r="AR214" s="73">
        <v>0</v>
      </c>
      <c r="AS214" s="73">
        <f>Материалы!$H$178</f>
        <v>5900</v>
      </c>
      <c r="AT214" s="73">
        <v>0</v>
      </c>
      <c r="AU214" s="73">
        <f>Материалы!$H$173</f>
        <v>4807</v>
      </c>
      <c r="AV214" s="73">
        <v>0</v>
      </c>
      <c r="AW214" s="73">
        <v>0</v>
      </c>
      <c r="AX214" s="463">
        <f t="shared" si="78"/>
        <v>4601</v>
      </c>
    </row>
    <row r="215" spans="8:50" ht="15.75" thickBot="1" x14ac:dyDescent="0.3">
      <c r="H215" s="425" t="s">
        <v>630</v>
      </c>
      <c r="I215" s="285" t="str">
        <f>INDEX(O219:O224,INDEX(MATCH(1=1,O219:O224&lt;&gt;"",),))</f>
        <v>Клемма6</v>
      </c>
      <c r="W215" s="1"/>
      <c r="AB215" s="560" t="str">
        <f t="shared" ref="AB215" si="81">MID(AC215,2,3)</f>
        <v>171</v>
      </c>
      <c r="AC215" s="463" t="s">
        <v>370</v>
      </c>
      <c r="AD215" s="463" t="s">
        <v>363</v>
      </c>
      <c r="AE215" s="554" t="s">
        <v>138</v>
      </c>
      <c r="AF215" s="307">
        <v>1</v>
      </c>
      <c r="AG215" s="73">
        <f>Материалы!$H$171</f>
        <v>472.5</v>
      </c>
      <c r="AH215" s="307">
        <v>1</v>
      </c>
      <c r="AI215" s="73">
        <f>Материалы!$H$172</f>
        <v>472.5</v>
      </c>
      <c r="AJ215" s="307">
        <v>1</v>
      </c>
      <c r="AK215" s="73">
        <f>Материалы!$H$174</f>
        <v>1552</v>
      </c>
      <c r="AL215" s="73">
        <v>2</v>
      </c>
      <c r="AM215" s="73">
        <f>Материалы!$H$175</f>
        <v>1052</v>
      </c>
      <c r="AN215" s="307">
        <v>0</v>
      </c>
      <c r="AO215" s="73">
        <f>Материалы!$H$176</f>
        <v>1570</v>
      </c>
      <c r="AP215" s="73">
        <v>0</v>
      </c>
      <c r="AQ215" s="73">
        <f>Материалы!$H$177</f>
        <v>990.5</v>
      </c>
      <c r="AR215" s="73">
        <v>0</v>
      </c>
      <c r="AS215" s="73">
        <f>Материалы!$H$178</f>
        <v>5900</v>
      </c>
      <c r="AT215" s="73">
        <v>0</v>
      </c>
      <c r="AU215" s="73">
        <f>Материалы!$H$173</f>
        <v>4807</v>
      </c>
      <c r="AV215" s="73">
        <v>0</v>
      </c>
      <c r="AW215" s="73">
        <v>0</v>
      </c>
      <c r="AX215" s="463">
        <f t="shared" si="78"/>
        <v>4601</v>
      </c>
    </row>
    <row r="216" spans="8:50" x14ac:dyDescent="0.25">
      <c r="H216" s="424" t="s">
        <v>321</v>
      </c>
      <c r="I216" s="11" t="str">
        <f>INDEX(N219:N224,INDEX(MATCH(1=1,N219:N224&lt;&gt;"",),))</f>
        <v>Клемма6</v>
      </c>
      <c r="AB216" s="560" t="str">
        <f t="shared" si="79"/>
        <v>171</v>
      </c>
      <c r="AC216" s="463" t="s">
        <v>370</v>
      </c>
      <c r="AD216" s="463" t="s">
        <v>360</v>
      </c>
      <c r="AE216" s="463" t="s">
        <v>137</v>
      </c>
      <c r="AF216" s="307">
        <v>1</v>
      </c>
      <c r="AG216" s="73">
        <f>Материалы!$H$171</f>
        <v>472.5</v>
      </c>
      <c r="AH216" s="307">
        <v>1</v>
      </c>
      <c r="AI216" s="73">
        <f>Материалы!$H$172</f>
        <v>472.5</v>
      </c>
      <c r="AJ216" s="307">
        <v>1</v>
      </c>
      <c r="AK216" s="73">
        <f>Материалы!$H$174</f>
        <v>1552</v>
      </c>
      <c r="AL216" s="73">
        <v>2</v>
      </c>
      <c r="AM216" s="73">
        <f>Материалы!$H$175</f>
        <v>1052</v>
      </c>
      <c r="AN216" s="307">
        <v>0</v>
      </c>
      <c r="AO216" s="73">
        <f>Материалы!$H$176</f>
        <v>1570</v>
      </c>
      <c r="AP216" s="73">
        <v>0</v>
      </c>
      <c r="AQ216" s="73">
        <f>Материалы!$H$177</f>
        <v>990.5</v>
      </c>
      <c r="AR216" s="73">
        <v>0</v>
      </c>
      <c r="AS216" s="73">
        <f>Материалы!$H$178</f>
        <v>5900</v>
      </c>
      <c r="AT216" s="73">
        <v>1</v>
      </c>
      <c r="AU216" s="73">
        <f>Материалы!$H$173</f>
        <v>4807</v>
      </c>
      <c r="AV216" s="73">
        <v>1</v>
      </c>
      <c r="AW216" s="73">
        <v>0</v>
      </c>
      <c r="AX216" s="463">
        <f t="shared" si="78"/>
        <v>9408</v>
      </c>
    </row>
    <row r="217" spans="8:50" ht="28.5" x14ac:dyDescent="0.25">
      <c r="H217" s="338" t="s">
        <v>320</v>
      </c>
      <c r="I217" s="11" t="str">
        <f>INDEX(H219:H224,INDEX(MATCH(1=1,H219:H224&lt;&gt;"",),))</f>
        <v>Клемма6</v>
      </c>
      <c r="AB217" s="560" t="str">
        <f t="shared" ref="AB217" si="82">MID(AC217,2,3)</f>
        <v>171</v>
      </c>
      <c r="AC217" s="463" t="s">
        <v>370</v>
      </c>
      <c r="AD217" s="463" t="s">
        <v>360</v>
      </c>
      <c r="AE217" s="554" t="s">
        <v>138</v>
      </c>
      <c r="AF217" s="307">
        <v>1</v>
      </c>
      <c r="AG217" s="73">
        <f>Материалы!$H$171</f>
        <v>472.5</v>
      </c>
      <c r="AH217" s="307">
        <v>1</v>
      </c>
      <c r="AI217" s="73">
        <f>Материалы!$H$172</f>
        <v>472.5</v>
      </c>
      <c r="AJ217" s="307">
        <v>1</v>
      </c>
      <c r="AK217" s="73">
        <f>Материалы!$H$174</f>
        <v>1552</v>
      </c>
      <c r="AL217" s="73">
        <v>2</v>
      </c>
      <c r="AM217" s="73">
        <f>Материалы!$H$175</f>
        <v>1052</v>
      </c>
      <c r="AN217" s="307">
        <v>0</v>
      </c>
      <c r="AO217" s="73">
        <f>Материалы!$H$176</f>
        <v>1570</v>
      </c>
      <c r="AP217" s="73">
        <v>0</v>
      </c>
      <c r="AQ217" s="73">
        <f>Материалы!$H$177</f>
        <v>990.5</v>
      </c>
      <c r="AR217" s="73">
        <v>0</v>
      </c>
      <c r="AS217" s="73">
        <f>Материалы!$H$178</f>
        <v>5900</v>
      </c>
      <c r="AT217" s="73">
        <v>1</v>
      </c>
      <c r="AU217" s="73">
        <f>Материалы!$H$173</f>
        <v>4807</v>
      </c>
      <c r="AV217" s="73">
        <v>1</v>
      </c>
      <c r="AW217" s="178">
        <f>U122</f>
        <v>4695</v>
      </c>
      <c r="AX217" s="463">
        <f t="shared" si="78"/>
        <v>14103</v>
      </c>
    </row>
    <row r="218" spans="8:50" x14ac:dyDescent="0.25">
      <c r="H218" s="370" t="s">
        <v>271</v>
      </c>
      <c r="I218" s="369"/>
      <c r="J218" s="369"/>
      <c r="K218" s="369"/>
      <c r="L218" s="369"/>
      <c r="M218" s="194" t="s">
        <v>551</v>
      </c>
      <c r="N218" s="190" t="s">
        <v>272</v>
      </c>
      <c r="O218" s="416" t="s">
        <v>151</v>
      </c>
      <c r="AB218" s="560" t="str">
        <f t="shared" si="79"/>
        <v>172</v>
      </c>
      <c r="AC218" s="553" t="s">
        <v>371</v>
      </c>
      <c r="AD218" s="553" t="s">
        <v>363</v>
      </c>
      <c r="AE218" s="553" t="s">
        <v>137</v>
      </c>
      <c r="AF218" s="552">
        <v>1</v>
      </c>
      <c r="AG218" s="551">
        <f>Материалы!$H$171</f>
        <v>472.5</v>
      </c>
      <c r="AH218" s="552">
        <v>1</v>
      </c>
      <c r="AI218" s="551">
        <f>Материалы!$H$172</f>
        <v>472.5</v>
      </c>
      <c r="AJ218" s="552">
        <v>1</v>
      </c>
      <c r="AK218" s="551">
        <f>Материалы!$H$174</f>
        <v>1552</v>
      </c>
      <c r="AL218" s="551">
        <v>0</v>
      </c>
      <c r="AM218" s="551">
        <f>Материалы!$H$175</f>
        <v>1052</v>
      </c>
      <c r="AN218" s="552">
        <v>0</v>
      </c>
      <c r="AO218" s="551">
        <f>Материалы!$H$176</f>
        <v>1570</v>
      </c>
      <c r="AP218" s="551">
        <v>0</v>
      </c>
      <c r="AQ218" s="551">
        <f>Материалы!$H$177</f>
        <v>990.5</v>
      </c>
      <c r="AR218" s="551">
        <v>1</v>
      </c>
      <c r="AS218" s="551">
        <f>Материалы!$H$178</f>
        <v>5900</v>
      </c>
      <c r="AT218" s="551">
        <v>0</v>
      </c>
      <c r="AU218" s="551">
        <f>Материалы!$H$173</f>
        <v>4807</v>
      </c>
      <c r="AV218" s="551">
        <v>0</v>
      </c>
      <c r="AW218" s="551">
        <v>0</v>
      </c>
      <c r="AX218" s="553">
        <f t="shared" si="78"/>
        <v>8397</v>
      </c>
    </row>
    <row r="219" spans="8:50" x14ac:dyDescent="0.25">
      <c r="H219" s="38" t="str">
        <f>IF(AND(J219&lt;=$I$198,$I$198&lt;K219),M219,"")</f>
        <v>Клемма6</v>
      </c>
      <c r="I219" s="9">
        <v>6</v>
      </c>
      <c r="J219" s="9">
        <v>0.1</v>
      </c>
      <c r="K219" s="9">
        <v>19</v>
      </c>
      <c r="L219" s="9">
        <f>Материалы!D62</f>
        <v>4</v>
      </c>
      <c r="M219" s="9" t="str">
        <f>Материалы!E63</f>
        <v>Клемма6</v>
      </c>
      <c r="N219" s="190" t="str">
        <f t="shared" ref="N219:N224" si="83">IF(AND(J219&lt;=$K$198,$K$198&lt;K219),M219,"")</f>
        <v>Клемма6</v>
      </c>
      <c r="O219" s="416" t="str">
        <f t="shared" ref="O219:O224" si="84">IF(AND(J219&lt;=$M$198,$M$198&lt;K219),M219,"")</f>
        <v>Клемма6</v>
      </c>
      <c r="AB219" s="560" t="str">
        <f t="shared" ref="AB219" si="85">MID(AC219,2,3)</f>
        <v>172</v>
      </c>
      <c r="AC219" s="553" t="s">
        <v>371</v>
      </c>
      <c r="AD219" s="553" t="s">
        <v>363</v>
      </c>
      <c r="AE219" s="553" t="s">
        <v>138</v>
      </c>
      <c r="AF219" s="552">
        <v>1</v>
      </c>
      <c r="AG219" s="551">
        <f>Материалы!$H$171</f>
        <v>472.5</v>
      </c>
      <c r="AH219" s="552">
        <v>1</v>
      </c>
      <c r="AI219" s="551">
        <f>Материалы!$H$172</f>
        <v>472.5</v>
      </c>
      <c r="AJ219" s="552">
        <v>1</v>
      </c>
      <c r="AK219" s="551">
        <f>Материалы!$H$174</f>
        <v>1552</v>
      </c>
      <c r="AL219" s="551">
        <v>0</v>
      </c>
      <c r="AM219" s="551">
        <f>Материалы!$H$175</f>
        <v>1052</v>
      </c>
      <c r="AN219" s="552">
        <v>0</v>
      </c>
      <c r="AO219" s="551">
        <f>Материалы!$H$176</f>
        <v>1570</v>
      </c>
      <c r="AP219" s="551">
        <v>0</v>
      </c>
      <c r="AQ219" s="551">
        <f>Материалы!$H$177</f>
        <v>990.5</v>
      </c>
      <c r="AR219" s="551">
        <v>1</v>
      </c>
      <c r="AS219" s="551">
        <f>Материалы!$H$178</f>
        <v>5900</v>
      </c>
      <c r="AT219" s="551">
        <v>0</v>
      </c>
      <c r="AU219" s="551">
        <f>Материалы!$H$173</f>
        <v>4807</v>
      </c>
      <c r="AV219" s="551">
        <v>0</v>
      </c>
      <c r="AW219" s="551">
        <v>0</v>
      </c>
      <c r="AX219" s="553">
        <f t="shared" si="78"/>
        <v>8397</v>
      </c>
    </row>
    <row r="220" spans="8:50" x14ac:dyDescent="0.25">
      <c r="H220" s="38" t="str">
        <f>IF(AND(J220&lt;=$I$198,$I$198&lt;K220),M220,"")</f>
        <v/>
      </c>
      <c r="I220" s="9">
        <v>10</v>
      </c>
      <c r="J220" s="9">
        <v>19</v>
      </c>
      <c r="K220" s="9">
        <v>24</v>
      </c>
      <c r="L220" s="9">
        <f>Материалы!D63</f>
        <v>6</v>
      </c>
      <c r="M220" s="9" t="str">
        <f>Материалы!E64</f>
        <v>KL10</v>
      </c>
      <c r="N220" s="205" t="str">
        <f t="shared" si="83"/>
        <v/>
      </c>
      <c r="O220" s="416" t="str">
        <f t="shared" si="84"/>
        <v/>
      </c>
      <c r="AB220" s="560" t="str">
        <f t="shared" si="79"/>
        <v>172</v>
      </c>
      <c r="AC220" s="553" t="s">
        <v>371</v>
      </c>
      <c r="AD220" s="553" t="s">
        <v>360</v>
      </c>
      <c r="AE220" s="553" t="s">
        <v>137</v>
      </c>
      <c r="AF220" s="552">
        <v>1</v>
      </c>
      <c r="AG220" s="551">
        <f>Материалы!$H$171</f>
        <v>472.5</v>
      </c>
      <c r="AH220" s="552">
        <v>1</v>
      </c>
      <c r="AI220" s="551">
        <f>Материалы!$H$172</f>
        <v>472.5</v>
      </c>
      <c r="AJ220" s="552">
        <v>1</v>
      </c>
      <c r="AK220" s="551">
        <f>Материалы!$H$174</f>
        <v>1552</v>
      </c>
      <c r="AL220" s="551">
        <v>1</v>
      </c>
      <c r="AM220" s="551">
        <f>Материалы!$H$175</f>
        <v>1052</v>
      </c>
      <c r="AN220" s="552">
        <v>0</v>
      </c>
      <c r="AO220" s="551">
        <f>Материалы!$H$176</f>
        <v>1570</v>
      </c>
      <c r="AP220" s="551">
        <v>0</v>
      </c>
      <c r="AQ220" s="551">
        <f>Материалы!$H$177</f>
        <v>990.5</v>
      </c>
      <c r="AR220" s="551">
        <v>1</v>
      </c>
      <c r="AS220" s="551">
        <f>Материалы!$H$178</f>
        <v>5900</v>
      </c>
      <c r="AT220" s="551">
        <v>1</v>
      </c>
      <c r="AU220" s="551">
        <f>Материалы!$H$173</f>
        <v>4807</v>
      </c>
      <c r="AV220" s="551">
        <v>1</v>
      </c>
      <c r="AW220" s="551">
        <v>0</v>
      </c>
      <c r="AX220" s="553">
        <f t="shared" si="78"/>
        <v>14256</v>
      </c>
    </row>
    <row r="221" spans="8:50" x14ac:dyDescent="0.25">
      <c r="H221" s="38" t="str">
        <f>IF(AND(J221&lt;=$I$198,$I$198&lt;K221),M221,"")</f>
        <v/>
      </c>
      <c r="I221" s="9">
        <v>16</v>
      </c>
      <c r="J221" s="9">
        <v>24</v>
      </c>
      <c r="K221" s="9">
        <v>34</v>
      </c>
      <c r="L221" s="9">
        <f>Материалы!D64</f>
        <v>10</v>
      </c>
      <c r="M221" s="9" t="str">
        <f>Материалы!E65</f>
        <v>Клемма16</v>
      </c>
      <c r="N221" s="205" t="str">
        <f t="shared" si="83"/>
        <v/>
      </c>
      <c r="O221" s="416" t="str">
        <f t="shared" si="84"/>
        <v/>
      </c>
      <c r="AB221" s="560" t="str">
        <f t="shared" ref="AB221" si="86">MID(AC221,2,3)</f>
        <v>172</v>
      </c>
      <c r="AC221" s="553" t="s">
        <v>371</v>
      </c>
      <c r="AD221" s="553" t="s">
        <v>360</v>
      </c>
      <c r="AE221" s="553" t="s">
        <v>138</v>
      </c>
      <c r="AF221" s="552">
        <v>1</v>
      </c>
      <c r="AG221" s="551">
        <f>Материалы!$H$171</f>
        <v>472.5</v>
      </c>
      <c r="AH221" s="552">
        <v>1</v>
      </c>
      <c r="AI221" s="551">
        <f>Материалы!$H$172</f>
        <v>472.5</v>
      </c>
      <c r="AJ221" s="552">
        <v>1</v>
      </c>
      <c r="AK221" s="551">
        <f>Материалы!$H$174</f>
        <v>1552</v>
      </c>
      <c r="AL221" s="551">
        <v>1</v>
      </c>
      <c r="AM221" s="551">
        <f>Материалы!$H$175</f>
        <v>1052</v>
      </c>
      <c r="AN221" s="552">
        <v>0</v>
      </c>
      <c r="AO221" s="551">
        <f>Материалы!$H$176</f>
        <v>1570</v>
      </c>
      <c r="AP221" s="551">
        <v>0</v>
      </c>
      <c r="AQ221" s="551">
        <f>Материалы!$H$177</f>
        <v>990.5</v>
      </c>
      <c r="AR221" s="551">
        <v>1</v>
      </c>
      <c r="AS221" s="551">
        <f>Материалы!$H$178</f>
        <v>5900</v>
      </c>
      <c r="AT221" s="551">
        <v>1</v>
      </c>
      <c r="AU221" s="551">
        <f>Материалы!$H$173</f>
        <v>4807</v>
      </c>
      <c r="AV221" s="551">
        <v>1</v>
      </c>
      <c r="AW221" s="569">
        <f>U122</f>
        <v>4695</v>
      </c>
      <c r="AX221" s="553">
        <f t="shared" si="78"/>
        <v>18951</v>
      </c>
    </row>
    <row r="222" spans="8:50" x14ac:dyDescent="0.25">
      <c r="H222" s="38" t="str">
        <f t="shared" ref="H222:H224" si="87">IF(AND(J222&lt;=$I$198,$I$198&lt;K222),M222,"")</f>
        <v/>
      </c>
      <c r="I222" s="9">
        <v>16</v>
      </c>
      <c r="J222" s="9">
        <v>34</v>
      </c>
      <c r="K222" s="9">
        <v>54</v>
      </c>
      <c r="L222" s="9">
        <f>Материалы!D65</f>
        <v>16</v>
      </c>
      <c r="M222" s="9" t="str">
        <f>Материалы!E65</f>
        <v>Клемма16</v>
      </c>
      <c r="N222" s="205" t="str">
        <f t="shared" si="83"/>
        <v/>
      </c>
      <c r="O222" s="416" t="str">
        <f t="shared" si="84"/>
        <v/>
      </c>
      <c r="AB222" s="560">
        <v>173</v>
      </c>
      <c r="AC222" s="463" t="s">
        <v>372</v>
      </c>
      <c r="AD222" s="463" t="s">
        <v>363</v>
      </c>
      <c r="AE222" s="463" t="s">
        <v>137</v>
      </c>
      <c r="AF222" s="307">
        <v>1</v>
      </c>
      <c r="AG222" s="73">
        <f>Материалы!$H$171</f>
        <v>472.5</v>
      </c>
      <c r="AH222" s="307">
        <v>1</v>
      </c>
      <c r="AI222" s="73">
        <f>Материалы!$H$172</f>
        <v>472.5</v>
      </c>
      <c r="AJ222" s="307">
        <v>1</v>
      </c>
      <c r="AK222" s="73">
        <f>Материалы!$H$174</f>
        <v>1552</v>
      </c>
      <c r="AL222" s="73">
        <v>0</v>
      </c>
      <c r="AM222" s="73">
        <f>Материалы!$H$175</f>
        <v>1052</v>
      </c>
      <c r="AN222" s="307">
        <v>0</v>
      </c>
      <c r="AO222" s="73">
        <f>Материалы!$H$176</f>
        <v>1570</v>
      </c>
      <c r="AP222" s="73">
        <v>0</v>
      </c>
      <c r="AQ222" s="73">
        <f>Материалы!$H$177</f>
        <v>990.5</v>
      </c>
      <c r="AR222" s="73">
        <v>0</v>
      </c>
      <c r="AS222" s="73">
        <f>Материалы!$H$178</f>
        <v>5900</v>
      </c>
      <c r="AT222" s="73">
        <v>0</v>
      </c>
      <c r="AU222" s="73">
        <f>Материалы!$H$173</f>
        <v>4807</v>
      </c>
      <c r="AV222" s="73">
        <v>0</v>
      </c>
      <c r="AW222" s="73">
        <v>0</v>
      </c>
      <c r="AX222" s="463">
        <f t="shared" si="78"/>
        <v>2497</v>
      </c>
    </row>
    <row r="223" spans="8:50" x14ac:dyDescent="0.25">
      <c r="H223" s="38" t="str">
        <f t="shared" si="87"/>
        <v/>
      </c>
      <c r="I223" s="9">
        <v>35</v>
      </c>
      <c r="J223" s="9">
        <v>54</v>
      </c>
      <c r="K223" s="9">
        <v>75</v>
      </c>
      <c r="L223" s="9">
        <f>Материалы!D66</f>
        <v>35</v>
      </c>
      <c r="M223" s="9" t="str">
        <f>Материалы!E66</f>
        <v>Клемма35</v>
      </c>
      <c r="N223" s="205" t="str">
        <f t="shared" si="83"/>
        <v/>
      </c>
      <c r="O223" s="416" t="str">
        <f t="shared" si="84"/>
        <v/>
      </c>
      <c r="AB223" s="560">
        <v>173</v>
      </c>
      <c r="AC223" s="463" t="s">
        <v>372</v>
      </c>
      <c r="AD223" s="463" t="s">
        <v>363</v>
      </c>
      <c r="AE223" s="554" t="s">
        <v>138</v>
      </c>
      <c r="AF223" s="307">
        <v>1</v>
      </c>
      <c r="AG223" s="73">
        <f>Материалы!$H$171</f>
        <v>472.5</v>
      </c>
      <c r="AH223" s="307">
        <v>1</v>
      </c>
      <c r="AI223" s="73">
        <f>Материалы!$H$172</f>
        <v>472.5</v>
      </c>
      <c r="AJ223" s="307">
        <v>1</v>
      </c>
      <c r="AK223" s="73">
        <f>Материалы!$H$174</f>
        <v>1552</v>
      </c>
      <c r="AL223" s="73">
        <v>0</v>
      </c>
      <c r="AM223" s="73">
        <f>Материалы!$H$175</f>
        <v>1052</v>
      </c>
      <c r="AN223" s="307">
        <v>0</v>
      </c>
      <c r="AO223" s="73">
        <f>Материалы!$H$176</f>
        <v>1570</v>
      </c>
      <c r="AP223" s="73">
        <v>0</v>
      </c>
      <c r="AQ223" s="73">
        <f>Материалы!$H$177</f>
        <v>990.5</v>
      </c>
      <c r="AR223" s="73">
        <v>0</v>
      </c>
      <c r="AS223" s="73">
        <f>Материалы!$H$178</f>
        <v>5900</v>
      </c>
      <c r="AT223" s="73">
        <v>0</v>
      </c>
      <c r="AU223" s="73">
        <f>Материалы!$H$173</f>
        <v>4807</v>
      </c>
      <c r="AV223" s="73">
        <v>0</v>
      </c>
      <c r="AW223" s="73">
        <v>0</v>
      </c>
      <c r="AX223" s="463">
        <f t="shared" si="78"/>
        <v>2497</v>
      </c>
    </row>
    <row r="224" spans="8:50" x14ac:dyDescent="0.25">
      <c r="H224" s="38" t="str">
        <f t="shared" si="87"/>
        <v/>
      </c>
      <c r="I224" s="9">
        <v>70</v>
      </c>
      <c r="J224" s="9">
        <v>75</v>
      </c>
      <c r="K224" s="9">
        <v>200</v>
      </c>
      <c r="L224" s="9">
        <f>Материалы!D67</f>
        <v>70</v>
      </c>
      <c r="M224" s="9" t="str">
        <f>Материалы!E67</f>
        <v>Клемма70</v>
      </c>
      <c r="N224" s="205" t="str">
        <f t="shared" si="83"/>
        <v/>
      </c>
      <c r="O224" s="416" t="str">
        <f t="shared" si="84"/>
        <v/>
      </c>
      <c r="AB224" s="560">
        <v>173</v>
      </c>
      <c r="AC224" s="463" t="s">
        <v>372</v>
      </c>
      <c r="AD224" s="463" t="s">
        <v>360</v>
      </c>
      <c r="AE224" s="463" t="s">
        <v>137</v>
      </c>
      <c r="AF224" s="307">
        <v>1</v>
      </c>
      <c r="AG224" s="73">
        <f>Материалы!$H$171</f>
        <v>472.5</v>
      </c>
      <c r="AH224" s="307">
        <v>1</v>
      </c>
      <c r="AI224" s="73">
        <f>Материалы!$H$172</f>
        <v>472.5</v>
      </c>
      <c r="AJ224" s="307">
        <v>1</v>
      </c>
      <c r="AK224" s="73">
        <f>Материалы!$H$174</f>
        <v>1552</v>
      </c>
      <c r="AL224" s="73">
        <v>2</v>
      </c>
      <c r="AM224" s="73">
        <f>Материалы!$H$175</f>
        <v>1052</v>
      </c>
      <c r="AN224" s="307">
        <v>0</v>
      </c>
      <c r="AO224" s="73">
        <f>Материалы!$H$176</f>
        <v>1570</v>
      </c>
      <c r="AP224" s="73">
        <v>0</v>
      </c>
      <c r="AQ224" s="73">
        <f>Материалы!$H$177</f>
        <v>990.5</v>
      </c>
      <c r="AR224" s="73">
        <v>0</v>
      </c>
      <c r="AS224" s="73">
        <f>Материалы!$H$178</f>
        <v>5900</v>
      </c>
      <c r="AT224" s="73">
        <v>1</v>
      </c>
      <c r="AU224" s="73">
        <f>Материалы!$H$173</f>
        <v>4807</v>
      </c>
      <c r="AV224" s="73">
        <v>1</v>
      </c>
      <c r="AW224" s="73">
        <v>0</v>
      </c>
      <c r="AX224" s="463">
        <f t="shared" si="78"/>
        <v>9408</v>
      </c>
    </row>
    <row r="225" spans="8:50" x14ac:dyDescent="0.25">
      <c r="H225" s="1"/>
      <c r="I225" s="1"/>
      <c r="J225" s="1"/>
      <c r="K225" s="1"/>
      <c r="L225" s="1"/>
      <c r="M225" s="1"/>
      <c r="O225" s="204"/>
      <c r="AB225" s="560">
        <v>173</v>
      </c>
      <c r="AC225" s="463" t="s">
        <v>372</v>
      </c>
      <c r="AD225" s="463" t="s">
        <v>360</v>
      </c>
      <c r="AE225" s="554" t="s">
        <v>138</v>
      </c>
      <c r="AF225" s="307">
        <v>1</v>
      </c>
      <c r="AG225" s="73">
        <f>Материалы!$H$171</f>
        <v>472.5</v>
      </c>
      <c r="AH225" s="307">
        <v>1</v>
      </c>
      <c r="AI225" s="73">
        <f>Материалы!$H$172</f>
        <v>472.5</v>
      </c>
      <c r="AJ225" s="307">
        <v>1</v>
      </c>
      <c r="AK225" s="73">
        <f>Материалы!$H$174</f>
        <v>1552</v>
      </c>
      <c r="AL225" s="73">
        <v>2</v>
      </c>
      <c r="AM225" s="73">
        <f>Материалы!$H$175</f>
        <v>1052</v>
      </c>
      <c r="AN225" s="307">
        <v>0</v>
      </c>
      <c r="AO225" s="73">
        <f>Материалы!$H$176</f>
        <v>1570</v>
      </c>
      <c r="AP225" s="73">
        <v>0</v>
      </c>
      <c r="AQ225" s="73">
        <f>Материалы!$H$177</f>
        <v>990.5</v>
      </c>
      <c r="AR225" s="73">
        <v>0</v>
      </c>
      <c r="AS225" s="73">
        <f>Материалы!$H$178</f>
        <v>5900</v>
      </c>
      <c r="AT225" s="73">
        <v>1</v>
      </c>
      <c r="AU225" s="73">
        <f>Материалы!$H$173</f>
        <v>4807</v>
      </c>
      <c r="AV225" s="73">
        <v>1</v>
      </c>
      <c r="AW225" s="178">
        <f>U122</f>
        <v>4695</v>
      </c>
      <c r="AX225" s="463">
        <f t="shared" si="78"/>
        <v>14103</v>
      </c>
    </row>
    <row r="226" spans="8:50" x14ac:dyDescent="0.25">
      <c r="J226" s="1"/>
      <c r="K226" s="1"/>
      <c r="L226" s="1"/>
      <c r="N226" s="1"/>
      <c r="O226" s="1"/>
      <c r="AF226" s="204"/>
    </row>
    <row r="227" spans="8:50" x14ac:dyDescent="0.25">
      <c r="J227" s="1"/>
      <c r="K227" s="1"/>
      <c r="L227" s="1"/>
      <c r="N227" s="1"/>
      <c r="O227" s="1"/>
      <c r="AB227" s="200"/>
    </row>
    <row r="228" spans="8:50" x14ac:dyDescent="0.25">
      <c r="J228" s="1"/>
      <c r="K228" s="1"/>
      <c r="L228" s="1"/>
      <c r="N228" s="1"/>
      <c r="O228" s="1"/>
      <c r="AB228" s="200"/>
    </row>
    <row r="229" spans="8:50" x14ac:dyDescent="0.25">
      <c r="J229" s="1"/>
      <c r="K229" s="1"/>
      <c r="L229" s="1"/>
      <c r="N229" s="1"/>
      <c r="O229" s="1"/>
      <c r="AB229" s="200"/>
    </row>
    <row r="230" spans="8:50" x14ac:dyDescent="0.25">
      <c r="AB230" s="200"/>
    </row>
    <row r="231" spans="8:50" x14ac:dyDescent="0.25">
      <c r="AB231" s="200"/>
    </row>
    <row r="232" spans="8:50" ht="15.75" thickBot="1" x14ac:dyDescent="0.3">
      <c r="AB232" s="200"/>
    </row>
    <row r="233" spans="8:50" ht="15.75" thickBot="1" x14ac:dyDescent="0.3">
      <c r="H233" t="s">
        <v>413</v>
      </c>
      <c r="K233" s="84" t="s">
        <v>204</v>
      </c>
      <c r="L233" s="85" t="s">
        <v>205</v>
      </c>
      <c r="AB233" s="200"/>
    </row>
    <row r="234" spans="8:50" x14ac:dyDescent="0.25">
      <c r="H234" s="78" t="s">
        <v>454</v>
      </c>
      <c r="I234" s="21" t="s">
        <v>137</v>
      </c>
      <c r="J234" s="344" t="str">
        <f>IF(AND(E47=0,E51=1),I83,"")</f>
        <v>А3Р00025</v>
      </c>
      <c r="K234" s="21" t="str">
        <f>IF(AND(E47=0,E51=1),R83,"")</f>
        <v>700х500х200</v>
      </c>
      <c r="L234" s="86" t="str">
        <f>IF(AND(E47=0,E51=1),S83,"")</f>
        <v>560х408х153</v>
      </c>
      <c r="AB234" s="200"/>
    </row>
    <row r="235" spans="8:50" ht="15.75" thickBot="1" x14ac:dyDescent="0.3">
      <c r="H235" s="79" t="s">
        <v>246</v>
      </c>
      <c r="I235" s="9" t="s">
        <v>137</v>
      </c>
      <c r="J235" s="198" t="str">
        <f>IF(AND(E47=0,E51=2),I107,"")</f>
        <v/>
      </c>
      <c r="K235" s="9" t="str">
        <f>IF(AND(E47=0,E51=2),P107,"")</f>
        <v/>
      </c>
      <c r="L235" s="87" t="str">
        <f>IF(AND(E47=0,E51=2),Q107,"")</f>
        <v/>
      </c>
      <c r="AB235" s="204"/>
    </row>
    <row r="236" spans="8:50" x14ac:dyDescent="0.25">
      <c r="H236" s="78" t="s">
        <v>454</v>
      </c>
      <c r="I236" s="9" t="s">
        <v>138</v>
      </c>
      <c r="J236" s="198" t="str">
        <f>IF(AND(E47=1,E51=1),I122,"")</f>
        <v/>
      </c>
      <c r="K236" s="9" t="str">
        <f>IF(AND(E47=1,E51=1),R122,"")</f>
        <v/>
      </c>
      <c r="L236" s="87" t="str">
        <f>IF(AND(E47=1,E51=1),S122,"")</f>
        <v/>
      </c>
      <c r="R236" s="1"/>
      <c r="AB236" s="204"/>
      <c r="AF236" s="204"/>
      <c r="AG236" s="330"/>
      <c r="AH236" s="204"/>
    </row>
    <row r="237" spans="8:50" x14ac:dyDescent="0.25">
      <c r="H237" s="341" t="s">
        <v>246</v>
      </c>
      <c r="I237" s="22" t="s">
        <v>138</v>
      </c>
      <c r="J237" s="282" t="str">
        <f>IF(AND(E47=1,E51=2),I122,"")</f>
        <v/>
      </c>
      <c r="K237" s="8" t="str">
        <f>IF(AND(E47=1,E51=2),R122,"")</f>
        <v/>
      </c>
      <c r="L237" s="8" t="str">
        <f>IF(AND(E47=1,E51=2),S122,"")</f>
        <v/>
      </c>
      <c r="R237" s="1"/>
      <c r="AB237" s="204"/>
      <c r="AG237" s="204"/>
      <c r="AH237" s="204"/>
      <c r="AI237" s="204"/>
      <c r="AJ237" s="204"/>
    </row>
    <row r="238" spans="8:50" ht="15.75" thickBot="1" x14ac:dyDescent="0.3">
      <c r="H238" s="100" t="s">
        <v>139</v>
      </c>
      <c r="I238" s="101"/>
      <c r="J238" s="345" t="str">
        <f>INDEX(J234:J237,INDEX(MATCH(1=1,J234:J237&lt;&gt;"",),))</f>
        <v>А3Р00025</v>
      </c>
      <c r="K238" s="102" t="str">
        <f>INDEX(K234:K237,INDEX(MATCH(1=1,K234:K237&lt;&gt;"",),))</f>
        <v>700х500х200</v>
      </c>
      <c r="L238" s="103" t="str">
        <f>INDEX(L234:L237,INDEX(MATCH(1=1,L234:L237&lt;&gt;"",),))</f>
        <v>560х408х153</v>
      </c>
      <c r="M238" s="347"/>
      <c r="R238" s="1"/>
      <c r="AB238" s="204"/>
      <c r="AI238" s="204"/>
      <c r="AJ238" s="200"/>
    </row>
    <row r="239" spans="8:50" ht="15.75" thickBot="1" x14ac:dyDescent="0.3">
      <c r="H239" s="80" t="s">
        <v>215</v>
      </c>
      <c r="I239" s="51"/>
      <c r="J239" s="51"/>
      <c r="K239" s="51"/>
      <c r="L239" s="52">
        <f>IFERROR(IF(AND(E111=1,L238="-"),0,1),0)</f>
        <v>1</v>
      </c>
      <c r="M239" s="347"/>
      <c r="R239" s="1"/>
      <c r="AG239" s="1"/>
      <c r="AI239" s="1"/>
    </row>
    <row r="240" spans="8:50" x14ac:dyDescent="0.25">
      <c r="R240" s="1"/>
      <c r="AG240" s="1"/>
      <c r="AI240" s="1"/>
    </row>
    <row r="241" spans="8:36" x14ac:dyDescent="0.25">
      <c r="H241" t="s">
        <v>414</v>
      </c>
      <c r="R241" s="1"/>
      <c r="AG241" s="1"/>
      <c r="AI241" s="1"/>
    </row>
    <row r="242" spans="8:36" x14ac:dyDescent="0.25">
      <c r="H242" s="352" t="s">
        <v>79</v>
      </c>
      <c r="I242" s="9" t="s">
        <v>137</v>
      </c>
      <c r="J242" s="9" t="str">
        <f>IF(AND(E56=1,E60=0),I151,"")</f>
        <v/>
      </c>
      <c r="R242" s="1"/>
      <c r="AG242" s="1"/>
      <c r="AI242" s="1"/>
    </row>
    <row r="243" spans="8:36" x14ac:dyDescent="0.25">
      <c r="H243" s="352" t="s">
        <v>79</v>
      </c>
      <c r="I243" s="9" t="s">
        <v>138</v>
      </c>
      <c r="J243" s="9" t="str">
        <f>IF(AND(E56=1,E60=1),I139,"")</f>
        <v/>
      </c>
      <c r="R243" s="1"/>
      <c r="AF243" s="1"/>
      <c r="AG243" s="1"/>
      <c r="AI243" s="1"/>
    </row>
    <row r="244" spans="8:36" x14ac:dyDescent="0.25">
      <c r="H244" s="353" t="s">
        <v>139</v>
      </c>
      <c r="I244" s="57"/>
      <c r="J244" s="71" t="e">
        <f>INDEX(J242:J243,INDEX(MATCH(1=1,J242:J243&lt;&gt;"",),))</f>
        <v>#N/A</v>
      </c>
      <c r="R244" s="1"/>
      <c r="AF244" s="1"/>
      <c r="AG244" s="1"/>
      <c r="AI244" s="1"/>
    </row>
    <row r="245" spans="8:36" x14ac:dyDescent="0.25">
      <c r="H245" t="s">
        <v>396</v>
      </c>
      <c r="J245" s="1" t="str">
        <f>E65</f>
        <v>01Э0150А</v>
      </c>
      <c r="R245" s="1"/>
      <c r="AF245" s="1"/>
      <c r="AG245" s="1"/>
      <c r="AI245" s="1"/>
    </row>
    <row r="246" spans="8:36" x14ac:dyDescent="0.25">
      <c r="H246" s="172" t="s">
        <v>512</v>
      </c>
      <c r="I246" s="172"/>
      <c r="J246" s="172" t="str">
        <f>IF(E56=1,J244,J245)</f>
        <v>01Э0150А</v>
      </c>
      <c r="R246" s="1"/>
      <c r="AF246" s="1"/>
      <c r="AG246" s="1"/>
      <c r="AI246" s="1"/>
    </row>
    <row r="247" spans="8:36" x14ac:dyDescent="0.25">
      <c r="R247" s="1"/>
      <c r="AF247" s="1"/>
      <c r="AG247" s="1"/>
      <c r="AI247" s="1"/>
    </row>
    <row r="248" spans="8:36" x14ac:dyDescent="0.25">
      <c r="H248" t="s">
        <v>511</v>
      </c>
      <c r="R248" s="1"/>
      <c r="AF248" s="1"/>
      <c r="AG248" s="1"/>
      <c r="AI248" s="1"/>
    </row>
    <row r="249" spans="8:36" x14ac:dyDescent="0.25">
      <c r="H249" s="352" t="s">
        <v>79</v>
      </c>
      <c r="I249" s="9" t="s">
        <v>137</v>
      </c>
      <c r="J249" s="9" t="str">
        <f>IF(AND(E83=1,E87=0),I176,"")</f>
        <v/>
      </c>
      <c r="R249" s="1"/>
      <c r="AF249" s="1"/>
      <c r="AI249" s="1"/>
    </row>
    <row r="250" spans="8:36" x14ac:dyDescent="0.25">
      <c r="H250" s="352" t="s">
        <v>79</v>
      </c>
      <c r="I250" s="9" t="s">
        <v>138</v>
      </c>
      <c r="J250" s="9" t="str">
        <f>IF(AND(E83=1,E87=1),I164,"")</f>
        <v/>
      </c>
      <c r="R250" s="1"/>
      <c r="AF250" s="1"/>
      <c r="AJ250" s="1"/>
    </row>
    <row r="251" spans="8:36" x14ac:dyDescent="0.25">
      <c r="H251" s="353" t="s">
        <v>139</v>
      </c>
      <c r="I251" s="57"/>
      <c r="J251" s="71" t="e">
        <f>INDEX(J249:J250,INDEX(MATCH(1=1,J249:J250&lt;&gt;"",),))</f>
        <v>#N/A</v>
      </c>
      <c r="R251" s="1"/>
      <c r="AF251" s="1"/>
      <c r="AJ251" s="1"/>
    </row>
    <row r="252" spans="8:36" x14ac:dyDescent="0.25">
      <c r="H252" s="172" t="s">
        <v>513</v>
      </c>
      <c r="I252" s="172"/>
      <c r="J252" s="172">
        <f>IF(E83=1,J251,L243)</f>
        <v>0</v>
      </c>
      <c r="R252" s="1"/>
      <c r="AF252" s="1"/>
      <c r="AJ252" s="1"/>
    </row>
    <row r="253" spans="8:36" x14ac:dyDescent="0.25">
      <c r="R253" s="1"/>
      <c r="AF253" s="1"/>
      <c r="AJ253" s="1"/>
    </row>
    <row r="254" spans="8:36" x14ac:dyDescent="0.25">
      <c r="R254" s="1"/>
      <c r="AF254" s="1"/>
      <c r="AJ254" s="1"/>
    </row>
    <row r="255" spans="8:36" x14ac:dyDescent="0.25">
      <c r="J255" s="349" t="s">
        <v>327</v>
      </c>
      <c r="R255" s="1"/>
      <c r="AF255" s="1"/>
      <c r="AJ255" s="1"/>
    </row>
    <row r="256" spans="8:36" x14ac:dyDescent="0.25">
      <c r="H256" s="74" t="s">
        <v>210</v>
      </c>
      <c r="I256" s="145" t="s">
        <v>324</v>
      </c>
      <c r="J256" s="145" t="s">
        <v>325</v>
      </c>
      <c r="K256" s="145" t="s">
        <v>272</v>
      </c>
      <c r="L256" s="74" t="s">
        <v>326</v>
      </c>
      <c r="M256" s="409" t="s">
        <v>624</v>
      </c>
      <c r="N256" s="409" t="s">
        <v>625</v>
      </c>
      <c r="U256" s="1"/>
      <c r="AF256" s="1"/>
      <c r="AJ256" s="1"/>
    </row>
    <row r="257" spans="3:36" x14ac:dyDescent="0.25">
      <c r="H257" s="74"/>
      <c r="I257" s="71"/>
      <c r="J257" s="187">
        <f>D1</f>
        <v>2</v>
      </c>
      <c r="K257" s="71"/>
      <c r="L257" s="187">
        <f>J257</f>
        <v>2</v>
      </c>
      <c r="M257" s="197"/>
      <c r="N257" s="203">
        <f>J257</f>
        <v>2</v>
      </c>
      <c r="AF257" s="1"/>
      <c r="AJ257" s="1"/>
    </row>
    <row r="258" spans="3:36" x14ac:dyDescent="0.25">
      <c r="H258" s="81" t="s">
        <v>211</v>
      </c>
      <c r="I258" s="58">
        <f>IF(L239=0,0,1)</f>
        <v>1</v>
      </c>
      <c r="J258" s="40">
        <f>IF(I258=0,0,1)</f>
        <v>1</v>
      </c>
      <c r="K258" s="156">
        <f>IF(L239=0,0,1)</f>
        <v>1</v>
      </c>
      <c r="L258" s="351">
        <f>IF(K258=0,0,1)</f>
        <v>1</v>
      </c>
      <c r="M258" s="285">
        <f>IF(L239=0,0,1)</f>
        <v>1</v>
      </c>
      <c r="N258" s="285">
        <f>IF(M258=0,0,1)</f>
        <v>1</v>
      </c>
      <c r="R258" t="s">
        <v>307</v>
      </c>
      <c r="U258" s="200" t="s">
        <v>323</v>
      </c>
      <c r="V258" s="1"/>
      <c r="AF258" s="1"/>
      <c r="AJ258" s="1"/>
    </row>
    <row r="259" spans="3:36" x14ac:dyDescent="0.25">
      <c r="H259" s="81" t="s">
        <v>464</v>
      </c>
      <c r="I259" s="58">
        <f>IF(AND(B47=0,OR(0.6&gt;Главная!J21,Главная!J21&gt;69.9)),0,1)</f>
        <v>1</v>
      </c>
      <c r="J259" s="40">
        <f>IF(I259=0,0,1)</f>
        <v>1</v>
      </c>
      <c r="K259" s="156" t="s">
        <v>466</v>
      </c>
      <c r="L259" s="351"/>
      <c r="M259" s="285" t="s">
        <v>466</v>
      </c>
      <c r="N259" s="285"/>
      <c r="R259" s="1" t="s">
        <v>298</v>
      </c>
      <c r="T259" s="1" t="s">
        <v>308</v>
      </c>
      <c r="U259" s="234" t="str">
        <f>IFERROR(IF(OR(T260=0,T261=0),"Дополнительная комплектация не соответствует выбранному оборудованию",""),"Дополнительная комплектация не соответствует выбранному оборудованию")</f>
        <v>Дополнительная комплектация не соответствует выбранному оборудованию</v>
      </c>
      <c r="V259" s="235"/>
      <c r="W259" s="235"/>
      <c r="X259" s="236"/>
      <c r="AF259" s="1"/>
      <c r="AJ259" s="1"/>
    </row>
    <row r="260" spans="3:36" x14ac:dyDescent="0.25">
      <c r="H260" s="81" t="s">
        <v>465</v>
      </c>
      <c r="I260" s="58">
        <f>IF(AND(B47=1,OR(0.25&gt;Главная!J21,Главная!J21&gt;7.2)),0,1)</f>
        <v>1</v>
      </c>
      <c r="J260" s="40">
        <f>IF(I260=0,0,1)</f>
        <v>1</v>
      </c>
      <c r="K260" s="156" t="s">
        <v>466</v>
      </c>
      <c r="L260" s="351"/>
      <c r="M260" s="285" t="s">
        <v>466</v>
      </c>
      <c r="N260" s="285"/>
      <c r="Q260" s="50" t="str">
        <f>E114</f>
        <v>Ф120</v>
      </c>
      <c r="R260" s="73">
        <f>B96</f>
        <v>0</v>
      </c>
      <c r="S260" s="237" t="s">
        <v>271</v>
      </c>
      <c r="T260" s="9" t="e">
        <f>VLOOKUP(Q262,H216:W251,13,FALSE)</f>
        <v>#N/A</v>
      </c>
      <c r="U260" s="140"/>
      <c r="V260" s="233"/>
      <c r="W260" s="233"/>
      <c r="X260" s="207"/>
      <c r="AF260" s="1"/>
      <c r="AJ260" s="1"/>
    </row>
    <row r="261" spans="3:36" x14ac:dyDescent="0.25">
      <c r="H261" s="346" t="s">
        <v>468</v>
      </c>
      <c r="I261" s="3" t="s">
        <v>466</v>
      </c>
      <c r="K261" s="156">
        <f>IF(AND(C47=1,F15="Питание 3 фазы (3Р/N/PE)"),0,1)</f>
        <v>1</v>
      </c>
      <c r="L261" s="351">
        <f>IF(K261=0,0,1)</f>
        <v>1</v>
      </c>
      <c r="M261" s="285">
        <f>IF(AND(D47=1,G15="Питание 3 фазы (3Р/N/PE)"),0,1)</f>
        <v>1</v>
      </c>
      <c r="N261" s="285">
        <f>IF(M261=0,0,1)</f>
        <v>1</v>
      </c>
      <c r="Q261" s="50" t="str">
        <f>E114</f>
        <v>Ф120</v>
      </c>
      <c r="R261" s="201" t="e">
        <f>D132</f>
        <v>#N/A</v>
      </c>
      <c r="S261" s="237" t="s">
        <v>272</v>
      </c>
      <c r="T261" s="9" t="e">
        <f>VLOOKUP(Q262,H216:W251,13,FALSE)</f>
        <v>#N/A</v>
      </c>
      <c r="AF261" s="1"/>
      <c r="AJ261" s="1"/>
    </row>
    <row r="262" spans="3:36" x14ac:dyDescent="0.25">
      <c r="H262" s="81" t="s">
        <v>456</v>
      </c>
      <c r="I262" s="38">
        <f>IF(AND(B47=0,OR(B60=0,B60=1)),1,0)</f>
        <v>0</v>
      </c>
      <c r="J262" s="40">
        <f>IF(H262=0,0,1)</f>
        <v>1</v>
      </c>
      <c r="K262" s="156">
        <f>IF(AND(C47=1,F17="Питание 3 фазы (3Р/N/PE)"),0,1)</f>
        <v>1</v>
      </c>
      <c r="L262" s="351">
        <f>IF(K262=0,0,1)</f>
        <v>1</v>
      </c>
      <c r="M262" s="285">
        <f>IF(AND(D47=1,E17="Питание 3 фазы (3Р/N/PE)"),0,1)</f>
        <v>1</v>
      </c>
      <c r="N262" s="285">
        <f>IF(L262=0,0,1)</f>
        <v>1</v>
      </c>
      <c r="Q262" s="238" t="str">
        <f>IF(D1=1,Q260,Q261)</f>
        <v>Ф120</v>
      </c>
      <c r="R262" s="239" t="e">
        <f>IF(D1=1,R260,R261)</f>
        <v>#N/A</v>
      </c>
      <c r="S262" s="57" t="s">
        <v>313</v>
      </c>
      <c r="AF262" s="1"/>
      <c r="AJ262" s="1"/>
    </row>
    <row r="263" spans="3:36" x14ac:dyDescent="0.25">
      <c r="H263" s="81" t="s">
        <v>457</v>
      </c>
      <c r="I263" s="58" t="str">
        <f>IFERROR(I41,0)</f>
        <v>Ф120</v>
      </c>
      <c r="J263" s="40">
        <f>IF(I263=0,0,1)</f>
        <v>1</v>
      </c>
      <c r="K263" s="156" t="s">
        <v>466</v>
      </c>
      <c r="L263" s="156" t="s">
        <v>466</v>
      </c>
      <c r="M263" s="11" t="s">
        <v>466</v>
      </c>
      <c r="N263" s="285"/>
      <c r="AF263" s="1"/>
      <c r="AJ263" s="1"/>
    </row>
    <row r="264" spans="3:36" x14ac:dyDescent="0.25">
      <c r="C264" s="245"/>
      <c r="H264" s="81" t="s">
        <v>645</v>
      </c>
      <c r="I264" s="3" t="s">
        <v>466</v>
      </c>
      <c r="J264" s="50"/>
      <c r="K264" s="156"/>
      <c r="L264" s="351"/>
      <c r="M264" s="285"/>
      <c r="N264" s="285"/>
      <c r="AF264" s="1"/>
      <c r="AJ264" s="1"/>
    </row>
    <row r="265" spans="3:36" x14ac:dyDescent="0.25">
      <c r="C265" s="245"/>
      <c r="H265" s="81" t="s">
        <v>646</v>
      </c>
      <c r="I265" s="3" t="str">
        <f>B65</f>
        <v>-</v>
      </c>
      <c r="J265" s="73">
        <f>IF(AND(B56=1,B65="-"),1,IF(AND(B56=2,OR(B65=W124,B65=W125,B65=W126,B65=W127)),1,0))</f>
        <v>1</v>
      </c>
      <c r="K265" s="157"/>
      <c r="L265" s="157"/>
      <c r="M265" s="171"/>
      <c r="N265" s="171"/>
      <c r="AF265" s="1"/>
      <c r="AJ265" s="1"/>
    </row>
    <row r="266" spans="3:36" x14ac:dyDescent="0.25">
      <c r="C266" s="245"/>
      <c r="H266" s="81" t="s">
        <v>470</v>
      </c>
      <c r="I266" s="3" t="s">
        <v>466</v>
      </c>
      <c r="J266" s="50"/>
      <c r="K266" s="156"/>
      <c r="L266" s="351">
        <f>K33</f>
        <v>1</v>
      </c>
      <c r="M266" s="285"/>
      <c r="N266" s="285">
        <f>K33</f>
        <v>1</v>
      </c>
      <c r="AF266" s="1"/>
      <c r="AJ266" s="1"/>
    </row>
    <row r="267" spans="3:36" x14ac:dyDescent="0.25">
      <c r="C267" s="245"/>
      <c r="H267" s="294" t="s">
        <v>575</v>
      </c>
      <c r="I267" s="9">
        <f>IF(AND(B60=0,OR(0.6&gt;Главная!L23,Главная!L23&gt;6.2)),0,1)</f>
        <v>1</v>
      </c>
      <c r="J267" s="9">
        <f>IF(I267=0,0,1)</f>
        <v>1</v>
      </c>
      <c r="K267" s="157"/>
      <c r="L267" s="157"/>
      <c r="M267" s="285"/>
      <c r="N267" s="285"/>
      <c r="AF267" s="1"/>
      <c r="AJ267" s="1"/>
    </row>
    <row r="268" spans="3:36" x14ac:dyDescent="0.25">
      <c r="C268" s="245"/>
      <c r="H268" s="294" t="s">
        <v>576</v>
      </c>
      <c r="I268" s="9">
        <f>IF(AND(B60=1,OR(0.2&gt;Главная!L23,Главная!L23&gt;7.2)),0,1)</f>
        <v>1</v>
      </c>
      <c r="J268" s="9">
        <f>IF(I268=0,0,1)</f>
        <v>1</v>
      </c>
      <c r="K268" s="157"/>
      <c r="L268" s="157"/>
      <c r="M268" s="285"/>
      <c r="N268" s="285"/>
      <c r="AF268" s="1"/>
      <c r="AJ268" s="1"/>
    </row>
    <row r="269" spans="3:36" x14ac:dyDescent="0.25">
      <c r="C269" s="245"/>
      <c r="H269" s="294" t="s">
        <v>578</v>
      </c>
      <c r="I269" s="9">
        <f>IF(AND(B87=0,OR(0.6&gt;Главная!L29,Главная!L29&gt;6.2)),0,1)</f>
        <v>1</v>
      </c>
      <c r="J269" s="9">
        <f>IF(I269=0,0,1)</f>
        <v>1</v>
      </c>
      <c r="K269" s="157"/>
      <c r="L269" s="157"/>
      <c r="M269" s="285"/>
      <c r="N269" s="285"/>
      <c r="AF269" s="1"/>
      <c r="AJ269" s="1"/>
    </row>
    <row r="270" spans="3:36" x14ac:dyDescent="0.25">
      <c r="C270" s="245"/>
      <c r="H270" s="294" t="s">
        <v>579</v>
      </c>
      <c r="I270" s="9">
        <f>IF(AND(B87=1,OR(0.2&gt;Главная!L29,Главная!L29&gt;7.2)),0,1)</f>
        <v>1</v>
      </c>
      <c r="J270" s="9">
        <f>IF(I270=0,0,1)</f>
        <v>1</v>
      </c>
      <c r="K270" s="157"/>
      <c r="L270" s="157"/>
      <c r="M270" s="285"/>
      <c r="N270" s="285"/>
      <c r="AF270" s="1"/>
      <c r="AJ270" s="1"/>
    </row>
    <row r="271" spans="3:36" x14ac:dyDescent="0.25">
      <c r="C271" s="245"/>
      <c r="H271" s="81" t="s">
        <v>582</v>
      </c>
      <c r="I271" s="9">
        <f>IF(AND(B47=1,B60=1),1,IF(AND(B47=0,OR(B60=0,B60=1)),1,0))</f>
        <v>1</v>
      </c>
      <c r="J271" s="9">
        <f>IF(I271=0,0,1)</f>
        <v>1</v>
      </c>
      <c r="K271" s="157"/>
      <c r="L271" s="157"/>
      <c r="M271" s="285"/>
      <c r="N271" s="285"/>
      <c r="AF271" s="1"/>
      <c r="AJ271" s="1"/>
    </row>
    <row r="272" spans="3:36" x14ac:dyDescent="0.25">
      <c r="C272" s="245"/>
      <c r="H272" s="81" t="s">
        <v>583</v>
      </c>
      <c r="I272" s="9">
        <f>IF(AND(B47=1,B87=1),1,IF(AND(B47=0,OR(B87=0,B87=1)),1,0))*IF(B83=1,1,0)</f>
        <v>0</v>
      </c>
      <c r="J272" s="9">
        <f>IF(AND(B83=1,I272=0),0,1)</f>
        <v>1</v>
      </c>
      <c r="K272" s="157"/>
      <c r="L272" s="157"/>
      <c r="M272" s="285"/>
      <c r="N272" s="285"/>
      <c r="AF272" s="1"/>
      <c r="AJ272" s="1"/>
    </row>
    <row r="273" spans="7:36" x14ac:dyDescent="0.25">
      <c r="AF273" s="1"/>
      <c r="AJ273" s="1"/>
    </row>
    <row r="274" spans="7:36" x14ac:dyDescent="0.25">
      <c r="H274" s="348" t="s">
        <v>328</v>
      </c>
      <c r="I274" s="433"/>
      <c r="J274" s="434"/>
      <c r="L274" s="434"/>
      <c r="AF274" s="1"/>
      <c r="AJ274" s="1"/>
    </row>
    <row r="275" spans="7:36" x14ac:dyDescent="0.25">
      <c r="H275" s="82" t="s">
        <v>245</v>
      </c>
      <c r="I275" s="9"/>
      <c r="J275" s="241">
        <f>J258*J259*J260*J262*J263*J265*J267*J268*J269*J270*J271*J272</f>
        <v>1</v>
      </c>
      <c r="K275" s="9"/>
      <c r="L275" s="350">
        <f>L258*L261*L262*L266</f>
        <v>1</v>
      </c>
      <c r="M275" s="9"/>
      <c r="N275" s="9">
        <f>N258*N261*N262*N266</f>
        <v>1</v>
      </c>
      <c r="AF275" s="1"/>
      <c r="AJ275" s="1"/>
    </row>
    <row r="276" spans="7:36" ht="15.75" x14ac:dyDescent="0.25">
      <c r="H276" s="243" t="s">
        <v>329</v>
      </c>
      <c r="L276" s="435">
        <f>IF(J257=1,J275,IF(J257=2,L275,N275))</f>
        <v>1</v>
      </c>
      <c r="AF276" s="1"/>
      <c r="AJ276" s="1"/>
    </row>
    <row r="277" spans="7:36" x14ac:dyDescent="0.25">
      <c r="O277" s="1"/>
      <c r="AF277" s="1"/>
      <c r="AJ277" s="1"/>
    </row>
    <row r="278" spans="7:36" x14ac:dyDescent="0.25">
      <c r="H278" s="1"/>
      <c r="I278" s="1"/>
      <c r="O278" s="1"/>
      <c r="AF278" s="1"/>
      <c r="AJ278" s="1"/>
    </row>
    <row r="279" spans="7:36" x14ac:dyDescent="0.25">
      <c r="AF279" s="1"/>
      <c r="AJ279" s="1"/>
    </row>
    <row r="280" spans="7:36" x14ac:dyDescent="0.25">
      <c r="H280" s="373" t="s">
        <v>462</v>
      </c>
      <c r="I280" s="373"/>
      <c r="J280" s="373" t="s">
        <v>463</v>
      </c>
      <c r="K280" s="3"/>
      <c r="L280" s="3"/>
      <c r="P280" s="108"/>
      <c r="AF280" s="1"/>
      <c r="AJ280" s="1"/>
    </row>
    <row r="281" spans="7:36" x14ac:dyDescent="0.25">
      <c r="G281" t="s">
        <v>577</v>
      </c>
      <c r="H281" s="104" t="s">
        <v>461</v>
      </c>
      <c r="I281" s="3"/>
      <c r="J281" s="3" t="str">
        <f>IF(AND(J257=1,J259=0),"Введите значение тока вентилятора от 0,6 до 69,9А","")</f>
        <v/>
      </c>
      <c r="K281" s="3"/>
      <c r="L281" s="3"/>
      <c r="P281" s="108"/>
      <c r="AF281" s="1"/>
      <c r="AJ281" s="1"/>
    </row>
    <row r="282" spans="7:36" x14ac:dyDescent="0.25">
      <c r="G282" t="s">
        <v>577</v>
      </c>
      <c r="H282" s="104" t="s">
        <v>460</v>
      </c>
      <c r="I282" s="3"/>
      <c r="J282" s="3" t="str">
        <f>IF(AND(J257=1,J260=0),"Введите значение тока вентилятора от 0,25 до 7,2А","")</f>
        <v/>
      </c>
      <c r="K282" s="3"/>
      <c r="L282" s="3"/>
      <c r="P282" s="108"/>
      <c r="AF282" s="1"/>
      <c r="AJ282" s="1"/>
    </row>
    <row r="283" spans="7:36" x14ac:dyDescent="0.25">
      <c r="G283" t="s">
        <v>469</v>
      </c>
      <c r="H283" s="104" t="s">
        <v>455</v>
      </c>
      <c r="I283" s="3"/>
      <c r="J283" s="3" t="str">
        <f>IF(AND(J257=1,J275=0),"Проверьте введенные данные","")</f>
        <v/>
      </c>
      <c r="K283" s="3"/>
      <c r="L283" s="3" t="str">
        <f>IF(AND(L257=2,L275=0),"Проверьте введенные данные","")</f>
        <v/>
      </c>
      <c r="P283" s="108"/>
      <c r="AF283" s="1"/>
      <c r="AJ283" s="1"/>
    </row>
    <row r="284" spans="7:36" x14ac:dyDescent="0.25">
      <c r="G284" t="s">
        <v>585</v>
      </c>
      <c r="H284" s="104" t="s">
        <v>581</v>
      </c>
      <c r="I284" s="3"/>
      <c r="J284" s="3" t="str">
        <f>IF(AND(J257=1,OR(J267=0,J269=0)),"Введите значение тока насоса (для 3ф) от 0,6 до 6,2А","")</f>
        <v/>
      </c>
      <c r="K284" s="3"/>
      <c r="L284" s="3"/>
      <c r="P284" s="108"/>
      <c r="AF284" s="1"/>
      <c r="AJ284" s="1"/>
    </row>
    <row r="285" spans="7:36" x14ac:dyDescent="0.25">
      <c r="G285" t="s">
        <v>585</v>
      </c>
      <c r="H285" s="104" t="s">
        <v>580</v>
      </c>
      <c r="I285" s="3"/>
      <c r="J285" s="3" t="str">
        <f>IF(AND(J257=1,OR(J268=0,J270=0)),"Введите значение тока насоса (для 1ф) от 0,25 до 7,2А","")</f>
        <v/>
      </c>
      <c r="K285" s="3"/>
      <c r="L285" s="3"/>
      <c r="P285" s="108"/>
      <c r="AF285" s="1"/>
      <c r="AJ285" s="1"/>
    </row>
    <row r="286" spans="7:36" x14ac:dyDescent="0.25">
      <c r="H286" s="104" t="s">
        <v>584</v>
      </c>
      <c r="I286" s="3"/>
      <c r="J286" s="3" t="str">
        <f>IF(AND(J257=1,OR(J271=0,J272=0)),"Проверьте питание ","")</f>
        <v/>
      </c>
      <c r="K286" s="3"/>
      <c r="L286" s="3"/>
      <c r="AF286" s="1"/>
      <c r="AJ286" s="1"/>
    </row>
    <row r="287" spans="7:36" x14ac:dyDescent="0.25">
      <c r="H287" s="509" t="s">
        <v>789</v>
      </c>
      <c r="I287" s="207"/>
      <c r="J287" s="3" t="str">
        <f>IF(J258=0,H287,"")</f>
        <v/>
      </c>
      <c r="K287" s="3"/>
      <c r="L287" s="3"/>
      <c r="AF287" s="1"/>
      <c r="AJ287" s="1"/>
    </row>
    <row r="288" spans="7:36" x14ac:dyDescent="0.25">
      <c r="AF288" s="1"/>
      <c r="AJ288" s="1"/>
    </row>
    <row r="289" spans="8:36" x14ac:dyDescent="0.25">
      <c r="AF289" s="1"/>
      <c r="AJ289" s="1"/>
    </row>
    <row r="290" spans="8:36" x14ac:dyDescent="0.25">
      <c r="AF290" s="1"/>
      <c r="AJ290" s="1"/>
    </row>
    <row r="291" spans="8:36" x14ac:dyDescent="0.25">
      <c r="AF291" s="1"/>
      <c r="AJ291" s="1"/>
    </row>
    <row r="292" spans="8:36" x14ac:dyDescent="0.25">
      <c r="AF292" s="1"/>
      <c r="AJ292" s="1"/>
    </row>
    <row r="293" spans="8:36" x14ac:dyDescent="0.25">
      <c r="AF293" s="1"/>
      <c r="AJ293" s="1"/>
    </row>
    <row r="294" spans="8:36" x14ac:dyDescent="0.25">
      <c r="AF294" s="1"/>
      <c r="AJ294" s="1"/>
    </row>
    <row r="295" spans="8:36" x14ac:dyDescent="0.25">
      <c r="AF295" s="1"/>
      <c r="AJ295" s="1"/>
    </row>
    <row r="296" spans="8:36" x14ac:dyDescent="0.25">
      <c r="AF296" s="1"/>
      <c r="AJ296" s="1"/>
    </row>
    <row r="297" spans="8:36" x14ac:dyDescent="0.25">
      <c r="AF297" s="1"/>
      <c r="AJ297" s="1"/>
    </row>
    <row r="298" spans="8:36" x14ac:dyDescent="0.25">
      <c r="AF298" s="1"/>
      <c r="AJ298" s="1"/>
    </row>
    <row r="299" spans="8:36" x14ac:dyDescent="0.25">
      <c r="AF299" s="1"/>
      <c r="AJ299" s="1"/>
    </row>
    <row r="300" spans="8:36" x14ac:dyDescent="0.25">
      <c r="AF300" s="1"/>
      <c r="AJ300" s="1"/>
    </row>
    <row r="301" spans="8:36" x14ac:dyDescent="0.25">
      <c r="AF301" s="1"/>
    </row>
    <row r="302" spans="8:36" x14ac:dyDescent="0.25">
      <c r="H302" s="1"/>
      <c r="I302" s="240"/>
      <c r="AF302" s="1"/>
    </row>
    <row r="303" spans="8:36" x14ac:dyDescent="0.25">
      <c r="AF303" s="1"/>
    </row>
    <row r="304" spans="8:36" x14ac:dyDescent="0.25">
      <c r="AF304" s="1"/>
    </row>
    <row r="305" spans="7:32" x14ac:dyDescent="0.25">
      <c r="AF305" s="1"/>
    </row>
    <row r="306" spans="7:32" ht="15.75" thickBot="1" x14ac:dyDescent="0.3">
      <c r="K306" t="s">
        <v>309</v>
      </c>
      <c r="AF306" s="1"/>
    </row>
    <row r="307" spans="7:32" ht="15.75" thickBot="1" x14ac:dyDescent="0.3">
      <c r="G307" s="8"/>
      <c r="H307" s="8"/>
      <c r="I307" s="8"/>
      <c r="J307" s="8"/>
      <c r="K307" s="8"/>
      <c r="L307" s="8"/>
      <c r="M307" s="8"/>
      <c r="N307" s="8"/>
      <c r="O307" s="282"/>
      <c r="P307" s="282"/>
      <c r="Q307" s="280"/>
      <c r="R307" s="280"/>
      <c r="S307" s="8"/>
      <c r="T307" s="30"/>
      <c r="U307" s="30" t="s">
        <v>271</v>
      </c>
      <c r="V307" s="58"/>
      <c r="AF307" s="1"/>
    </row>
    <row r="308" spans="7:32" x14ac:dyDescent="0.25">
      <c r="G308" s="229"/>
      <c r="H308" s="229"/>
      <c r="I308" s="230" t="s">
        <v>286</v>
      </c>
      <c r="J308" s="230" t="s">
        <v>287</v>
      </c>
      <c r="K308" s="230" t="s">
        <v>71</v>
      </c>
      <c r="L308" s="230" t="s">
        <v>399</v>
      </c>
      <c r="M308" s="230" t="s">
        <v>397</v>
      </c>
      <c r="N308" s="230" t="s">
        <v>398</v>
      </c>
      <c r="O308" s="230" t="s">
        <v>400</v>
      </c>
      <c r="P308" s="230" t="s">
        <v>401</v>
      </c>
      <c r="Q308" s="281" t="s">
        <v>402</v>
      </c>
      <c r="R308" s="281" t="s">
        <v>403</v>
      </c>
      <c r="S308" s="230" t="s">
        <v>297</v>
      </c>
      <c r="T308" s="231" t="s">
        <v>299</v>
      </c>
      <c r="U308" s="293" t="s">
        <v>300</v>
      </c>
      <c r="V308" s="73" t="s">
        <v>311</v>
      </c>
      <c r="AF308" s="1"/>
    </row>
    <row r="309" spans="7:32" x14ac:dyDescent="0.25">
      <c r="G309" s="229"/>
      <c r="H309" s="229" t="s">
        <v>285</v>
      </c>
      <c r="I309" s="230" t="s">
        <v>290</v>
      </c>
      <c r="J309" s="230" t="s">
        <v>288</v>
      </c>
      <c r="K309" s="230" t="s">
        <v>292</v>
      </c>
      <c r="L309" s="230" t="s">
        <v>295</v>
      </c>
      <c r="M309" s="230" t="s">
        <v>295</v>
      </c>
      <c r="N309" s="230" t="s">
        <v>295</v>
      </c>
      <c r="O309" s="230" t="s">
        <v>295</v>
      </c>
      <c r="P309" s="230" t="s">
        <v>295</v>
      </c>
      <c r="Q309" s="281" t="s">
        <v>295</v>
      </c>
      <c r="R309" s="281" t="s">
        <v>295</v>
      </c>
      <c r="S309" s="230" t="s">
        <v>298</v>
      </c>
      <c r="T309" s="232" t="s">
        <v>297</v>
      </c>
      <c r="U309" s="198" t="s">
        <v>302</v>
      </c>
      <c r="V309" s="73" t="s">
        <v>303</v>
      </c>
      <c r="AF309" s="1"/>
    </row>
    <row r="310" spans="7:32" x14ac:dyDescent="0.25">
      <c r="G310" s="229"/>
      <c r="H310" s="229"/>
      <c r="I310" s="230" t="s">
        <v>291</v>
      </c>
      <c r="J310" s="230" t="s">
        <v>289</v>
      </c>
      <c r="K310" s="230" t="s">
        <v>293</v>
      </c>
      <c r="L310" s="230" t="s">
        <v>296</v>
      </c>
      <c r="M310" s="230" t="s">
        <v>296</v>
      </c>
      <c r="N310" s="230" t="s">
        <v>296</v>
      </c>
      <c r="O310" s="230" t="s">
        <v>296</v>
      </c>
      <c r="P310" s="230" t="s">
        <v>296</v>
      </c>
      <c r="Q310" s="281" t="s">
        <v>296</v>
      </c>
      <c r="R310" s="281" t="s">
        <v>296</v>
      </c>
      <c r="S310" s="229"/>
      <c r="T310" s="232" t="s">
        <v>306</v>
      </c>
      <c r="U310" s="198" t="s">
        <v>301</v>
      </c>
      <c r="V310" s="73" t="s">
        <v>304</v>
      </c>
    </row>
    <row r="311" spans="7:32" x14ac:dyDescent="0.25">
      <c r="G311" s="65"/>
      <c r="H311" s="65"/>
      <c r="I311" s="179"/>
      <c r="J311" s="179"/>
      <c r="K311" s="179" t="s">
        <v>294</v>
      </c>
      <c r="L311" s="179"/>
      <c r="M311" s="179"/>
      <c r="N311" s="179"/>
      <c r="O311" s="179"/>
      <c r="P311" s="179"/>
      <c r="Q311" s="231"/>
      <c r="R311" s="231"/>
      <c r="S311" s="65"/>
      <c r="T311" s="207"/>
      <c r="U311" s="50"/>
      <c r="V311" s="73" t="s">
        <v>312</v>
      </c>
    </row>
    <row r="312" spans="7:32" x14ac:dyDescent="0.25">
      <c r="G312" s="288" t="s">
        <v>472</v>
      </c>
      <c r="H312" s="288" t="s">
        <v>81</v>
      </c>
      <c r="I312" s="202">
        <f t="shared" ref="I312:I347" si="88">$E$42</f>
        <v>1</v>
      </c>
      <c r="J312" s="203">
        <f t="shared" ref="J312:J347" si="89">$E$47</f>
        <v>0</v>
      </c>
      <c r="K312" s="203">
        <f t="shared" ref="K312:K347" si="90">$E$51</f>
        <v>1</v>
      </c>
      <c r="L312" s="203"/>
      <c r="M312" s="197">
        <v>1</v>
      </c>
      <c r="N312" s="203"/>
      <c r="O312" s="203"/>
      <c r="P312" s="323"/>
      <c r="Q312" s="203"/>
      <c r="R312" s="324"/>
      <c r="S312" s="324" t="s">
        <v>374</v>
      </c>
      <c r="T312" s="38" t="e">
        <f t="shared" ref="T312:T347" si="91">$R$262</f>
        <v>#N/A</v>
      </c>
      <c r="U312" s="294" t="b">
        <v>1</v>
      </c>
      <c r="V312" s="38" t="e">
        <f>IF(AND(T312=0,U312=TRUE),1,0)</f>
        <v>#N/A</v>
      </c>
    </row>
    <row r="313" spans="7:32" x14ac:dyDescent="0.25">
      <c r="G313" s="181"/>
      <c r="H313" s="181" t="s">
        <v>82</v>
      </c>
      <c r="I313" s="201">
        <f t="shared" si="88"/>
        <v>1</v>
      </c>
      <c r="J313" s="73">
        <f t="shared" si="89"/>
        <v>0</v>
      </c>
      <c r="K313" s="73">
        <f t="shared" si="90"/>
        <v>1</v>
      </c>
      <c r="L313" s="73"/>
      <c r="M313" s="197">
        <v>1</v>
      </c>
      <c r="N313" s="73"/>
      <c r="O313" s="197">
        <v>1</v>
      </c>
      <c r="P313" s="54"/>
      <c r="Q313" s="73"/>
      <c r="R313" s="198"/>
      <c r="S313" s="198" t="s">
        <v>374</v>
      </c>
      <c r="T313" s="38" t="e">
        <f t="shared" si="91"/>
        <v>#N/A</v>
      </c>
      <c r="U313" s="295" t="b">
        <f>IF(AND(OR(J313=1,J313=0),K313=1,M313=0,N313=0,O313=1,P313=0,Q313=0),TRUE,FALSE)</f>
        <v>0</v>
      </c>
      <c r="V313" s="38" t="e">
        <f>IF(AND(OR(T313=0,T313=1),U313=TRUE),1,0)</f>
        <v>#N/A</v>
      </c>
    </row>
    <row r="314" spans="7:32" x14ac:dyDescent="0.25">
      <c r="H314" s="181" t="s">
        <v>83</v>
      </c>
      <c r="I314" s="201">
        <f t="shared" si="88"/>
        <v>1</v>
      </c>
      <c r="J314" s="73">
        <f t="shared" si="89"/>
        <v>0</v>
      </c>
      <c r="K314" s="73">
        <f t="shared" si="90"/>
        <v>1</v>
      </c>
      <c r="L314" s="73"/>
      <c r="M314" s="197">
        <v>1</v>
      </c>
      <c r="N314" s="73"/>
      <c r="O314" s="73"/>
      <c r="P314" s="92">
        <v>1</v>
      </c>
      <c r="Q314" s="73"/>
      <c r="R314" s="198"/>
      <c r="S314" s="198" t="s">
        <v>374</v>
      </c>
      <c r="T314" s="38" t="e">
        <f t="shared" si="91"/>
        <v>#N/A</v>
      </c>
      <c r="U314" s="295" t="b">
        <f>IF(AND(OR(J314=1,J314=0),K314=1,M314=0,N314=0,O314=0,P314=0,Q314=1),TRUE,FALSE)</f>
        <v>0</v>
      </c>
      <c r="V314" s="38" t="e">
        <f>IF(AND(OR(T314=0,T314=1),U314=TRUE),1,0)</f>
        <v>#N/A</v>
      </c>
    </row>
    <row r="315" spans="7:32" x14ac:dyDescent="0.25">
      <c r="H315" s="181" t="s">
        <v>84</v>
      </c>
      <c r="I315" s="201">
        <f t="shared" si="88"/>
        <v>1</v>
      </c>
      <c r="J315" s="73">
        <f t="shared" si="89"/>
        <v>0</v>
      </c>
      <c r="K315" s="73">
        <f t="shared" si="90"/>
        <v>1</v>
      </c>
      <c r="L315" s="73"/>
      <c r="M315" s="197">
        <v>1</v>
      </c>
      <c r="N315" s="73"/>
      <c r="O315" s="73"/>
      <c r="P315" s="54"/>
      <c r="Q315" s="197">
        <v>1</v>
      </c>
      <c r="R315" s="198"/>
      <c r="S315" s="198" t="s">
        <v>374</v>
      </c>
      <c r="T315" s="38" t="e">
        <f t="shared" si="91"/>
        <v>#N/A</v>
      </c>
      <c r="U315" s="295" t="b">
        <f>IF(AND(OR(J315=1,J315=0),K315=1,M315=0,N315=0,O315=1,P313=0,Q315=1),TRUE,FALSE)</f>
        <v>0</v>
      </c>
      <c r="V315" s="38" t="e">
        <f>IF(AND(OR(T315=0,T315=1,T315=2),U315=TRUE),1,0)</f>
        <v>#N/A</v>
      </c>
    </row>
    <row r="316" spans="7:32" x14ac:dyDescent="0.25">
      <c r="H316" s="181" t="s">
        <v>404</v>
      </c>
      <c r="I316" s="201">
        <f t="shared" si="88"/>
        <v>1</v>
      </c>
      <c r="J316" s="73">
        <f t="shared" si="89"/>
        <v>0</v>
      </c>
      <c r="K316" s="73">
        <f t="shared" si="90"/>
        <v>1</v>
      </c>
      <c r="L316" s="73"/>
      <c r="M316" s="197">
        <v>1</v>
      </c>
      <c r="N316" s="73"/>
      <c r="O316" s="73"/>
      <c r="P316" s="54"/>
      <c r="Q316" s="73"/>
      <c r="R316" s="327">
        <v>1</v>
      </c>
      <c r="S316" s="198" t="s">
        <v>374</v>
      </c>
      <c r="T316" s="38" t="e">
        <f t="shared" si="91"/>
        <v>#N/A</v>
      </c>
      <c r="U316" s="295" t="b">
        <f>IF(AND(OR(J316=1,J316=0),K316=1,M316=1,N316=0,O316=0,P316=0,Q316=0),TRUE,FALSE)</f>
        <v>1</v>
      </c>
      <c r="V316" s="38" t="e">
        <f>IF(AND(OR(T316=0),U316=TRUE),1,0)</f>
        <v>#N/A</v>
      </c>
    </row>
    <row r="317" spans="7:32" x14ac:dyDescent="0.25">
      <c r="G317" s="288" t="s">
        <v>471</v>
      </c>
      <c r="H317" s="288" t="s">
        <v>86</v>
      </c>
      <c r="I317" s="202">
        <f t="shared" si="88"/>
        <v>1</v>
      </c>
      <c r="J317" s="203">
        <f t="shared" si="89"/>
        <v>0</v>
      </c>
      <c r="K317" s="203">
        <f t="shared" si="90"/>
        <v>1</v>
      </c>
      <c r="L317" s="203"/>
      <c r="M317" s="197">
        <v>1</v>
      </c>
      <c r="N317" s="203"/>
      <c r="O317" s="203"/>
      <c r="P317" s="323"/>
      <c r="Q317" s="203"/>
      <c r="R317" s="324"/>
      <c r="S317" s="324" t="s">
        <v>374</v>
      </c>
      <c r="T317" s="38" t="e">
        <f t="shared" si="91"/>
        <v>#N/A</v>
      </c>
      <c r="U317" s="295" t="b">
        <f>IF(AND(OR(J317=1,J317=0),K317=1,M317=1,N317=0,O317=1,P317=0,Q317=0),TRUE,FALSE)</f>
        <v>0</v>
      </c>
      <c r="V317" s="38" t="e">
        <f>IF(AND(OR(T317=0,T317=1),U317=TRUE),1,0)</f>
        <v>#N/A</v>
      </c>
    </row>
    <row r="318" spans="7:32" x14ac:dyDescent="0.25">
      <c r="G318" s="1"/>
      <c r="H318" s="181" t="s">
        <v>87</v>
      </c>
      <c r="I318" s="201">
        <f t="shared" si="88"/>
        <v>1</v>
      </c>
      <c r="J318" s="73">
        <f t="shared" si="89"/>
        <v>0</v>
      </c>
      <c r="K318" s="73">
        <f t="shared" si="90"/>
        <v>1</v>
      </c>
      <c r="L318" s="73"/>
      <c r="M318" s="197">
        <v>1</v>
      </c>
      <c r="N318" s="73"/>
      <c r="O318" s="197">
        <v>1</v>
      </c>
      <c r="P318" s="54"/>
      <c r="Q318" s="73"/>
      <c r="R318" s="198"/>
      <c r="S318" s="198" t="s">
        <v>374</v>
      </c>
      <c r="T318" s="38" t="e">
        <f t="shared" si="91"/>
        <v>#N/A</v>
      </c>
      <c r="U318" s="295" t="b">
        <f>IF(AND(OR(J318=1,J318=0),K318=1,M318=1,N318=1,O318=0,P318=0,Q318=0),TRUE,FALSE)</f>
        <v>0</v>
      </c>
      <c r="V318" s="38" t="e">
        <f>IF(AND(OR(T318=0),U318=TRUE),1,0)</f>
        <v>#N/A</v>
      </c>
    </row>
    <row r="319" spans="7:32" x14ac:dyDescent="0.25">
      <c r="H319" s="181" t="s">
        <v>88</v>
      </c>
      <c r="I319" s="201">
        <f t="shared" si="88"/>
        <v>1</v>
      </c>
      <c r="J319" s="73">
        <f t="shared" si="89"/>
        <v>0</v>
      </c>
      <c r="K319" s="73">
        <f t="shared" si="90"/>
        <v>1</v>
      </c>
      <c r="L319" s="73"/>
      <c r="M319" s="197">
        <v>1</v>
      </c>
      <c r="N319" s="73"/>
      <c r="O319" s="73"/>
      <c r="P319" s="92">
        <v>1</v>
      </c>
      <c r="Q319" s="73"/>
      <c r="R319" s="198"/>
      <c r="S319" s="198" t="s">
        <v>374</v>
      </c>
      <c r="T319" s="38" t="e">
        <f t="shared" si="91"/>
        <v>#N/A</v>
      </c>
      <c r="U319" s="295" t="b">
        <f>IF(AND(OR(J319=1,J319=0),K319=1,M319=1,N319=1,O319=1,P319=0,Q319=0),TRUE,FALSE)</f>
        <v>0</v>
      </c>
      <c r="V319" s="38" t="e">
        <f>IF(AND(OR(T319=0,T319=1),U319=TRUE),1,0)</f>
        <v>#N/A</v>
      </c>
    </row>
    <row r="320" spans="7:32" x14ac:dyDescent="0.25">
      <c r="H320" s="181" t="s">
        <v>89</v>
      </c>
      <c r="I320" s="201">
        <f t="shared" si="88"/>
        <v>1</v>
      </c>
      <c r="J320" s="73">
        <f t="shared" si="89"/>
        <v>0</v>
      </c>
      <c r="K320" s="73">
        <f t="shared" si="90"/>
        <v>1</v>
      </c>
      <c r="L320" s="73"/>
      <c r="M320" s="197">
        <v>1</v>
      </c>
      <c r="N320" s="73"/>
      <c r="O320" s="73"/>
      <c r="P320" s="54"/>
      <c r="Q320" s="197">
        <v>1</v>
      </c>
      <c r="R320" s="198"/>
      <c r="S320" s="198" t="s">
        <v>374</v>
      </c>
      <c r="T320" s="38" t="e">
        <f t="shared" si="91"/>
        <v>#N/A</v>
      </c>
      <c r="U320" s="295" t="b">
        <f>IF(AND(OR(J320=1,J320=0),K320=1,M320=1,N320=0,O320=0,P320=0,Q320=1),TRUE,FALSE)</f>
        <v>1</v>
      </c>
      <c r="V320" s="38" t="e">
        <f>IF(AND(OR(T320=0,T320=1),U320=TRUE),1,0)</f>
        <v>#N/A</v>
      </c>
    </row>
    <row r="321" spans="7:22" x14ac:dyDescent="0.25">
      <c r="H321" s="181" t="s">
        <v>90</v>
      </c>
      <c r="I321" s="201">
        <f t="shared" si="88"/>
        <v>1</v>
      </c>
      <c r="J321" s="73">
        <f t="shared" si="89"/>
        <v>0</v>
      </c>
      <c r="K321" s="73">
        <f t="shared" si="90"/>
        <v>1</v>
      </c>
      <c r="L321" s="73"/>
      <c r="M321" s="197">
        <v>1</v>
      </c>
      <c r="N321" s="73"/>
      <c r="O321" s="73"/>
      <c r="P321" s="54"/>
      <c r="Q321" s="73"/>
      <c r="R321" s="327">
        <v>1</v>
      </c>
      <c r="S321" s="198" t="s">
        <v>374</v>
      </c>
      <c r="T321" s="38" t="e">
        <f t="shared" si="91"/>
        <v>#N/A</v>
      </c>
      <c r="U321" s="295" t="b">
        <f>IF(AND(OR(J321=1,J321=0),K321=1,M321=1,N321=0,O321=1,P321=0,Q321=1),TRUE,FALSE)</f>
        <v>0</v>
      </c>
      <c r="V321" s="38" t="e">
        <f>IF(AND(OR(T321=0,T321=1,T321=2),U321=TRUE),1,0)</f>
        <v>#N/A</v>
      </c>
    </row>
    <row r="322" spans="7:22" x14ac:dyDescent="0.25">
      <c r="G322" s="288" t="s">
        <v>472</v>
      </c>
      <c r="H322" s="288" t="s">
        <v>91</v>
      </c>
      <c r="I322" s="202">
        <f t="shared" si="88"/>
        <v>1</v>
      </c>
      <c r="J322" s="203">
        <f t="shared" si="89"/>
        <v>0</v>
      </c>
      <c r="K322" s="203">
        <f t="shared" si="90"/>
        <v>1</v>
      </c>
      <c r="L322" s="203"/>
      <c r="M322" s="203"/>
      <c r="N322" s="197">
        <v>1</v>
      </c>
      <c r="O322" s="203"/>
      <c r="P322" s="323"/>
      <c r="Q322" s="203"/>
      <c r="R322" s="324"/>
      <c r="S322" s="324" t="s">
        <v>374</v>
      </c>
      <c r="T322" s="38" t="e">
        <f t="shared" si="91"/>
        <v>#N/A</v>
      </c>
      <c r="U322" s="295" t="b">
        <f>IF(AND(OR(J322=1,J322=0),K322=1,M322=1,N322=1,O322=0,P322=0,Q322=1),TRUE,FALSE)</f>
        <v>0</v>
      </c>
      <c r="V322" s="38" t="e">
        <f>IF(AND(OR(T322=0,T322=1),U322=TRUE),1,0)</f>
        <v>#N/A</v>
      </c>
    </row>
    <row r="323" spans="7:22" x14ac:dyDescent="0.25">
      <c r="H323" s="181" t="s">
        <v>92</v>
      </c>
      <c r="I323" s="201">
        <f t="shared" si="88"/>
        <v>1</v>
      </c>
      <c r="J323" s="73">
        <f t="shared" si="89"/>
        <v>0</v>
      </c>
      <c r="K323" s="73">
        <f t="shared" si="90"/>
        <v>1</v>
      </c>
      <c r="L323" s="73"/>
      <c r="M323" s="73"/>
      <c r="N323" s="197">
        <v>1</v>
      </c>
      <c r="O323" s="197">
        <v>1</v>
      </c>
      <c r="P323" s="54"/>
      <c r="Q323" s="73"/>
      <c r="R323" s="198"/>
      <c r="S323" s="198" t="s">
        <v>374</v>
      </c>
      <c r="T323" s="38" t="e">
        <f t="shared" si="91"/>
        <v>#N/A</v>
      </c>
      <c r="U323" s="295" t="b">
        <f>IF(AND(OR(J323=1,J323=0),K323=1,M323=1,N323=1,O323=1,P323=0,Q323=1),TRUE,FALSE)</f>
        <v>0</v>
      </c>
      <c r="V323" s="38" t="e">
        <f>IF(AND(OR(T323=0,T323=1,T323=2),U323=TRUE),1,0)</f>
        <v>#N/A</v>
      </c>
    </row>
    <row r="324" spans="7:22" x14ac:dyDescent="0.25">
      <c r="H324" s="181" t="s">
        <v>405</v>
      </c>
      <c r="I324" s="283">
        <f t="shared" si="88"/>
        <v>1</v>
      </c>
      <c r="J324" s="9">
        <f t="shared" si="89"/>
        <v>0</v>
      </c>
      <c r="K324" s="9">
        <f t="shared" si="90"/>
        <v>1</v>
      </c>
      <c r="L324" s="9"/>
      <c r="M324" s="9"/>
      <c r="N324" s="71">
        <v>1</v>
      </c>
      <c r="O324" s="9"/>
      <c r="P324" s="71">
        <v>1</v>
      </c>
      <c r="Q324" s="9"/>
      <c r="R324" s="40"/>
      <c r="S324" s="198" t="s">
        <v>374</v>
      </c>
      <c r="T324" s="9" t="e">
        <f t="shared" si="91"/>
        <v>#N/A</v>
      </c>
      <c r="U324" s="295" t="b">
        <f>IF(AND(OR(J324=1,J324=0),K324=1,M324=1,N324=0,O324=1,P324=1,Q324=0),TRUE,FALSE)</f>
        <v>0</v>
      </c>
      <c r="V324" s="38" t="e">
        <f>IF(AND(OR(T324=0,T324=1),U324=TRUE),1,0)</f>
        <v>#N/A</v>
      </c>
    </row>
    <row r="325" spans="7:22" x14ac:dyDescent="0.25">
      <c r="H325" s="181" t="s">
        <v>406</v>
      </c>
      <c r="I325" s="283">
        <f t="shared" si="88"/>
        <v>1</v>
      </c>
      <c r="J325" s="9">
        <f t="shared" si="89"/>
        <v>0</v>
      </c>
      <c r="K325" s="9">
        <f t="shared" si="90"/>
        <v>1</v>
      </c>
      <c r="L325" s="9"/>
      <c r="M325" s="9"/>
      <c r="N325" s="71">
        <v>1</v>
      </c>
      <c r="O325" s="9"/>
      <c r="P325" s="9"/>
      <c r="Q325" s="71">
        <v>1</v>
      </c>
      <c r="R325" s="40"/>
      <c r="S325" s="198" t="s">
        <v>374</v>
      </c>
      <c r="T325" s="9" t="e">
        <f t="shared" si="91"/>
        <v>#N/A</v>
      </c>
      <c r="U325" s="295" t="b">
        <f>IF(AND(OR(J325=1,J325=0),K325=1,M325=1,N325=1,O325=1,P325=1,Q325=0),TRUE,FALSE)</f>
        <v>0</v>
      </c>
      <c r="V325" s="38" t="e">
        <f>IF(AND(OR(T325=0,T325=1),U325=TRUE),1,0)</f>
        <v>#N/A</v>
      </c>
    </row>
    <row r="326" spans="7:22" x14ac:dyDescent="0.25">
      <c r="H326" s="181" t="s">
        <v>407</v>
      </c>
      <c r="I326" s="283">
        <f t="shared" si="88"/>
        <v>1</v>
      </c>
      <c r="J326" s="9">
        <f t="shared" si="89"/>
        <v>0</v>
      </c>
      <c r="K326" s="9">
        <f t="shared" si="90"/>
        <v>1</v>
      </c>
      <c r="L326" s="9"/>
      <c r="M326" s="9"/>
      <c r="N326" s="71">
        <v>1</v>
      </c>
      <c r="O326" s="9"/>
      <c r="P326" s="9"/>
      <c r="Q326" s="9"/>
      <c r="R326" s="328">
        <v>1</v>
      </c>
      <c r="S326" s="198" t="s">
        <v>374</v>
      </c>
      <c r="T326" s="9" t="e">
        <f t="shared" si="91"/>
        <v>#N/A</v>
      </c>
      <c r="U326" s="295" t="b">
        <f>IF(AND(OR(J326=1,J326=0),K326=1,M326=1,N326=0,O326=1,P326=1,Q326=1),TRUE,FALSE)</f>
        <v>0</v>
      </c>
      <c r="V326" s="38" t="e">
        <f>IF(AND(OR(T326=0,T326=1,T326=2),U326=TRUE),1,0)</f>
        <v>#N/A</v>
      </c>
    </row>
    <row r="327" spans="7:22" x14ac:dyDescent="0.25">
      <c r="G327" s="288" t="s">
        <v>471</v>
      </c>
      <c r="H327" s="288" t="s">
        <v>93</v>
      </c>
      <c r="I327" s="325">
        <f t="shared" si="88"/>
        <v>1</v>
      </c>
      <c r="J327" s="190">
        <f t="shared" si="89"/>
        <v>0</v>
      </c>
      <c r="K327" s="190">
        <f t="shared" si="90"/>
        <v>1</v>
      </c>
      <c r="L327" s="190"/>
      <c r="M327" s="190"/>
      <c r="N327" s="71">
        <v>1</v>
      </c>
      <c r="O327" s="190"/>
      <c r="P327" s="190"/>
      <c r="Q327" s="190"/>
      <c r="R327" s="326"/>
      <c r="S327" s="324" t="s">
        <v>374</v>
      </c>
      <c r="T327" s="9" t="e">
        <f t="shared" si="91"/>
        <v>#N/A</v>
      </c>
      <c r="U327" s="295" t="b">
        <f>IF(AND(OR(J327=1,J327=0),K327=1,M327=1,N327=1,O327=1,P327=1,Q327=1),TRUE,FALSE)</f>
        <v>0</v>
      </c>
      <c r="V327" s="38" t="e">
        <f>IF(AND(OR(T327=0,T327=1,T327=2),U327=TRUE),1,0)</f>
        <v>#N/A</v>
      </c>
    </row>
    <row r="328" spans="7:22" x14ac:dyDescent="0.25">
      <c r="H328" s="181" t="s">
        <v>94</v>
      </c>
      <c r="I328" s="201">
        <f t="shared" si="88"/>
        <v>1</v>
      </c>
      <c r="J328" s="73">
        <f t="shared" si="89"/>
        <v>0</v>
      </c>
      <c r="K328" s="73">
        <f t="shared" si="90"/>
        <v>1</v>
      </c>
      <c r="L328" s="73"/>
      <c r="M328" s="73"/>
      <c r="N328" s="71">
        <v>1</v>
      </c>
      <c r="O328" s="71">
        <v>1</v>
      </c>
      <c r="P328" s="9"/>
      <c r="Q328" s="9"/>
      <c r="R328" s="40"/>
      <c r="S328" s="198" t="s">
        <v>374</v>
      </c>
      <c r="T328" s="190" t="e">
        <f t="shared" si="91"/>
        <v>#N/A</v>
      </c>
      <c r="U328" s="296" t="b">
        <v>1</v>
      </c>
      <c r="V328" s="190" t="e">
        <f>IF(AND(T328=0,U328=TRUE),1,0)</f>
        <v>#N/A</v>
      </c>
    </row>
    <row r="329" spans="7:22" x14ac:dyDescent="0.25">
      <c r="H329" s="181" t="s">
        <v>95</v>
      </c>
      <c r="I329" s="201">
        <f t="shared" si="88"/>
        <v>1</v>
      </c>
      <c r="J329" s="73">
        <f t="shared" si="89"/>
        <v>0</v>
      </c>
      <c r="K329" s="73">
        <f t="shared" si="90"/>
        <v>1</v>
      </c>
      <c r="L329" s="73"/>
      <c r="M329" s="73"/>
      <c r="N329" s="71">
        <v>1</v>
      </c>
      <c r="O329" s="9"/>
      <c r="P329" s="71">
        <v>1</v>
      </c>
      <c r="Q329" s="9"/>
      <c r="R329" s="40"/>
      <c r="S329" s="198" t="s">
        <v>374</v>
      </c>
      <c r="T329" s="56" t="e">
        <f t="shared" si="91"/>
        <v>#N/A</v>
      </c>
      <c r="U329" s="297" t="b">
        <f>IF(AND(OR(J329=1,J329=0),K329=2,M329=0,N329=0,O329=1,P329=0,Q329=0),TRUE,FALSE)</f>
        <v>0</v>
      </c>
      <c r="V329" s="56" t="e">
        <f>IF(AND(OR(T329=0,T329=1),U329=TRUE),1,0)</f>
        <v>#N/A</v>
      </c>
    </row>
    <row r="330" spans="7:22" x14ac:dyDescent="0.25">
      <c r="H330" s="181" t="s">
        <v>96</v>
      </c>
      <c r="I330" s="201">
        <f t="shared" si="88"/>
        <v>1</v>
      </c>
      <c r="J330" s="73">
        <f t="shared" si="89"/>
        <v>0</v>
      </c>
      <c r="K330" s="73">
        <f t="shared" si="90"/>
        <v>1</v>
      </c>
      <c r="L330" s="73"/>
      <c r="M330" s="73"/>
      <c r="N330" s="71">
        <v>1</v>
      </c>
      <c r="O330" s="9"/>
      <c r="P330" s="9"/>
      <c r="Q330" s="71">
        <v>1</v>
      </c>
      <c r="R330" s="40"/>
      <c r="S330" s="198" t="s">
        <v>374</v>
      </c>
      <c r="T330" s="56" t="e">
        <f t="shared" si="91"/>
        <v>#N/A</v>
      </c>
      <c r="U330" s="297" t="b">
        <f>IF(AND(OR(J330=1,J330=0),K330=2,M330=0,N330=0,O330=0,P330=0,Q330=1),TRUE,FALSE)</f>
        <v>0</v>
      </c>
      <c r="V330" s="56" t="e">
        <f>IF(AND(OR(T330=0,T330=1),U330=TRUE),1,0)</f>
        <v>#N/A</v>
      </c>
    </row>
    <row r="331" spans="7:22" x14ac:dyDescent="0.25">
      <c r="H331" s="181" t="s">
        <v>408</v>
      </c>
      <c r="I331" s="201">
        <f t="shared" si="88"/>
        <v>1</v>
      </c>
      <c r="J331" s="73">
        <f t="shared" si="89"/>
        <v>0</v>
      </c>
      <c r="K331" s="73">
        <f t="shared" si="90"/>
        <v>1</v>
      </c>
      <c r="L331" s="73"/>
      <c r="M331" s="73"/>
      <c r="N331" s="71">
        <v>1</v>
      </c>
      <c r="O331" s="9"/>
      <c r="P331" s="9"/>
      <c r="Q331" s="9"/>
      <c r="R331" s="328">
        <v>1</v>
      </c>
      <c r="S331" s="198" t="s">
        <v>374</v>
      </c>
      <c r="T331" s="56" t="e">
        <f t="shared" si="91"/>
        <v>#N/A</v>
      </c>
      <c r="U331" s="297" t="b">
        <f>IF(AND(OR(J331=1,J331=0),K331=2,M331=0,N331=0,O331=1,P331=0,Q331=1),TRUE,FALSE)</f>
        <v>0</v>
      </c>
      <c r="V331" s="56" t="e">
        <f>IF(AND(OR(T331=0,T331=1,T331=2),U331=TRUE),1,0)</f>
        <v>#N/A</v>
      </c>
    </row>
    <row r="332" spans="7:22" x14ac:dyDescent="0.25">
      <c r="G332" s="288" t="s">
        <v>472</v>
      </c>
      <c r="H332" s="288" t="s">
        <v>97</v>
      </c>
      <c r="I332" s="202">
        <f t="shared" si="88"/>
        <v>1</v>
      </c>
      <c r="J332" s="203">
        <f t="shared" si="89"/>
        <v>0</v>
      </c>
      <c r="K332" s="203">
        <f t="shared" si="90"/>
        <v>1</v>
      </c>
      <c r="L332" s="197">
        <v>1</v>
      </c>
      <c r="M332" s="197">
        <v>1</v>
      </c>
      <c r="N332" s="190"/>
      <c r="O332" s="190"/>
      <c r="P332" s="190"/>
      <c r="Q332" s="190"/>
      <c r="R332" s="190"/>
      <c r="S332" s="203" t="s">
        <v>374</v>
      </c>
      <c r="T332" s="56" t="e">
        <f t="shared" si="91"/>
        <v>#N/A</v>
      </c>
      <c r="U332" s="297" t="b">
        <f>IF(AND(OR(J332=1,J332=0),K332=2,M332=1,N332=0,O332=0,P332=0,Q332=0),TRUE,FALSE)</f>
        <v>0</v>
      </c>
      <c r="V332" s="56" t="e">
        <f>IF(AND(OR(T332=0),U332=TRUE),1,0)</f>
        <v>#N/A</v>
      </c>
    </row>
    <row r="333" spans="7:22" x14ac:dyDescent="0.25">
      <c r="H333" s="181" t="s">
        <v>98</v>
      </c>
      <c r="I333" s="201">
        <f t="shared" si="88"/>
        <v>1</v>
      </c>
      <c r="J333" s="73">
        <f t="shared" si="89"/>
        <v>0</v>
      </c>
      <c r="K333" s="73">
        <f t="shared" si="90"/>
        <v>1</v>
      </c>
      <c r="L333" s="197">
        <v>1</v>
      </c>
      <c r="M333" s="197">
        <v>1</v>
      </c>
      <c r="N333" s="9"/>
      <c r="O333" s="9"/>
      <c r="P333" s="71">
        <v>1</v>
      </c>
      <c r="Q333" s="9"/>
      <c r="R333" s="9"/>
      <c r="S333" s="73" t="s">
        <v>374</v>
      </c>
      <c r="T333" s="56" t="e">
        <f t="shared" si="91"/>
        <v>#N/A</v>
      </c>
      <c r="U333" s="297" t="b">
        <f>IF(AND(OR(J333=1,J333=0),K333=2,M333=1,N333=0,O333=1,P333=0,Q333=0),TRUE,FALSE)</f>
        <v>0</v>
      </c>
      <c r="V333" s="56" t="e">
        <f t="shared" ref="V333:V341" si="92">IF(AND(OR(T333=0,T333=1),U333=TRUE),1,0)</f>
        <v>#N/A</v>
      </c>
    </row>
    <row r="334" spans="7:22" x14ac:dyDescent="0.25">
      <c r="H334" s="181" t="s">
        <v>99</v>
      </c>
      <c r="I334" s="201">
        <f t="shared" si="88"/>
        <v>1</v>
      </c>
      <c r="J334" s="73">
        <f t="shared" si="89"/>
        <v>0</v>
      </c>
      <c r="K334" s="73">
        <f t="shared" si="90"/>
        <v>1</v>
      </c>
      <c r="L334" s="197">
        <v>1</v>
      </c>
      <c r="M334" s="197">
        <v>1</v>
      </c>
      <c r="N334" s="9"/>
      <c r="O334" s="9"/>
      <c r="P334" s="9"/>
      <c r="Q334" s="71">
        <v>1</v>
      </c>
      <c r="R334" s="9"/>
      <c r="S334" s="73" t="s">
        <v>374</v>
      </c>
      <c r="T334" s="56" t="e">
        <f t="shared" si="91"/>
        <v>#N/A</v>
      </c>
      <c r="U334" s="297" t="b">
        <f>IF(AND(OR(J334=1,J334=0),K334=2,M334=1,N334=1,O334=0,P334=0,Q334=0),TRUE,FALSE)</f>
        <v>0</v>
      </c>
      <c r="V334" s="56" t="e">
        <f>IF(AND(OR(T334=0),U334=TRUE),1,0)</f>
        <v>#N/A</v>
      </c>
    </row>
    <row r="335" spans="7:22" x14ac:dyDescent="0.25">
      <c r="H335" s="181" t="s">
        <v>100</v>
      </c>
      <c r="I335" s="201">
        <f t="shared" si="88"/>
        <v>1</v>
      </c>
      <c r="J335" s="73">
        <f t="shared" si="89"/>
        <v>0</v>
      </c>
      <c r="K335" s="73">
        <f t="shared" si="90"/>
        <v>1</v>
      </c>
      <c r="L335" s="197">
        <v>1</v>
      </c>
      <c r="M335" s="197">
        <v>1</v>
      </c>
      <c r="N335" s="9"/>
      <c r="O335" s="9"/>
      <c r="P335" s="9"/>
      <c r="Q335" s="9"/>
      <c r="R335" s="71">
        <v>1</v>
      </c>
      <c r="S335" s="73" t="s">
        <v>374</v>
      </c>
      <c r="T335" s="56" t="e">
        <f t="shared" si="91"/>
        <v>#N/A</v>
      </c>
      <c r="U335" s="297" t="b">
        <f>IF(AND(OR(J335=1,J335=0),K335=2,M335=1,N335=1,O335=1,P335=0,Q335=0),TRUE,FALSE)</f>
        <v>0</v>
      </c>
      <c r="V335" s="56" t="e">
        <f t="shared" si="92"/>
        <v>#N/A</v>
      </c>
    </row>
    <row r="336" spans="7:22" x14ac:dyDescent="0.25">
      <c r="G336" s="288" t="s">
        <v>471</v>
      </c>
      <c r="H336" s="288" t="s">
        <v>101</v>
      </c>
      <c r="I336" s="202">
        <f t="shared" si="88"/>
        <v>1</v>
      </c>
      <c r="J336" s="203">
        <f t="shared" si="89"/>
        <v>0</v>
      </c>
      <c r="K336" s="203">
        <f t="shared" si="90"/>
        <v>1</v>
      </c>
      <c r="L336" s="197">
        <v>1</v>
      </c>
      <c r="M336" s="197">
        <v>1</v>
      </c>
      <c r="N336" s="190"/>
      <c r="O336" s="190"/>
      <c r="P336" s="190"/>
      <c r="Q336" s="190"/>
      <c r="R336" s="190"/>
      <c r="S336" s="203" t="s">
        <v>374</v>
      </c>
      <c r="T336" s="56" t="e">
        <f t="shared" si="91"/>
        <v>#N/A</v>
      </c>
      <c r="U336" s="297" t="b">
        <f>IF(AND(OR(J336=1,J336=0),K336=2,M336=1,N336=0,O336=0,P336=0,Q336=1),TRUE,FALSE)</f>
        <v>0</v>
      </c>
      <c r="V336" s="56" t="e">
        <f t="shared" si="92"/>
        <v>#N/A</v>
      </c>
    </row>
    <row r="337" spans="7:22" x14ac:dyDescent="0.25">
      <c r="H337" s="181" t="s">
        <v>102</v>
      </c>
      <c r="I337" s="201">
        <f t="shared" si="88"/>
        <v>1</v>
      </c>
      <c r="J337" s="73">
        <f t="shared" si="89"/>
        <v>0</v>
      </c>
      <c r="K337" s="73">
        <f t="shared" si="90"/>
        <v>1</v>
      </c>
      <c r="L337" s="197">
        <v>1</v>
      </c>
      <c r="M337" s="197">
        <v>1</v>
      </c>
      <c r="N337" s="9"/>
      <c r="O337" s="9"/>
      <c r="P337" s="71">
        <v>1</v>
      </c>
      <c r="Q337" s="9"/>
      <c r="R337" s="40"/>
      <c r="S337" s="198" t="s">
        <v>374</v>
      </c>
      <c r="T337" s="56" t="e">
        <f t="shared" si="91"/>
        <v>#N/A</v>
      </c>
      <c r="U337" s="297" t="b">
        <f>IF(AND(OR(J337=1,J337=0),K337=2,M337=1,N337=0,O337=1,P337=0,Q337=1),TRUE,FALSE)</f>
        <v>0</v>
      </c>
      <c r="V337" s="56" t="e">
        <f>IF(AND(OR(T337=0,T337=1,T337=2),U337=TRUE),1,0)</f>
        <v>#N/A</v>
      </c>
    </row>
    <row r="338" spans="7:22" x14ac:dyDescent="0.25">
      <c r="H338" s="181" t="s">
        <v>409</v>
      </c>
      <c r="I338" s="201">
        <f t="shared" si="88"/>
        <v>1</v>
      </c>
      <c r="J338" s="73">
        <f t="shared" si="89"/>
        <v>0</v>
      </c>
      <c r="K338" s="73">
        <f t="shared" si="90"/>
        <v>1</v>
      </c>
      <c r="L338" s="197">
        <v>1</v>
      </c>
      <c r="M338" s="197">
        <v>1</v>
      </c>
      <c r="N338" s="9"/>
      <c r="O338" s="9"/>
      <c r="P338" s="9"/>
      <c r="Q338" s="71">
        <v>1</v>
      </c>
      <c r="R338" s="9"/>
      <c r="S338" s="73" t="s">
        <v>374</v>
      </c>
      <c r="T338" s="56" t="e">
        <f t="shared" si="91"/>
        <v>#N/A</v>
      </c>
      <c r="U338" s="297" t="b">
        <f>IF(AND(OR(J338=1,J338=0),K338=2,M338=1,N338=1,O338=0,P338=0,Q338=1),TRUE,FALSE)</f>
        <v>0</v>
      </c>
      <c r="V338" s="56" t="e">
        <f t="shared" si="92"/>
        <v>#N/A</v>
      </c>
    </row>
    <row r="339" spans="7:22" x14ac:dyDescent="0.25">
      <c r="H339" s="181" t="s">
        <v>410</v>
      </c>
      <c r="I339" s="201">
        <f t="shared" si="88"/>
        <v>1</v>
      </c>
      <c r="J339" s="73">
        <f t="shared" si="89"/>
        <v>0</v>
      </c>
      <c r="K339" s="73">
        <f t="shared" si="90"/>
        <v>1</v>
      </c>
      <c r="L339" s="197">
        <v>1</v>
      </c>
      <c r="M339" s="197">
        <v>1</v>
      </c>
      <c r="N339" s="9"/>
      <c r="O339" s="9"/>
      <c r="P339" s="9"/>
      <c r="Q339" s="9"/>
      <c r="R339" s="329">
        <v>1</v>
      </c>
      <c r="S339" s="289" t="s">
        <v>374</v>
      </c>
      <c r="T339" s="290" t="e">
        <f t="shared" si="91"/>
        <v>#N/A</v>
      </c>
      <c r="U339" s="298" t="b">
        <f>IF(AND(OR(J339=1,J339=0),K339=2,M339=1,N339=1,O339=1,P339=0,Q339=1),TRUE,FALSE)</f>
        <v>0</v>
      </c>
      <c r="V339" s="56" t="e">
        <f>IF(AND(OR(T339=0,T339=1,T339=2),U339=TRUE),1,0)</f>
        <v>#N/A</v>
      </c>
    </row>
    <row r="340" spans="7:22" x14ac:dyDescent="0.25">
      <c r="G340" s="288" t="s">
        <v>472</v>
      </c>
      <c r="H340" s="288" t="s">
        <v>365</v>
      </c>
      <c r="I340" s="202">
        <f t="shared" si="88"/>
        <v>1</v>
      </c>
      <c r="J340" s="203">
        <f t="shared" si="89"/>
        <v>0</v>
      </c>
      <c r="K340" s="203">
        <f t="shared" si="90"/>
        <v>1</v>
      </c>
      <c r="L340" s="197">
        <v>1</v>
      </c>
      <c r="M340" s="322"/>
      <c r="N340" s="71">
        <v>1</v>
      </c>
      <c r="O340" s="190"/>
      <c r="P340" s="190"/>
      <c r="Q340" s="190"/>
      <c r="R340" s="190"/>
      <c r="S340" s="203" t="s">
        <v>374</v>
      </c>
      <c r="T340" s="9" t="e">
        <f t="shared" si="91"/>
        <v>#N/A</v>
      </c>
      <c r="U340" s="298" t="b">
        <f>IF(AND(OR(J340=1,J340=0),K340=2,M340=1,N340=0,O340=1,P340=1,Q340=0),TRUE,FALSE)</f>
        <v>0</v>
      </c>
      <c r="V340" s="56" t="e">
        <f t="shared" si="92"/>
        <v>#N/A</v>
      </c>
    </row>
    <row r="341" spans="7:22" x14ac:dyDescent="0.25">
      <c r="G341" s="181"/>
      <c r="H341" s="181" t="s">
        <v>366</v>
      </c>
      <c r="I341" s="201">
        <f t="shared" si="88"/>
        <v>1</v>
      </c>
      <c r="J341" s="73">
        <f t="shared" si="89"/>
        <v>0</v>
      </c>
      <c r="K341" s="73">
        <f t="shared" si="90"/>
        <v>1</v>
      </c>
      <c r="L341" s="197">
        <v>1</v>
      </c>
      <c r="M341" s="321"/>
      <c r="N341" s="71">
        <v>1</v>
      </c>
      <c r="O341" s="9"/>
      <c r="P341" s="71">
        <v>1</v>
      </c>
      <c r="Q341" s="9"/>
      <c r="R341" s="9"/>
      <c r="S341" s="73" t="s">
        <v>374</v>
      </c>
      <c r="T341" s="9" t="e">
        <f t="shared" si="91"/>
        <v>#N/A</v>
      </c>
      <c r="U341" s="298" t="b">
        <f>IF(AND(OR(J341=1,J341=0),K341=2,M341=1,N341=1,O341=1,P341=1,Q341=0),TRUE,FALSE)</f>
        <v>0</v>
      </c>
      <c r="V341" s="56" t="e">
        <f t="shared" si="92"/>
        <v>#N/A</v>
      </c>
    </row>
    <row r="342" spans="7:22" x14ac:dyDescent="0.25">
      <c r="H342" s="181" t="s">
        <v>367</v>
      </c>
      <c r="I342" s="201">
        <f t="shared" si="88"/>
        <v>1</v>
      </c>
      <c r="J342" s="73">
        <f t="shared" si="89"/>
        <v>0</v>
      </c>
      <c r="K342" s="73">
        <f t="shared" si="90"/>
        <v>1</v>
      </c>
      <c r="L342" s="197">
        <v>1</v>
      </c>
      <c r="M342" s="321"/>
      <c r="N342" s="71">
        <v>1</v>
      </c>
      <c r="O342" s="9"/>
      <c r="P342" s="9"/>
      <c r="Q342" s="71">
        <v>1</v>
      </c>
      <c r="R342" s="9"/>
      <c r="S342" s="73" t="s">
        <v>374</v>
      </c>
      <c r="T342" s="9" t="e">
        <f t="shared" si="91"/>
        <v>#N/A</v>
      </c>
      <c r="U342" s="298" t="b">
        <f>IF(AND(OR(J342=1,J342=0),K342=2,M342=1,N342=0,O342=1,P342=1,Q342=1),TRUE,FALSE)</f>
        <v>0</v>
      </c>
      <c r="V342" s="56" t="e">
        <f>IF(AND(OR(T342=0,T342=1,T342=2),U342=TRUE),1,0)</f>
        <v>#N/A</v>
      </c>
    </row>
    <row r="343" spans="7:22" x14ac:dyDescent="0.25">
      <c r="H343" s="181" t="s">
        <v>368</v>
      </c>
      <c r="I343" s="201">
        <f t="shared" si="88"/>
        <v>1</v>
      </c>
      <c r="J343" s="73">
        <f t="shared" si="89"/>
        <v>0</v>
      </c>
      <c r="K343" s="73">
        <f t="shared" si="90"/>
        <v>1</v>
      </c>
      <c r="L343" s="197">
        <v>1</v>
      </c>
      <c r="M343" s="321"/>
      <c r="N343" s="71">
        <v>1</v>
      </c>
      <c r="O343" s="9"/>
      <c r="P343" s="9"/>
      <c r="Q343" s="9"/>
      <c r="R343" s="71">
        <v>1</v>
      </c>
      <c r="S343" s="73" t="s">
        <v>374</v>
      </c>
      <c r="T343" s="9" t="e">
        <f t="shared" si="91"/>
        <v>#N/A</v>
      </c>
      <c r="U343" s="298" t="b">
        <f>IF(AND(OR(J343=1,J343=0),K343=2,M343=1,N343=1,O343=1,P343=1,Q343=1),TRUE,FALSE)</f>
        <v>0</v>
      </c>
      <c r="V343" s="56" t="e">
        <f>IF(AND(OR(T343=0,T343=1,S343=2),U343=TRUE),1,0)</f>
        <v>#N/A</v>
      </c>
    </row>
    <row r="344" spans="7:22" x14ac:dyDescent="0.25">
      <c r="G344" s="288" t="s">
        <v>471</v>
      </c>
      <c r="H344" s="288" t="s">
        <v>369</v>
      </c>
      <c r="I344" s="202">
        <f t="shared" si="88"/>
        <v>1</v>
      </c>
      <c r="J344" s="203">
        <f t="shared" si="89"/>
        <v>0</v>
      </c>
      <c r="K344" s="203">
        <f t="shared" si="90"/>
        <v>1</v>
      </c>
      <c r="L344" s="197">
        <v>1</v>
      </c>
      <c r="M344" s="203"/>
      <c r="N344" s="71">
        <v>1</v>
      </c>
      <c r="O344" s="190"/>
      <c r="P344" s="190"/>
      <c r="Q344" s="190"/>
      <c r="R344" s="190"/>
      <c r="S344" s="203" t="s">
        <v>374</v>
      </c>
      <c r="T344" s="190" t="e">
        <f t="shared" si="91"/>
        <v>#N/A</v>
      </c>
      <c r="U344" s="296" t="b">
        <v>1</v>
      </c>
      <c r="V344" s="190" t="e">
        <f>IF(AND(OR(T344=0,T344=1),U344=TRUE),1,0)</f>
        <v>#N/A</v>
      </c>
    </row>
    <row r="345" spans="7:22" x14ac:dyDescent="0.25">
      <c r="H345" s="181" t="s">
        <v>370</v>
      </c>
      <c r="I345" s="201">
        <f t="shared" si="88"/>
        <v>1</v>
      </c>
      <c r="J345" s="73">
        <f t="shared" si="89"/>
        <v>0</v>
      </c>
      <c r="K345" s="73">
        <f t="shared" si="90"/>
        <v>1</v>
      </c>
      <c r="L345" s="197">
        <v>1</v>
      </c>
      <c r="M345" s="73"/>
      <c r="N345" s="71">
        <v>1</v>
      </c>
      <c r="O345" s="9"/>
      <c r="P345" s="71">
        <v>1</v>
      </c>
      <c r="Q345" s="9"/>
      <c r="R345" s="9"/>
      <c r="S345" s="73" t="s">
        <v>374</v>
      </c>
      <c r="T345" s="156" t="e">
        <f t="shared" si="91"/>
        <v>#N/A</v>
      </c>
      <c r="U345" s="242" t="b">
        <f>IF(AND(OR(J345=1,J345=0),K345=3,M345=0,N345=0,O345=1,P345=0,Q345=0),TRUE,FALSE)</f>
        <v>0</v>
      </c>
      <c r="V345" s="156" t="e">
        <f>IF(AND(OR(T345=0,T345=1,T345=2),U345=TRUE),1,0)</f>
        <v>#N/A</v>
      </c>
    </row>
    <row r="346" spans="7:22" x14ac:dyDescent="0.25">
      <c r="H346" s="181" t="s">
        <v>371</v>
      </c>
      <c r="I346" s="201">
        <f t="shared" si="88"/>
        <v>1</v>
      </c>
      <c r="J346" s="73">
        <f t="shared" si="89"/>
        <v>0</v>
      </c>
      <c r="K346" s="73">
        <f t="shared" si="90"/>
        <v>1</v>
      </c>
      <c r="L346" s="197">
        <v>1</v>
      </c>
      <c r="M346" s="73"/>
      <c r="N346" s="71">
        <v>1</v>
      </c>
      <c r="O346" s="9"/>
      <c r="P346" s="9"/>
      <c r="Q346" s="71">
        <v>1</v>
      </c>
      <c r="R346" s="9"/>
      <c r="S346" s="73" t="s">
        <v>374</v>
      </c>
      <c r="T346" s="156" t="e">
        <f t="shared" si="91"/>
        <v>#N/A</v>
      </c>
      <c r="U346" s="242" t="b">
        <f>IF(AND(OR(J346=1,J346=0),K346=3,M346=0,N346=0,O346=0,P346=0,Q346=1),TRUE,FALSE)</f>
        <v>0</v>
      </c>
      <c r="V346" s="156" t="e">
        <f>IF(AND(OR(T346=0,T346=2,T346=2),U346=TRUE),1,0)</f>
        <v>#N/A</v>
      </c>
    </row>
    <row r="347" spans="7:22" x14ac:dyDescent="0.25">
      <c r="H347" s="181" t="s">
        <v>372</v>
      </c>
      <c r="I347" s="201">
        <f t="shared" si="88"/>
        <v>1</v>
      </c>
      <c r="J347" s="73">
        <f t="shared" si="89"/>
        <v>0</v>
      </c>
      <c r="K347" s="73">
        <f t="shared" si="90"/>
        <v>1</v>
      </c>
      <c r="L347" s="197">
        <v>1</v>
      </c>
      <c r="M347" s="73"/>
      <c r="N347" s="71">
        <v>1</v>
      </c>
      <c r="O347" s="9"/>
      <c r="P347" s="9"/>
      <c r="Q347" s="9"/>
      <c r="R347" s="71">
        <v>1</v>
      </c>
      <c r="S347" s="73" t="s">
        <v>374</v>
      </c>
      <c r="T347" s="156" t="e">
        <f t="shared" si="91"/>
        <v>#N/A</v>
      </c>
      <c r="U347" s="157" t="b">
        <f>IF(AND(OR(J347=1,J347=0),K347=3,M347=0,N347=0,O347=1,P347=0,Q347=1),TRUE,FALSE)</f>
        <v>0</v>
      </c>
      <c r="V347" s="156" t="e">
        <f>IF(AND(OR(T347=0,T347=1,T347=2),U347=TRUE),1,0)</f>
        <v>#N/A</v>
      </c>
    </row>
    <row r="348" spans="7:22" x14ac:dyDescent="0.25">
      <c r="H348" s="32"/>
      <c r="I348" s="330"/>
      <c r="J348" s="204"/>
      <c r="K348" s="204"/>
      <c r="L348" s="204"/>
      <c r="M348" s="204"/>
      <c r="N348" s="1"/>
      <c r="O348" s="1"/>
      <c r="P348" s="1"/>
      <c r="Q348" s="1"/>
      <c r="R348" s="1"/>
      <c r="S348" s="204"/>
      <c r="T348" s="1"/>
      <c r="V348" s="1"/>
    </row>
    <row r="349" spans="7:22" x14ac:dyDescent="0.25">
      <c r="J349" s="204"/>
      <c r="K349" s="204"/>
      <c r="L349" s="204"/>
      <c r="M349" s="204"/>
      <c r="N349" s="1"/>
      <c r="O349" s="1"/>
      <c r="P349" s="1"/>
      <c r="Q349" s="1"/>
      <c r="R349" s="1"/>
      <c r="S349" s="204"/>
      <c r="T349" s="1"/>
      <c r="V349" s="1"/>
    </row>
    <row r="350" spans="7:22" x14ac:dyDescent="0.25">
      <c r="H350" s="32"/>
      <c r="I350" s="330"/>
      <c r="J350" s="204"/>
      <c r="K350" s="204"/>
      <c r="L350" s="204"/>
      <c r="M350" s="204"/>
      <c r="N350" s="1"/>
      <c r="O350" s="1"/>
      <c r="P350" s="1"/>
      <c r="Q350" s="1"/>
      <c r="R350" s="1"/>
      <c r="S350" s="204"/>
      <c r="T350" s="1"/>
      <c r="V350" s="1"/>
    </row>
    <row r="351" spans="7:22" x14ac:dyDescent="0.25">
      <c r="R351" s="1"/>
      <c r="S351" s="204"/>
      <c r="T351" s="1"/>
      <c r="V351" s="1"/>
    </row>
    <row r="352" spans="7:22" x14ac:dyDescent="0.25">
      <c r="R352" s="1"/>
      <c r="S352" s="204"/>
      <c r="T352" s="1"/>
      <c r="V352" s="1"/>
    </row>
    <row r="353" spans="7:22" x14ac:dyDescent="0.25">
      <c r="R353" s="1"/>
      <c r="S353" s="204"/>
      <c r="T353" s="1"/>
      <c r="V353" s="1"/>
    </row>
    <row r="354" spans="7:22" x14ac:dyDescent="0.25">
      <c r="Q354" s="1"/>
      <c r="R354" s="1"/>
      <c r="S354" s="204"/>
      <c r="T354" s="1"/>
      <c r="V354" s="1"/>
    </row>
    <row r="355" spans="7:22" x14ac:dyDescent="0.25">
      <c r="R355" s="1"/>
      <c r="S355" s="204"/>
      <c r="T355" s="1"/>
      <c r="V355" s="1"/>
    </row>
    <row r="356" spans="7:22" x14ac:dyDescent="0.25">
      <c r="R356" s="1"/>
      <c r="S356" s="204"/>
      <c r="T356" s="1"/>
      <c r="V356" s="1"/>
    </row>
    <row r="357" spans="7:22" x14ac:dyDescent="0.25">
      <c r="R357" s="1"/>
      <c r="S357" s="204"/>
      <c r="T357" s="1"/>
      <c r="V357" s="1"/>
    </row>
    <row r="358" spans="7:22" x14ac:dyDescent="0.25">
      <c r="G358" s="196"/>
      <c r="H358" s="32"/>
      <c r="I358" s="330"/>
      <c r="J358" s="204"/>
      <c r="K358" s="204"/>
      <c r="L358" s="204"/>
      <c r="M358" s="204"/>
      <c r="N358" s="34"/>
      <c r="Q358" s="1"/>
      <c r="R358" s="1"/>
      <c r="S358" s="204"/>
      <c r="T358" s="1"/>
      <c r="V358" s="1"/>
    </row>
    <row r="359" spans="7:22" x14ac:dyDescent="0.25">
      <c r="G359" s="1"/>
      <c r="H359" s="32"/>
      <c r="I359" s="204"/>
      <c r="J359" s="204"/>
      <c r="K359" s="204"/>
      <c r="L359" s="204"/>
      <c r="M359" s="204"/>
      <c r="N359" s="335"/>
      <c r="Q359" s="1"/>
    </row>
    <row r="360" spans="7:22" x14ac:dyDescent="0.25">
      <c r="G360" s="1"/>
      <c r="H360" s="1"/>
      <c r="I360" s="1"/>
      <c r="J360" s="1"/>
      <c r="K360" s="1"/>
      <c r="L360" s="204"/>
      <c r="M360" s="204"/>
      <c r="N360" s="34"/>
      <c r="Q360" s="1"/>
    </row>
    <row r="361" spans="7:22" x14ac:dyDescent="0.25">
      <c r="G361" s="32"/>
      <c r="H361" s="32"/>
      <c r="I361" s="1"/>
      <c r="J361" s="1"/>
      <c r="K361" s="32"/>
      <c r="P361" s="1"/>
      <c r="Q361" s="1"/>
      <c r="R361" s="1"/>
    </row>
    <row r="362" spans="7:22" x14ac:dyDescent="0.25">
      <c r="G362" s="32"/>
      <c r="H362" s="32"/>
      <c r="I362" s="1"/>
      <c r="J362" s="1"/>
      <c r="K362" s="1"/>
      <c r="L362" s="204"/>
      <c r="M362" s="204"/>
      <c r="N362" s="204"/>
      <c r="P362" s="32"/>
      <c r="Q362" s="32"/>
      <c r="R362" s="1"/>
    </row>
    <row r="363" spans="7:22" x14ac:dyDescent="0.25">
      <c r="G363" s="32"/>
      <c r="H363" s="32"/>
      <c r="I363" s="1"/>
      <c r="J363" s="1"/>
      <c r="K363" s="1"/>
      <c r="L363" s="204"/>
      <c r="M363" s="204"/>
      <c r="N363" s="204"/>
      <c r="P363" s="32"/>
      <c r="Q363" s="32"/>
      <c r="R363" s="1"/>
    </row>
    <row r="364" spans="7:22" x14ac:dyDescent="0.25">
      <c r="G364" s="32"/>
      <c r="H364" s="32"/>
      <c r="I364" s="1"/>
      <c r="J364" s="1"/>
      <c r="K364" s="1"/>
      <c r="L364" s="204"/>
      <c r="M364" s="204"/>
      <c r="N364" s="204"/>
      <c r="P364" s="32"/>
      <c r="Q364" s="32"/>
      <c r="R364" s="1"/>
    </row>
    <row r="365" spans="7:22" x14ac:dyDescent="0.25">
      <c r="G365" s="32"/>
      <c r="H365" s="32"/>
      <c r="I365" s="1"/>
      <c r="J365" s="1"/>
      <c r="K365" s="1"/>
      <c r="L365" s="204"/>
      <c r="M365" s="204"/>
      <c r="N365" s="204"/>
      <c r="P365" s="32"/>
      <c r="Q365" s="32"/>
      <c r="R365" s="1"/>
    </row>
    <row r="366" spans="7:22" x14ac:dyDescent="0.25">
      <c r="G366" s="32"/>
      <c r="H366" s="32"/>
      <c r="I366" s="1"/>
      <c r="J366" s="1"/>
      <c r="K366" s="1"/>
      <c r="L366" s="204"/>
      <c r="M366" s="204"/>
      <c r="N366" s="204"/>
      <c r="P366" s="32"/>
      <c r="Q366" s="32"/>
      <c r="R366" s="1"/>
    </row>
    <row r="367" spans="7:22" x14ac:dyDescent="0.25">
      <c r="G367" s="32"/>
      <c r="H367" s="32"/>
      <c r="I367" s="1"/>
      <c r="J367" s="1"/>
      <c r="K367" s="1"/>
      <c r="L367" s="204"/>
      <c r="M367" s="204"/>
      <c r="N367" s="204"/>
      <c r="P367" s="32"/>
      <c r="Q367" s="32"/>
      <c r="R367" s="1"/>
    </row>
    <row r="368" spans="7:22" x14ac:dyDescent="0.25">
      <c r="G368" s="32"/>
      <c r="H368" s="32"/>
      <c r="I368" s="1"/>
      <c r="J368" s="1"/>
      <c r="K368" s="1"/>
      <c r="L368" s="204"/>
      <c r="M368" s="204"/>
      <c r="N368" s="204"/>
      <c r="P368" s="32"/>
      <c r="Q368" s="32"/>
      <c r="R368" s="1"/>
    </row>
    <row r="369" spans="7:18" x14ac:dyDescent="0.25">
      <c r="G369" s="32"/>
      <c r="H369" s="32"/>
      <c r="I369" s="1"/>
      <c r="J369" s="1"/>
      <c r="K369" s="1"/>
      <c r="L369" s="204"/>
      <c r="M369" s="204"/>
      <c r="N369" s="204"/>
      <c r="P369" s="32"/>
      <c r="Q369" s="32"/>
      <c r="R369" s="1"/>
    </row>
    <row r="370" spans="7:18" x14ac:dyDescent="0.25">
      <c r="G370" s="32"/>
      <c r="H370" s="32"/>
      <c r="I370" s="1"/>
      <c r="J370" s="1"/>
      <c r="K370" s="1"/>
      <c r="L370" s="204"/>
      <c r="M370" s="204"/>
      <c r="N370" s="204"/>
      <c r="P370" s="32"/>
      <c r="Q370" s="32"/>
      <c r="R370" s="1"/>
    </row>
    <row r="371" spans="7:18" x14ac:dyDescent="0.25">
      <c r="G371" s="32"/>
      <c r="H371" s="32"/>
      <c r="I371" s="1"/>
      <c r="J371" s="1"/>
      <c r="K371" s="1"/>
      <c r="L371" s="204"/>
      <c r="M371" s="204"/>
      <c r="N371" s="204"/>
      <c r="P371" s="32"/>
      <c r="Q371" s="32"/>
      <c r="R371" s="1"/>
    </row>
    <row r="372" spans="7:18" x14ac:dyDescent="0.25">
      <c r="G372" s="32"/>
      <c r="H372" s="32"/>
      <c r="I372" s="1"/>
      <c r="J372" s="1"/>
      <c r="K372" s="1"/>
      <c r="L372" s="204"/>
      <c r="M372" s="204"/>
      <c r="N372" s="204"/>
      <c r="P372" s="32"/>
      <c r="Q372" s="32"/>
    </row>
    <row r="373" spans="7:18" x14ac:dyDescent="0.25">
      <c r="G373" s="32"/>
      <c r="H373" s="32"/>
      <c r="I373" s="1"/>
      <c r="J373" s="1"/>
      <c r="K373" s="1"/>
      <c r="L373" s="204"/>
      <c r="M373" s="204"/>
      <c r="N373" s="204"/>
      <c r="P373" s="32"/>
      <c r="Q373" s="32"/>
    </row>
    <row r="374" spans="7:18" x14ac:dyDescent="0.25">
      <c r="G374" s="32"/>
      <c r="H374" s="32"/>
      <c r="I374" s="1"/>
      <c r="J374" s="1"/>
      <c r="K374" s="1"/>
      <c r="L374" s="204"/>
      <c r="M374" s="204"/>
      <c r="N374" s="204"/>
      <c r="P374" s="32"/>
      <c r="Q374" s="32"/>
    </row>
    <row r="375" spans="7:18" x14ac:dyDescent="0.25">
      <c r="G375" s="32"/>
      <c r="H375" s="32"/>
      <c r="I375" s="1"/>
      <c r="J375" s="1"/>
      <c r="K375" s="1"/>
      <c r="L375" s="204"/>
      <c r="M375" s="204"/>
      <c r="N375" s="204"/>
      <c r="P375" s="32"/>
      <c r="Q375" s="32"/>
    </row>
    <row r="376" spans="7:18" x14ac:dyDescent="0.25">
      <c r="G376" s="32"/>
      <c r="H376" s="32"/>
      <c r="I376" s="1"/>
      <c r="J376" s="1"/>
      <c r="K376" s="1"/>
      <c r="L376" s="204"/>
      <c r="M376" s="204"/>
      <c r="N376" s="204"/>
      <c r="P376" s="32"/>
      <c r="Q376" s="32"/>
    </row>
    <row r="377" spans="7:18" x14ac:dyDescent="0.25">
      <c r="G377" s="32"/>
      <c r="H377" s="32"/>
      <c r="I377" s="1"/>
      <c r="J377" s="1"/>
      <c r="K377" s="1"/>
      <c r="L377" s="204"/>
      <c r="M377" s="204"/>
      <c r="N377" s="204"/>
      <c r="P377" s="32"/>
      <c r="Q377" s="32"/>
    </row>
    <row r="378" spans="7:18" x14ac:dyDescent="0.25">
      <c r="G378" s="32"/>
      <c r="H378" s="32"/>
      <c r="I378" s="1"/>
      <c r="J378" s="1"/>
      <c r="K378" s="1"/>
      <c r="L378" s="204"/>
      <c r="M378" s="204"/>
      <c r="N378" s="204"/>
      <c r="P378" s="32"/>
      <c r="Q378" s="32"/>
    </row>
    <row r="379" spans="7:18" x14ac:dyDescent="0.25">
      <c r="H379" s="32"/>
      <c r="P379" s="32"/>
      <c r="Q379" s="32"/>
    </row>
    <row r="390" spans="8:8" x14ac:dyDescent="0.25">
      <c r="H390" s="32"/>
    </row>
    <row r="391" spans="8:8" x14ac:dyDescent="0.25">
      <c r="H391" s="32"/>
    </row>
    <row r="392" spans="8:8" x14ac:dyDescent="0.25">
      <c r="H392" s="32"/>
    </row>
    <row r="393" spans="8:8" x14ac:dyDescent="0.25">
      <c r="H393" s="32"/>
    </row>
  </sheetData>
  <dataValidations disablePrompts="1" count="1">
    <dataValidation type="list" allowBlank="1" showInputMessage="1" showErrorMessage="1" sqref="V358" xr:uid="{00000000-0002-0000-0200-000000000000}">
      <formula1>IF($I$354=1,$U$361:$U$370,$U$361)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A145"/>
  <sheetViews>
    <sheetView workbookViewId="0">
      <selection activeCell="H25" sqref="H25"/>
    </sheetView>
  </sheetViews>
  <sheetFormatPr defaultRowHeight="15" x14ac:dyDescent="0.25"/>
  <cols>
    <col min="1" max="1" width="16.28515625" bestFit="1" customWidth="1"/>
    <col min="3" max="3" width="46" bestFit="1" customWidth="1"/>
    <col min="4" max="4" width="27.140625" customWidth="1"/>
    <col min="5" max="5" width="30.140625" customWidth="1"/>
    <col min="6" max="6" width="12.140625" bestFit="1" customWidth="1"/>
    <col min="7" max="8" width="14.28515625" bestFit="1" customWidth="1"/>
    <col min="9" max="9" width="14.28515625" customWidth="1"/>
    <col min="14" max="14" width="9.140625" customWidth="1"/>
    <col min="18" max="18" width="12" customWidth="1"/>
    <col min="19" max="19" width="14.28515625" bestFit="1" customWidth="1"/>
    <col min="20" max="20" width="12.5703125" customWidth="1"/>
    <col min="22" max="22" width="14.5703125" bestFit="1" customWidth="1"/>
    <col min="24" max="24" width="11.42578125" bestFit="1" customWidth="1"/>
    <col min="25" max="25" width="13.5703125" bestFit="1" customWidth="1"/>
  </cols>
  <sheetData>
    <row r="2" spans="1:27" x14ac:dyDescent="0.25">
      <c r="A2" s="464" t="s">
        <v>149</v>
      </c>
      <c r="B2" s="464">
        <f>Расчет!D1</f>
        <v>2</v>
      </c>
      <c r="D2" t="str">
        <f>(D5&amp;B6&amp;D6)</f>
        <v>ВЕРСА 410-Ф001-01Э0150А-Д0-М</v>
      </c>
      <c r="G2">
        <v>28.5</v>
      </c>
    </row>
    <row r="3" spans="1:27" x14ac:dyDescent="0.25">
      <c r="A3" s="462" t="s">
        <v>273</v>
      </c>
      <c r="B3" s="3" t="str">
        <f>Расчет!E19</f>
        <v>Нет</v>
      </c>
      <c r="C3" s="1"/>
      <c r="D3" t="str">
        <f>IF(B6="Нет","---",D2)</f>
        <v>ВЕРСА 410-Ф001-01Э0150А-Д0-М</v>
      </c>
      <c r="G3">
        <v>6</v>
      </c>
    </row>
    <row r="4" spans="1:27" x14ac:dyDescent="0.25">
      <c r="A4" s="172" t="s">
        <v>274</v>
      </c>
      <c r="B4" s="3" t="str">
        <f>Расчет!F19</f>
        <v>01Э0150А</v>
      </c>
      <c r="G4">
        <f>G2*G3</f>
        <v>171</v>
      </c>
    </row>
    <row r="5" spans="1:27" x14ac:dyDescent="0.25">
      <c r="A5" s="465" t="s">
        <v>621</v>
      </c>
      <c r="B5" s="3" t="str">
        <f>Расчет!G19</f>
        <v>06Э0900А</v>
      </c>
      <c r="D5" t="s">
        <v>781</v>
      </c>
      <c r="G5">
        <v>80</v>
      </c>
    </row>
    <row r="6" spans="1:27" x14ac:dyDescent="0.25">
      <c r="A6" s="74" t="s">
        <v>245</v>
      </c>
      <c r="B6" s="74" t="str">
        <f>IF(B2=1,B3,IF(B2=2,B4,B5))</f>
        <v>01Э0150А</v>
      </c>
      <c r="D6" s="507" t="s">
        <v>782</v>
      </c>
    </row>
    <row r="7" spans="1:27" x14ac:dyDescent="0.25">
      <c r="A7" s="461" t="s">
        <v>779</v>
      </c>
      <c r="B7" s="1">
        <f>VLOOKUP(B6,L15:AA18,16,FALSE)</f>
        <v>1594.7003076923077</v>
      </c>
    </row>
    <row r="8" spans="1:27" x14ac:dyDescent="0.25">
      <c r="A8" s="461"/>
    </row>
    <row r="9" spans="1:27" x14ac:dyDescent="0.25">
      <c r="A9" s="461"/>
    </row>
    <row r="11" spans="1:27" x14ac:dyDescent="0.25">
      <c r="A11" s="461"/>
    </row>
    <row r="12" spans="1:27" ht="15.75" thickBot="1" x14ac:dyDescent="0.3">
      <c r="R12" s="204" t="s">
        <v>717</v>
      </c>
      <c r="S12" s="204" t="s">
        <v>717</v>
      </c>
    </row>
    <row r="13" spans="1:27" ht="15.75" thickBot="1" x14ac:dyDescent="0.3">
      <c r="B13" s="35" t="s">
        <v>163</v>
      </c>
      <c r="C13" s="35" t="s">
        <v>41</v>
      </c>
      <c r="D13" s="36" t="s">
        <v>151</v>
      </c>
      <c r="E13" s="35" t="s">
        <v>45</v>
      </c>
      <c r="F13" s="458" t="s">
        <v>716</v>
      </c>
      <c r="G13" s="35" t="s">
        <v>152</v>
      </c>
      <c r="H13" s="36" t="s">
        <v>153</v>
      </c>
      <c r="I13" s="269" t="s">
        <v>256</v>
      </c>
      <c r="J13" s="64" t="s">
        <v>256</v>
      </c>
      <c r="N13" s="471" t="s">
        <v>733</v>
      </c>
      <c r="O13" s="472"/>
      <c r="P13" s="472"/>
      <c r="Q13" s="280"/>
      <c r="R13" s="9">
        <v>0</v>
      </c>
      <c r="S13" s="9">
        <v>1</v>
      </c>
    </row>
    <row r="14" spans="1:27" x14ac:dyDescent="0.25">
      <c r="B14" s="35" t="s">
        <v>717</v>
      </c>
      <c r="C14" s="358"/>
      <c r="D14" s="359"/>
      <c r="E14" s="144"/>
      <c r="F14" s="466" t="s">
        <v>718</v>
      </c>
      <c r="G14" s="144" t="s">
        <v>720</v>
      </c>
      <c r="H14" s="359" t="s">
        <v>720</v>
      </c>
      <c r="I14" s="269" t="s">
        <v>791</v>
      </c>
      <c r="J14" s="64" t="s">
        <v>792</v>
      </c>
      <c r="L14" s="9" t="s">
        <v>731</v>
      </c>
      <c r="M14" s="9" t="s">
        <v>732</v>
      </c>
      <c r="N14" s="9">
        <v>1</v>
      </c>
      <c r="O14" s="9">
        <v>2</v>
      </c>
      <c r="P14" s="9">
        <v>3</v>
      </c>
      <c r="Q14" s="9">
        <v>4</v>
      </c>
      <c r="R14" s="3" t="s">
        <v>734</v>
      </c>
      <c r="S14" s="9" t="s">
        <v>965</v>
      </c>
      <c r="T14" s="3" t="s">
        <v>730</v>
      </c>
      <c r="U14" s="73" t="s">
        <v>735</v>
      </c>
      <c r="V14" s="73" t="s">
        <v>736</v>
      </c>
      <c r="W14" s="73" t="s">
        <v>778</v>
      </c>
      <c r="X14" s="73" t="s">
        <v>160</v>
      </c>
      <c r="Y14" s="73" t="s">
        <v>963</v>
      </c>
      <c r="Z14" s="203" t="s">
        <v>249</v>
      </c>
      <c r="AA14" s="73" t="s">
        <v>251</v>
      </c>
    </row>
    <row r="15" spans="1:27" ht="15.75" x14ac:dyDescent="0.25">
      <c r="B15" s="145"/>
      <c r="C15" s="243" t="s">
        <v>719</v>
      </c>
      <c r="D15" s="145"/>
      <c r="E15" s="57"/>
      <c r="F15" s="57"/>
      <c r="G15" s="57"/>
      <c r="H15" s="519"/>
      <c r="I15" s="197"/>
      <c r="J15" s="73"/>
      <c r="L15" s="463" t="s">
        <v>682</v>
      </c>
      <c r="M15" s="73">
        <f>H42</f>
        <v>314.22999999999996</v>
      </c>
      <c r="N15" s="9"/>
      <c r="O15" s="9"/>
      <c r="P15" s="9"/>
      <c r="Q15" s="9"/>
      <c r="R15" s="9">
        <f>H16*$R$13</f>
        <v>0</v>
      </c>
      <c r="S15" s="9">
        <f>H20*$S$13</f>
        <v>9.06</v>
      </c>
      <c r="T15" s="110">
        <f>H81</f>
        <v>176.57</v>
      </c>
      <c r="U15" s="73">
        <f>H74</f>
        <v>42.050000000000004</v>
      </c>
      <c r="V15" s="178">
        <f>H84</f>
        <v>174.48</v>
      </c>
      <c r="W15" s="73"/>
      <c r="X15" s="9">
        <f>H25</f>
        <v>3.44</v>
      </c>
      <c r="Y15" s="178">
        <f>SUM(M15:X15)</f>
        <v>719.83</v>
      </c>
      <c r="Z15" s="203">
        <f>1.2*1.2/0.65</f>
        <v>2.2153846153846151</v>
      </c>
      <c r="AA15" s="73">
        <f>Y15*Z15</f>
        <v>1594.7003076923077</v>
      </c>
    </row>
    <row r="16" spans="1:27" ht="15.75" x14ac:dyDescent="0.25">
      <c r="A16" t="s">
        <v>726</v>
      </c>
      <c r="B16" s="64">
        <v>1</v>
      </c>
      <c r="C16" s="467" t="str">
        <f>Материалы!C99</f>
        <v>Выключатель разъединитель 3P/40A</v>
      </c>
      <c r="D16" s="73" t="str">
        <f>Материалы!E99</f>
        <v>3P/40A</v>
      </c>
      <c r="E16" s="73" t="str">
        <f>Материалы!D99</f>
        <v>40A</v>
      </c>
      <c r="F16" s="73">
        <v>1</v>
      </c>
      <c r="G16" s="178">
        <f>Материалы!H99</f>
        <v>28.41</v>
      </c>
      <c r="H16" s="198">
        <f>F16*G16</f>
        <v>28.41</v>
      </c>
      <c r="I16" s="73">
        <f>Материалы!I99</f>
        <v>0.11</v>
      </c>
      <c r="J16" s="73">
        <f>F16*I16</f>
        <v>0.11</v>
      </c>
      <c r="L16" s="463" t="s">
        <v>683</v>
      </c>
      <c r="M16" s="73">
        <f>H42</f>
        <v>314.22999999999996</v>
      </c>
      <c r="N16" s="9">
        <f>H63</f>
        <v>131.98399999999998</v>
      </c>
      <c r="O16" s="9"/>
      <c r="P16" s="9"/>
      <c r="Q16" s="9"/>
      <c r="R16" s="9">
        <f>H17*$R$13</f>
        <v>0</v>
      </c>
      <c r="S16" s="9">
        <f>H21*$S$13</f>
        <v>8.370000000000001</v>
      </c>
      <c r="T16" s="110">
        <f>H81</f>
        <v>176.57</v>
      </c>
      <c r="U16" s="73">
        <f>H74</f>
        <v>42.050000000000004</v>
      </c>
      <c r="V16" s="178">
        <f>H84</f>
        <v>174.48</v>
      </c>
      <c r="W16" s="73"/>
      <c r="X16" s="9">
        <f>H26</f>
        <v>8.6</v>
      </c>
      <c r="Y16" s="178">
        <f>SUM(M16:X16)</f>
        <v>856.28399999999999</v>
      </c>
      <c r="Z16" s="203">
        <f>1.27*1.27/0.65</f>
        <v>2.4813846153846155</v>
      </c>
      <c r="AA16" s="73">
        <f t="shared" ref="AA16:AA18" si="0">Y16*Z16</f>
        <v>2124.7699440000001</v>
      </c>
    </row>
    <row r="17" spans="1:27" ht="15.75" x14ac:dyDescent="0.25">
      <c r="A17" t="s">
        <v>727</v>
      </c>
      <c r="B17" s="64">
        <v>2</v>
      </c>
      <c r="C17" s="467" t="str">
        <f>Материалы!C100</f>
        <v>Выключатель разъединитель 3P/63A</v>
      </c>
      <c r="D17" s="73" t="str">
        <f>Материалы!E100</f>
        <v>3P/63A</v>
      </c>
      <c r="E17" s="73" t="str">
        <f>Материалы!D100</f>
        <v>63A</v>
      </c>
      <c r="F17" s="73">
        <v>1</v>
      </c>
      <c r="G17" s="178">
        <f>Материалы!H100</f>
        <v>54.64</v>
      </c>
      <c r="H17" s="198">
        <f t="shared" ref="H17:H30" si="1">F17*G17</f>
        <v>54.64</v>
      </c>
      <c r="I17" s="73">
        <f>Материалы!I100</f>
        <v>0.27</v>
      </c>
      <c r="J17" s="73">
        <f t="shared" ref="J17:J86" si="2">F17*I17</f>
        <v>0.27</v>
      </c>
      <c r="L17" s="463" t="s">
        <v>684</v>
      </c>
      <c r="M17" s="73">
        <f>H42</f>
        <v>314.22999999999996</v>
      </c>
      <c r="N17" s="9">
        <f>H63</f>
        <v>131.98399999999998</v>
      </c>
      <c r="O17" s="9">
        <f>H63</f>
        <v>131.98399999999998</v>
      </c>
      <c r="P17" s="9"/>
      <c r="Q17" s="9"/>
      <c r="R17" s="9">
        <f>H18*$R$13</f>
        <v>0</v>
      </c>
      <c r="S17" s="9">
        <f>H22*$S$13</f>
        <v>47.37</v>
      </c>
      <c r="T17" s="110">
        <f>H81</f>
        <v>176.57</v>
      </c>
      <c r="U17" s="73">
        <f>H74</f>
        <v>42.050000000000004</v>
      </c>
      <c r="V17" s="178">
        <f>H84</f>
        <v>174.48</v>
      </c>
      <c r="W17" s="73"/>
      <c r="X17" s="9">
        <f>H27</f>
        <v>13.76</v>
      </c>
      <c r="Y17" s="178">
        <f>SUM(M17:X17)</f>
        <v>1032.4279999999999</v>
      </c>
      <c r="Z17" s="203">
        <f>1.55*1.15/0.65</f>
        <v>2.7423076923076923</v>
      </c>
      <c r="AA17" s="73">
        <f t="shared" si="0"/>
        <v>2831.2352461538458</v>
      </c>
    </row>
    <row r="18" spans="1:27" ht="15.75" x14ac:dyDescent="0.25">
      <c r="A18" t="s">
        <v>728</v>
      </c>
      <c r="B18" s="64">
        <v>3</v>
      </c>
      <c r="C18" s="467" t="str">
        <f>Материалы!C102</f>
        <v>Выключатель разъединитель 3P/100A</v>
      </c>
      <c r="D18" s="73" t="str">
        <f>Материалы!E102</f>
        <v>3P/100A</v>
      </c>
      <c r="E18" s="73" t="str">
        <f>Материалы!D102</f>
        <v>100A</v>
      </c>
      <c r="F18" s="73">
        <v>1</v>
      </c>
      <c r="G18" s="178">
        <f>Материалы!H102</f>
        <v>65.69</v>
      </c>
      <c r="H18" s="198">
        <f t="shared" si="1"/>
        <v>65.69</v>
      </c>
      <c r="I18" s="73">
        <f>Материалы!I102</f>
        <v>0.36</v>
      </c>
      <c r="J18" s="73">
        <f t="shared" si="2"/>
        <v>0.36</v>
      </c>
      <c r="L18" s="463" t="s">
        <v>970</v>
      </c>
      <c r="M18" s="73">
        <f>H55</f>
        <v>413.90000000000003</v>
      </c>
      <c r="N18" s="9">
        <f>H63</f>
        <v>131.98399999999998</v>
      </c>
      <c r="O18" s="9">
        <f>H63</f>
        <v>131.98399999999998</v>
      </c>
      <c r="P18" s="9">
        <f>H63</f>
        <v>131.98399999999998</v>
      </c>
      <c r="Q18" s="9">
        <f>H63</f>
        <v>131.98399999999998</v>
      </c>
      <c r="R18" s="9">
        <f>H19*$R$13</f>
        <v>0</v>
      </c>
      <c r="S18" s="9">
        <f>H23*$S$13</f>
        <v>119.10000000000001</v>
      </c>
      <c r="T18" s="110">
        <f>H81</f>
        <v>176.57</v>
      </c>
      <c r="U18" s="73">
        <f>H74</f>
        <v>42.050000000000004</v>
      </c>
      <c r="V18" s="178">
        <f>H85</f>
        <v>244.85</v>
      </c>
      <c r="W18" s="178">
        <f>H86</f>
        <v>147.60000000000002</v>
      </c>
      <c r="X18" s="9">
        <f>H28+H29+H30</f>
        <v>78.61</v>
      </c>
      <c r="Y18" s="178">
        <f>SUM(M18:X18)</f>
        <v>1750.6159999999993</v>
      </c>
      <c r="Z18" s="203">
        <f>1.55*1.15/0.65</f>
        <v>2.7423076923076923</v>
      </c>
      <c r="AA18" s="73">
        <f t="shared" si="0"/>
        <v>4800.7277230769214</v>
      </c>
    </row>
    <row r="19" spans="1:27" x14ac:dyDescent="0.25">
      <c r="A19" t="s">
        <v>729</v>
      </c>
      <c r="B19" s="64">
        <v>4</v>
      </c>
      <c r="C19" s="3" t="str">
        <f>Материалы!C105</f>
        <v>Выключатель разъединитель 3P/250A</v>
      </c>
      <c r="D19" s="73" t="str">
        <f>Материалы!E105</f>
        <v>3P/250A</v>
      </c>
      <c r="E19" s="73" t="str">
        <f>Материалы!D105</f>
        <v>250A</v>
      </c>
      <c r="F19" s="73">
        <v>1</v>
      </c>
      <c r="G19" s="178">
        <f>Материалы!H105</f>
        <v>284.48</v>
      </c>
      <c r="H19" s="198">
        <f t="shared" si="1"/>
        <v>284.48</v>
      </c>
      <c r="I19" s="73">
        <f>Материалы!I105</f>
        <v>1.4</v>
      </c>
      <c r="J19" s="73">
        <f t="shared" si="2"/>
        <v>1.4</v>
      </c>
    </row>
    <row r="20" spans="1:27" x14ac:dyDescent="0.25">
      <c r="B20" s="64">
        <v>1</v>
      </c>
      <c r="C20" s="3" t="s">
        <v>54</v>
      </c>
      <c r="D20" s="73" t="str">
        <f>Материалы!E65</f>
        <v>Клемма16</v>
      </c>
      <c r="E20" s="73">
        <f>Материалы!D65</f>
        <v>16</v>
      </c>
      <c r="F20" s="73">
        <v>3</v>
      </c>
      <c r="G20" s="178">
        <f>Материалы!H65</f>
        <v>3.02</v>
      </c>
      <c r="H20" s="198">
        <f t="shared" si="1"/>
        <v>9.06</v>
      </c>
      <c r="I20" s="73"/>
      <c r="J20" s="73"/>
    </row>
    <row r="21" spans="1:27" x14ac:dyDescent="0.25">
      <c r="A21">
        <v>35</v>
      </c>
      <c r="B21" s="64">
        <v>2</v>
      </c>
      <c r="C21" s="3" t="s">
        <v>54</v>
      </c>
      <c r="D21" s="73" t="str">
        <f>Материалы!E66</f>
        <v>Клемма35</v>
      </c>
      <c r="E21" s="73">
        <f>Материалы!D66</f>
        <v>35</v>
      </c>
      <c r="F21" s="73">
        <v>3</v>
      </c>
      <c r="G21" s="178">
        <f>Материалы!H66</f>
        <v>2.79</v>
      </c>
      <c r="H21" s="198">
        <f t="shared" si="1"/>
        <v>8.370000000000001</v>
      </c>
      <c r="I21" s="73"/>
      <c r="J21" s="73"/>
      <c r="L21" s="410" t="s">
        <v>358</v>
      </c>
      <c r="M21" s="9" t="s">
        <v>737</v>
      </c>
      <c r="N21" s="9" t="s">
        <v>54</v>
      </c>
    </row>
    <row r="22" spans="1:27" x14ac:dyDescent="0.25">
      <c r="A22">
        <v>70</v>
      </c>
      <c r="B22" s="64">
        <v>3</v>
      </c>
      <c r="C22" s="3" t="s">
        <v>54</v>
      </c>
      <c r="D22" s="73" t="str">
        <f>Материалы!E67</f>
        <v>Клемма70</v>
      </c>
      <c r="E22" s="73">
        <f>Материалы!D67</f>
        <v>70</v>
      </c>
      <c r="F22" s="73">
        <v>3</v>
      </c>
      <c r="G22" s="178">
        <f>Материалы!H67</f>
        <v>15.79</v>
      </c>
      <c r="H22" s="198">
        <f t="shared" si="1"/>
        <v>47.37</v>
      </c>
      <c r="I22" s="73"/>
      <c r="J22" s="73"/>
      <c r="L22" s="9">
        <v>15</v>
      </c>
      <c r="M22" s="9">
        <v>30.8</v>
      </c>
      <c r="N22" s="9">
        <v>10</v>
      </c>
    </row>
    <row r="23" spans="1:27" x14ac:dyDescent="0.25">
      <c r="A23">
        <v>150</v>
      </c>
      <c r="B23" s="64">
        <v>4</v>
      </c>
      <c r="C23" s="3" t="s">
        <v>54</v>
      </c>
      <c r="D23" s="73" t="str">
        <f>Материалы!E68</f>
        <v>Клемма150</v>
      </c>
      <c r="E23" s="73">
        <f>Материалы!D68</f>
        <v>150</v>
      </c>
      <c r="F23" s="73">
        <v>3</v>
      </c>
      <c r="G23" s="178">
        <f>Материалы!H68</f>
        <v>39.700000000000003</v>
      </c>
      <c r="H23" s="198">
        <f t="shared" si="1"/>
        <v>119.10000000000001</v>
      </c>
      <c r="I23" s="73"/>
      <c r="J23" s="73"/>
      <c r="L23" s="9">
        <v>30</v>
      </c>
      <c r="M23" s="9">
        <v>60</v>
      </c>
      <c r="N23" s="9">
        <v>25</v>
      </c>
    </row>
    <row r="24" spans="1:27" x14ac:dyDescent="0.25">
      <c r="B24" s="64"/>
      <c r="C24" s="3"/>
      <c r="D24" s="73"/>
      <c r="E24" s="73"/>
      <c r="F24" s="73"/>
      <c r="G24" s="178"/>
      <c r="H24" s="198"/>
      <c r="I24" s="73"/>
      <c r="J24" s="73"/>
      <c r="L24" s="9">
        <v>45</v>
      </c>
      <c r="M24" s="9">
        <v>88</v>
      </c>
      <c r="N24" s="9">
        <v>50</v>
      </c>
    </row>
    <row r="25" spans="1:27" x14ac:dyDescent="0.25">
      <c r="A25" t="s">
        <v>726</v>
      </c>
      <c r="B25" s="64"/>
      <c r="C25" s="3" t="s">
        <v>169</v>
      </c>
      <c r="D25" s="73" t="str">
        <f>Материалы!E153</f>
        <v>сила6</v>
      </c>
      <c r="E25" s="73">
        <f>Материалы!D153</f>
        <v>6</v>
      </c>
      <c r="F25" s="73">
        <v>2</v>
      </c>
      <c r="G25" s="178">
        <f>Материалы!H153</f>
        <v>1.72</v>
      </c>
      <c r="H25" s="198">
        <f t="shared" si="1"/>
        <v>3.44</v>
      </c>
      <c r="I25" s="73"/>
      <c r="J25" s="73"/>
      <c r="L25" s="9">
        <v>90</v>
      </c>
      <c r="M25" s="9">
        <v>176</v>
      </c>
      <c r="N25" s="9">
        <v>120</v>
      </c>
    </row>
    <row r="26" spans="1:27" x14ac:dyDescent="0.25">
      <c r="A26" t="s">
        <v>727</v>
      </c>
      <c r="B26" s="64"/>
      <c r="C26" s="3" t="s">
        <v>169</v>
      </c>
      <c r="D26" s="73" t="str">
        <f>Материалы!E153</f>
        <v>сила6</v>
      </c>
      <c r="E26" s="73">
        <f>Материалы!D153</f>
        <v>6</v>
      </c>
      <c r="F26" s="73">
        <v>5</v>
      </c>
      <c r="G26" s="178">
        <f>Материалы!H153</f>
        <v>1.72</v>
      </c>
      <c r="H26" s="198">
        <f t="shared" si="1"/>
        <v>8.6</v>
      </c>
      <c r="I26" s="73"/>
      <c r="J26" s="73"/>
    </row>
    <row r="27" spans="1:27" x14ac:dyDescent="0.25">
      <c r="A27" t="s">
        <v>728</v>
      </c>
      <c r="B27" s="64"/>
      <c r="C27" s="3" t="s">
        <v>169</v>
      </c>
      <c r="D27" s="73" t="str">
        <f>Материалы!E153</f>
        <v>сила6</v>
      </c>
      <c r="E27" s="73">
        <f>Материалы!D153</f>
        <v>6</v>
      </c>
      <c r="F27" s="73">
        <v>8</v>
      </c>
      <c r="G27" s="178">
        <f>Материалы!H153</f>
        <v>1.72</v>
      </c>
      <c r="H27" s="198">
        <f t="shared" si="1"/>
        <v>13.76</v>
      </c>
      <c r="I27" s="73"/>
      <c r="J27" s="73"/>
    </row>
    <row r="28" spans="1:27" x14ac:dyDescent="0.25">
      <c r="A28" s="199" t="s">
        <v>729</v>
      </c>
      <c r="B28" s="171"/>
      <c r="C28" s="171" t="s">
        <v>169</v>
      </c>
      <c r="D28" s="285" t="str">
        <f>Материалы!E153</f>
        <v>сила6</v>
      </c>
      <c r="E28" s="285">
        <f>Материалы!D153</f>
        <v>6</v>
      </c>
      <c r="F28" s="11">
        <v>28</v>
      </c>
      <c r="G28" s="524">
        <f>Материалы!H153</f>
        <v>1.72</v>
      </c>
      <c r="H28" s="525">
        <f t="shared" si="1"/>
        <v>48.16</v>
      </c>
      <c r="I28" s="73"/>
      <c r="J28" s="73"/>
    </row>
    <row r="29" spans="1:27" x14ac:dyDescent="0.25">
      <c r="A29" s="199" t="s">
        <v>729</v>
      </c>
      <c r="B29" s="171"/>
      <c r="C29" s="171" t="s">
        <v>169</v>
      </c>
      <c r="D29" s="285" t="str">
        <f>Материалы!E155</f>
        <v>сила16</v>
      </c>
      <c r="E29" s="285">
        <f>Материалы!D155</f>
        <v>16</v>
      </c>
      <c r="F29" s="11">
        <v>3</v>
      </c>
      <c r="G29" s="524">
        <f>Материалы!H155</f>
        <v>4.42</v>
      </c>
      <c r="H29" s="525">
        <f t="shared" si="1"/>
        <v>13.26</v>
      </c>
      <c r="I29" s="73"/>
      <c r="J29" s="73"/>
    </row>
    <row r="30" spans="1:27" x14ac:dyDescent="0.25">
      <c r="A30" s="199" t="s">
        <v>729</v>
      </c>
      <c r="B30" s="171"/>
      <c r="C30" s="171" t="s">
        <v>169</v>
      </c>
      <c r="D30" s="285" t="str">
        <f>Материалы!E157</f>
        <v>сила35</v>
      </c>
      <c r="E30" s="285">
        <f>Материалы!D157</f>
        <v>35</v>
      </c>
      <c r="F30" s="11">
        <v>1.5</v>
      </c>
      <c r="G30" s="524">
        <f>Материалы!H157</f>
        <v>11.46</v>
      </c>
      <c r="H30" s="525">
        <f t="shared" si="1"/>
        <v>17.190000000000001</v>
      </c>
      <c r="I30" s="73"/>
      <c r="J30" s="73"/>
    </row>
    <row r="31" spans="1:27" x14ac:dyDescent="0.25">
      <c r="B31" s="3"/>
      <c r="C31" s="3"/>
      <c r="D31" s="73"/>
      <c r="E31" s="73"/>
      <c r="F31" s="3"/>
      <c r="G31" s="178"/>
      <c r="H31" s="50"/>
      <c r="I31" s="73"/>
      <c r="J31" s="73"/>
    </row>
    <row r="32" spans="1:27" ht="15.75" x14ac:dyDescent="0.25">
      <c r="B32" s="7">
        <v>1</v>
      </c>
      <c r="C32" s="459" t="s">
        <v>722</v>
      </c>
      <c r="D32" s="15"/>
      <c r="E32" s="33"/>
      <c r="F32" s="33"/>
      <c r="G32" s="15"/>
      <c r="H32" s="33"/>
      <c r="I32" s="33"/>
      <c r="J32" s="1"/>
    </row>
    <row r="33" spans="2:24" x14ac:dyDescent="0.25">
      <c r="B33" s="3"/>
      <c r="C33" s="384" t="str">
        <f>Материалы!C30</f>
        <v>Автоматический выключатель 3п "С"</v>
      </c>
      <c r="D33" s="73" t="str">
        <f>Материалы!E30</f>
        <v>32А 3п.</v>
      </c>
      <c r="E33" s="73">
        <f>Материалы!D30</f>
        <v>32</v>
      </c>
      <c r="F33" s="73">
        <v>1</v>
      </c>
      <c r="G33" s="178">
        <f>Материалы!H30</f>
        <v>40.01</v>
      </c>
      <c r="H33" s="73">
        <f>F33*G33</f>
        <v>40.01</v>
      </c>
      <c r="I33" s="73">
        <f>Материалы!I30</f>
        <v>0.5</v>
      </c>
      <c r="J33" s="9">
        <f t="shared" si="2"/>
        <v>0.5</v>
      </c>
    </row>
    <row r="34" spans="2:24" x14ac:dyDescent="0.25">
      <c r="B34" s="3"/>
      <c r="C34" s="3" t="str">
        <f>Материалы!C36</f>
        <v>Доп. контакт для автомата 3п</v>
      </c>
      <c r="D34" s="73" t="str">
        <f>Материалы!E36</f>
        <v>ДП_3п"С"</v>
      </c>
      <c r="E34" s="73" t="str">
        <f>Материалы!D36</f>
        <v>ДП_3п"С"</v>
      </c>
      <c r="F34" s="73">
        <v>1</v>
      </c>
      <c r="G34" s="178">
        <f>Материалы!H36</f>
        <v>24.55</v>
      </c>
      <c r="H34" s="73">
        <f t="shared" ref="H34:H41" si="3">F34*G34</f>
        <v>24.55</v>
      </c>
      <c r="I34" s="73">
        <f>Материалы!I36</f>
        <v>0.2</v>
      </c>
      <c r="J34" s="9">
        <f t="shared" si="2"/>
        <v>0.2</v>
      </c>
      <c r="L34" s="268" t="s">
        <v>258</v>
      </c>
      <c r="N34" s="471" t="s">
        <v>733</v>
      </c>
      <c r="O34" s="472"/>
      <c r="P34" s="472"/>
      <c r="Q34" s="280"/>
    </row>
    <row r="35" spans="2:24" x14ac:dyDescent="0.25">
      <c r="B35" s="3"/>
      <c r="C35" s="3" t="str">
        <f>Материалы!C45</f>
        <v>Контактор</v>
      </c>
      <c r="D35" s="73" t="str">
        <f>Материалы!E49</f>
        <v>LC1D32P7</v>
      </c>
      <c r="E35" s="73">
        <f>Материалы!D49</f>
        <v>32</v>
      </c>
      <c r="F35" s="73">
        <v>1</v>
      </c>
      <c r="G35" s="178">
        <f>Материалы!H49</f>
        <v>61.29</v>
      </c>
      <c r="H35" s="73">
        <f t="shared" si="3"/>
        <v>61.29</v>
      </c>
      <c r="I35" s="73">
        <f>Материалы!I49</f>
        <v>0.38</v>
      </c>
      <c r="J35" s="9">
        <f t="shared" si="2"/>
        <v>0.38</v>
      </c>
      <c r="L35" s="9" t="s">
        <v>731</v>
      </c>
      <c r="M35" s="9" t="s">
        <v>732</v>
      </c>
      <c r="N35" s="9">
        <v>1</v>
      </c>
      <c r="O35" s="9">
        <v>2</v>
      </c>
      <c r="P35" s="9">
        <v>3</v>
      </c>
      <c r="Q35" s="9">
        <v>4</v>
      </c>
      <c r="R35" s="3" t="s">
        <v>734</v>
      </c>
      <c r="S35" s="3" t="s">
        <v>730</v>
      </c>
      <c r="T35" s="73" t="s">
        <v>735</v>
      </c>
      <c r="U35" s="73" t="s">
        <v>736</v>
      </c>
      <c r="V35" s="73" t="s">
        <v>778</v>
      </c>
      <c r="W35" s="73" t="s">
        <v>251</v>
      </c>
      <c r="X35" s="409" t="s">
        <v>793</v>
      </c>
    </row>
    <row r="36" spans="2:24" x14ac:dyDescent="0.25">
      <c r="B36" s="3"/>
      <c r="C36" s="3" t="str">
        <f>Материалы!C121</f>
        <v>Регулятор мощности 230VAC/45A без радиатора</v>
      </c>
      <c r="D36" s="73" t="str">
        <f>Материалы!E121</f>
        <v>НDH-6044.ZD3</v>
      </c>
      <c r="E36" s="73" t="str">
        <f>Материалы!D121</f>
        <v>НDH-6044.ZD3</v>
      </c>
      <c r="F36" s="73">
        <v>2</v>
      </c>
      <c r="G36" s="73">
        <f>Материалы!H121</f>
        <v>68.650000000000006</v>
      </c>
      <c r="H36" s="73">
        <f t="shared" si="3"/>
        <v>137.30000000000001</v>
      </c>
      <c r="I36" s="178">
        <f>Материалы!I121</f>
        <v>0.13</v>
      </c>
      <c r="J36" s="9">
        <f t="shared" si="2"/>
        <v>0.26</v>
      </c>
      <c r="L36" s="463" t="s">
        <v>682</v>
      </c>
      <c r="M36" s="73">
        <f>J42</f>
        <v>2.14</v>
      </c>
      <c r="N36" s="9"/>
      <c r="O36" s="9"/>
      <c r="P36" s="9"/>
      <c r="Q36" s="9"/>
      <c r="R36" s="9">
        <f>J16</f>
        <v>0.11</v>
      </c>
      <c r="S36" s="110">
        <f>J81</f>
        <v>0.7</v>
      </c>
      <c r="T36" s="73"/>
      <c r="U36" s="178">
        <f>J84</f>
        <v>20</v>
      </c>
      <c r="V36" s="73"/>
      <c r="W36" s="178">
        <f>SUM(M36:U36)</f>
        <v>22.95</v>
      </c>
      <c r="X36" s="145">
        <v>25</v>
      </c>
    </row>
    <row r="37" spans="2:24" x14ac:dyDescent="0.25">
      <c r="B37" s="3"/>
      <c r="C37" s="3" t="str">
        <f>Материалы!C129</f>
        <v>Радиатор 144х110х50</v>
      </c>
      <c r="D37" s="73" t="str">
        <f>Материалы!E129</f>
        <v>РТР062.1</v>
      </c>
      <c r="E37" s="73" t="str">
        <f>Материалы!D129</f>
        <v>РТР062.1</v>
      </c>
      <c r="F37" s="73">
        <v>2</v>
      </c>
      <c r="G37" s="73">
        <f>Материалы!H129</f>
        <v>20.65</v>
      </c>
      <c r="H37" s="73">
        <f t="shared" si="3"/>
        <v>41.3</v>
      </c>
      <c r="I37" s="178">
        <f>Материалы!I129</f>
        <v>0.4</v>
      </c>
      <c r="J37" s="9">
        <f t="shared" si="2"/>
        <v>0.8</v>
      </c>
      <c r="L37" s="463" t="s">
        <v>683</v>
      </c>
      <c r="M37" s="73">
        <f>J42</f>
        <v>2.14</v>
      </c>
      <c r="N37" s="9">
        <f>J63</f>
        <v>1.08</v>
      </c>
      <c r="O37" s="9"/>
      <c r="P37" s="9"/>
      <c r="Q37" s="9"/>
      <c r="R37" s="9">
        <f>J17</f>
        <v>0.27</v>
      </c>
      <c r="S37" s="110">
        <f>J81</f>
        <v>0.7</v>
      </c>
      <c r="T37" s="73"/>
      <c r="U37" s="178">
        <f>J84</f>
        <v>20</v>
      </c>
      <c r="V37" s="73"/>
      <c r="W37" s="178">
        <f>SUM(M37:U37)</f>
        <v>24.19</v>
      </c>
      <c r="X37" s="145">
        <v>27</v>
      </c>
    </row>
    <row r="38" spans="2:24" x14ac:dyDescent="0.25">
      <c r="B38" s="3"/>
      <c r="C38" s="3" t="s">
        <v>413</v>
      </c>
      <c r="D38" s="73"/>
      <c r="E38" s="73"/>
      <c r="F38" s="73">
        <v>0</v>
      </c>
      <c r="G38" s="73"/>
      <c r="H38" s="73">
        <f t="shared" si="3"/>
        <v>0</v>
      </c>
      <c r="I38" s="73"/>
      <c r="J38" s="9">
        <f t="shared" si="2"/>
        <v>0</v>
      </c>
      <c r="K38">
        <f>H33+H34+H35</f>
        <v>125.85</v>
      </c>
      <c r="L38" s="463" t="s">
        <v>684</v>
      </c>
      <c r="M38" s="73">
        <f>J42</f>
        <v>2.14</v>
      </c>
      <c r="N38" s="9">
        <f>J63</f>
        <v>1.08</v>
      </c>
      <c r="O38" s="9">
        <f>J63</f>
        <v>1.08</v>
      </c>
      <c r="P38" s="9"/>
      <c r="Q38" s="9"/>
      <c r="R38" s="9">
        <f>J18</f>
        <v>0.36</v>
      </c>
      <c r="S38" s="110">
        <f>J81</f>
        <v>0.7</v>
      </c>
      <c r="T38" s="73"/>
      <c r="U38" s="178">
        <f>J84</f>
        <v>20</v>
      </c>
      <c r="V38" s="73"/>
      <c r="W38" s="178">
        <f>SUM(M38:U38)</f>
        <v>25.36</v>
      </c>
      <c r="X38" s="145">
        <v>30</v>
      </c>
    </row>
    <row r="39" spans="2:24" x14ac:dyDescent="0.25">
      <c r="B39" s="3"/>
      <c r="C39" s="3" t="s">
        <v>54</v>
      </c>
      <c r="D39" s="73" t="str">
        <f>Материалы!E61</f>
        <v>Клемма2,5</v>
      </c>
      <c r="E39" s="73">
        <f>Материалы!D61</f>
        <v>2.5</v>
      </c>
      <c r="F39" s="73">
        <v>3</v>
      </c>
      <c r="G39" s="178">
        <f>Материалы!H61</f>
        <v>0.63</v>
      </c>
      <c r="H39" s="73">
        <f t="shared" si="3"/>
        <v>1.8900000000000001</v>
      </c>
      <c r="I39" s="73"/>
      <c r="J39" s="9">
        <f t="shared" si="2"/>
        <v>0</v>
      </c>
      <c r="L39" s="463" t="s">
        <v>970</v>
      </c>
      <c r="M39" s="73">
        <f>J55</f>
        <v>3.4499999999999997</v>
      </c>
      <c r="N39" s="9">
        <f>J63</f>
        <v>1.08</v>
      </c>
      <c r="O39" s="9">
        <f>J63</f>
        <v>1.08</v>
      </c>
      <c r="P39" s="9">
        <f>J63</f>
        <v>1.08</v>
      </c>
      <c r="Q39" s="9">
        <f>J63</f>
        <v>1.08</v>
      </c>
      <c r="R39" s="9">
        <f>J19</f>
        <v>1.4</v>
      </c>
      <c r="S39" s="110">
        <f>J81</f>
        <v>0.7</v>
      </c>
      <c r="T39" s="73"/>
      <c r="U39" s="178">
        <f>J85</f>
        <v>33</v>
      </c>
      <c r="V39" s="178">
        <f>J86</f>
        <v>0.30000000000000004</v>
      </c>
      <c r="W39" s="178">
        <f>SUM(M39:V39)</f>
        <v>43.169999999999995</v>
      </c>
      <c r="X39" s="145">
        <v>50</v>
      </c>
    </row>
    <row r="40" spans="2:24" x14ac:dyDescent="0.25">
      <c r="B40" s="3"/>
      <c r="C40" s="3" t="s">
        <v>54</v>
      </c>
      <c r="D40" s="73" t="str">
        <f>Материалы!E75</f>
        <v>Клемма PE2,5</v>
      </c>
      <c r="E40" s="73">
        <f>Материалы!D75</f>
        <v>2.5</v>
      </c>
      <c r="F40" s="73">
        <v>1</v>
      </c>
      <c r="G40" s="178">
        <f>Материалы!H75</f>
        <v>1.87</v>
      </c>
      <c r="H40" s="73">
        <f t="shared" si="3"/>
        <v>1.87</v>
      </c>
      <c r="I40" s="73"/>
      <c r="J40" s="9">
        <f t="shared" si="2"/>
        <v>0</v>
      </c>
    </row>
    <row r="41" spans="2:24" x14ac:dyDescent="0.25">
      <c r="B41" s="3"/>
      <c r="C41" s="3" t="s">
        <v>169</v>
      </c>
      <c r="D41" s="73" t="str">
        <f>Материалы!E153</f>
        <v>сила6</v>
      </c>
      <c r="E41" s="73">
        <f>Материалы!D153</f>
        <v>6</v>
      </c>
      <c r="F41" s="203">
        <v>3.5</v>
      </c>
      <c r="G41" s="178">
        <f>Материалы!H153</f>
        <v>1.72</v>
      </c>
      <c r="H41" s="73">
        <f t="shared" si="3"/>
        <v>6.02</v>
      </c>
      <c r="I41" s="73"/>
      <c r="J41" s="9">
        <f t="shared" si="2"/>
        <v>0</v>
      </c>
    </row>
    <row r="42" spans="2:24" x14ac:dyDescent="0.25">
      <c r="B42" s="3"/>
      <c r="C42" s="82" t="s">
        <v>250</v>
      </c>
      <c r="D42" s="468"/>
      <c r="E42" s="468"/>
      <c r="F42" s="468"/>
      <c r="G42" s="469"/>
      <c r="H42" s="350">
        <f>SUM(H33:H41)</f>
        <v>314.22999999999996</v>
      </c>
      <c r="I42" s="350"/>
      <c r="J42" s="350">
        <f>SUM(J33:J41)</f>
        <v>2.14</v>
      </c>
    </row>
    <row r="43" spans="2:24" x14ac:dyDescent="0.25">
      <c r="D43" s="204"/>
      <c r="E43" s="204"/>
      <c r="F43" s="204"/>
      <c r="G43" s="204"/>
      <c r="H43" s="204"/>
      <c r="I43" s="204"/>
      <c r="J43" s="1"/>
      <c r="R43" t="s">
        <v>848</v>
      </c>
      <c r="S43" t="s">
        <v>849</v>
      </c>
      <c r="T43" t="s">
        <v>853</v>
      </c>
    </row>
    <row r="44" spans="2:24" ht="15.75" x14ac:dyDescent="0.25">
      <c r="B44" s="7">
        <v>2</v>
      </c>
      <c r="C44" s="459" t="s">
        <v>723</v>
      </c>
      <c r="D44" s="460"/>
      <c r="E44" s="460"/>
      <c r="F44" s="460"/>
      <c r="G44" s="460"/>
      <c r="H44" s="460"/>
      <c r="I44" s="460"/>
      <c r="J44" s="1"/>
      <c r="O44" t="s">
        <v>850</v>
      </c>
      <c r="Q44" s="228" t="s">
        <v>682</v>
      </c>
      <c r="R44" s="287">
        <v>739.18</v>
      </c>
      <c r="S44" s="287">
        <v>50025</v>
      </c>
      <c r="T44" s="287">
        <f>S44*1.2</f>
        <v>60030</v>
      </c>
    </row>
    <row r="45" spans="2:24" x14ac:dyDescent="0.25">
      <c r="B45" s="3"/>
      <c r="C45" s="384" t="str">
        <f>Материалы!C42</f>
        <v>Автомат. Выключатель 1п</v>
      </c>
      <c r="D45" s="73" t="str">
        <f>Материалы!E32</f>
        <v>63А 3п.</v>
      </c>
      <c r="E45" s="73">
        <f>Материалы!D32</f>
        <v>63</v>
      </c>
      <c r="F45" s="73">
        <v>1</v>
      </c>
      <c r="G45" s="178">
        <f>Материалы!H32</f>
        <v>63.53</v>
      </c>
      <c r="H45" s="73">
        <f>F45*G45</f>
        <v>63.53</v>
      </c>
      <c r="I45" s="73">
        <f>Материалы!I32</f>
        <v>0.5</v>
      </c>
      <c r="J45" s="9">
        <f t="shared" si="2"/>
        <v>0.5</v>
      </c>
      <c r="Q45" s="228" t="s">
        <v>683</v>
      </c>
      <c r="R45" s="287">
        <v>902.55</v>
      </c>
      <c r="S45" s="287">
        <v>61080</v>
      </c>
      <c r="T45" s="287">
        <f t="shared" ref="T45:T55" si="4">S45*1.2</f>
        <v>73296</v>
      </c>
    </row>
    <row r="46" spans="2:24" x14ac:dyDescent="0.25">
      <c r="B46" s="3"/>
      <c r="C46" s="3" t="str">
        <f>Материалы!C36</f>
        <v>Доп. контакт для автомата 3п</v>
      </c>
      <c r="D46" s="73" t="str">
        <f>Материалы!E36</f>
        <v>ДП_3п"С"</v>
      </c>
      <c r="E46" s="73" t="str">
        <f>Материалы!D36</f>
        <v>ДП_3п"С"</v>
      </c>
      <c r="F46" s="73">
        <v>1</v>
      </c>
      <c r="G46" s="178">
        <f>Материалы!H36</f>
        <v>24.55</v>
      </c>
      <c r="H46" s="73">
        <f t="shared" ref="H46:H54" si="5">F46*G46</f>
        <v>24.55</v>
      </c>
      <c r="I46" s="73">
        <f>Материалы!I36</f>
        <v>0.2</v>
      </c>
      <c r="J46" s="9">
        <f t="shared" si="2"/>
        <v>0.2</v>
      </c>
      <c r="Q46" s="228" t="s">
        <v>684</v>
      </c>
      <c r="R46" s="287">
        <v>1050.75</v>
      </c>
      <c r="S46" s="287">
        <v>71110</v>
      </c>
      <c r="T46" s="287">
        <f t="shared" si="4"/>
        <v>85332</v>
      </c>
    </row>
    <row r="47" spans="2:24" x14ac:dyDescent="0.25">
      <c r="B47" s="3"/>
      <c r="C47" s="3" t="str">
        <f>Материалы!C48</f>
        <v>Контактор</v>
      </c>
      <c r="D47" s="73" t="str">
        <f>Материалы!E49</f>
        <v>LC1D32P7</v>
      </c>
      <c r="E47" s="73">
        <f>Материалы!D49</f>
        <v>32</v>
      </c>
      <c r="F47" s="73">
        <v>2</v>
      </c>
      <c r="G47" s="178">
        <f>Материалы!H49</f>
        <v>61.29</v>
      </c>
      <c r="H47" s="73">
        <f t="shared" si="5"/>
        <v>122.58</v>
      </c>
      <c r="I47" s="73">
        <f>Материалы!I49</f>
        <v>0.38</v>
      </c>
      <c r="J47" s="9">
        <f t="shared" si="2"/>
        <v>0.76</v>
      </c>
      <c r="Q47" s="228" t="s">
        <v>685</v>
      </c>
      <c r="R47" s="287">
        <v>1916</v>
      </c>
      <c r="S47" s="287">
        <v>129665</v>
      </c>
      <c r="T47" s="287">
        <f t="shared" si="4"/>
        <v>155598</v>
      </c>
    </row>
    <row r="48" spans="2:24" x14ac:dyDescent="0.25">
      <c r="B48" s="3"/>
      <c r="C48" s="3" t="str">
        <f>Материалы!C123</f>
        <v>Регулятор мощности 230VAC/90A без радиатора</v>
      </c>
      <c r="D48" s="73" t="str">
        <f>Материалы!E123</f>
        <v>НDH-12044.ZD3</v>
      </c>
      <c r="E48" s="73" t="str">
        <f>Материалы!D123</f>
        <v>НDH-12044.ZD3</v>
      </c>
      <c r="F48" s="73">
        <v>2</v>
      </c>
      <c r="G48" s="73">
        <f>Материалы!H123</f>
        <v>54.57</v>
      </c>
      <c r="H48" s="73">
        <f t="shared" si="5"/>
        <v>109.14</v>
      </c>
      <c r="I48" s="178">
        <f>Материалы!I123</f>
        <v>0.13</v>
      </c>
      <c r="J48" s="9">
        <f t="shared" si="2"/>
        <v>0.26</v>
      </c>
      <c r="O48" t="s">
        <v>851</v>
      </c>
      <c r="Q48" s="539" t="s">
        <v>682</v>
      </c>
      <c r="R48" s="351">
        <v>674.62</v>
      </c>
      <c r="S48" s="351">
        <v>45655</v>
      </c>
      <c r="T48" s="351">
        <f t="shared" si="4"/>
        <v>54786</v>
      </c>
    </row>
    <row r="49" spans="2:20" x14ac:dyDescent="0.25">
      <c r="B49" s="3"/>
      <c r="C49" s="3" t="str">
        <f>Материалы!C131</f>
        <v>Радиатор 150х100х80</v>
      </c>
      <c r="D49" s="73" t="str">
        <f>Материалы!E131</f>
        <v>РТР036</v>
      </c>
      <c r="E49" s="73" t="str">
        <f>Материалы!D131</f>
        <v>РТР036</v>
      </c>
      <c r="F49" s="73">
        <v>2</v>
      </c>
      <c r="G49" s="73">
        <f>Материалы!H131</f>
        <v>21.84</v>
      </c>
      <c r="H49" s="73">
        <f t="shared" si="5"/>
        <v>43.68</v>
      </c>
      <c r="I49" s="178">
        <f>Материалы!I131</f>
        <v>0.48</v>
      </c>
      <c r="J49" s="9">
        <f t="shared" si="2"/>
        <v>0.96</v>
      </c>
      <c r="Q49" s="539" t="s">
        <v>683</v>
      </c>
      <c r="R49" s="351">
        <v>773.43</v>
      </c>
      <c r="S49" s="351">
        <v>52345</v>
      </c>
      <c r="T49" s="351">
        <f t="shared" si="4"/>
        <v>62814</v>
      </c>
    </row>
    <row r="50" spans="2:20" x14ac:dyDescent="0.25">
      <c r="B50" s="3"/>
      <c r="C50" s="3" t="s">
        <v>413</v>
      </c>
      <c r="D50" s="73" t="str">
        <f>Материалы!E136</f>
        <v>В_80_38</v>
      </c>
      <c r="E50" s="73" t="str">
        <f>Материалы!D136</f>
        <v>В_80_38</v>
      </c>
      <c r="F50" s="73">
        <v>2</v>
      </c>
      <c r="G50" s="73">
        <f>Материалы!H136</f>
        <v>13.86</v>
      </c>
      <c r="H50" s="73">
        <f t="shared" si="5"/>
        <v>27.72</v>
      </c>
      <c r="I50" s="178">
        <f>Материалы!I136</f>
        <v>0.3</v>
      </c>
      <c r="J50" s="9">
        <f t="shared" si="2"/>
        <v>0.6</v>
      </c>
      <c r="Q50" s="539" t="s">
        <v>684</v>
      </c>
      <c r="R50" s="351">
        <v>857.07</v>
      </c>
      <c r="S50" s="351">
        <v>58005</v>
      </c>
      <c r="T50" s="351">
        <f t="shared" si="4"/>
        <v>69606</v>
      </c>
    </row>
    <row r="51" spans="2:20" x14ac:dyDescent="0.25">
      <c r="B51" s="3"/>
      <c r="C51" s="3" t="s">
        <v>54</v>
      </c>
      <c r="D51" s="73" t="str">
        <f>Материалы!E61</f>
        <v>Клемма2,5</v>
      </c>
      <c r="E51" s="73">
        <f>Материалы!D61</f>
        <v>2.5</v>
      </c>
      <c r="F51" s="73">
        <v>3</v>
      </c>
      <c r="G51" s="178">
        <f>Материалы!H61</f>
        <v>0.63</v>
      </c>
      <c r="H51" s="73">
        <f t="shared" si="5"/>
        <v>1.8900000000000001</v>
      </c>
      <c r="I51" s="73"/>
      <c r="J51" s="9">
        <f t="shared" si="2"/>
        <v>0</v>
      </c>
      <c r="Q51" s="539" t="s">
        <v>685</v>
      </c>
      <c r="R51" s="351">
        <v>1569.68</v>
      </c>
      <c r="S51" s="351">
        <v>106225</v>
      </c>
      <c r="T51" s="351">
        <f t="shared" si="4"/>
        <v>127470</v>
      </c>
    </row>
    <row r="52" spans="2:20" x14ac:dyDescent="0.25">
      <c r="B52" s="3"/>
      <c r="C52" s="3" t="str">
        <f>Материалы!C37</f>
        <v>Автомат. Выключатель 1п</v>
      </c>
      <c r="D52" s="73" t="str">
        <f>Материалы!E37</f>
        <v>6А 1п.</v>
      </c>
      <c r="E52" s="73">
        <f>Материалы!D37</f>
        <v>6</v>
      </c>
      <c r="F52" s="73">
        <v>1</v>
      </c>
      <c r="G52" s="178">
        <f>Материалы!H37</f>
        <v>11.2</v>
      </c>
      <c r="H52" s="73">
        <f t="shared" si="5"/>
        <v>11.2</v>
      </c>
      <c r="I52" s="73">
        <f>Материалы!I37</f>
        <v>0.17</v>
      </c>
      <c r="J52" s="9">
        <f t="shared" si="2"/>
        <v>0.17</v>
      </c>
      <c r="O52" t="s">
        <v>851</v>
      </c>
      <c r="Q52" s="540" t="s">
        <v>682</v>
      </c>
      <c r="R52" s="285">
        <v>646.21</v>
      </c>
      <c r="S52" s="285">
        <v>43735</v>
      </c>
      <c r="T52" s="285">
        <f t="shared" si="4"/>
        <v>52482</v>
      </c>
    </row>
    <row r="53" spans="2:20" x14ac:dyDescent="0.25">
      <c r="B53" s="3"/>
      <c r="C53" s="3" t="s">
        <v>54</v>
      </c>
      <c r="D53" s="73" t="str">
        <f>Материалы!E75</f>
        <v>Клемма PE2,5</v>
      </c>
      <c r="E53" s="73">
        <f>Материалы!D75</f>
        <v>2.5</v>
      </c>
      <c r="F53" s="73">
        <v>1</v>
      </c>
      <c r="G53" s="178">
        <f>Материалы!H75</f>
        <v>1.87</v>
      </c>
      <c r="H53" s="73">
        <f t="shared" si="5"/>
        <v>1.87</v>
      </c>
      <c r="I53" s="73"/>
      <c r="J53" s="9"/>
      <c r="O53" t="s">
        <v>852</v>
      </c>
      <c r="Q53" s="540" t="s">
        <v>683</v>
      </c>
      <c r="R53" s="285">
        <v>718.79</v>
      </c>
      <c r="S53" s="285">
        <v>48645</v>
      </c>
      <c r="T53" s="285">
        <f t="shared" si="4"/>
        <v>58374</v>
      </c>
    </row>
    <row r="54" spans="2:20" x14ac:dyDescent="0.25">
      <c r="B54" s="3"/>
      <c r="C54" s="3" t="s">
        <v>169</v>
      </c>
      <c r="D54" s="73" t="str">
        <f>Материалы!E153</f>
        <v>сила6</v>
      </c>
      <c r="E54" s="73">
        <f>Материалы!D153</f>
        <v>6</v>
      </c>
      <c r="F54" s="203">
        <v>4.5</v>
      </c>
      <c r="G54" s="178">
        <f>Материалы!H153</f>
        <v>1.72</v>
      </c>
      <c r="H54" s="73">
        <f t="shared" si="5"/>
        <v>7.74</v>
      </c>
      <c r="I54" s="73"/>
      <c r="J54" s="9"/>
      <c r="Q54" s="540" t="s">
        <v>684</v>
      </c>
      <c r="R54" s="285">
        <v>791.38</v>
      </c>
      <c r="S54" s="285">
        <v>5355</v>
      </c>
      <c r="T54" s="285">
        <f t="shared" si="4"/>
        <v>6426</v>
      </c>
    </row>
    <row r="55" spans="2:20" x14ac:dyDescent="0.25">
      <c r="B55" s="3"/>
      <c r="C55" s="82" t="s">
        <v>250</v>
      </c>
      <c r="D55" s="468"/>
      <c r="E55" s="468"/>
      <c r="F55" s="468"/>
      <c r="G55" s="469"/>
      <c r="H55" s="350">
        <f>SUM(H45:H54)</f>
        <v>413.90000000000003</v>
      </c>
      <c r="I55" s="350"/>
      <c r="J55" s="350">
        <f>SUM(J45:J52)</f>
        <v>3.4499999999999997</v>
      </c>
      <c r="Q55" s="540" t="s">
        <v>685</v>
      </c>
      <c r="R55" s="285">
        <v>1285.2</v>
      </c>
      <c r="S55" s="11">
        <v>86975</v>
      </c>
      <c r="T55" s="285">
        <f t="shared" si="4"/>
        <v>104370</v>
      </c>
    </row>
    <row r="56" spans="2:20" x14ac:dyDescent="0.25">
      <c r="D56" s="204"/>
      <c r="E56" s="204"/>
      <c r="F56" s="204"/>
      <c r="G56" s="204"/>
      <c r="H56" s="204"/>
      <c r="I56" s="204"/>
      <c r="J56" s="1"/>
    </row>
    <row r="57" spans="2:20" ht="15.75" x14ac:dyDescent="0.25">
      <c r="B57" s="7">
        <v>3</v>
      </c>
      <c r="C57" s="459" t="s">
        <v>724</v>
      </c>
      <c r="D57" s="460"/>
      <c r="E57" s="460"/>
      <c r="F57" s="460"/>
      <c r="G57" s="460"/>
      <c r="H57" s="460"/>
      <c r="I57" s="460"/>
      <c r="J57" s="1"/>
    </row>
    <row r="58" spans="2:20" x14ac:dyDescent="0.25">
      <c r="B58" s="64"/>
      <c r="C58" s="3" t="s">
        <v>725</v>
      </c>
      <c r="D58" s="73" t="str">
        <f>Материалы!E30</f>
        <v>32А 3п.</v>
      </c>
      <c r="E58" s="73">
        <f>Материалы!D30</f>
        <v>32</v>
      </c>
      <c r="F58" s="73">
        <v>1</v>
      </c>
      <c r="G58" s="178">
        <f>Материалы!H30</f>
        <v>40.01</v>
      </c>
      <c r="H58" s="73">
        <f>F58*G58</f>
        <v>40.01</v>
      </c>
      <c r="I58" s="73">
        <f>Материалы!I30</f>
        <v>0.5</v>
      </c>
      <c r="J58" s="9">
        <f t="shared" si="2"/>
        <v>0.5</v>
      </c>
    </row>
    <row r="59" spans="2:20" x14ac:dyDescent="0.25">
      <c r="B59" s="64"/>
      <c r="C59" s="3" t="s">
        <v>63</v>
      </c>
      <c r="D59" s="73" t="str">
        <f>Материалы!E36</f>
        <v>ДП_3п"С"</v>
      </c>
      <c r="E59" s="73" t="str">
        <f>Материалы!D36</f>
        <v>ДП_3п"С"</v>
      </c>
      <c r="F59" s="73">
        <v>1</v>
      </c>
      <c r="G59" s="178">
        <f>Материалы!H36</f>
        <v>24.55</v>
      </c>
      <c r="H59" s="73">
        <f t="shared" ref="H59:H62" si="6">F59*G59</f>
        <v>24.55</v>
      </c>
      <c r="I59" s="73">
        <f>Материалы!I36</f>
        <v>0.2</v>
      </c>
      <c r="J59" s="9">
        <f t="shared" si="2"/>
        <v>0.2</v>
      </c>
    </row>
    <row r="60" spans="2:20" x14ac:dyDescent="0.25">
      <c r="B60" s="64"/>
      <c r="C60" s="3" t="s">
        <v>47</v>
      </c>
      <c r="D60" s="73" t="str">
        <f>Материалы!E49</f>
        <v>LC1D32P7</v>
      </c>
      <c r="E60" s="73">
        <f>Материалы!D49</f>
        <v>32</v>
      </c>
      <c r="F60" s="73">
        <v>1</v>
      </c>
      <c r="G60" s="178">
        <f>Материалы!H49</f>
        <v>61.29</v>
      </c>
      <c r="H60" s="73">
        <f t="shared" si="6"/>
        <v>61.29</v>
      </c>
      <c r="I60" s="73">
        <f>Материалы!I49</f>
        <v>0.38</v>
      </c>
      <c r="J60" s="9">
        <f t="shared" si="2"/>
        <v>0.38</v>
      </c>
    </row>
    <row r="61" spans="2:20" x14ac:dyDescent="0.25">
      <c r="B61" s="64"/>
      <c r="C61" s="3" t="s">
        <v>54</v>
      </c>
      <c r="D61" s="73" t="str">
        <f>Материалы!E61</f>
        <v>Клемма2,5</v>
      </c>
      <c r="E61" s="73">
        <f>Материалы!D61</f>
        <v>2.5</v>
      </c>
      <c r="F61" s="73">
        <v>1</v>
      </c>
      <c r="G61" s="178">
        <f>Материалы!H61</f>
        <v>0.63</v>
      </c>
      <c r="H61" s="73">
        <f t="shared" si="6"/>
        <v>0.63</v>
      </c>
      <c r="I61" s="73"/>
      <c r="J61" s="9"/>
    </row>
    <row r="62" spans="2:20" x14ac:dyDescent="0.25">
      <c r="B62" s="64"/>
      <c r="C62" s="3" t="s">
        <v>169</v>
      </c>
      <c r="D62" s="73" t="str">
        <f>Материалы!E153</f>
        <v>сила6</v>
      </c>
      <c r="E62" s="73">
        <f>Материалы!D153</f>
        <v>6</v>
      </c>
      <c r="F62" s="73">
        <v>3.2</v>
      </c>
      <c r="G62" s="178">
        <f>Материалы!H153</f>
        <v>1.72</v>
      </c>
      <c r="H62" s="73">
        <f t="shared" si="6"/>
        <v>5.5040000000000004</v>
      </c>
      <c r="I62" s="73"/>
      <c r="J62" s="9"/>
    </row>
    <row r="63" spans="2:20" x14ac:dyDescent="0.25">
      <c r="B63" s="3"/>
      <c r="C63" s="82" t="s">
        <v>250</v>
      </c>
      <c r="D63" s="468"/>
      <c r="E63" s="468"/>
      <c r="F63" s="468"/>
      <c r="G63" s="469"/>
      <c r="H63" s="350">
        <f>SUM(H58:H62)</f>
        <v>131.98399999999998</v>
      </c>
      <c r="I63" s="350"/>
      <c r="J63" s="350">
        <f>SUM(J58:J60)</f>
        <v>1.08</v>
      </c>
    </row>
    <row r="64" spans="2:20" x14ac:dyDescent="0.25">
      <c r="J64" s="1"/>
    </row>
    <row r="65" spans="2:10" x14ac:dyDescent="0.25">
      <c r="J65" s="1"/>
    </row>
    <row r="66" spans="2:10" x14ac:dyDescent="0.25">
      <c r="J66" s="1"/>
    </row>
    <row r="67" spans="2:10" ht="15.75" x14ac:dyDescent="0.25">
      <c r="B67" s="15"/>
      <c r="C67" s="459" t="s">
        <v>735</v>
      </c>
      <c r="D67" s="15"/>
      <c r="E67" s="15"/>
      <c r="F67" s="15"/>
      <c r="G67" s="15"/>
      <c r="H67" s="15"/>
      <c r="I67" s="15"/>
      <c r="J67" s="1"/>
    </row>
    <row r="68" spans="2:10" x14ac:dyDescent="0.25">
      <c r="B68" s="3"/>
      <c r="C68" s="3" t="str">
        <f>Материалы!C88</f>
        <v>Индикатор СЕТЬ (желтый)</v>
      </c>
      <c r="D68" s="73" t="str">
        <f>Материалы!E88</f>
        <v>Ин_ж</v>
      </c>
      <c r="E68" s="73" t="str">
        <f>Материалы!D88</f>
        <v>желтый</v>
      </c>
      <c r="F68" s="73">
        <v>1</v>
      </c>
      <c r="G68" s="178">
        <f>Материалы!H88</f>
        <v>1.4</v>
      </c>
      <c r="H68" s="9">
        <f>F68*G68</f>
        <v>1.4</v>
      </c>
      <c r="I68" s="1"/>
      <c r="J68" s="1">
        <f t="shared" si="2"/>
        <v>0</v>
      </c>
    </row>
    <row r="69" spans="2:10" x14ac:dyDescent="0.25">
      <c r="B69" s="3"/>
      <c r="C69" s="3" t="str">
        <f>Материалы!C57</f>
        <v>Реле промеж., 2пер.конт</v>
      </c>
      <c r="D69" s="73" t="str">
        <f>Материалы!E57</f>
        <v>Р_2_230</v>
      </c>
      <c r="E69" s="73" t="str">
        <f>Материалы!D57</f>
        <v>2СО, 230В</v>
      </c>
      <c r="F69" s="73">
        <v>1</v>
      </c>
      <c r="G69" s="178">
        <f>Материалы!H57</f>
        <v>14.63</v>
      </c>
      <c r="H69" s="9">
        <f t="shared" ref="H69:H70" si="7">F69*G69</f>
        <v>14.63</v>
      </c>
      <c r="I69" s="1"/>
      <c r="J69" s="1">
        <f t="shared" si="2"/>
        <v>0</v>
      </c>
    </row>
    <row r="70" spans="2:10" x14ac:dyDescent="0.25">
      <c r="B70" s="3"/>
      <c r="C70" s="3" t="s">
        <v>54</v>
      </c>
      <c r="D70" s="9" t="str">
        <f>Материалы!E61</f>
        <v>Клемма2,5</v>
      </c>
      <c r="E70" s="9">
        <f>Материалы!D61</f>
        <v>2.5</v>
      </c>
      <c r="F70" s="9">
        <v>10</v>
      </c>
      <c r="G70" s="110">
        <f>Материалы!H61</f>
        <v>0.63</v>
      </c>
      <c r="H70" s="9">
        <f t="shared" si="7"/>
        <v>6.3</v>
      </c>
      <c r="I70" s="1"/>
      <c r="J70" s="1">
        <f t="shared" si="2"/>
        <v>0</v>
      </c>
    </row>
    <row r="71" spans="2:10" x14ac:dyDescent="0.25">
      <c r="B71" s="3"/>
      <c r="C71" s="3" t="s">
        <v>54</v>
      </c>
      <c r="D71" s="73" t="str">
        <f>Материалы!E65</f>
        <v>Клемма16</v>
      </c>
      <c r="E71" s="73">
        <f>Материалы!D65</f>
        <v>16</v>
      </c>
      <c r="F71" s="73">
        <v>2</v>
      </c>
      <c r="G71" s="178">
        <f>Материалы!H65</f>
        <v>3.02</v>
      </c>
      <c r="H71" s="73">
        <f>F71*G71</f>
        <v>6.04</v>
      </c>
      <c r="I71" s="204"/>
      <c r="J71" s="1">
        <f t="shared" si="2"/>
        <v>0</v>
      </c>
    </row>
    <row r="72" spans="2:10" x14ac:dyDescent="0.25">
      <c r="B72" s="3"/>
      <c r="C72" s="3" t="s">
        <v>721</v>
      </c>
      <c r="D72" s="73" t="str">
        <f>Материалы!E79</f>
        <v>Клемма PE16</v>
      </c>
      <c r="E72" s="73">
        <f>Материалы!D79</f>
        <v>16</v>
      </c>
      <c r="F72" s="73">
        <v>2</v>
      </c>
      <c r="G72" s="178">
        <f>Материалы!H79</f>
        <v>5.97</v>
      </c>
      <c r="H72" s="73">
        <f>F72*G72</f>
        <v>11.94</v>
      </c>
      <c r="I72" s="204"/>
      <c r="J72" s="1">
        <f t="shared" si="2"/>
        <v>0</v>
      </c>
    </row>
    <row r="73" spans="2:10" x14ac:dyDescent="0.25">
      <c r="B73" s="3"/>
      <c r="C73" s="3" t="s">
        <v>169</v>
      </c>
      <c r="D73" s="73" t="str">
        <f>Материалы!E149</f>
        <v>монт.0,75</v>
      </c>
      <c r="E73" s="73">
        <f>Материалы!D149</f>
        <v>0.75</v>
      </c>
      <c r="F73" s="73">
        <v>6</v>
      </c>
      <c r="G73" s="178">
        <f>Материалы!H149</f>
        <v>0.28999999999999998</v>
      </c>
      <c r="H73" s="73">
        <f>F73*G73</f>
        <v>1.7399999999999998</v>
      </c>
      <c r="I73" s="204"/>
      <c r="J73" s="1">
        <f t="shared" si="2"/>
        <v>0</v>
      </c>
    </row>
    <row r="74" spans="2:10" x14ac:dyDescent="0.25">
      <c r="B74" s="3"/>
      <c r="C74" s="82" t="s">
        <v>250</v>
      </c>
      <c r="D74" s="468"/>
      <c r="E74" s="468"/>
      <c r="F74" s="468"/>
      <c r="G74" s="469"/>
      <c r="H74" s="350">
        <f>SUM(H68:H73)</f>
        <v>42.050000000000004</v>
      </c>
      <c r="I74" s="510"/>
      <c r="J74" s="1">
        <f t="shared" si="2"/>
        <v>0</v>
      </c>
    </row>
    <row r="75" spans="2:10" x14ac:dyDescent="0.25">
      <c r="J75" s="1"/>
    </row>
    <row r="76" spans="2:10" ht="15.75" x14ac:dyDescent="0.25">
      <c r="B76" s="7"/>
      <c r="C76" s="459" t="s">
        <v>730</v>
      </c>
      <c r="D76" s="460"/>
      <c r="E76" s="460"/>
      <c r="F76" s="460"/>
      <c r="G76" s="460"/>
      <c r="H76" s="460"/>
      <c r="I76" s="460"/>
      <c r="J76" s="1"/>
    </row>
    <row r="77" spans="2:10" x14ac:dyDescent="0.25">
      <c r="B77" s="3"/>
      <c r="C77" s="3" t="s">
        <v>744</v>
      </c>
      <c r="D77" s="3"/>
      <c r="E77" s="3" t="s">
        <v>746</v>
      </c>
      <c r="F77" s="73">
        <v>1</v>
      </c>
      <c r="G77" s="178">
        <v>125</v>
      </c>
      <c r="H77" s="73">
        <f>F77*G77</f>
        <v>125</v>
      </c>
      <c r="I77" s="73"/>
      <c r="J77" s="9">
        <f t="shared" si="2"/>
        <v>0</v>
      </c>
    </row>
    <row r="78" spans="2:10" x14ac:dyDescent="0.25">
      <c r="B78" s="3"/>
      <c r="C78" s="3" t="s">
        <v>745</v>
      </c>
      <c r="D78" s="3"/>
      <c r="E78" s="3" t="s">
        <v>747</v>
      </c>
      <c r="F78" s="73">
        <v>1</v>
      </c>
      <c r="G78" s="178">
        <v>29.47</v>
      </c>
      <c r="H78" s="73">
        <f t="shared" ref="H78:H80" si="8">F78*G78</f>
        <v>29.47</v>
      </c>
      <c r="I78" s="73"/>
      <c r="J78" s="9">
        <f t="shared" si="2"/>
        <v>0</v>
      </c>
    </row>
    <row r="79" spans="2:10" x14ac:dyDescent="0.25">
      <c r="B79" s="3"/>
      <c r="C79" s="3" t="s">
        <v>748</v>
      </c>
      <c r="D79" s="3"/>
      <c r="E79" s="3" t="s">
        <v>749</v>
      </c>
      <c r="F79" s="73">
        <v>1</v>
      </c>
      <c r="G79" s="178">
        <v>18.54</v>
      </c>
      <c r="H79" s="73">
        <f t="shared" si="8"/>
        <v>18.54</v>
      </c>
      <c r="I79" s="73"/>
      <c r="J79" s="9">
        <f t="shared" si="2"/>
        <v>0</v>
      </c>
    </row>
    <row r="80" spans="2:10" x14ac:dyDescent="0.25">
      <c r="B80" s="3"/>
      <c r="C80" s="3" t="str">
        <f>Материалы!C145</f>
        <v>Предохранитель 5А компл.</v>
      </c>
      <c r="D80" s="3"/>
      <c r="E80" s="3"/>
      <c r="F80" s="73">
        <v>1</v>
      </c>
      <c r="G80" s="178">
        <f>Материалы!H145</f>
        <v>3.56</v>
      </c>
      <c r="H80" s="73">
        <f t="shared" si="8"/>
        <v>3.56</v>
      </c>
      <c r="I80" s="73"/>
      <c r="J80" s="9">
        <f t="shared" si="2"/>
        <v>0</v>
      </c>
    </row>
    <row r="81" spans="2:14" x14ac:dyDescent="0.25">
      <c r="C81" s="82" t="s">
        <v>250</v>
      </c>
      <c r="D81" s="468"/>
      <c r="E81" s="468"/>
      <c r="F81" s="468"/>
      <c r="G81" s="469"/>
      <c r="H81" s="483">
        <f>SUM(H77:H80)</f>
        <v>176.57</v>
      </c>
      <c r="I81" s="483"/>
      <c r="J81" s="483">
        <v>0.7</v>
      </c>
    </row>
    <row r="82" spans="2:14" x14ac:dyDescent="0.25">
      <c r="C82" s="53"/>
      <c r="D82" s="335"/>
      <c r="E82" s="335"/>
      <c r="F82" s="335"/>
      <c r="G82" s="336"/>
      <c r="H82" s="473"/>
      <c r="I82" s="473"/>
      <c r="J82" s="1"/>
    </row>
    <row r="83" spans="2:14" ht="15.75" x14ac:dyDescent="0.25">
      <c r="B83" s="7"/>
      <c r="C83" s="459" t="s">
        <v>167</v>
      </c>
      <c r="D83" s="7"/>
      <c r="E83" s="7"/>
      <c r="F83" s="7"/>
      <c r="G83" s="7"/>
      <c r="H83" s="7"/>
      <c r="I83" s="7"/>
      <c r="J83" s="1"/>
    </row>
    <row r="84" spans="2:14" ht="15.75" x14ac:dyDescent="0.25">
      <c r="B84" s="3"/>
      <c r="C84" s="467" t="str">
        <f>Материалы!C115</f>
        <v>Шкаф металл. 800х600х250</v>
      </c>
      <c r="D84" s="73" t="str">
        <f>Материалы!E115</f>
        <v>М_800х600х250</v>
      </c>
      <c r="E84" s="73" t="str">
        <f>Материалы!D115</f>
        <v>800х600х250</v>
      </c>
      <c r="F84" s="73">
        <v>1</v>
      </c>
      <c r="G84" s="178">
        <f>Материалы!H115</f>
        <v>174.48</v>
      </c>
      <c r="H84" s="110">
        <f>F84*G84</f>
        <v>174.48</v>
      </c>
      <c r="I84" s="110">
        <f>Материалы!I115</f>
        <v>20</v>
      </c>
      <c r="J84" s="350">
        <f t="shared" si="2"/>
        <v>20</v>
      </c>
    </row>
    <row r="85" spans="2:14" ht="15.75" x14ac:dyDescent="0.25">
      <c r="B85" s="3"/>
      <c r="C85" s="467" t="str">
        <f>Материалы!C116</f>
        <v>Шкаф металл. 1000х800х300</v>
      </c>
      <c r="D85" s="73" t="str">
        <f>Материалы!E116</f>
        <v>М_1000х800х300</v>
      </c>
      <c r="E85" s="73" t="str">
        <f>Материалы!D116</f>
        <v>1000х800х300</v>
      </c>
      <c r="F85" s="73">
        <v>1</v>
      </c>
      <c r="G85" s="178">
        <f>Материалы!H116</f>
        <v>244.85</v>
      </c>
      <c r="H85" s="110">
        <f>F85*G85</f>
        <v>244.85</v>
      </c>
      <c r="I85" s="110">
        <f>Материалы!I116</f>
        <v>33</v>
      </c>
      <c r="J85" s="350">
        <f t="shared" si="2"/>
        <v>33</v>
      </c>
    </row>
    <row r="86" spans="2:14" x14ac:dyDescent="0.25">
      <c r="B86" s="3"/>
      <c r="C86" s="3" t="s">
        <v>775</v>
      </c>
      <c r="D86" s="73" t="str">
        <f>Материалы!E82</f>
        <v>Р_175А</v>
      </c>
      <c r="E86" s="73" t="str">
        <f>Материалы!D82</f>
        <v>175А</v>
      </c>
      <c r="F86" s="73">
        <v>3</v>
      </c>
      <c r="G86" s="178">
        <f>Материалы!H82</f>
        <v>49.2</v>
      </c>
      <c r="H86" s="110">
        <f>F86*G86</f>
        <v>147.60000000000002</v>
      </c>
      <c r="I86" s="110">
        <v>0.1</v>
      </c>
      <c r="J86" s="350">
        <f t="shared" si="2"/>
        <v>0.30000000000000004</v>
      </c>
    </row>
    <row r="88" spans="2:14" ht="15.75" x14ac:dyDescent="0.25">
      <c r="B88" s="7">
        <v>1</v>
      </c>
      <c r="C88" s="459" t="s">
        <v>847</v>
      </c>
      <c r="D88" s="15"/>
      <c r="E88" s="33"/>
      <c r="F88" s="33"/>
      <c r="G88" s="15"/>
      <c r="H88" s="33"/>
      <c r="I88" s="33"/>
      <c r="J88" s="1"/>
    </row>
    <row r="89" spans="2:14" x14ac:dyDescent="0.25">
      <c r="K89">
        <v>314</v>
      </c>
    </row>
    <row r="90" spans="2:14" x14ac:dyDescent="0.25">
      <c r="K90">
        <v>25</v>
      </c>
    </row>
    <row r="91" spans="2:14" x14ac:dyDescent="0.25">
      <c r="K91">
        <f>K89*K90</f>
        <v>7850</v>
      </c>
    </row>
    <row r="96" spans="2:14" ht="15.75" x14ac:dyDescent="0.25">
      <c r="C96" s="243" t="s">
        <v>221</v>
      </c>
      <c r="D96" s="485"/>
      <c r="E96" s="485"/>
      <c r="F96" s="485"/>
      <c r="G96" s="485"/>
      <c r="H96" s="486">
        <f>B7</f>
        <v>1594.7003076923077</v>
      </c>
      <c r="I96" s="511"/>
      <c r="M96" s="383" t="s">
        <v>249</v>
      </c>
      <c r="N96" s="1"/>
    </row>
    <row r="97" spans="3:14" ht="15.75" x14ac:dyDescent="0.25">
      <c r="C97" s="487" t="s">
        <v>222</v>
      </c>
      <c r="D97" s="248"/>
      <c r="E97" s="248"/>
      <c r="F97" s="248"/>
      <c r="G97" s="488"/>
      <c r="H97" s="489"/>
      <c r="I97" s="512"/>
      <c r="M97" s="9">
        <v>1.53</v>
      </c>
      <c r="N97" s="384" t="s">
        <v>599</v>
      </c>
    </row>
    <row r="98" spans="3:14" ht="15.75" x14ac:dyDescent="0.25">
      <c r="C98" s="487"/>
      <c r="D98" s="248"/>
      <c r="E98" s="248"/>
      <c r="F98" s="248"/>
      <c r="G98" s="248"/>
      <c r="H98" s="248"/>
      <c r="I98" s="488"/>
      <c r="M98" s="9">
        <v>1.1499999999999999</v>
      </c>
      <c r="N98" s="384" t="s">
        <v>600</v>
      </c>
    </row>
    <row r="99" spans="3:14" ht="15.75" x14ac:dyDescent="0.25">
      <c r="C99" s="484"/>
      <c r="D99" s="484"/>
      <c r="E99" s="484"/>
      <c r="F99" s="484"/>
      <c r="G99" s="484"/>
      <c r="H99" s="484"/>
      <c r="I99" s="484"/>
      <c r="M99" s="9">
        <v>0.65</v>
      </c>
      <c r="N99" s="384" t="s">
        <v>601</v>
      </c>
    </row>
    <row r="100" spans="3:14" ht="15.75" x14ac:dyDescent="0.25">
      <c r="C100" s="490" t="s">
        <v>388</v>
      </c>
      <c r="D100" s="491"/>
      <c r="E100" s="491"/>
      <c r="F100" s="491"/>
      <c r="G100" s="492"/>
      <c r="H100" s="486">
        <f>H96</f>
        <v>1594.7003076923077</v>
      </c>
      <c r="I100" s="511"/>
      <c r="M100" s="385">
        <f>M97*M98/M99</f>
        <v>2.7069230769230765</v>
      </c>
      <c r="N100" s="385" t="s">
        <v>251</v>
      </c>
    </row>
    <row r="101" spans="3:14" ht="15.75" x14ac:dyDescent="0.25">
      <c r="C101" s="493" t="s">
        <v>349</v>
      </c>
      <c r="D101" s="494"/>
      <c r="E101" s="494"/>
      <c r="F101" s="494"/>
      <c r="G101" s="495"/>
      <c r="H101" s="496">
        <v>1</v>
      </c>
      <c r="I101" s="513"/>
    </row>
    <row r="102" spans="3:14" ht="15.75" x14ac:dyDescent="0.25">
      <c r="C102" s="497" t="s">
        <v>780</v>
      </c>
      <c r="D102" s="498"/>
      <c r="E102" s="498"/>
      <c r="F102" s="498"/>
      <c r="G102" s="499"/>
      <c r="H102" s="500">
        <f>H100*H101</f>
        <v>1594.7003076923077</v>
      </c>
      <c r="I102" s="514"/>
    </row>
    <row r="103" spans="3:14" ht="15.75" x14ac:dyDescent="0.25">
      <c r="C103" s="493" t="s">
        <v>389</v>
      </c>
      <c r="D103" s="494"/>
      <c r="E103" s="494"/>
      <c r="F103" s="494"/>
      <c r="G103" s="495"/>
      <c r="H103" s="501">
        <v>25</v>
      </c>
      <c r="I103" s="515"/>
    </row>
    <row r="104" spans="3:14" ht="15.75" x14ac:dyDescent="0.25">
      <c r="C104" s="490" t="s">
        <v>618</v>
      </c>
      <c r="D104" s="491"/>
      <c r="E104" s="491"/>
      <c r="F104" s="491"/>
      <c r="G104" s="492"/>
      <c r="H104" s="486">
        <f>IF(B6="Нет",0,H102*H103)</f>
        <v>39867.507692307692</v>
      </c>
      <c r="I104" s="511"/>
    </row>
    <row r="105" spans="3:14" ht="15.75" x14ac:dyDescent="0.25">
      <c r="C105" s="484"/>
      <c r="D105" s="484"/>
      <c r="E105" s="484"/>
      <c r="F105" s="484"/>
      <c r="G105" s="484"/>
      <c r="H105" s="484"/>
      <c r="I105" s="484"/>
    </row>
    <row r="106" spans="3:14" ht="15.75" x14ac:dyDescent="0.25">
      <c r="C106" s="493" t="s">
        <v>602</v>
      </c>
      <c r="D106" s="502"/>
      <c r="E106" s="494"/>
      <c r="F106" s="494"/>
      <c r="G106" s="494"/>
      <c r="H106" s="503">
        <f>CEILING(H104,5)</f>
        <v>39870</v>
      </c>
      <c r="I106" s="516"/>
    </row>
    <row r="107" spans="3:14" ht="15.75" x14ac:dyDescent="0.25">
      <c r="C107" s="493" t="s">
        <v>603</v>
      </c>
      <c r="D107" s="484"/>
      <c r="E107" s="488"/>
      <c r="F107" s="488"/>
      <c r="G107" s="488"/>
      <c r="H107" s="504">
        <v>1.2</v>
      </c>
      <c r="I107" s="517"/>
    </row>
    <row r="108" spans="3:14" ht="15.75" x14ac:dyDescent="0.25">
      <c r="C108" s="490" t="s">
        <v>604</v>
      </c>
      <c r="D108" s="505"/>
      <c r="E108" s="491"/>
      <c r="F108" s="491"/>
      <c r="G108" s="491"/>
      <c r="H108" s="506">
        <f>H106*H107</f>
        <v>47844</v>
      </c>
      <c r="I108" s="518"/>
    </row>
    <row r="118" spans="2:9" x14ac:dyDescent="0.25">
      <c r="C118" s="53"/>
      <c r="D118" s="335"/>
      <c r="E118" s="335"/>
      <c r="F118" s="335"/>
      <c r="G118" s="336"/>
      <c r="H118" s="473"/>
      <c r="I118" s="473"/>
    </row>
    <row r="120" spans="2:9" x14ac:dyDescent="0.25">
      <c r="B120" t="s">
        <v>738</v>
      </c>
    </row>
    <row r="121" spans="2:9" x14ac:dyDescent="0.25">
      <c r="C121" s="15" t="s">
        <v>741</v>
      </c>
      <c r="D121" s="15"/>
    </row>
    <row r="122" spans="2:9" x14ac:dyDescent="0.25">
      <c r="C122" t="s">
        <v>121</v>
      </c>
      <c r="D122">
        <v>11</v>
      </c>
    </row>
    <row r="123" spans="2:9" x14ac:dyDescent="0.25">
      <c r="C123" t="s">
        <v>739</v>
      </c>
      <c r="D123">
        <v>49</v>
      </c>
    </row>
    <row r="124" spans="2:9" x14ac:dyDescent="0.25">
      <c r="C124" t="s">
        <v>739</v>
      </c>
      <c r="D124">
        <v>49</v>
      </c>
    </row>
    <row r="125" spans="2:9" x14ac:dyDescent="0.25">
      <c r="C125" t="s">
        <v>740</v>
      </c>
      <c r="D125">
        <v>11</v>
      </c>
    </row>
    <row r="126" spans="2:9" x14ac:dyDescent="0.25">
      <c r="C126" s="470" t="s">
        <v>251</v>
      </c>
      <c r="D126" s="470">
        <f>SUM(D122:D125)</f>
        <v>120</v>
      </c>
    </row>
    <row r="128" spans="2:9" x14ac:dyDescent="0.25">
      <c r="C128" s="15" t="s">
        <v>742</v>
      </c>
      <c r="D128" s="15"/>
    </row>
    <row r="129" spans="2:5" x14ac:dyDescent="0.25">
      <c r="C129" t="s">
        <v>121</v>
      </c>
      <c r="D129">
        <v>17</v>
      </c>
    </row>
    <row r="130" spans="2:5" x14ac:dyDescent="0.25">
      <c r="C130" t="s">
        <v>739</v>
      </c>
      <c r="D130">
        <v>98</v>
      </c>
    </row>
    <row r="131" spans="2:5" x14ac:dyDescent="0.25">
      <c r="C131" t="s">
        <v>739</v>
      </c>
      <c r="D131">
        <v>98</v>
      </c>
    </row>
    <row r="132" spans="2:5" x14ac:dyDescent="0.25">
      <c r="C132" t="s">
        <v>740</v>
      </c>
      <c r="D132">
        <v>22</v>
      </c>
    </row>
    <row r="133" spans="2:5" x14ac:dyDescent="0.25">
      <c r="C133" s="470" t="s">
        <v>251</v>
      </c>
      <c r="D133" s="470">
        <f>SUM(D129:D132)</f>
        <v>235</v>
      </c>
    </row>
    <row r="135" spans="2:5" x14ac:dyDescent="0.25">
      <c r="C135" s="15" t="s">
        <v>743</v>
      </c>
      <c r="D135" s="15"/>
    </row>
    <row r="136" spans="2:5" x14ac:dyDescent="0.25">
      <c r="C136" t="s">
        <v>121</v>
      </c>
      <c r="D136">
        <v>11</v>
      </c>
    </row>
    <row r="137" spans="2:5" x14ac:dyDescent="0.25">
      <c r="C137" t="s">
        <v>740</v>
      </c>
      <c r="D137">
        <v>11</v>
      </c>
    </row>
    <row r="138" spans="2:5" x14ac:dyDescent="0.25">
      <c r="C138" s="470" t="s">
        <v>251</v>
      </c>
      <c r="D138" s="470">
        <f>SUM(D136:D137)</f>
        <v>22</v>
      </c>
    </row>
    <row r="141" spans="2:5" x14ac:dyDescent="0.25">
      <c r="B141" t="s">
        <v>756</v>
      </c>
      <c r="C141" t="s">
        <v>757</v>
      </c>
      <c r="D141" t="s">
        <v>761</v>
      </c>
      <c r="E141" t="s">
        <v>762</v>
      </c>
    </row>
    <row r="142" spans="2:5" x14ac:dyDescent="0.25">
      <c r="B142" t="s">
        <v>758</v>
      </c>
      <c r="C142">
        <v>0.5</v>
      </c>
      <c r="D142">
        <v>0.5</v>
      </c>
      <c r="E142">
        <v>0.6</v>
      </c>
    </row>
    <row r="143" spans="2:5" x14ac:dyDescent="0.25">
      <c r="B143" t="s">
        <v>494</v>
      </c>
      <c r="C143">
        <v>0.5</v>
      </c>
      <c r="D143">
        <v>0.7</v>
      </c>
      <c r="E143">
        <v>0.8</v>
      </c>
    </row>
    <row r="144" spans="2:5" x14ac:dyDescent="0.25">
      <c r="B144" t="s">
        <v>759</v>
      </c>
      <c r="C144">
        <v>0.20499999999999999</v>
      </c>
      <c r="D144">
        <v>0.20499999999999999</v>
      </c>
      <c r="E144">
        <v>0.3</v>
      </c>
    </row>
    <row r="145" spans="2:5" x14ac:dyDescent="0.25">
      <c r="B145" t="s">
        <v>760</v>
      </c>
      <c r="C145">
        <f>(1.4*C142*(C143+C144)+1.8*C144*C143)*10*5.5</f>
        <v>37.29</v>
      </c>
      <c r="D145">
        <f>(1.4*D142*(D143+D144)+1.8*D144*D143)*10*5.5</f>
        <v>49.048999999999992</v>
      </c>
      <c r="E145">
        <f>(1.4*E142*(E143+E144)+1.8*E144*E143)*10*5.5</f>
        <v>74.58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3"/>
  <dimension ref="A1:P182"/>
  <sheetViews>
    <sheetView topLeftCell="A85" workbookViewId="0">
      <selection activeCell="B36" sqref="B36"/>
    </sheetView>
  </sheetViews>
  <sheetFormatPr defaultRowHeight="15" x14ac:dyDescent="0.25"/>
  <cols>
    <col min="1" max="1" width="12" customWidth="1"/>
    <col min="3" max="3" width="45.5703125" bestFit="1" customWidth="1"/>
    <col min="4" max="4" width="29.140625" style="1" customWidth="1"/>
    <col min="5" max="5" width="24.140625" style="1" bestFit="1" customWidth="1"/>
    <col min="6" max="6" width="15.28515625" bestFit="1" customWidth="1"/>
    <col min="7" max="7" width="11.140625" bestFit="1" customWidth="1"/>
    <col min="8" max="8" width="15.85546875" style="1" bestFit="1" customWidth="1"/>
    <col min="10" max="10" width="12.7109375" customWidth="1"/>
    <col min="11" max="11" width="20.7109375" customWidth="1"/>
    <col min="12" max="12" width="15.28515625" customWidth="1"/>
    <col min="13" max="13" width="13.5703125" bestFit="1" customWidth="1"/>
    <col min="14" max="14" width="15.85546875" bestFit="1" customWidth="1"/>
  </cols>
  <sheetData>
    <row r="1" spans="1:15" ht="15.75" thickBot="1" x14ac:dyDescent="0.3">
      <c r="D1" s="196"/>
      <c r="E1" s="1" t="s">
        <v>829</v>
      </c>
      <c r="F1" s="268" t="s">
        <v>348</v>
      </c>
      <c r="G1" s="145">
        <v>1</v>
      </c>
    </row>
    <row r="2" spans="1:15" ht="15.75" x14ac:dyDescent="0.25">
      <c r="B2" s="59" t="s">
        <v>42</v>
      </c>
      <c r="C2" s="61" t="s">
        <v>41</v>
      </c>
      <c r="D2" s="61" t="s">
        <v>45</v>
      </c>
      <c r="E2" s="61" t="s">
        <v>1</v>
      </c>
      <c r="F2" s="61" t="s">
        <v>156</v>
      </c>
      <c r="G2" s="267" t="s">
        <v>158</v>
      </c>
      <c r="H2" s="147" t="s">
        <v>386</v>
      </c>
      <c r="I2" s="153" t="s">
        <v>256</v>
      </c>
      <c r="J2" s="153" t="s">
        <v>357</v>
      </c>
    </row>
    <row r="3" spans="1:15" ht="16.5" thickBot="1" x14ac:dyDescent="0.3">
      <c r="B3" s="60"/>
      <c r="C3" s="60"/>
      <c r="D3" s="62"/>
      <c r="E3" s="62"/>
      <c r="F3" s="62" t="s">
        <v>157</v>
      </c>
      <c r="G3" s="62"/>
      <c r="H3" s="148" t="s">
        <v>157</v>
      </c>
      <c r="I3" s="42"/>
      <c r="J3" s="269" t="s">
        <v>358</v>
      </c>
    </row>
    <row r="4" spans="1:15" ht="16.5" thickBot="1" x14ac:dyDescent="0.3">
      <c r="B4" s="66" t="s">
        <v>184</v>
      </c>
      <c r="C4" s="67"/>
      <c r="D4" s="68"/>
      <c r="E4" s="68"/>
      <c r="F4" s="68"/>
      <c r="G4" s="68"/>
      <c r="H4" s="68"/>
      <c r="I4" s="72"/>
    </row>
    <row r="5" spans="1:15" ht="15.75" x14ac:dyDescent="0.25">
      <c r="A5">
        <v>1</v>
      </c>
      <c r="B5" s="70"/>
      <c r="C5" s="65" t="s">
        <v>44</v>
      </c>
      <c r="D5" s="54" t="s">
        <v>217</v>
      </c>
      <c r="E5" s="54" t="s">
        <v>219</v>
      </c>
      <c r="F5" s="54">
        <v>36.44</v>
      </c>
      <c r="G5" s="98">
        <f>$G$1</f>
        <v>1</v>
      </c>
      <c r="H5" s="149">
        <f>F5/G5</f>
        <v>36.44</v>
      </c>
      <c r="I5" s="9">
        <v>0.35</v>
      </c>
      <c r="O5" s="166"/>
    </row>
    <row r="6" spans="1:15" ht="15.75" x14ac:dyDescent="0.25">
      <c r="A6">
        <v>2</v>
      </c>
      <c r="B6" s="63"/>
      <c r="C6" s="3" t="s">
        <v>44</v>
      </c>
      <c r="D6" s="9" t="s">
        <v>218</v>
      </c>
      <c r="E6" s="9" t="s">
        <v>220</v>
      </c>
      <c r="F6" s="54">
        <v>36.86</v>
      </c>
      <c r="G6" s="98">
        <f t="shared" ref="G6:G23" si="0">$G$1</f>
        <v>1</v>
      </c>
      <c r="H6" s="149">
        <f t="shared" ref="H6:H23" si="1">F6/G6</f>
        <v>36.86</v>
      </c>
      <c r="I6" s="9">
        <v>0.35</v>
      </c>
      <c r="O6" s="166"/>
    </row>
    <row r="7" spans="1:15" ht="15.75" x14ac:dyDescent="0.25">
      <c r="A7">
        <v>3</v>
      </c>
      <c r="B7" s="3" t="s">
        <v>43</v>
      </c>
      <c r="C7" s="3" t="s">
        <v>44</v>
      </c>
      <c r="D7" s="9" t="s">
        <v>3</v>
      </c>
      <c r="E7" s="9" t="s">
        <v>2</v>
      </c>
      <c r="F7" s="54">
        <v>54.31</v>
      </c>
      <c r="G7" s="98">
        <f t="shared" si="0"/>
        <v>1</v>
      </c>
      <c r="H7" s="149">
        <f t="shared" si="1"/>
        <v>54.31</v>
      </c>
      <c r="I7" s="9">
        <v>0.35</v>
      </c>
      <c r="O7" s="166"/>
    </row>
    <row r="8" spans="1:15" ht="15.75" x14ac:dyDescent="0.25">
      <c r="A8">
        <v>4</v>
      </c>
      <c r="B8" s="3"/>
      <c r="C8" s="3" t="s">
        <v>44</v>
      </c>
      <c r="D8" s="9" t="s">
        <v>6</v>
      </c>
      <c r="E8" s="9" t="s">
        <v>5</v>
      </c>
      <c r="F8" s="54">
        <v>65.11</v>
      </c>
      <c r="G8" s="98">
        <f t="shared" si="0"/>
        <v>1</v>
      </c>
      <c r="H8" s="149">
        <f t="shared" si="1"/>
        <v>65.11</v>
      </c>
      <c r="I8" s="9">
        <v>0.35</v>
      </c>
      <c r="O8" s="166"/>
    </row>
    <row r="9" spans="1:15" ht="15.75" x14ac:dyDescent="0.25">
      <c r="A9">
        <v>5</v>
      </c>
      <c r="B9" s="3"/>
      <c r="C9" s="3" t="s">
        <v>44</v>
      </c>
      <c r="D9" s="9" t="s">
        <v>8</v>
      </c>
      <c r="E9" s="9" t="s">
        <v>7</v>
      </c>
      <c r="F9" s="54">
        <v>41.04</v>
      </c>
      <c r="G9" s="98">
        <f t="shared" si="0"/>
        <v>1</v>
      </c>
      <c r="H9" s="149">
        <f t="shared" si="1"/>
        <v>41.04</v>
      </c>
      <c r="I9" s="9">
        <v>0.35</v>
      </c>
      <c r="O9" s="166"/>
    </row>
    <row r="10" spans="1:15" ht="15.75" x14ac:dyDescent="0.25">
      <c r="A10">
        <v>6</v>
      </c>
      <c r="B10" s="3"/>
      <c r="C10" s="3" t="s">
        <v>44</v>
      </c>
      <c r="D10" s="9" t="s">
        <v>10</v>
      </c>
      <c r="E10" s="9" t="s">
        <v>9</v>
      </c>
      <c r="F10" s="54">
        <v>40.049999999999997</v>
      </c>
      <c r="G10" s="98">
        <f t="shared" si="0"/>
        <v>1</v>
      </c>
      <c r="H10" s="149">
        <f t="shared" si="1"/>
        <v>40.049999999999997</v>
      </c>
      <c r="I10" s="9">
        <v>0.35</v>
      </c>
      <c r="O10" s="166"/>
    </row>
    <row r="11" spans="1:15" ht="15.75" x14ac:dyDescent="0.25">
      <c r="A11">
        <v>7</v>
      </c>
      <c r="B11" s="3"/>
      <c r="C11" s="3" t="s">
        <v>44</v>
      </c>
      <c r="D11" s="9" t="s">
        <v>12</v>
      </c>
      <c r="E11" s="9" t="s">
        <v>11</v>
      </c>
      <c r="F11" s="54">
        <v>58.52</v>
      </c>
      <c r="G11" s="98">
        <f t="shared" si="0"/>
        <v>1</v>
      </c>
      <c r="H11" s="149">
        <f t="shared" si="1"/>
        <v>58.52</v>
      </c>
      <c r="I11" s="9">
        <v>0.35</v>
      </c>
      <c r="O11" s="166"/>
    </row>
    <row r="12" spans="1:15" ht="15.75" x14ac:dyDescent="0.25">
      <c r="A12">
        <v>8</v>
      </c>
      <c r="B12" s="3"/>
      <c r="C12" s="3" t="s">
        <v>44</v>
      </c>
      <c r="D12" s="9" t="s">
        <v>14</v>
      </c>
      <c r="E12" s="9" t="s">
        <v>13</v>
      </c>
      <c r="F12" s="54">
        <v>89.67</v>
      </c>
      <c r="G12" s="98">
        <f t="shared" si="0"/>
        <v>1</v>
      </c>
      <c r="H12" s="149">
        <f t="shared" si="1"/>
        <v>89.67</v>
      </c>
      <c r="I12" s="9">
        <v>0.35</v>
      </c>
      <c r="O12" s="166"/>
    </row>
    <row r="13" spans="1:15" ht="15.75" x14ac:dyDescent="0.25">
      <c r="A13">
        <v>9</v>
      </c>
      <c r="B13" s="3"/>
      <c r="C13" s="3" t="s">
        <v>44</v>
      </c>
      <c r="D13" s="9" t="s">
        <v>17</v>
      </c>
      <c r="E13" s="9" t="s">
        <v>16</v>
      </c>
      <c r="F13" s="54">
        <v>61.05</v>
      </c>
      <c r="G13" s="98">
        <f t="shared" si="0"/>
        <v>1</v>
      </c>
      <c r="H13" s="149">
        <f t="shared" si="1"/>
        <v>61.05</v>
      </c>
      <c r="I13" s="9">
        <v>0.35</v>
      </c>
      <c r="O13" s="166"/>
    </row>
    <row r="14" spans="1:15" ht="15.75" x14ac:dyDescent="0.25">
      <c r="A14">
        <v>10</v>
      </c>
      <c r="B14" s="3"/>
      <c r="C14" s="3" t="s">
        <v>44</v>
      </c>
      <c r="D14" s="9" t="s">
        <v>20</v>
      </c>
      <c r="E14" s="9" t="s">
        <v>19</v>
      </c>
      <c r="F14" s="54">
        <v>66.77</v>
      </c>
      <c r="G14" s="98">
        <f t="shared" si="0"/>
        <v>1</v>
      </c>
      <c r="H14" s="149">
        <f t="shared" si="1"/>
        <v>66.77</v>
      </c>
      <c r="I14" s="9">
        <v>0.35</v>
      </c>
      <c r="O14" s="166"/>
    </row>
    <row r="15" spans="1:15" ht="15.75" x14ac:dyDescent="0.25">
      <c r="A15">
        <v>11</v>
      </c>
      <c r="B15" s="3"/>
      <c r="C15" s="3" t="s">
        <v>44</v>
      </c>
      <c r="D15" s="9" t="s">
        <v>22</v>
      </c>
      <c r="E15" s="9" t="s">
        <v>21</v>
      </c>
      <c r="F15" s="54">
        <v>69.14</v>
      </c>
      <c r="G15" s="98">
        <f t="shared" si="0"/>
        <v>1</v>
      </c>
      <c r="H15" s="149">
        <f t="shared" si="1"/>
        <v>69.14</v>
      </c>
      <c r="I15" s="9">
        <v>0.35</v>
      </c>
      <c r="O15" s="166"/>
    </row>
    <row r="16" spans="1:15" ht="15.75" x14ac:dyDescent="0.25">
      <c r="A16">
        <v>12</v>
      </c>
      <c r="B16" s="3"/>
      <c r="C16" s="3" t="s">
        <v>44</v>
      </c>
      <c r="D16" s="9" t="s">
        <v>25</v>
      </c>
      <c r="E16" s="9" t="s">
        <v>24</v>
      </c>
      <c r="F16" s="54">
        <v>78.12</v>
      </c>
      <c r="G16" s="98">
        <f t="shared" si="0"/>
        <v>1</v>
      </c>
      <c r="H16" s="149">
        <f t="shared" si="1"/>
        <v>78.12</v>
      </c>
      <c r="I16" s="9">
        <v>0.35</v>
      </c>
      <c r="O16" s="166"/>
    </row>
    <row r="17" spans="1:15" ht="15.75" x14ac:dyDescent="0.25">
      <c r="A17">
        <v>13</v>
      </c>
      <c r="B17" s="3"/>
      <c r="C17" s="3" t="s">
        <v>44</v>
      </c>
      <c r="D17" s="9" t="s">
        <v>27</v>
      </c>
      <c r="E17" s="9" t="s">
        <v>26</v>
      </c>
      <c r="F17" s="54">
        <v>112.64</v>
      </c>
      <c r="G17" s="98">
        <f t="shared" si="0"/>
        <v>1</v>
      </c>
      <c r="H17" s="149">
        <f t="shared" si="1"/>
        <v>112.64</v>
      </c>
      <c r="I17" s="9">
        <v>0.35</v>
      </c>
      <c r="O17" s="166"/>
    </row>
    <row r="18" spans="1:15" ht="15.75" x14ac:dyDescent="0.25">
      <c r="A18">
        <v>14</v>
      </c>
      <c r="B18" s="3"/>
      <c r="C18" s="3" t="s">
        <v>44</v>
      </c>
      <c r="D18" s="9" t="s">
        <v>30</v>
      </c>
      <c r="E18" s="9" t="s">
        <v>29</v>
      </c>
      <c r="F18" s="54">
        <v>232.1</v>
      </c>
      <c r="G18" s="98">
        <f t="shared" si="0"/>
        <v>1</v>
      </c>
      <c r="H18" s="149">
        <f t="shared" si="1"/>
        <v>232.1</v>
      </c>
      <c r="I18" s="9">
        <v>0.45</v>
      </c>
      <c r="O18" s="166"/>
    </row>
    <row r="19" spans="1:15" ht="15.75" x14ac:dyDescent="0.25">
      <c r="A19">
        <v>15</v>
      </c>
      <c r="B19" s="3"/>
      <c r="C19" s="3" t="s">
        <v>44</v>
      </c>
      <c r="D19" s="9" t="s">
        <v>33</v>
      </c>
      <c r="E19" s="9" t="s">
        <v>32</v>
      </c>
      <c r="F19" s="54">
        <v>294.38</v>
      </c>
      <c r="G19" s="98">
        <f t="shared" si="0"/>
        <v>1</v>
      </c>
      <c r="H19" s="149">
        <f t="shared" si="1"/>
        <v>294.38</v>
      </c>
      <c r="I19" s="9">
        <v>0.45</v>
      </c>
      <c r="J19" t="s">
        <v>832</v>
      </c>
      <c r="O19" s="166"/>
    </row>
    <row r="20" spans="1:15" ht="15.75" x14ac:dyDescent="0.25">
      <c r="A20">
        <v>16</v>
      </c>
      <c r="B20" s="3"/>
      <c r="C20" s="3" t="s">
        <v>44</v>
      </c>
      <c r="D20" s="9" t="s">
        <v>36</v>
      </c>
      <c r="E20" s="9" t="s">
        <v>35</v>
      </c>
      <c r="F20" s="9">
        <v>405.74</v>
      </c>
      <c r="G20" s="98">
        <f t="shared" si="0"/>
        <v>1</v>
      </c>
      <c r="H20" s="149">
        <f t="shared" si="1"/>
        <v>405.74</v>
      </c>
      <c r="I20" s="9">
        <v>0.45</v>
      </c>
      <c r="O20" s="166"/>
    </row>
    <row r="21" spans="1:15" ht="15.75" x14ac:dyDescent="0.25">
      <c r="A21">
        <v>17</v>
      </c>
      <c r="B21" s="3"/>
      <c r="C21" s="3" t="s">
        <v>44</v>
      </c>
      <c r="D21" s="9" t="s">
        <v>36</v>
      </c>
      <c r="E21" s="9" t="s">
        <v>35</v>
      </c>
      <c r="F21" s="9">
        <v>405.74</v>
      </c>
      <c r="G21" s="98">
        <f t="shared" si="0"/>
        <v>1</v>
      </c>
      <c r="H21" s="149">
        <f t="shared" si="1"/>
        <v>405.74</v>
      </c>
      <c r="I21" s="9">
        <v>0.45</v>
      </c>
      <c r="O21" s="166"/>
    </row>
    <row r="22" spans="1:15" ht="15.75" x14ac:dyDescent="0.25">
      <c r="A22">
        <v>18</v>
      </c>
      <c r="B22" s="3"/>
      <c r="C22" s="3" t="s">
        <v>44</v>
      </c>
      <c r="D22" s="9" t="s">
        <v>39</v>
      </c>
      <c r="E22" s="9" t="s">
        <v>38</v>
      </c>
      <c r="F22" s="54">
        <v>277.29000000000002</v>
      </c>
      <c r="G22" s="98">
        <f t="shared" si="0"/>
        <v>1</v>
      </c>
      <c r="H22" s="149">
        <f t="shared" si="1"/>
        <v>277.29000000000002</v>
      </c>
      <c r="I22" s="9">
        <v>0.45</v>
      </c>
      <c r="J22" t="s">
        <v>831</v>
      </c>
      <c r="O22" s="166"/>
    </row>
    <row r="23" spans="1:15" ht="15.75" x14ac:dyDescent="0.25">
      <c r="A23">
        <v>19</v>
      </c>
      <c r="B23" s="3"/>
      <c r="C23" s="3" t="s">
        <v>240</v>
      </c>
      <c r="D23" s="9" t="s">
        <v>241</v>
      </c>
      <c r="E23" s="9" t="s">
        <v>241</v>
      </c>
      <c r="F23" s="54">
        <v>21.34</v>
      </c>
      <c r="G23" s="98">
        <f t="shared" si="0"/>
        <v>1</v>
      </c>
      <c r="H23" s="149">
        <f t="shared" si="1"/>
        <v>21.34</v>
      </c>
      <c r="I23" s="9">
        <v>0.2</v>
      </c>
      <c r="O23" s="166"/>
    </row>
    <row r="24" spans="1:15" ht="15.75" thickBot="1" x14ac:dyDescent="0.3">
      <c r="B24" s="8"/>
      <c r="C24" s="8"/>
      <c r="D24" s="22"/>
      <c r="E24" s="22"/>
      <c r="F24" s="8"/>
      <c r="G24" s="8"/>
      <c r="H24" s="150"/>
      <c r="I24" s="9"/>
      <c r="O24" s="166"/>
    </row>
    <row r="25" spans="1:15" ht="16.5" thickBot="1" x14ac:dyDescent="0.3">
      <c r="B25" s="66" t="s">
        <v>185</v>
      </c>
      <c r="C25" s="67"/>
      <c r="D25" s="68"/>
      <c r="E25" s="68"/>
      <c r="F25" s="69"/>
      <c r="G25" s="69"/>
      <c r="H25" s="134"/>
      <c r="I25" s="72"/>
      <c r="O25" s="166"/>
    </row>
    <row r="26" spans="1:15" x14ac:dyDescent="0.25">
      <c r="A26">
        <v>1</v>
      </c>
      <c r="B26" s="65"/>
      <c r="C26" s="65" t="s">
        <v>830</v>
      </c>
      <c r="D26" s="54">
        <v>6</v>
      </c>
      <c r="E26" s="54" t="s">
        <v>187</v>
      </c>
      <c r="F26" s="54">
        <v>21.99</v>
      </c>
      <c r="G26" s="54">
        <f>$G$1</f>
        <v>1</v>
      </c>
      <c r="H26" s="149">
        <f>F26/G26</f>
        <v>21.99</v>
      </c>
      <c r="I26" s="9">
        <v>0.5</v>
      </c>
      <c r="O26" s="166"/>
    </row>
    <row r="27" spans="1:15" x14ac:dyDescent="0.25">
      <c r="A27">
        <v>2</v>
      </c>
      <c r="B27" s="3"/>
      <c r="C27" s="3" t="s">
        <v>186</v>
      </c>
      <c r="D27" s="9">
        <v>10</v>
      </c>
      <c r="E27" s="9" t="s">
        <v>188</v>
      </c>
      <c r="F27" s="9">
        <v>17.190000000000001</v>
      </c>
      <c r="G27" s="54">
        <f t="shared" ref="G27:G41" si="2">$G$1</f>
        <v>1</v>
      </c>
      <c r="H27" s="149">
        <f t="shared" ref="H27:H42" si="3">F27/G27</f>
        <v>17.190000000000001</v>
      </c>
      <c r="I27" s="9">
        <v>0.5</v>
      </c>
    </row>
    <row r="28" spans="1:15" x14ac:dyDescent="0.25">
      <c r="A28">
        <v>3</v>
      </c>
      <c r="B28" s="3"/>
      <c r="C28" s="3" t="s">
        <v>186</v>
      </c>
      <c r="D28" s="9">
        <v>16</v>
      </c>
      <c r="E28" s="9" t="s">
        <v>189</v>
      </c>
      <c r="F28" s="9">
        <v>31.75</v>
      </c>
      <c r="G28" s="54">
        <f t="shared" si="2"/>
        <v>1</v>
      </c>
      <c r="H28" s="149">
        <f t="shared" si="3"/>
        <v>31.75</v>
      </c>
      <c r="I28" s="9">
        <v>0.5</v>
      </c>
    </row>
    <row r="29" spans="1:15" x14ac:dyDescent="0.25">
      <c r="A29">
        <v>4</v>
      </c>
      <c r="B29" s="3"/>
      <c r="C29" s="3" t="s">
        <v>186</v>
      </c>
      <c r="D29" s="9">
        <v>20</v>
      </c>
      <c r="E29" s="9" t="s">
        <v>190</v>
      </c>
      <c r="F29" s="9">
        <v>31.57</v>
      </c>
      <c r="G29" s="54">
        <f t="shared" si="2"/>
        <v>1</v>
      </c>
      <c r="H29" s="149">
        <f t="shared" si="3"/>
        <v>31.57</v>
      </c>
      <c r="I29" s="9">
        <v>0.5</v>
      </c>
    </row>
    <row r="30" spans="1:15" x14ac:dyDescent="0.25">
      <c r="A30">
        <v>5</v>
      </c>
      <c r="B30" s="3"/>
      <c r="C30" s="3" t="s">
        <v>186</v>
      </c>
      <c r="D30" s="9">
        <v>32</v>
      </c>
      <c r="E30" s="9" t="s">
        <v>652</v>
      </c>
      <c r="F30" s="9">
        <v>40.01</v>
      </c>
      <c r="G30" s="54">
        <v>1</v>
      </c>
      <c r="H30" s="149">
        <f t="shared" si="3"/>
        <v>40.01</v>
      </c>
      <c r="I30" s="9">
        <v>0.5</v>
      </c>
    </row>
    <row r="31" spans="1:15" x14ac:dyDescent="0.25">
      <c r="A31">
        <v>6</v>
      </c>
      <c r="B31" s="3"/>
      <c r="C31" s="3" t="s">
        <v>186</v>
      </c>
      <c r="D31" s="9">
        <v>40</v>
      </c>
      <c r="E31" s="9" t="s">
        <v>191</v>
      </c>
      <c r="F31" s="9">
        <v>39.21</v>
      </c>
      <c r="G31" s="54">
        <f t="shared" si="2"/>
        <v>1</v>
      </c>
      <c r="H31" s="149">
        <f t="shared" si="3"/>
        <v>39.21</v>
      </c>
      <c r="I31" s="9">
        <v>0.5</v>
      </c>
    </row>
    <row r="32" spans="1:15" x14ac:dyDescent="0.25">
      <c r="A32">
        <v>7</v>
      </c>
      <c r="B32" s="3"/>
      <c r="C32" s="3" t="s">
        <v>186</v>
      </c>
      <c r="D32" s="9">
        <v>63</v>
      </c>
      <c r="E32" s="9" t="s">
        <v>192</v>
      </c>
      <c r="F32" s="9">
        <v>63.53</v>
      </c>
      <c r="G32" s="54">
        <f t="shared" si="2"/>
        <v>1</v>
      </c>
      <c r="H32" s="149">
        <f t="shared" si="3"/>
        <v>63.53</v>
      </c>
      <c r="I32" s="9">
        <v>0.5</v>
      </c>
    </row>
    <row r="33" spans="1:10" x14ac:dyDescent="0.25">
      <c r="A33">
        <v>8</v>
      </c>
      <c r="B33" s="3"/>
      <c r="C33" s="3" t="s">
        <v>186</v>
      </c>
      <c r="D33" s="9">
        <v>80</v>
      </c>
      <c r="E33" s="9" t="s">
        <v>248</v>
      </c>
      <c r="F33" s="9">
        <v>346.75</v>
      </c>
      <c r="G33" s="54">
        <f t="shared" si="2"/>
        <v>1</v>
      </c>
      <c r="H33" s="149">
        <f t="shared" si="3"/>
        <v>346.75</v>
      </c>
      <c r="I33" s="9">
        <v>0.5</v>
      </c>
    </row>
    <row r="34" spans="1:10" x14ac:dyDescent="0.25">
      <c r="A34">
        <v>9</v>
      </c>
      <c r="B34" s="3"/>
      <c r="C34" s="3" t="s">
        <v>186</v>
      </c>
      <c r="D34" s="9">
        <v>100</v>
      </c>
      <c r="E34" s="9" t="s">
        <v>653</v>
      </c>
      <c r="F34" s="9">
        <v>232.85</v>
      </c>
      <c r="G34" s="54">
        <v>1</v>
      </c>
      <c r="H34" s="149">
        <f t="shared" si="3"/>
        <v>232.85</v>
      </c>
      <c r="I34" s="9">
        <v>0.5</v>
      </c>
    </row>
    <row r="35" spans="1:10" x14ac:dyDescent="0.25">
      <c r="A35">
        <v>10</v>
      </c>
      <c r="B35" s="3"/>
      <c r="C35" s="3" t="s">
        <v>186</v>
      </c>
      <c r="D35" s="9">
        <v>125</v>
      </c>
      <c r="E35" s="9" t="s">
        <v>654</v>
      </c>
      <c r="F35" s="9">
        <v>232.85</v>
      </c>
      <c r="G35" s="54">
        <v>1</v>
      </c>
      <c r="H35" s="149">
        <f t="shared" si="3"/>
        <v>232.85</v>
      </c>
      <c r="I35" s="9">
        <v>0.5</v>
      </c>
    </row>
    <row r="36" spans="1:10" x14ac:dyDescent="0.25">
      <c r="A36">
        <v>11</v>
      </c>
      <c r="B36" s="3"/>
      <c r="C36" s="3" t="s">
        <v>236</v>
      </c>
      <c r="D36" s="9" t="s">
        <v>242</v>
      </c>
      <c r="E36" s="9" t="s">
        <v>242</v>
      </c>
      <c r="F36" s="9">
        <v>24.55</v>
      </c>
      <c r="G36" s="54">
        <f t="shared" si="2"/>
        <v>1</v>
      </c>
      <c r="H36" s="149">
        <f t="shared" si="3"/>
        <v>24.55</v>
      </c>
      <c r="I36" s="9">
        <v>0.2</v>
      </c>
    </row>
    <row r="37" spans="1:10" x14ac:dyDescent="0.25">
      <c r="A37">
        <v>12</v>
      </c>
      <c r="B37" s="3" t="s">
        <v>48</v>
      </c>
      <c r="C37" s="3" t="s">
        <v>50</v>
      </c>
      <c r="D37" s="9">
        <v>6</v>
      </c>
      <c r="E37" s="9" t="s">
        <v>193</v>
      </c>
      <c r="F37" s="9">
        <v>11.2</v>
      </c>
      <c r="G37" s="54">
        <f t="shared" si="2"/>
        <v>1</v>
      </c>
      <c r="H37" s="149">
        <f t="shared" si="3"/>
        <v>11.2</v>
      </c>
      <c r="I37" s="9">
        <v>0.17</v>
      </c>
    </row>
    <row r="38" spans="1:10" x14ac:dyDescent="0.25">
      <c r="B38" s="3" t="s">
        <v>49</v>
      </c>
      <c r="C38" s="3" t="s">
        <v>50</v>
      </c>
      <c r="D38" s="9">
        <v>16</v>
      </c>
      <c r="E38" s="9" t="s">
        <v>194</v>
      </c>
      <c r="F38" s="9">
        <v>9.0299999999999994</v>
      </c>
      <c r="G38" s="54">
        <f t="shared" si="2"/>
        <v>1</v>
      </c>
      <c r="H38" s="149">
        <f t="shared" si="3"/>
        <v>9.0299999999999994</v>
      </c>
      <c r="I38" s="9">
        <v>0.17</v>
      </c>
    </row>
    <row r="39" spans="1:10" x14ac:dyDescent="0.25">
      <c r="B39" s="8"/>
      <c r="C39" s="3" t="s">
        <v>50</v>
      </c>
      <c r="D39" s="22">
        <v>1</v>
      </c>
      <c r="E39" s="9" t="s">
        <v>345</v>
      </c>
      <c r="F39" s="22">
        <v>11.02</v>
      </c>
      <c r="G39" s="54">
        <f t="shared" si="2"/>
        <v>1</v>
      </c>
      <c r="H39" s="149">
        <f t="shared" si="3"/>
        <v>11.02</v>
      </c>
      <c r="I39" s="9">
        <v>0.17</v>
      </c>
    </row>
    <row r="40" spans="1:10" x14ac:dyDescent="0.25">
      <c r="B40" s="8"/>
      <c r="C40" s="3" t="s">
        <v>50</v>
      </c>
      <c r="D40" s="22">
        <v>2</v>
      </c>
      <c r="E40" s="9" t="s">
        <v>346</v>
      </c>
      <c r="F40" s="22">
        <v>15.06</v>
      </c>
      <c r="G40" s="54">
        <f t="shared" si="2"/>
        <v>1</v>
      </c>
      <c r="H40" s="149">
        <f t="shared" si="3"/>
        <v>15.06</v>
      </c>
      <c r="I40" s="9">
        <v>0.17</v>
      </c>
    </row>
    <row r="41" spans="1:10" x14ac:dyDescent="0.25">
      <c r="B41" s="8"/>
      <c r="C41" s="3" t="s">
        <v>50</v>
      </c>
      <c r="D41" s="22">
        <v>4</v>
      </c>
      <c r="E41" s="9" t="s">
        <v>347</v>
      </c>
      <c r="F41" s="22">
        <v>15.08</v>
      </c>
      <c r="G41" s="54">
        <f t="shared" si="2"/>
        <v>1</v>
      </c>
      <c r="H41" s="149">
        <f t="shared" si="3"/>
        <v>15.08</v>
      </c>
      <c r="I41" s="9">
        <v>0.17</v>
      </c>
    </row>
    <row r="42" spans="1:10" x14ac:dyDescent="0.25">
      <c r="B42" s="8"/>
      <c r="C42" s="3" t="s">
        <v>50</v>
      </c>
      <c r="D42" s="22">
        <v>10</v>
      </c>
      <c r="E42" s="9" t="s">
        <v>445</v>
      </c>
      <c r="F42" s="22">
        <v>8.08</v>
      </c>
      <c r="G42" s="146">
        <v>1</v>
      </c>
      <c r="H42" s="149">
        <f t="shared" si="3"/>
        <v>8.08</v>
      </c>
      <c r="I42" s="9">
        <v>0.17</v>
      </c>
    </row>
    <row r="43" spans="1:10" ht="15.75" thickBot="1" x14ac:dyDescent="0.3">
      <c r="B43" s="8"/>
      <c r="C43" s="8"/>
      <c r="D43" s="22"/>
      <c r="E43" s="22"/>
      <c r="F43" s="8"/>
      <c r="G43" s="8"/>
      <c r="H43" s="150"/>
      <c r="I43" s="9"/>
    </row>
    <row r="44" spans="1:10" ht="16.5" thickBot="1" x14ac:dyDescent="0.3">
      <c r="B44" s="66" t="s">
        <v>164</v>
      </c>
      <c r="C44" s="67"/>
      <c r="D44" s="68"/>
      <c r="E44" s="68"/>
      <c r="F44" s="68"/>
      <c r="G44" s="68"/>
      <c r="H44" s="68"/>
      <c r="I44" s="72"/>
    </row>
    <row r="45" spans="1:10" x14ac:dyDescent="0.25">
      <c r="A45">
        <v>1</v>
      </c>
      <c r="B45" s="65" t="s">
        <v>46</v>
      </c>
      <c r="C45" s="65" t="s">
        <v>47</v>
      </c>
      <c r="D45" s="54">
        <v>9</v>
      </c>
      <c r="E45" s="54" t="s">
        <v>4</v>
      </c>
      <c r="F45" s="54">
        <v>23.74</v>
      </c>
      <c r="G45" s="54">
        <f>$G$1</f>
        <v>1</v>
      </c>
      <c r="H45" s="149">
        <f>F45/G45</f>
        <v>23.74</v>
      </c>
      <c r="I45" s="9">
        <v>0.32</v>
      </c>
      <c r="J45" s="9">
        <v>4</v>
      </c>
    </row>
    <row r="46" spans="1:10" x14ac:dyDescent="0.25">
      <c r="A46">
        <v>2</v>
      </c>
      <c r="B46" s="3"/>
      <c r="C46" s="3" t="s">
        <v>47</v>
      </c>
      <c r="D46" s="9">
        <v>12</v>
      </c>
      <c r="E46" s="9" t="s">
        <v>15</v>
      </c>
      <c r="F46" s="9">
        <v>39.89</v>
      </c>
      <c r="G46" s="54">
        <f t="shared" ref="G46:G53" si="4">$G$1</f>
        <v>1</v>
      </c>
      <c r="H46" s="149">
        <f t="shared" ref="H46:H53" si="5">F46/G46</f>
        <v>39.89</v>
      </c>
      <c r="I46" s="9">
        <v>0.32</v>
      </c>
      <c r="J46" s="9">
        <v>5.5</v>
      </c>
    </row>
    <row r="47" spans="1:10" x14ac:dyDescent="0.25">
      <c r="A47">
        <v>3</v>
      </c>
      <c r="B47" s="3"/>
      <c r="C47" s="3" t="s">
        <v>47</v>
      </c>
      <c r="D47" s="9">
        <v>18</v>
      </c>
      <c r="E47" s="9" t="s">
        <v>18</v>
      </c>
      <c r="F47" s="9">
        <v>37.42</v>
      </c>
      <c r="G47" s="54">
        <f t="shared" si="4"/>
        <v>1</v>
      </c>
      <c r="H47" s="149">
        <f t="shared" si="5"/>
        <v>37.42</v>
      </c>
      <c r="I47" s="9">
        <v>0.32</v>
      </c>
      <c r="J47" s="9">
        <v>7.5</v>
      </c>
    </row>
    <row r="48" spans="1:10" x14ac:dyDescent="0.25">
      <c r="A48">
        <v>4</v>
      </c>
      <c r="B48" s="3"/>
      <c r="C48" s="3" t="s">
        <v>47</v>
      </c>
      <c r="D48" s="9">
        <v>25</v>
      </c>
      <c r="E48" s="9" t="s">
        <v>23</v>
      </c>
      <c r="F48" s="9">
        <v>43.39</v>
      </c>
      <c r="G48" s="54">
        <f t="shared" si="4"/>
        <v>1</v>
      </c>
      <c r="H48" s="149">
        <f t="shared" si="5"/>
        <v>43.39</v>
      </c>
      <c r="I48" s="9">
        <v>0.37</v>
      </c>
      <c r="J48" s="9">
        <v>11</v>
      </c>
    </row>
    <row r="49" spans="1:10" x14ac:dyDescent="0.25">
      <c r="A49">
        <v>5</v>
      </c>
      <c r="B49" s="3"/>
      <c r="C49" s="3" t="s">
        <v>47</v>
      </c>
      <c r="D49" s="9">
        <v>32</v>
      </c>
      <c r="E49" s="9" t="s">
        <v>28</v>
      </c>
      <c r="F49" s="9">
        <v>61.29</v>
      </c>
      <c r="G49" s="54">
        <f t="shared" si="4"/>
        <v>1</v>
      </c>
      <c r="H49" s="149">
        <f t="shared" si="5"/>
        <v>61.29</v>
      </c>
      <c r="I49" s="9">
        <v>0.38</v>
      </c>
      <c r="J49" s="9">
        <v>15</v>
      </c>
    </row>
    <row r="50" spans="1:10" x14ac:dyDescent="0.25">
      <c r="A50">
        <v>6</v>
      </c>
      <c r="B50" s="3"/>
      <c r="C50" s="3" t="s">
        <v>47</v>
      </c>
      <c r="D50" s="9">
        <v>40</v>
      </c>
      <c r="E50" s="9" t="s">
        <v>31</v>
      </c>
      <c r="F50" s="9">
        <v>79.36</v>
      </c>
      <c r="G50" s="54">
        <f t="shared" si="4"/>
        <v>1</v>
      </c>
      <c r="H50" s="149">
        <f t="shared" si="5"/>
        <v>79.36</v>
      </c>
      <c r="I50" s="9">
        <v>1.4</v>
      </c>
      <c r="J50" s="9">
        <v>18.5</v>
      </c>
    </row>
    <row r="51" spans="1:10" x14ac:dyDescent="0.25">
      <c r="A51">
        <v>7</v>
      </c>
      <c r="B51" s="3"/>
      <c r="C51" s="3" t="s">
        <v>47</v>
      </c>
      <c r="D51" s="9">
        <v>50</v>
      </c>
      <c r="E51" s="9" t="s">
        <v>34</v>
      </c>
      <c r="F51" s="9">
        <v>141.91999999999999</v>
      </c>
      <c r="G51" s="54">
        <f t="shared" si="4"/>
        <v>1</v>
      </c>
      <c r="H51" s="149">
        <f t="shared" si="5"/>
        <v>141.91999999999999</v>
      </c>
      <c r="I51" s="9">
        <v>1.4</v>
      </c>
      <c r="J51" s="9">
        <v>22</v>
      </c>
    </row>
    <row r="52" spans="1:10" x14ac:dyDescent="0.25">
      <c r="A52">
        <v>8</v>
      </c>
      <c r="B52" s="3"/>
      <c r="C52" s="3" t="s">
        <v>47</v>
      </c>
      <c r="D52" s="9">
        <v>65</v>
      </c>
      <c r="E52" s="9" t="s">
        <v>37</v>
      </c>
      <c r="F52" s="9">
        <v>201.79</v>
      </c>
      <c r="G52" s="54">
        <f t="shared" si="4"/>
        <v>1</v>
      </c>
      <c r="H52" s="149">
        <f t="shared" si="5"/>
        <v>201.79</v>
      </c>
      <c r="I52" s="9">
        <v>1.4</v>
      </c>
      <c r="J52" s="9">
        <v>30</v>
      </c>
    </row>
    <row r="53" spans="1:10" x14ac:dyDescent="0.25">
      <c r="A53">
        <v>9</v>
      </c>
      <c r="B53" s="3"/>
      <c r="C53" s="3" t="s">
        <v>47</v>
      </c>
      <c r="D53" s="9">
        <v>80</v>
      </c>
      <c r="E53" s="9" t="s">
        <v>40</v>
      </c>
      <c r="F53" s="9">
        <v>197.18</v>
      </c>
      <c r="G53" s="54">
        <f t="shared" si="4"/>
        <v>1</v>
      </c>
      <c r="H53" s="149">
        <f t="shared" si="5"/>
        <v>197.18</v>
      </c>
      <c r="I53" s="9">
        <v>1.6</v>
      </c>
      <c r="J53" s="9">
        <v>37</v>
      </c>
    </row>
    <row r="54" spans="1:10" ht="15.75" thickBot="1" x14ac:dyDescent="0.3">
      <c r="B54" s="8"/>
      <c r="C54" s="8"/>
      <c r="D54" s="22"/>
      <c r="E54" s="22"/>
      <c r="F54" s="8"/>
      <c r="G54" s="8"/>
      <c r="H54" s="150"/>
      <c r="I54" s="9"/>
    </row>
    <row r="55" spans="1:10" ht="16.5" thickBot="1" x14ac:dyDescent="0.3">
      <c r="B55" s="66" t="s">
        <v>168</v>
      </c>
      <c r="C55" s="67"/>
      <c r="D55" s="68"/>
      <c r="E55" s="68"/>
      <c r="F55" s="68"/>
      <c r="G55" s="68"/>
      <c r="H55" s="68"/>
      <c r="I55" s="72"/>
    </row>
    <row r="56" spans="1:10" x14ac:dyDescent="0.25">
      <c r="B56" s="65"/>
      <c r="C56" s="65" t="s">
        <v>51</v>
      </c>
      <c r="D56" s="54" t="s">
        <v>200</v>
      </c>
      <c r="E56" s="54" t="s">
        <v>199</v>
      </c>
      <c r="F56" s="54">
        <v>13.21</v>
      </c>
      <c r="G56" s="54">
        <f>$G$1</f>
        <v>1</v>
      </c>
      <c r="H56" s="149">
        <f>F56/G56</f>
        <v>13.21</v>
      </c>
      <c r="I56" s="9">
        <v>0.1</v>
      </c>
    </row>
    <row r="57" spans="1:10" x14ac:dyDescent="0.25">
      <c r="B57" s="3"/>
      <c r="C57" s="3" t="s">
        <v>52</v>
      </c>
      <c r="D57" s="9" t="s">
        <v>201</v>
      </c>
      <c r="E57" s="9" t="s">
        <v>202</v>
      </c>
      <c r="F57" s="9">
        <v>14.63</v>
      </c>
      <c r="G57" s="54">
        <f t="shared" ref="G57:G58" si="6">$G$1</f>
        <v>1</v>
      </c>
      <c r="H57" s="149">
        <f t="shared" ref="H57:H58" si="7">F57/G57</f>
        <v>14.63</v>
      </c>
      <c r="I57" s="9">
        <v>0.1</v>
      </c>
    </row>
    <row r="58" spans="1:10" x14ac:dyDescent="0.25">
      <c r="B58" s="3"/>
      <c r="C58" s="3" t="s">
        <v>53</v>
      </c>
      <c r="D58" s="9" t="s">
        <v>180</v>
      </c>
      <c r="E58" s="9" t="s">
        <v>180</v>
      </c>
      <c r="F58" s="9">
        <v>51.2</v>
      </c>
      <c r="G58" s="54">
        <f t="shared" si="6"/>
        <v>1</v>
      </c>
      <c r="H58" s="149">
        <f t="shared" si="7"/>
        <v>51.2</v>
      </c>
      <c r="I58" s="9">
        <v>0.1</v>
      </c>
    </row>
    <row r="59" spans="1:10" ht="15.75" thickBot="1" x14ac:dyDescent="0.3">
      <c r="B59" s="8"/>
      <c r="C59" s="8"/>
      <c r="D59" s="22"/>
      <c r="E59" s="22"/>
      <c r="F59" s="8"/>
      <c r="G59" s="8"/>
      <c r="H59" s="150"/>
      <c r="I59" s="9"/>
    </row>
    <row r="60" spans="1:10" ht="16.5" thickBot="1" x14ac:dyDescent="0.3">
      <c r="B60" s="66" t="s">
        <v>165</v>
      </c>
      <c r="C60" s="67"/>
      <c r="D60" s="68"/>
      <c r="E60" s="68"/>
      <c r="F60" s="68"/>
      <c r="G60" s="68"/>
      <c r="H60" s="68"/>
      <c r="I60" s="72"/>
    </row>
    <row r="61" spans="1:10" x14ac:dyDescent="0.25">
      <c r="B61" s="65"/>
      <c r="C61" s="65" t="s">
        <v>54</v>
      </c>
      <c r="D61" s="54">
        <v>2.5</v>
      </c>
      <c r="E61" s="54" t="str">
        <f t="shared" ref="E61:E80" si="8">CONCATENATE(C61,D61)</f>
        <v>Клемма2,5</v>
      </c>
      <c r="F61" s="54">
        <v>0.63</v>
      </c>
      <c r="G61" s="54">
        <f>$G$1</f>
        <v>1</v>
      </c>
      <c r="H61" s="149">
        <f>F61/G61</f>
        <v>0.63</v>
      </c>
      <c r="I61" s="9">
        <v>6.0000000000000001E-3</v>
      </c>
    </row>
    <row r="62" spans="1:10" x14ac:dyDescent="0.25">
      <c r="B62" s="3"/>
      <c r="C62" s="3" t="s">
        <v>54</v>
      </c>
      <c r="D62" s="9">
        <v>4</v>
      </c>
      <c r="E62" s="9" t="str">
        <f t="shared" si="8"/>
        <v>Клемма4</v>
      </c>
      <c r="F62" s="9">
        <v>0.83</v>
      </c>
      <c r="G62" s="54">
        <f t="shared" ref="G62:G81" si="9">$G$1</f>
        <v>1</v>
      </c>
      <c r="H62" s="149">
        <f t="shared" ref="H62:H82" si="10">F62/G62</f>
        <v>0.83</v>
      </c>
      <c r="I62" s="9">
        <v>0.01</v>
      </c>
    </row>
    <row r="63" spans="1:10" x14ac:dyDescent="0.25">
      <c r="B63" s="3"/>
      <c r="C63" s="3" t="s">
        <v>54</v>
      </c>
      <c r="D63" s="9">
        <v>6</v>
      </c>
      <c r="E63" s="9" t="str">
        <f t="shared" si="8"/>
        <v>Клемма6</v>
      </c>
      <c r="F63" s="9">
        <v>1.22</v>
      </c>
      <c r="G63" s="54">
        <f t="shared" si="9"/>
        <v>1</v>
      </c>
      <c r="H63" s="149">
        <f t="shared" si="10"/>
        <v>1.22</v>
      </c>
      <c r="I63" s="9">
        <v>0.02</v>
      </c>
    </row>
    <row r="64" spans="1:10" x14ac:dyDescent="0.25">
      <c r="B64" s="3"/>
      <c r="C64" s="3" t="s">
        <v>54</v>
      </c>
      <c r="D64" s="9">
        <v>10</v>
      </c>
      <c r="E64" s="9" t="s">
        <v>212</v>
      </c>
      <c r="F64" s="9">
        <v>1.79</v>
      </c>
      <c r="G64" s="54">
        <f t="shared" si="9"/>
        <v>1</v>
      </c>
      <c r="H64" s="149">
        <f t="shared" si="10"/>
        <v>1.79</v>
      </c>
      <c r="I64" s="9">
        <v>0.03</v>
      </c>
    </row>
    <row r="65" spans="2:9" x14ac:dyDescent="0.25">
      <c r="B65" s="3"/>
      <c r="C65" s="3" t="s">
        <v>54</v>
      </c>
      <c r="D65" s="9">
        <v>16</v>
      </c>
      <c r="E65" s="9" t="str">
        <f t="shared" si="8"/>
        <v>Клемма16</v>
      </c>
      <c r="F65" s="9">
        <v>3.02</v>
      </c>
      <c r="G65" s="54">
        <f t="shared" si="9"/>
        <v>1</v>
      </c>
      <c r="H65" s="149">
        <f t="shared" si="10"/>
        <v>3.02</v>
      </c>
      <c r="I65" s="9">
        <v>0.04</v>
      </c>
    </row>
    <row r="66" spans="2:9" x14ac:dyDescent="0.25">
      <c r="B66" s="3"/>
      <c r="C66" s="3" t="s">
        <v>54</v>
      </c>
      <c r="D66" s="9">
        <v>35</v>
      </c>
      <c r="E66" s="9" t="str">
        <f t="shared" si="8"/>
        <v>Клемма35</v>
      </c>
      <c r="F66" s="9">
        <v>2.79</v>
      </c>
      <c r="G66" s="54">
        <f t="shared" si="9"/>
        <v>1</v>
      </c>
      <c r="H66" s="149">
        <f t="shared" si="10"/>
        <v>2.79</v>
      </c>
      <c r="I66" s="9">
        <v>0.06</v>
      </c>
    </row>
    <row r="67" spans="2:9" x14ac:dyDescent="0.25">
      <c r="B67" s="3"/>
      <c r="C67" s="3" t="s">
        <v>54</v>
      </c>
      <c r="D67" s="9">
        <v>70</v>
      </c>
      <c r="E67" s="9" t="str">
        <f t="shared" si="8"/>
        <v>Клемма70</v>
      </c>
      <c r="F67" s="9">
        <v>15.79</v>
      </c>
      <c r="G67" s="54">
        <v>1</v>
      </c>
      <c r="H67" s="149">
        <f t="shared" si="10"/>
        <v>15.79</v>
      </c>
      <c r="I67" s="9"/>
    </row>
    <row r="68" spans="2:9" x14ac:dyDescent="0.25">
      <c r="B68" s="3"/>
      <c r="C68" s="3" t="s">
        <v>54</v>
      </c>
      <c r="D68" s="9">
        <v>150</v>
      </c>
      <c r="E68" s="9" t="str">
        <f t="shared" si="8"/>
        <v>Клемма150</v>
      </c>
      <c r="F68" s="9">
        <v>39.700000000000003</v>
      </c>
      <c r="G68" s="54">
        <v>1</v>
      </c>
      <c r="H68" s="149">
        <f t="shared" si="10"/>
        <v>39.700000000000003</v>
      </c>
      <c r="I68" s="9"/>
    </row>
    <row r="69" spans="2:9" x14ac:dyDescent="0.25">
      <c r="B69" s="3"/>
      <c r="C69" s="3" t="s">
        <v>55</v>
      </c>
      <c r="D69" s="9">
        <v>2.5</v>
      </c>
      <c r="E69" s="9" t="str">
        <f t="shared" si="8"/>
        <v>Клемма N2,5</v>
      </c>
      <c r="F69" s="9">
        <v>0.62</v>
      </c>
      <c r="G69" s="54">
        <f t="shared" si="9"/>
        <v>1</v>
      </c>
      <c r="H69" s="149">
        <f t="shared" si="10"/>
        <v>0.62</v>
      </c>
      <c r="I69" s="9">
        <v>6.0000000000000001E-3</v>
      </c>
    </row>
    <row r="70" spans="2:9" x14ac:dyDescent="0.25">
      <c r="B70" s="3"/>
      <c r="C70" s="3" t="s">
        <v>55</v>
      </c>
      <c r="D70" s="9">
        <v>4</v>
      </c>
      <c r="E70" s="9" t="str">
        <f t="shared" si="8"/>
        <v>Клемма N4</v>
      </c>
      <c r="F70" s="9">
        <v>1.1200000000000001</v>
      </c>
      <c r="G70" s="54">
        <f t="shared" si="9"/>
        <v>1</v>
      </c>
      <c r="H70" s="149">
        <f t="shared" si="10"/>
        <v>1.1200000000000001</v>
      </c>
      <c r="I70" s="9">
        <v>0.01</v>
      </c>
    </row>
    <row r="71" spans="2:9" x14ac:dyDescent="0.25">
      <c r="B71" s="3"/>
      <c r="C71" s="3" t="s">
        <v>55</v>
      </c>
      <c r="D71" s="9">
        <v>6</v>
      </c>
      <c r="E71" s="9" t="str">
        <f t="shared" si="8"/>
        <v>Клемма N6</v>
      </c>
      <c r="F71" s="9">
        <v>1.23</v>
      </c>
      <c r="G71" s="54">
        <f t="shared" si="9"/>
        <v>1</v>
      </c>
      <c r="H71" s="149">
        <f t="shared" si="10"/>
        <v>1.23</v>
      </c>
      <c r="I71" s="9">
        <v>0.02</v>
      </c>
    </row>
    <row r="72" spans="2:9" x14ac:dyDescent="0.25">
      <c r="B72" s="3"/>
      <c r="C72" s="3" t="s">
        <v>55</v>
      </c>
      <c r="D72" s="9">
        <v>10</v>
      </c>
      <c r="E72" s="9" t="str">
        <f t="shared" si="8"/>
        <v>Клемма N10</v>
      </c>
      <c r="F72" s="9">
        <v>1.6</v>
      </c>
      <c r="G72" s="54">
        <f t="shared" si="9"/>
        <v>1</v>
      </c>
      <c r="H72" s="149">
        <f t="shared" si="10"/>
        <v>1.6</v>
      </c>
      <c r="I72" s="9">
        <v>0.03</v>
      </c>
    </row>
    <row r="73" spans="2:9" x14ac:dyDescent="0.25">
      <c r="B73" s="3"/>
      <c r="C73" s="3" t="s">
        <v>55</v>
      </c>
      <c r="D73" s="9">
        <v>16</v>
      </c>
      <c r="E73" s="9" t="str">
        <f t="shared" si="8"/>
        <v>Клемма N16</v>
      </c>
      <c r="F73" s="9">
        <v>2.83</v>
      </c>
      <c r="G73" s="54">
        <f t="shared" si="9"/>
        <v>1</v>
      </c>
      <c r="H73" s="149">
        <f t="shared" si="10"/>
        <v>2.83</v>
      </c>
      <c r="I73" s="9">
        <v>0.04</v>
      </c>
    </row>
    <row r="74" spans="2:9" x14ac:dyDescent="0.25">
      <c r="B74" s="3"/>
      <c r="C74" s="3" t="s">
        <v>55</v>
      </c>
      <c r="D74" s="9">
        <v>35</v>
      </c>
      <c r="E74" s="9" t="str">
        <f t="shared" si="8"/>
        <v>Клемма N35</v>
      </c>
      <c r="F74" s="9">
        <v>3.23</v>
      </c>
      <c r="G74" s="54">
        <f t="shared" si="9"/>
        <v>1</v>
      </c>
      <c r="H74" s="149">
        <f t="shared" si="10"/>
        <v>3.23</v>
      </c>
      <c r="I74" s="9">
        <v>0.06</v>
      </c>
    </row>
    <row r="75" spans="2:9" x14ac:dyDescent="0.25">
      <c r="B75" s="3"/>
      <c r="C75" s="3" t="s">
        <v>56</v>
      </c>
      <c r="D75" s="9">
        <v>2.5</v>
      </c>
      <c r="E75" s="9" t="str">
        <f t="shared" si="8"/>
        <v>Клемма PE2,5</v>
      </c>
      <c r="F75" s="9">
        <v>1.87</v>
      </c>
      <c r="G75" s="54">
        <f t="shared" si="9"/>
        <v>1</v>
      </c>
      <c r="H75" s="149">
        <f t="shared" si="10"/>
        <v>1.87</v>
      </c>
      <c r="I75" s="9">
        <v>6.0000000000000001E-3</v>
      </c>
    </row>
    <row r="76" spans="2:9" x14ac:dyDescent="0.25">
      <c r="B76" s="3"/>
      <c r="C76" s="3" t="s">
        <v>56</v>
      </c>
      <c r="D76" s="9">
        <v>4</v>
      </c>
      <c r="E76" s="9" t="str">
        <f t="shared" si="8"/>
        <v>Клемма PE4</v>
      </c>
      <c r="F76" s="9">
        <v>2.83</v>
      </c>
      <c r="G76" s="54">
        <f t="shared" si="9"/>
        <v>1</v>
      </c>
      <c r="H76" s="149">
        <f t="shared" si="10"/>
        <v>2.83</v>
      </c>
      <c r="I76" s="9">
        <v>0.01</v>
      </c>
    </row>
    <row r="77" spans="2:9" x14ac:dyDescent="0.25">
      <c r="B77" s="3"/>
      <c r="C77" s="3" t="s">
        <v>56</v>
      </c>
      <c r="D77" s="9">
        <v>6</v>
      </c>
      <c r="E77" s="9" t="str">
        <f t="shared" si="8"/>
        <v>Клемма PE6</v>
      </c>
      <c r="F77" s="9">
        <v>3.4</v>
      </c>
      <c r="G77" s="54">
        <f t="shared" si="9"/>
        <v>1</v>
      </c>
      <c r="H77" s="149">
        <f t="shared" si="10"/>
        <v>3.4</v>
      </c>
      <c r="I77" s="9">
        <v>0.02</v>
      </c>
    </row>
    <row r="78" spans="2:9" x14ac:dyDescent="0.25">
      <c r="B78" s="3"/>
      <c r="C78" s="3" t="s">
        <v>56</v>
      </c>
      <c r="D78" s="9">
        <v>10</v>
      </c>
      <c r="E78" s="9" t="str">
        <f t="shared" si="8"/>
        <v>Клемма PE10</v>
      </c>
      <c r="F78" s="9">
        <v>3.87</v>
      </c>
      <c r="G78" s="54">
        <f t="shared" si="9"/>
        <v>1</v>
      </c>
      <c r="H78" s="149">
        <f t="shared" si="10"/>
        <v>3.87</v>
      </c>
      <c r="I78" s="9">
        <v>0.03</v>
      </c>
    </row>
    <row r="79" spans="2:9" x14ac:dyDescent="0.25">
      <c r="B79" s="3"/>
      <c r="C79" s="3" t="s">
        <v>56</v>
      </c>
      <c r="D79" s="9">
        <v>16</v>
      </c>
      <c r="E79" s="9" t="str">
        <f t="shared" si="8"/>
        <v>Клемма PE16</v>
      </c>
      <c r="F79" s="9">
        <v>5.97</v>
      </c>
      <c r="G79" s="54">
        <f t="shared" si="9"/>
        <v>1</v>
      </c>
      <c r="H79" s="149">
        <f t="shared" si="10"/>
        <v>5.97</v>
      </c>
      <c r="I79" s="9">
        <v>0.04</v>
      </c>
    </row>
    <row r="80" spans="2:9" x14ac:dyDescent="0.25">
      <c r="B80" s="3"/>
      <c r="C80" s="3" t="s">
        <v>56</v>
      </c>
      <c r="D80" s="9">
        <v>35</v>
      </c>
      <c r="E80" s="9" t="str">
        <f t="shared" si="8"/>
        <v>Клемма PE35</v>
      </c>
      <c r="F80" s="9">
        <v>7.53</v>
      </c>
      <c r="G80" s="54">
        <f t="shared" si="9"/>
        <v>1</v>
      </c>
      <c r="H80" s="149">
        <f t="shared" si="10"/>
        <v>7.53</v>
      </c>
      <c r="I80" s="9">
        <v>0.06</v>
      </c>
    </row>
    <row r="81" spans="1:13" x14ac:dyDescent="0.25">
      <c r="B81" s="3"/>
      <c r="C81" s="3" t="s">
        <v>230</v>
      </c>
      <c r="D81" s="9" t="s">
        <v>232</v>
      </c>
      <c r="E81" s="9" t="s">
        <v>231</v>
      </c>
      <c r="F81" s="9">
        <v>1.04</v>
      </c>
      <c r="G81" s="54">
        <f t="shared" si="9"/>
        <v>1</v>
      </c>
      <c r="H81" s="149">
        <f t="shared" si="10"/>
        <v>1.04</v>
      </c>
      <c r="I81" s="9">
        <v>0.01</v>
      </c>
    </row>
    <row r="82" spans="1:13" x14ac:dyDescent="0.25">
      <c r="B82" s="3"/>
      <c r="C82" s="3" t="s">
        <v>775</v>
      </c>
      <c r="D82" s="9" t="s">
        <v>777</v>
      </c>
      <c r="E82" s="9" t="s">
        <v>776</v>
      </c>
      <c r="F82" s="9">
        <v>49.2</v>
      </c>
      <c r="G82" s="54">
        <v>1</v>
      </c>
      <c r="H82" s="149">
        <f t="shared" si="10"/>
        <v>49.2</v>
      </c>
      <c r="I82" s="9"/>
    </row>
    <row r="83" spans="1:13" ht="15.75" thickBot="1" x14ac:dyDescent="0.3">
      <c r="B83" s="8"/>
      <c r="C83" s="8"/>
      <c r="D83" s="22"/>
      <c r="E83" s="22"/>
      <c r="F83" s="22"/>
      <c r="G83" s="146"/>
      <c r="H83" s="364"/>
      <c r="I83" s="22"/>
    </row>
    <row r="84" spans="1:13" ht="16.5" thickBot="1" x14ac:dyDescent="0.3">
      <c r="B84" s="66" t="s">
        <v>586</v>
      </c>
      <c r="C84" s="379"/>
      <c r="D84" s="380"/>
      <c r="E84" s="380"/>
      <c r="F84" s="380"/>
      <c r="G84" s="380"/>
      <c r="H84" s="381"/>
      <c r="I84" s="382"/>
    </row>
    <row r="85" spans="1:13" x14ac:dyDescent="0.25">
      <c r="B85" s="65"/>
      <c r="C85" s="65" t="s">
        <v>587</v>
      </c>
      <c r="D85" s="54" t="s">
        <v>589</v>
      </c>
      <c r="E85" s="54" t="s">
        <v>588</v>
      </c>
      <c r="F85" s="54">
        <v>275.70999999999998</v>
      </c>
      <c r="G85" s="54">
        <v>1</v>
      </c>
      <c r="H85" s="149">
        <f>F85/G85</f>
        <v>275.70999999999998</v>
      </c>
      <c r="I85" s="54"/>
    </row>
    <row r="86" spans="1:13" ht="15.75" thickBot="1" x14ac:dyDescent="0.3">
      <c r="B86" s="3"/>
      <c r="C86" s="3"/>
      <c r="D86" s="9"/>
      <c r="E86" s="9"/>
      <c r="F86" s="9"/>
      <c r="G86" s="54"/>
      <c r="H86" s="149"/>
      <c r="I86" s="9"/>
    </row>
    <row r="87" spans="1:13" ht="16.5" thickBot="1" x14ac:dyDescent="0.3">
      <c r="B87" s="66" t="s">
        <v>166</v>
      </c>
      <c r="C87" s="67"/>
      <c r="D87" s="68"/>
      <c r="E87" s="68"/>
      <c r="F87" s="68"/>
      <c r="G87" s="68"/>
      <c r="H87" s="68"/>
      <c r="I87" s="72"/>
    </row>
    <row r="88" spans="1:13" x14ac:dyDescent="0.25">
      <c r="A88">
        <v>1</v>
      </c>
      <c r="B88" s="65"/>
      <c r="C88" s="65" t="s">
        <v>60</v>
      </c>
      <c r="D88" s="54" t="s">
        <v>57</v>
      </c>
      <c r="E88" s="54" t="s">
        <v>196</v>
      </c>
      <c r="F88" s="9">
        <v>1.4</v>
      </c>
      <c r="G88" s="54">
        <f>$G$1</f>
        <v>1</v>
      </c>
      <c r="H88" s="149">
        <f>F88/G88</f>
        <v>1.4</v>
      </c>
      <c r="I88" s="9">
        <v>0.2</v>
      </c>
    </row>
    <row r="89" spans="1:13" x14ac:dyDescent="0.25">
      <c r="A89">
        <v>2</v>
      </c>
      <c r="B89" s="3"/>
      <c r="C89" s="3" t="s">
        <v>61</v>
      </c>
      <c r="D89" s="9" t="s">
        <v>58</v>
      </c>
      <c r="E89" s="9" t="s">
        <v>197</v>
      </c>
      <c r="F89" s="9">
        <v>1.4</v>
      </c>
      <c r="G89" s="54">
        <f t="shared" ref="G89:G93" si="11">$G$1</f>
        <v>1</v>
      </c>
      <c r="H89" s="149">
        <f t="shared" ref="H89:H95" si="12">F89/G89</f>
        <v>1.4</v>
      </c>
      <c r="I89" s="9">
        <v>0.2</v>
      </c>
    </row>
    <row r="90" spans="1:13" x14ac:dyDescent="0.25">
      <c r="A90">
        <v>3</v>
      </c>
      <c r="B90" s="3"/>
      <c r="C90" s="3" t="s">
        <v>62</v>
      </c>
      <c r="D90" s="9" t="s">
        <v>59</v>
      </c>
      <c r="E90" s="9" t="s">
        <v>198</v>
      </c>
      <c r="F90" s="9">
        <v>1.4</v>
      </c>
      <c r="G90" s="54">
        <f t="shared" si="11"/>
        <v>1</v>
      </c>
      <c r="H90" s="149">
        <f t="shared" si="12"/>
        <v>1.4</v>
      </c>
      <c r="I90" s="9">
        <v>0.2</v>
      </c>
      <c r="J90" s="152"/>
      <c r="K90" s="9"/>
      <c r="L90" s="9"/>
      <c r="M90" s="9"/>
    </row>
    <row r="91" spans="1:13" x14ac:dyDescent="0.25">
      <c r="A91">
        <v>4</v>
      </c>
      <c r="B91" s="3"/>
      <c r="C91" s="3" t="s">
        <v>64</v>
      </c>
      <c r="D91" s="9" t="s">
        <v>66</v>
      </c>
      <c r="E91" s="9" t="s">
        <v>234</v>
      </c>
      <c r="F91" s="9">
        <v>2.8</v>
      </c>
      <c r="G91" s="54">
        <f t="shared" si="11"/>
        <v>1</v>
      </c>
      <c r="H91" s="149">
        <f t="shared" si="12"/>
        <v>2.8</v>
      </c>
      <c r="I91" s="9">
        <v>0.2</v>
      </c>
      <c r="J91" s="152"/>
      <c r="K91" s="9"/>
      <c r="L91" s="9"/>
      <c r="M91" s="9"/>
    </row>
    <row r="92" spans="1:13" x14ac:dyDescent="0.25">
      <c r="A92">
        <v>5</v>
      </c>
      <c r="B92" s="3"/>
      <c r="C92" s="3" t="s">
        <v>65</v>
      </c>
      <c r="D92" s="9" t="s">
        <v>67</v>
      </c>
      <c r="E92" s="9" t="s">
        <v>235</v>
      </c>
      <c r="F92" s="9">
        <v>2.8</v>
      </c>
      <c r="G92" s="54">
        <f t="shared" si="11"/>
        <v>1</v>
      </c>
      <c r="H92" s="149">
        <f t="shared" si="12"/>
        <v>2.8</v>
      </c>
      <c r="I92" s="9">
        <v>0.2</v>
      </c>
      <c r="J92" s="152"/>
      <c r="K92" s="9"/>
      <c r="L92" s="9"/>
      <c r="M92" s="9"/>
    </row>
    <row r="93" spans="1:13" x14ac:dyDescent="0.25">
      <c r="A93">
        <v>6</v>
      </c>
      <c r="B93" s="3"/>
      <c r="C93" s="3" t="s">
        <v>383</v>
      </c>
      <c r="D93" s="9" t="s">
        <v>385</v>
      </c>
      <c r="E93" s="9" t="s">
        <v>384</v>
      </c>
      <c r="F93" s="9">
        <v>2.84</v>
      </c>
      <c r="G93" s="54">
        <f t="shared" si="11"/>
        <v>1</v>
      </c>
      <c r="H93" s="149">
        <f t="shared" si="12"/>
        <v>2.84</v>
      </c>
      <c r="I93" s="9">
        <v>0.2</v>
      </c>
    </row>
    <row r="94" spans="1:13" x14ac:dyDescent="0.25">
      <c r="A94">
        <v>7</v>
      </c>
      <c r="B94" s="8"/>
      <c r="C94" s="8" t="s">
        <v>262</v>
      </c>
      <c r="D94" s="9" t="s">
        <v>237</v>
      </c>
      <c r="E94" s="9" t="s">
        <v>263</v>
      </c>
      <c r="F94" s="22">
        <v>11.64</v>
      </c>
      <c r="G94" s="9">
        <f>$G$1</f>
        <v>1</v>
      </c>
      <c r="H94" s="149">
        <f t="shared" si="12"/>
        <v>11.64</v>
      </c>
      <c r="I94" s="9"/>
      <c r="J94" s="1"/>
      <c r="K94" s="1"/>
      <c r="L94" s="1"/>
      <c r="M94" s="1"/>
    </row>
    <row r="95" spans="1:13" x14ac:dyDescent="0.25">
      <c r="A95">
        <v>8</v>
      </c>
      <c r="B95" s="8"/>
      <c r="C95" s="8" t="s">
        <v>264</v>
      </c>
      <c r="D95" s="146" t="s">
        <v>265</v>
      </c>
      <c r="E95" s="22" t="s">
        <v>822</v>
      </c>
      <c r="F95" s="22">
        <v>11.64</v>
      </c>
      <c r="G95" s="146">
        <f>$G$1</f>
        <v>1</v>
      </c>
      <c r="H95" s="149">
        <f t="shared" si="12"/>
        <v>11.64</v>
      </c>
      <c r="I95" s="9"/>
      <c r="J95" s="1"/>
      <c r="K95" s="1"/>
      <c r="L95" s="1"/>
      <c r="M95" s="1"/>
    </row>
    <row r="96" spans="1:13" ht="15.75" thickBot="1" x14ac:dyDescent="0.3">
      <c r="B96" s="8"/>
      <c r="C96" s="8"/>
      <c r="D96" s="22"/>
      <c r="E96" s="22"/>
      <c r="F96" s="22"/>
      <c r="G96" s="22"/>
      <c r="H96" s="165"/>
      <c r="I96" s="22"/>
      <c r="J96" s="1"/>
      <c r="K96" s="1"/>
      <c r="L96" s="1"/>
      <c r="M96" s="1"/>
    </row>
    <row r="97" spans="2:16" ht="16.5" thickBot="1" x14ac:dyDescent="0.3">
      <c r="B97" s="66" t="s">
        <v>525</v>
      </c>
      <c r="C97" s="69"/>
      <c r="D97" s="134"/>
      <c r="E97" s="134"/>
      <c r="F97" s="134"/>
      <c r="G97" s="134"/>
      <c r="H97" s="365"/>
      <c r="I97" s="366"/>
      <c r="J97" s="1"/>
      <c r="K97" s="1"/>
      <c r="L97" s="1"/>
      <c r="M97" s="1"/>
    </row>
    <row r="98" spans="2:16" x14ac:dyDescent="0.25">
      <c r="B98" s="65"/>
      <c r="C98" s="65" t="s">
        <v>526</v>
      </c>
      <c r="D98" s="54" t="s">
        <v>538</v>
      </c>
      <c r="E98" s="54" t="s">
        <v>532</v>
      </c>
      <c r="F98" s="54">
        <v>20.82</v>
      </c>
      <c r="G98" s="54">
        <v>1</v>
      </c>
      <c r="H98" s="105">
        <f>F98/G98</f>
        <v>20.82</v>
      </c>
      <c r="I98" s="54">
        <v>0.11</v>
      </c>
      <c r="J98" s="1"/>
      <c r="K98" s="1"/>
      <c r="L98" s="1"/>
      <c r="M98" s="1"/>
    </row>
    <row r="99" spans="2:16" x14ac:dyDescent="0.25">
      <c r="B99" s="3"/>
      <c r="C99" s="3" t="s">
        <v>527</v>
      </c>
      <c r="D99" s="9" t="s">
        <v>539</v>
      </c>
      <c r="E99" s="9" t="s">
        <v>533</v>
      </c>
      <c r="F99" s="9">
        <v>28.41</v>
      </c>
      <c r="G99" s="9">
        <v>1</v>
      </c>
      <c r="H99" s="105">
        <f t="shared" ref="H99:H103" si="13">F99/G99</f>
        <v>28.41</v>
      </c>
      <c r="I99" s="9">
        <v>0.11</v>
      </c>
      <c r="J99" s="1"/>
      <c r="K99" s="1"/>
      <c r="L99" s="1"/>
      <c r="M99" s="1"/>
    </row>
    <row r="100" spans="2:16" x14ac:dyDescent="0.25">
      <c r="B100" s="3"/>
      <c r="C100" s="3" t="s">
        <v>528</v>
      </c>
      <c r="D100" s="9" t="s">
        <v>540</v>
      </c>
      <c r="E100" s="9" t="s">
        <v>534</v>
      </c>
      <c r="F100" s="9">
        <v>54.64</v>
      </c>
      <c r="G100" s="9">
        <v>1</v>
      </c>
      <c r="H100" s="105">
        <f t="shared" si="13"/>
        <v>54.64</v>
      </c>
      <c r="I100" s="9">
        <v>0.27</v>
      </c>
      <c r="J100" s="1"/>
      <c r="K100" s="1"/>
      <c r="L100" s="1"/>
      <c r="M100" s="1"/>
    </row>
    <row r="101" spans="2:16" x14ac:dyDescent="0.25">
      <c r="B101" s="3"/>
      <c r="C101" s="3" t="s">
        <v>529</v>
      </c>
      <c r="D101" s="9" t="s">
        <v>541</v>
      </c>
      <c r="E101" s="9" t="s">
        <v>535</v>
      </c>
      <c r="F101" s="9">
        <v>47.09</v>
      </c>
      <c r="G101" s="9">
        <v>1</v>
      </c>
      <c r="H101" s="105">
        <f t="shared" si="13"/>
        <v>47.09</v>
      </c>
      <c r="I101" s="9">
        <v>0.3</v>
      </c>
      <c r="J101" s="1"/>
      <c r="K101" s="1"/>
      <c r="L101" s="1"/>
      <c r="M101" s="1"/>
    </row>
    <row r="102" spans="2:16" x14ac:dyDescent="0.25">
      <c r="B102" s="3"/>
      <c r="C102" s="3" t="s">
        <v>530</v>
      </c>
      <c r="D102" s="9" t="s">
        <v>542</v>
      </c>
      <c r="E102" s="9" t="s">
        <v>536</v>
      </c>
      <c r="F102" s="9">
        <v>65.69</v>
      </c>
      <c r="G102" s="9">
        <v>1</v>
      </c>
      <c r="H102" s="105">
        <f t="shared" si="13"/>
        <v>65.69</v>
      </c>
      <c r="I102" s="9">
        <v>0.36</v>
      </c>
      <c r="J102" s="1"/>
      <c r="K102" s="1"/>
      <c r="L102" s="1"/>
      <c r="M102" s="1"/>
    </row>
    <row r="103" spans="2:16" x14ac:dyDescent="0.25">
      <c r="B103" s="3"/>
      <c r="C103" s="3" t="s">
        <v>531</v>
      </c>
      <c r="D103" s="9" t="s">
        <v>543</v>
      </c>
      <c r="E103" s="9" t="s">
        <v>537</v>
      </c>
      <c r="F103" s="9">
        <v>97.01</v>
      </c>
      <c r="G103" s="9">
        <v>1</v>
      </c>
      <c r="H103" s="105">
        <f t="shared" si="13"/>
        <v>97.01</v>
      </c>
      <c r="I103" s="9">
        <v>0.36</v>
      </c>
      <c r="J103" s="1"/>
      <c r="K103" s="1"/>
      <c r="L103" s="1"/>
      <c r="M103" s="1"/>
    </row>
    <row r="104" spans="2:16" x14ac:dyDescent="0.25">
      <c r="B104" s="3"/>
      <c r="C104" s="3" t="s">
        <v>655</v>
      </c>
      <c r="D104" s="9" t="s">
        <v>656</v>
      </c>
      <c r="E104" s="9" t="s">
        <v>657</v>
      </c>
      <c r="F104" s="9">
        <v>229.22</v>
      </c>
      <c r="G104" s="9">
        <v>1</v>
      </c>
      <c r="H104" s="105">
        <f t="shared" ref="H104" si="14">F104/G104</f>
        <v>229.22</v>
      </c>
      <c r="I104" s="9">
        <v>1.3</v>
      </c>
      <c r="J104" s="1"/>
      <c r="K104" s="1"/>
      <c r="L104" s="1"/>
      <c r="M104" s="1"/>
    </row>
    <row r="105" spans="2:16" x14ac:dyDescent="0.25">
      <c r="B105" s="8"/>
      <c r="C105" s="3" t="s">
        <v>713</v>
      </c>
      <c r="D105" s="9" t="s">
        <v>714</v>
      </c>
      <c r="E105" s="9" t="s">
        <v>715</v>
      </c>
      <c r="F105" s="9">
        <v>284.48</v>
      </c>
      <c r="G105" s="9">
        <v>1</v>
      </c>
      <c r="H105" s="105">
        <f t="shared" ref="H105:H106" si="15">F105/G105</f>
        <v>284.48</v>
      </c>
      <c r="I105" s="9">
        <v>1.4</v>
      </c>
      <c r="J105" s="1"/>
      <c r="K105" s="1"/>
      <c r="L105" s="1"/>
      <c r="M105" s="1"/>
    </row>
    <row r="106" spans="2:16" x14ac:dyDescent="0.25">
      <c r="B106" s="8"/>
      <c r="C106" s="8" t="s">
        <v>854</v>
      </c>
      <c r="D106" s="22" t="s">
        <v>854</v>
      </c>
      <c r="E106" s="22" t="s">
        <v>854</v>
      </c>
      <c r="F106" s="22">
        <v>13.75</v>
      </c>
      <c r="G106" s="22">
        <v>1</v>
      </c>
      <c r="H106" s="364">
        <f t="shared" si="15"/>
        <v>13.75</v>
      </c>
      <c r="I106" s="9"/>
      <c r="J106" s="1"/>
      <c r="K106" s="1"/>
      <c r="L106" s="1"/>
      <c r="M106" s="1"/>
    </row>
    <row r="107" spans="2:16" ht="15.75" thickBot="1" x14ac:dyDescent="0.3">
      <c r="B107" s="8"/>
      <c r="C107" s="8"/>
      <c r="D107" s="22"/>
      <c r="E107" s="22"/>
      <c r="F107" s="8"/>
      <c r="G107" s="8"/>
      <c r="H107" s="150"/>
      <c r="I107" s="9"/>
    </row>
    <row r="108" spans="2:16" ht="16.5" thickBot="1" x14ac:dyDescent="0.3">
      <c r="B108" s="66" t="s">
        <v>167</v>
      </c>
      <c r="C108" s="67"/>
      <c r="D108" s="68"/>
      <c r="E108" s="68"/>
      <c r="F108" s="68"/>
      <c r="G108" s="68"/>
      <c r="H108" s="68"/>
      <c r="I108" s="72"/>
    </row>
    <row r="109" spans="2:16" x14ac:dyDescent="0.25">
      <c r="B109" s="65"/>
      <c r="C109" s="65" t="s">
        <v>68</v>
      </c>
      <c r="D109" s="54" t="s">
        <v>203</v>
      </c>
      <c r="E109" s="54" t="s">
        <v>208</v>
      </c>
      <c r="F109" s="54">
        <v>79.56</v>
      </c>
      <c r="G109" s="54">
        <f>$G$1</f>
        <v>1</v>
      </c>
      <c r="H109" s="149">
        <f>F109/G109</f>
        <v>79.56</v>
      </c>
      <c r="I109" s="73">
        <v>6.2</v>
      </c>
      <c r="M109" s="106"/>
      <c r="N109" s="107"/>
      <c r="O109" s="1"/>
      <c r="P109" s="109"/>
    </row>
    <row r="110" spans="2:16" x14ac:dyDescent="0.25">
      <c r="B110" s="3"/>
      <c r="C110" s="3" t="s">
        <v>261</v>
      </c>
      <c r="D110" s="9" t="s">
        <v>259</v>
      </c>
      <c r="E110" s="9" t="s">
        <v>260</v>
      </c>
      <c r="F110" s="9">
        <v>113.32</v>
      </c>
      <c r="G110" s="54">
        <f t="shared" ref="G110:G113" si="16">$G$1</f>
        <v>1</v>
      </c>
      <c r="H110" s="149">
        <f t="shared" ref="H110:H111" si="17">F110/G110</f>
        <v>113.32</v>
      </c>
      <c r="I110" s="73">
        <v>9.1999999999999993</v>
      </c>
      <c r="M110" s="106"/>
      <c r="N110" s="107"/>
      <c r="O110" s="1"/>
      <c r="P110" s="109"/>
    </row>
    <row r="111" spans="2:16" x14ac:dyDescent="0.25">
      <c r="B111" s="3"/>
      <c r="C111" s="140" t="s">
        <v>254</v>
      </c>
      <c r="D111" s="141" t="s">
        <v>356</v>
      </c>
      <c r="E111" s="141" t="s">
        <v>255</v>
      </c>
      <c r="F111" s="141">
        <v>120.74</v>
      </c>
      <c r="G111" s="142">
        <f t="shared" si="16"/>
        <v>1</v>
      </c>
      <c r="H111" s="151">
        <f t="shared" si="17"/>
        <v>120.74</v>
      </c>
      <c r="I111" s="73">
        <v>2.5</v>
      </c>
      <c r="J111" s="99" t="s">
        <v>252</v>
      </c>
      <c r="M111" s="106"/>
      <c r="N111" s="107"/>
      <c r="O111" s="1"/>
      <c r="P111" s="109"/>
    </row>
    <row r="112" spans="2:16" x14ac:dyDescent="0.25">
      <c r="B112" s="3"/>
      <c r="C112" s="3" t="s">
        <v>766</v>
      </c>
      <c r="D112" s="9" t="s">
        <v>767</v>
      </c>
      <c r="E112" s="9" t="s">
        <v>768</v>
      </c>
      <c r="F112" s="9">
        <v>206</v>
      </c>
      <c r="G112" s="54">
        <f>$G$1</f>
        <v>1</v>
      </c>
      <c r="H112" s="149">
        <f>F112/G112</f>
        <v>206</v>
      </c>
      <c r="I112" s="73">
        <v>4.3</v>
      </c>
      <c r="J112" s="99"/>
      <c r="M112" s="106"/>
      <c r="N112" s="107"/>
      <c r="O112" s="1"/>
      <c r="P112" s="109"/>
    </row>
    <row r="113" spans="2:16" x14ac:dyDescent="0.25">
      <c r="B113" s="3"/>
      <c r="C113" s="3" t="s">
        <v>238</v>
      </c>
      <c r="D113" s="9" t="s">
        <v>209</v>
      </c>
      <c r="E113" s="9" t="s">
        <v>216</v>
      </c>
      <c r="F113" s="9">
        <v>0</v>
      </c>
      <c r="G113" s="54">
        <f t="shared" si="16"/>
        <v>1</v>
      </c>
      <c r="H113" s="40">
        <v>0</v>
      </c>
      <c r="I113" s="73"/>
      <c r="J113" s="53" t="s">
        <v>253</v>
      </c>
      <c r="M113" s="106"/>
      <c r="N113" s="107"/>
      <c r="O113" s="1"/>
      <c r="P113" s="109"/>
    </row>
    <row r="114" spans="2:16" x14ac:dyDescent="0.25">
      <c r="B114" s="3"/>
      <c r="C114" s="3" t="s">
        <v>763</v>
      </c>
      <c r="D114" s="54" t="s">
        <v>769</v>
      </c>
      <c r="E114" s="54" t="s">
        <v>772</v>
      </c>
      <c r="F114" s="9">
        <v>135.72</v>
      </c>
      <c r="G114" s="9">
        <f>$G$1</f>
        <v>1</v>
      </c>
      <c r="H114" s="9">
        <f>F114/G114</f>
        <v>135.72</v>
      </c>
      <c r="I114" s="73">
        <v>14.5</v>
      </c>
      <c r="M114" s="106"/>
      <c r="N114" s="107"/>
      <c r="O114" s="1"/>
      <c r="P114" s="109"/>
    </row>
    <row r="115" spans="2:16" x14ac:dyDescent="0.25">
      <c r="B115" s="3"/>
      <c r="C115" s="3" t="s">
        <v>764</v>
      </c>
      <c r="D115" s="54" t="s">
        <v>770</v>
      </c>
      <c r="E115" s="54" t="s">
        <v>774</v>
      </c>
      <c r="F115" s="9">
        <v>174.48</v>
      </c>
      <c r="G115" s="9">
        <f>$G$1</f>
        <v>1</v>
      </c>
      <c r="H115" s="9">
        <f t="shared" ref="H115:H116" si="18">F115/G115</f>
        <v>174.48</v>
      </c>
      <c r="I115" s="73">
        <v>20</v>
      </c>
      <c r="M115" s="106"/>
      <c r="N115" s="107"/>
      <c r="O115" s="1"/>
      <c r="P115" s="109"/>
    </row>
    <row r="116" spans="2:16" x14ac:dyDescent="0.25">
      <c r="B116" s="3"/>
      <c r="C116" s="3" t="s">
        <v>765</v>
      </c>
      <c r="D116" s="54" t="s">
        <v>771</v>
      </c>
      <c r="E116" s="54" t="s">
        <v>773</v>
      </c>
      <c r="F116" s="9">
        <v>244.85</v>
      </c>
      <c r="G116" s="9">
        <f>$G$1</f>
        <v>1</v>
      </c>
      <c r="H116" s="9">
        <f t="shared" si="18"/>
        <v>244.85</v>
      </c>
      <c r="I116" s="73">
        <v>33</v>
      </c>
      <c r="M116" s="106"/>
      <c r="N116" s="107"/>
      <c r="O116" s="1"/>
      <c r="P116" s="109"/>
    </row>
    <row r="117" spans="2:16" x14ac:dyDescent="0.25">
      <c r="I117" s="65"/>
      <c r="M117" s="106"/>
      <c r="N117" s="107"/>
      <c r="O117" s="1"/>
      <c r="P117" s="109"/>
    </row>
    <row r="118" spans="2:16" ht="15.75" thickBot="1" x14ac:dyDescent="0.3">
      <c r="I118" s="3"/>
      <c r="M118" s="106"/>
      <c r="N118" s="107"/>
      <c r="O118" s="1"/>
      <c r="P118" s="109"/>
    </row>
    <row r="119" spans="2:16" ht="16.5" thickBot="1" x14ac:dyDescent="0.3">
      <c r="B119" s="66" t="s">
        <v>686</v>
      </c>
      <c r="C119" s="67"/>
      <c r="D119" s="67"/>
      <c r="E119" s="67"/>
      <c r="F119" s="67"/>
      <c r="G119" s="67"/>
      <c r="H119" s="67"/>
      <c r="I119" s="67"/>
      <c r="M119" s="106"/>
      <c r="N119" s="107"/>
      <c r="O119" s="1"/>
      <c r="P119" s="109"/>
    </row>
    <row r="120" spans="2:16" ht="28.5" x14ac:dyDescent="0.25">
      <c r="C120" s="441" t="s">
        <v>687</v>
      </c>
      <c r="D120" s="442" t="s">
        <v>815</v>
      </c>
      <c r="E120" s="442" t="s">
        <v>815</v>
      </c>
      <c r="F120" s="452">
        <v>35.950000000000003</v>
      </c>
      <c r="G120" s="452">
        <f t="shared" ref="G120:G126" si="19">$G$1</f>
        <v>1</v>
      </c>
      <c r="H120" s="452">
        <f>F120/G120</f>
        <v>35.950000000000003</v>
      </c>
      <c r="I120" s="110">
        <v>0.13</v>
      </c>
      <c r="M120" s="106"/>
      <c r="N120" s="107"/>
      <c r="O120" s="1"/>
      <c r="P120" s="109"/>
    </row>
    <row r="121" spans="2:16" ht="28.5" x14ac:dyDescent="0.25">
      <c r="C121" s="443" t="s">
        <v>688</v>
      </c>
      <c r="D121" s="444" t="s">
        <v>816</v>
      </c>
      <c r="E121" s="444" t="s">
        <v>816</v>
      </c>
      <c r="F121" s="71">
        <v>68.650000000000006</v>
      </c>
      <c r="G121" s="71">
        <f t="shared" si="19"/>
        <v>1</v>
      </c>
      <c r="H121" s="71">
        <f t="shared" ref="H121:H126" si="20">F121/G121</f>
        <v>68.650000000000006</v>
      </c>
      <c r="I121" s="110">
        <v>0.13</v>
      </c>
      <c r="M121" s="106"/>
      <c r="N121" s="107"/>
      <c r="O121" s="1"/>
      <c r="P121" s="109"/>
    </row>
    <row r="122" spans="2:16" ht="28.5" x14ac:dyDescent="0.25">
      <c r="C122" s="441" t="s">
        <v>689</v>
      </c>
      <c r="D122" s="442" t="s">
        <v>817</v>
      </c>
      <c r="E122" s="442" t="s">
        <v>817</v>
      </c>
      <c r="F122" s="452">
        <v>38.22</v>
      </c>
      <c r="G122" s="452">
        <f t="shared" si="19"/>
        <v>1</v>
      </c>
      <c r="H122" s="452">
        <f t="shared" si="20"/>
        <v>38.22</v>
      </c>
      <c r="I122" s="110">
        <v>0.13</v>
      </c>
      <c r="M122" s="106"/>
      <c r="N122" s="107"/>
      <c r="O122" s="1"/>
      <c r="P122" s="109"/>
    </row>
    <row r="123" spans="2:16" ht="28.5" x14ac:dyDescent="0.25">
      <c r="C123" s="445" t="s">
        <v>690</v>
      </c>
      <c r="D123" s="446" t="s">
        <v>818</v>
      </c>
      <c r="E123" s="446" t="s">
        <v>818</v>
      </c>
      <c r="F123" s="449">
        <v>54.57</v>
      </c>
      <c r="G123" s="449">
        <f t="shared" si="19"/>
        <v>1</v>
      </c>
      <c r="H123" s="449">
        <f t="shared" si="20"/>
        <v>54.57</v>
      </c>
      <c r="I123" s="110">
        <v>0.13</v>
      </c>
      <c r="M123" s="106"/>
      <c r="N123" s="107"/>
      <c r="O123" s="1"/>
      <c r="P123" s="109"/>
    </row>
    <row r="124" spans="2:16" ht="28.5" x14ac:dyDescent="0.25">
      <c r="C124" s="441" t="s">
        <v>691</v>
      </c>
      <c r="D124" s="442" t="s">
        <v>692</v>
      </c>
      <c r="E124" s="442" t="s">
        <v>692</v>
      </c>
      <c r="F124" s="452"/>
      <c r="G124" s="452">
        <f t="shared" si="19"/>
        <v>1</v>
      </c>
      <c r="H124" s="452">
        <f t="shared" si="20"/>
        <v>0</v>
      </c>
      <c r="I124" s="110"/>
      <c r="M124" s="106"/>
      <c r="N124" s="107"/>
      <c r="O124" s="1"/>
      <c r="P124" s="109"/>
    </row>
    <row r="125" spans="2:16" ht="28.5" x14ac:dyDescent="0.25">
      <c r="C125" s="441" t="s">
        <v>693</v>
      </c>
      <c r="D125" s="442" t="s">
        <v>694</v>
      </c>
      <c r="E125" s="442" t="s">
        <v>694</v>
      </c>
      <c r="F125" s="452"/>
      <c r="G125" s="452">
        <f t="shared" si="19"/>
        <v>1</v>
      </c>
      <c r="H125" s="452">
        <f t="shared" si="20"/>
        <v>0</v>
      </c>
      <c r="I125" s="110"/>
      <c r="M125" s="106"/>
      <c r="N125" s="107"/>
      <c r="O125" s="1"/>
      <c r="P125" s="109"/>
    </row>
    <row r="126" spans="2:16" ht="29.25" thickBot="1" x14ac:dyDescent="0.3">
      <c r="C126" s="441" t="s">
        <v>695</v>
      </c>
      <c r="D126" s="442" t="s">
        <v>696</v>
      </c>
      <c r="E126" s="442" t="s">
        <v>696</v>
      </c>
      <c r="F126" s="452"/>
      <c r="G126" s="452">
        <f t="shared" si="19"/>
        <v>1</v>
      </c>
      <c r="H126" s="452">
        <f t="shared" si="20"/>
        <v>0</v>
      </c>
      <c r="I126" s="110"/>
      <c r="M126" s="106"/>
      <c r="N126" s="107"/>
      <c r="O126" s="1"/>
      <c r="P126" s="109"/>
    </row>
    <row r="127" spans="2:16" ht="16.5" thickBot="1" x14ac:dyDescent="0.3">
      <c r="B127" s="66" t="s">
        <v>697</v>
      </c>
      <c r="C127" s="67"/>
      <c r="D127" s="67"/>
      <c r="E127" s="67"/>
      <c r="F127" s="67"/>
      <c r="G127" s="440"/>
      <c r="H127" s="67"/>
      <c r="I127" s="438"/>
      <c r="M127" s="106"/>
      <c r="N127" s="107"/>
      <c r="O127" s="1"/>
      <c r="P127" s="109"/>
    </row>
    <row r="128" spans="2:16" x14ac:dyDescent="0.25">
      <c r="C128" s="441" t="s">
        <v>698</v>
      </c>
      <c r="D128" s="442" t="s">
        <v>699</v>
      </c>
      <c r="E128" s="442" t="s">
        <v>699</v>
      </c>
      <c r="F128" s="452">
        <v>9.25</v>
      </c>
      <c r="G128" s="453">
        <f t="shared" ref="G128:G134" si="21">$G$1</f>
        <v>1</v>
      </c>
      <c r="H128" s="452">
        <f>F128/G128</f>
        <v>9.25</v>
      </c>
      <c r="I128" s="110"/>
      <c r="M128" s="106"/>
      <c r="N128" s="107"/>
      <c r="O128" s="1"/>
      <c r="P128" s="109"/>
    </row>
    <row r="129" spans="2:16" x14ac:dyDescent="0.25">
      <c r="C129" s="443" t="s">
        <v>700</v>
      </c>
      <c r="D129" s="444" t="s">
        <v>701</v>
      </c>
      <c r="E129" s="444" t="s">
        <v>701</v>
      </c>
      <c r="F129" s="71">
        <v>20.65</v>
      </c>
      <c r="G129" s="197">
        <f t="shared" si="21"/>
        <v>1</v>
      </c>
      <c r="H129" s="71">
        <f t="shared" ref="H129:H134" si="22">F129/G129</f>
        <v>20.65</v>
      </c>
      <c r="I129" s="110">
        <v>0.4</v>
      </c>
      <c r="M129" s="106"/>
      <c r="N129" s="107"/>
      <c r="O129" s="1"/>
      <c r="P129" s="109"/>
    </row>
    <row r="130" spans="2:16" x14ac:dyDescent="0.25">
      <c r="C130" s="441" t="s">
        <v>702</v>
      </c>
      <c r="D130" s="442" t="s">
        <v>703</v>
      </c>
      <c r="E130" s="442" t="s">
        <v>703</v>
      </c>
      <c r="F130" s="452">
        <v>22.67</v>
      </c>
      <c r="G130" s="453">
        <f t="shared" si="21"/>
        <v>1</v>
      </c>
      <c r="H130" s="452">
        <f t="shared" si="22"/>
        <v>22.67</v>
      </c>
      <c r="I130" s="110"/>
      <c r="M130" s="106"/>
      <c r="N130" s="107"/>
      <c r="O130" s="1"/>
      <c r="P130" s="109"/>
    </row>
    <row r="131" spans="2:16" x14ac:dyDescent="0.25">
      <c r="C131" s="445" t="s">
        <v>704</v>
      </c>
      <c r="D131" s="446" t="s">
        <v>705</v>
      </c>
      <c r="E131" s="446" t="s">
        <v>705</v>
      </c>
      <c r="F131" s="449">
        <v>21.84</v>
      </c>
      <c r="G131" s="450">
        <f t="shared" si="21"/>
        <v>1</v>
      </c>
      <c r="H131" s="449">
        <f t="shared" si="22"/>
        <v>21.84</v>
      </c>
      <c r="I131" s="110">
        <v>0.48</v>
      </c>
      <c r="M131" s="106"/>
      <c r="N131" s="107"/>
      <c r="O131" s="1"/>
      <c r="P131" s="109"/>
    </row>
    <row r="132" spans="2:16" x14ac:dyDescent="0.25">
      <c r="C132" s="441" t="s">
        <v>706</v>
      </c>
      <c r="D132" s="442" t="s">
        <v>707</v>
      </c>
      <c r="E132" s="442" t="s">
        <v>707</v>
      </c>
      <c r="F132" s="452">
        <v>63.25</v>
      </c>
      <c r="G132" s="453">
        <f t="shared" si="21"/>
        <v>1</v>
      </c>
      <c r="H132" s="452">
        <f t="shared" si="22"/>
        <v>63.25</v>
      </c>
      <c r="I132" s="110"/>
      <c r="M132" s="106"/>
      <c r="N132" s="107"/>
      <c r="O132" s="1"/>
      <c r="P132" s="109"/>
    </row>
    <row r="133" spans="2:16" x14ac:dyDescent="0.25">
      <c r="C133" s="441" t="s">
        <v>708</v>
      </c>
      <c r="D133" s="442" t="s">
        <v>709</v>
      </c>
      <c r="E133" s="442" t="s">
        <v>709</v>
      </c>
      <c r="F133" s="452">
        <v>113.34</v>
      </c>
      <c r="G133" s="453">
        <f t="shared" si="21"/>
        <v>1</v>
      </c>
      <c r="H133" s="452">
        <f t="shared" si="22"/>
        <v>113.34</v>
      </c>
      <c r="I133" s="110"/>
      <c r="M133" s="106"/>
      <c r="N133" s="107"/>
      <c r="O133" s="1"/>
      <c r="P133" s="109"/>
    </row>
    <row r="134" spans="2:16" ht="15.75" thickBot="1" x14ac:dyDescent="0.3">
      <c r="C134" s="454" t="s">
        <v>708</v>
      </c>
      <c r="D134" s="455" t="s">
        <v>709</v>
      </c>
      <c r="E134" s="455" t="s">
        <v>709</v>
      </c>
      <c r="F134" s="456">
        <v>113.34</v>
      </c>
      <c r="G134" s="457">
        <f t="shared" si="21"/>
        <v>1</v>
      </c>
      <c r="H134" s="456">
        <f t="shared" si="22"/>
        <v>113.34</v>
      </c>
      <c r="I134" s="165"/>
      <c r="M134" s="106"/>
      <c r="N134" s="107"/>
      <c r="O134" s="1"/>
      <c r="P134" s="109"/>
    </row>
    <row r="135" spans="2:16" ht="16.5" thickBot="1" x14ac:dyDescent="0.3">
      <c r="B135" s="66" t="s">
        <v>413</v>
      </c>
      <c r="C135" s="67"/>
      <c r="D135" s="67"/>
      <c r="E135" s="67"/>
      <c r="F135" s="67"/>
      <c r="G135" s="439"/>
      <c r="H135" s="67"/>
      <c r="I135" s="438"/>
      <c r="M135" s="106"/>
      <c r="N135" s="107"/>
      <c r="O135" s="1"/>
      <c r="P135" s="109"/>
    </row>
    <row r="136" spans="2:16" x14ac:dyDescent="0.25">
      <c r="C136" s="447" t="s">
        <v>710</v>
      </c>
      <c r="D136" s="448" t="s">
        <v>711</v>
      </c>
      <c r="E136" s="448" t="s">
        <v>711</v>
      </c>
      <c r="F136" s="448">
        <v>13.86</v>
      </c>
      <c r="G136" s="451">
        <f>$G$1</f>
        <v>1</v>
      </c>
      <c r="H136" s="448">
        <f>F136/G136</f>
        <v>13.86</v>
      </c>
      <c r="I136" s="105">
        <v>0.3</v>
      </c>
      <c r="M136" s="106"/>
      <c r="N136" s="107"/>
      <c r="O136" s="1"/>
      <c r="P136" s="109"/>
    </row>
    <row r="137" spans="2:16" ht="15.75" thickBot="1" x14ac:dyDescent="0.3">
      <c r="C137" s="482"/>
      <c r="F137" s="1"/>
      <c r="G137" s="204"/>
      <c r="I137" s="109"/>
      <c r="M137" s="106"/>
      <c r="N137" s="107"/>
      <c r="O137" s="1"/>
      <c r="P137" s="109"/>
    </row>
    <row r="138" spans="2:16" ht="15.75" x14ac:dyDescent="0.25">
      <c r="B138" s="477" t="s">
        <v>712</v>
      </c>
      <c r="C138" s="440"/>
      <c r="D138" s="440"/>
      <c r="E138" s="440"/>
      <c r="F138" s="440"/>
      <c r="G138" s="440"/>
      <c r="H138" s="440"/>
      <c r="I138" s="478"/>
      <c r="K138" s="73" t="s">
        <v>753</v>
      </c>
      <c r="L138" s="73" t="s">
        <v>754</v>
      </c>
      <c r="M138" s="480" t="s">
        <v>755</v>
      </c>
      <c r="N138" s="107"/>
      <c r="O138" s="1"/>
      <c r="P138" s="109"/>
    </row>
    <row r="139" spans="2:16" x14ac:dyDescent="0.25">
      <c r="B139" s="3"/>
      <c r="C139" s="3" t="s">
        <v>744</v>
      </c>
      <c r="D139" s="9"/>
      <c r="E139" s="3" t="s">
        <v>746</v>
      </c>
      <c r="F139" s="110">
        <v>146.36000000000001</v>
      </c>
      <c r="G139" s="9">
        <f>$G$1</f>
        <v>1</v>
      </c>
      <c r="H139" s="110">
        <f t="shared" ref="H139:H141" si="23">F139/G139</f>
        <v>146.36000000000001</v>
      </c>
      <c r="I139" s="3"/>
      <c r="K139" s="73">
        <v>5403</v>
      </c>
      <c r="L139" s="73">
        <v>4.3</v>
      </c>
      <c r="M139" s="481">
        <f>K139*L139/100</f>
        <v>232.32899999999998</v>
      </c>
      <c r="N139" s="107"/>
      <c r="O139" s="1"/>
      <c r="P139" s="109"/>
    </row>
    <row r="140" spans="2:16" x14ac:dyDescent="0.25">
      <c r="B140" s="3"/>
      <c r="C140" s="3" t="s">
        <v>745</v>
      </c>
      <c r="D140" s="9"/>
      <c r="E140" s="3" t="s">
        <v>747</v>
      </c>
      <c r="F140" s="110">
        <v>61.12</v>
      </c>
      <c r="G140" s="9">
        <f>$G$1</f>
        <v>1</v>
      </c>
      <c r="H140" s="110">
        <f t="shared" si="23"/>
        <v>61.12</v>
      </c>
      <c r="I140" s="3"/>
      <c r="K140" s="73">
        <v>2252</v>
      </c>
      <c r="L140" s="73">
        <v>4.3</v>
      </c>
      <c r="M140" s="481">
        <f t="shared" ref="M140:M141" si="24">K140*L140/100</f>
        <v>96.835999999999999</v>
      </c>
      <c r="N140" s="107"/>
      <c r="O140" s="1"/>
      <c r="P140" s="109"/>
    </row>
    <row r="141" spans="2:16" x14ac:dyDescent="0.25">
      <c r="B141" s="3"/>
      <c r="C141" s="3" t="s">
        <v>748</v>
      </c>
      <c r="D141" s="9"/>
      <c r="E141" s="3" t="s">
        <v>749</v>
      </c>
      <c r="F141" s="110">
        <v>19.98</v>
      </c>
      <c r="G141" s="9">
        <f>$G$1</f>
        <v>1</v>
      </c>
      <c r="H141" s="110">
        <f t="shared" si="23"/>
        <v>19.98</v>
      </c>
      <c r="I141" s="3"/>
      <c r="K141" s="73">
        <v>1700</v>
      </c>
      <c r="L141" s="73">
        <v>4.3</v>
      </c>
      <c r="M141" s="481">
        <f t="shared" si="24"/>
        <v>73.099999999999994</v>
      </c>
      <c r="N141" s="107"/>
      <c r="O141" s="1"/>
      <c r="P141" s="109"/>
    </row>
    <row r="142" spans="2:16" x14ac:dyDescent="0.25">
      <c r="B142" s="3"/>
      <c r="C142" s="3"/>
      <c r="D142" s="9"/>
      <c r="E142" s="3"/>
      <c r="F142" s="110"/>
      <c r="G142" s="9"/>
      <c r="H142" s="110"/>
      <c r="I142" s="3"/>
      <c r="M142" s="106"/>
      <c r="N142" s="107"/>
      <c r="O142" s="1"/>
      <c r="P142" s="109"/>
    </row>
    <row r="143" spans="2:16" ht="15.75" thickBot="1" x14ac:dyDescent="0.3">
      <c r="C143" s="53"/>
      <c r="D143" s="34"/>
      <c r="E143" s="34"/>
      <c r="F143" s="53"/>
      <c r="G143" s="53"/>
      <c r="H143" s="473"/>
      <c r="I143" s="479"/>
      <c r="M143" s="106"/>
      <c r="N143" s="107"/>
      <c r="O143" s="1"/>
      <c r="P143" s="109"/>
    </row>
    <row r="144" spans="2:16" ht="15.75" x14ac:dyDescent="0.25">
      <c r="B144" s="440" t="s">
        <v>750</v>
      </c>
      <c r="C144" s="440"/>
      <c r="D144" s="440"/>
      <c r="E144" s="440"/>
      <c r="F144" s="440"/>
      <c r="G144" s="440"/>
      <c r="H144" s="440"/>
      <c r="I144" s="440"/>
      <c r="M144" s="106"/>
      <c r="N144" s="107"/>
      <c r="O144" s="1"/>
      <c r="P144" s="109"/>
    </row>
    <row r="145" spans="2:16" x14ac:dyDescent="0.25">
      <c r="B145" s="3"/>
      <c r="C145" s="3" t="s">
        <v>751</v>
      </c>
      <c r="D145" s="9"/>
      <c r="E145" s="9" t="s">
        <v>752</v>
      </c>
      <c r="F145" s="9">
        <v>3.56</v>
      </c>
      <c r="G145" s="9">
        <v>1</v>
      </c>
      <c r="H145" s="110">
        <f>F145*G145</f>
        <v>3.56</v>
      </c>
      <c r="I145" s="3"/>
      <c r="M145" s="106"/>
      <c r="N145" s="107"/>
      <c r="O145" s="1"/>
      <c r="P145" s="109"/>
    </row>
    <row r="146" spans="2:16" x14ac:dyDescent="0.25">
      <c r="B146" s="3"/>
      <c r="C146" s="384" t="s">
        <v>820</v>
      </c>
      <c r="D146" s="9"/>
      <c r="E146" s="9" t="s">
        <v>821</v>
      </c>
      <c r="F146" s="9">
        <v>38.76</v>
      </c>
      <c r="G146" s="9">
        <v>1</v>
      </c>
      <c r="H146" s="110">
        <f>F146*G146</f>
        <v>38.76</v>
      </c>
      <c r="I146" s="3"/>
      <c r="M146" s="106"/>
      <c r="N146" s="107"/>
      <c r="O146" s="1"/>
      <c r="P146" s="109"/>
    </row>
    <row r="147" spans="2:16" x14ac:dyDescent="0.25">
      <c r="B147" s="3"/>
      <c r="C147" s="3"/>
      <c r="D147" s="9"/>
      <c r="E147" s="9"/>
      <c r="F147" s="3"/>
      <c r="G147" s="3"/>
      <c r="H147" s="9"/>
      <c r="I147" s="3"/>
      <c r="M147" s="106"/>
      <c r="N147" s="107"/>
      <c r="O147" s="1"/>
      <c r="P147" s="109"/>
    </row>
    <row r="148" spans="2:16" ht="16.5" thickBot="1" x14ac:dyDescent="0.3">
      <c r="B148" s="474" t="s">
        <v>155</v>
      </c>
      <c r="C148" s="475"/>
      <c r="D148" s="522"/>
      <c r="E148" s="522"/>
      <c r="F148" s="522"/>
      <c r="G148" s="522"/>
      <c r="H148" s="522"/>
      <c r="I148" s="476"/>
      <c r="M148" s="106"/>
      <c r="N148" s="107"/>
      <c r="O148" s="1"/>
      <c r="P148" s="109"/>
    </row>
    <row r="149" spans="2:16" ht="15.75" x14ac:dyDescent="0.25">
      <c r="B149" s="523"/>
      <c r="C149" s="65" t="s">
        <v>169</v>
      </c>
      <c r="D149" s="248">
        <v>0.75</v>
      </c>
      <c r="E149" s="9" t="s">
        <v>811</v>
      </c>
      <c r="F149" s="9">
        <v>0.28999999999999998</v>
      </c>
      <c r="G149" s="9">
        <v>1</v>
      </c>
      <c r="H149" s="9">
        <f>F149*G149</f>
        <v>0.28999999999999998</v>
      </c>
      <c r="I149" s="65"/>
      <c r="M149" s="106"/>
      <c r="N149" s="107"/>
      <c r="O149" s="1"/>
      <c r="P149" s="109"/>
    </row>
    <row r="150" spans="2:16" x14ac:dyDescent="0.25">
      <c r="B150" s="65"/>
      <c r="C150" s="65" t="s">
        <v>169</v>
      </c>
      <c r="D150" s="9">
        <v>1.5</v>
      </c>
      <c r="E150" s="9" t="s">
        <v>171</v>
      </c>
      <c r="F150" s="9">
        <v>0.53</v>
      </c>
      <c r="G150" s="9">
        <f>$G$1</f>
        <v>1</v>
      </c>
      <c r="H150" s="9">
        <f t="shared" ref="H150:H157" si="25">F150*G150</f>
        <v>0.53</v>
      </c>
      <c r="I150" s="3"/>
      <c r="M150" s="106"/>
      <c r="N150" s="107"/>
      <c r="O150" s="1"/>
      <c r="P150" s="109"/>
    </row>
    <row r="151" spans="2:16" x14ac:dyDescent="0.25">
      <c r="B151" s="3"/>
      <c r="C151" s="3" t="s">
        <v>169</v>
      </c>
      <c r="D151" s="9">
        <v>2.5</v>
      </c>
      <c r="E151" s="9" t="s">
        <v>172</v>
      </c>
      <c r="F151" s="9">
        <v>0.61</v>
      </c>
      <c r="G151" s="9">
        <f t="shared" ref="G151:G158" si="26">$G$1</f>
        <v>1</v>
      </c>
      <c r="H151" s="9">
        <f t="shared" si="25"/>
        <v>0.61</v>
      </c>
      <c r="I151" s="3"/>
      <c r="M151" s="106"/>
      <c r="N151" s="107"/>
      <c r="O151" s="1"/>
      <c r="P151" s="109"/>
    </row>
    <row r="152" spans="2:16" x14ac:dyDescent="0.25">
      <c r="B152" s="3"/>
      <c r="C152" s="3" t="s">
        <v>169</v>
      </c>
      <c r="D152" s="9">
        <v>4</v>
      </c>
      <c r="E152" s="9" t="s">
        <v>173</v>
      </c>
      <c r="F152" s="9">
        <v>1.3</v>
      </c>
      <c r="G152" s="9">
        <f t="shared" si="26"/>
        <v>1</v>
      </c>
      <c r="H152" s="9">
        <f t="shared" si="25"/>
        <v>1.3</v>
      </c>
      <c r="I152" s="3"/>
      <c r="M152" s="106"/>
      <c r="N152" s="107"/>
      <c r="O152" s="1"/>
      <c r="P152" s="109"/>
    </row>
    <row r="153" spans="2:16" x14ac:dyDescent="0.25">
      <c r="B153" s="3"/>
      <c r="C153" s="3" t="s">
        <v>169</v>
      </c>
      <c r="D153" s="9">
        <v>6</v>
      </c>
      <c r="E153" s="9" t="s">
        <v>174</v>
      </c>
      <c r="F153" s="9">
        <v>1.72</v>
      </c>
      <c r="G153" s="9">
        <f t="shared" si="26"/>
        <v>1</v>
      </c>
      <c r="H153" s="9">
        <f t="shared" si="25"/>
        <v>1.72</v>
      </c>
      <c r="I153" s="3"/>
    </row>
    <row r="154" spans="2:16" x14ac:dyDescent="0.25">
      <c r="B154" s="3"/>
      <c r="C154" s="3" t="s">
        <v>169</v>
      </c>
      <c r="D154" s="9">
        <v>10</v>
      </c>
      <c r="E154" s="9" t="s">
        <v>175</v>
      </c>
      <c r="F154" s="9">
        <v>3.14</v>
      </c>
      <c r="G154" s="9">
        <f t="shared" si="26"/>
        <v>1</v>
      </c>
      <c r="H154" s="9">
        <f t="shared" si="25"/>
        <v>3.14</v>
      </c>
      <c r="I154" s="3"/>
    </row>
    <row r="155" spans="2:16" x14ac:dyDescent="0.25">
      <c r="B155" s="3"/>
      <c r="C155" s="3" t="s">
        <v>169</v>
      </c>
      <c r="D155" s="9">
        <v>16</v>
      </c>
      <c r="E155" s="9" t="s">
        <v>176</v>
      </c>
      <c r="F155" s="9">
        <v>4.42</v>
      </c>
      <c r="G155" s="9">
        <f t="shared" si="26"/>
        <v>1</v>
      </c>
      <c r="H155" s="9">
        <f t="shared" si="25"/>
        <v>4.42</v>
      </c>
      <c r="I155" s="3"/>
    </row>
    <row r="156" spans="2:16" x14ac:dyDescent="0.25">
      <c r="B156" s="3"/>
      <c r="C156" s="3" t="s">
        <v>169</v>
      </c>
      <c r="D156" s="9">
        <v>25</v>
      </c>
      <c r="E156" s="9" t="s">
        <v>819</v>
      </c>
      <c r="F156" s="9">
        <v>6.74</v>
      </c>
      <c r="G156" s="9">
        <v>1</v>
      </c>
      <c r="H156" s="9">
        <f t="shared" si="25"/>
        <v>6.74</v>
      </c>
      <c r="I156" s="3"/>
    </row>
    <row r="157" spans="2:16" x14ac:dyDescent="0.25">
      <c r="B157" s="3"/>
      <c r="C157" s="3" t="s">
        <v>169</v>
      </c>
      <c r="D157" s="9">
        <v>35</v>
      </c>
      <c r="E157" s="9" t="s">
        <v>177</v>
      </c>
      <c r="F157" s="9">
        <v>11.46</v>
      </c>
      <c r="G157" s="9">
        <f t="shared" si="26"/>
        <v>1</v>
      </c>
      <c r="H157" s="9">
        <f t="shared" si="25"/>
        <v>11.46</v>
      </c>
      <c r="I157" s="3"/>
    </row>
    <row r="158" spans="2:16" ht="15.75" thickBot="1" x14ac:dyDescent="0.3">
      <c r="B158" s="8"/>
      <c r="C158" s="8" t="s">
        <v>170</v>
      </c>
      <c r="D158" s="22" t="s">
        <v>239</v>
      </c>
      <c r="E158" s="22" t="s">
        <v>239</v>
      </c>
      <c r="F158" s="8"/>
      <c r="G158" s="146">
        <f t="shared" si="26"/>
        <v>1</v>
      </c>
      <c r="H158" s="150"/>
      <c r="I158" s="8"/>
    </row>
    <row r="159" spans="2:16" ht="15.75" x14ac:dyDescent="0.25">
      <c r="B159" s="477" t="s">
        <v>835</v>
      </c>
      <c r="C159" s="440"/>
      <c r="D159" s="440"/>
      <c r="E159" s="440"/>
      <c r="F159" s="440"/>
      <c r="G159" s="440"/>
      <c r="H159" s="440"/>
      <c r="I159" s="440"/>
    </row>
    <row r="160" spans="2:16" ht="15.75" x14ac:dyDescent="0.25">
      <c r="B160" s="523"/>
      <c r="C160" s="534" t="s">
        <v>836</v>
      </c>
      <c r="D160" s="535" t="s">
        <v>837</v>
      </c>
      <c r="E160" s="535" t="s">
        <v>837</v>
      </c>
      <c r="F160" s="536">
        <v>4.33</v>
      </c>
      <c r="G160" s="537">
        <v>1</v>
      </c>
      <c r="H160" s="535">
        <f>F160/G160</f>
        <v>4.33</v>
      </c>
      <c r="I160" s="534"/>
    </row>
    <row r="161" spans="1:14" ht="15.75" x14ac:dyDescent="0.25">
      <c r="B161" s="523"/>
      <c r="C161" s="534" t="s">
        <v>838</v>
      </c>
      <c r="D161" s="535" t="s">
        <v>839</v>
      </c>
      <c r="E161" s="535" t="s">
        <v>839</v>
      </c>
      <c r="F161" s="536">
        <v>3.28</v>
      </c>
      <c r="G161" s="537">
        <v>1</v>
      </c>
      <c r="H161" s="535">
        <f t="shared" ref="H161:H164" si="27">F161/G161</f>
        <v>3.28</v>
      </c>
      <c r="I161" s="534"/>
    </row>
    <row r="162" spans="1:14" ht="15.75" x14ac:dyDescent="0.25">
      <c r="B162" s="523"/>
      <c r="C162" s="534" t="s">
        <v>844</v>
      </c>
      <c r="D162" s="535" t="s">
        <v>845</v>
      </c>
      <c r="E162" s="535" t="s">
        <v>845</v>
      </c>
      <c r="F162" s="536">
        <v>5.15</v>
      </c>
      <c r="G162" s="537">
        <v>1</v>
      </c>
      <c r="H162" s="535">
        <f t="shared" si="27"/>
        <v>5.15</v>
      </c>
      <c r="I162" s="534"/>
    </row>
    <row r="163" spans="1:14" ht="15.75" x14ac:dyDescent="0.25">
      <c r="B163" s="523"/>
      <c r="C163" s="534" t="s">
        <v>840</v>
      </c>
      <c r="D163" s="535" t="s">
        <v>841</v>
      </c>
      <c r="E163" s="535" t="s">
        <v>841</v>
      </c>
      <c r="F163" s="537">
        <v>2.64</v>
      </c>
      <c r="G163" s="537">
        <v>1</v>
      </c>
      <c r="H163" s="535">
        <f t="shared" si="27"/>
        <v>2.64</v>
      </c>
      <c r="I163" s="534"/>
    </row>
    <row r="164" spans="1:14" ht="15.75" x14ac:dyDescent="0.25">
      <c r="B164" s="523"/>
      <c r="C164" s="534" t="s">
        <v>842</v>
      </c>
      <c r="D164" s="535" t="s">
        <v>843</v>
      </c>
      <c r="E164" s="535" t="s">
        <v>843</v>
      </c>
      <c r="F164" s="537">
        <v>0.4</v>
      </c>
      <c r="G164" s="537">
        <v>1</v>
      </c>
      <c r="H164" s="535">
        <f t="shared" si="27"/>
        <v>0.4</v>
      </c>
      <c r="I164" s="534"/>
    </row>
    <row r="165" spans="1:14" x14ac:dyDescent="0.25">
      <c r="G165" s="1"/>
      <c r="I165" s="533"/>
    </row>
    <row r="166" spans="1:14" ht="15.75" thickBot="1" x14ac:dyDescent="0.3">
      <c r="G166" s="1"/>
      <c r="I166" s="533"/>
    </row>
    <row r="167" spans="1:14" ht="16.5" thickBot="1" x14ac:dyDescent="0.3">
      <c r="B167" s="66" t="s">
        <v>143</v>
      </c>
      <c r="C167" s="67"/>
      <c r="D167" s="68"/>
      <c r="E167" s="68"/>
      <c r="F167" s="68"/>
      <c r="G167" s="68"/>
      <c r="H167" s="68"/>
      <c r="I167" s="180"/>
      <c r="K167" s="1" t="s">
        <v>809</v>
      </c>
      <c r="L167" s="1"/>
      <c r="M167" s="1"/>
    </row>
    <row r="168" spans="1:14" x14ac:dyDescent="0.25">
      <c r="C168" s="392"/>
      <c r="F168" s="304"/>
      <c r="G168" s="204"/>
      <c r="H168" s="305"/>
      <c r="K168" s="189" t="s">
        <v>806</v>
      </c>
      <c r="L168" s="395" t="s">
        <v>807</v>
      </c>
      <c r="M168" s="204"/>
      <c r="N168" s="204"/>
    </row>
    <row r="169" spans="1:14" x14ac:dyDescent="0.25">
      <c r="C169" s="392"/>
      <c r="F169" s="304"/>
      <c r="G169" s="204"/>
      <c r="H169" s="305"/>
      <c r="K169" s="71" t="s">
        <v>615</v>
      </c>
      <c r="L169" s="396">
        <v>70</v>
      </c>
      <c r="M169" s="204"/>
      <c r="N169" s="204"/>
    </row>
    <row r="170" spans="1:14" x14ac:dyDescent="0.25">
      <c r="H170" s="393" t="s">
        <v>614</v>
      </c>
      <c r="K170" s="9" t="s">
        <v>605</v>
      </c>
      <c r="L170" s="9" t="s">
        <v>614</v>
      </c>
    </row>
    <row r="171" spans="1:14" ht="30" x14ac:dyDescent="0.25">
      <c r="A171" s="204" t="s">
        <v>794</v>
      </c>
      <c r="B171" s="73">
        <v>1</v>
      </c>
      <c r="C171" s="394" t="s">
        <v>795</v>
      </c>
      <c r="D171" s="9"/>
      <c r="E171" s="73" t="s">
        <v>796</v>
      </c>
      <c r="F171" s="3"/>
      <c r="G171" s="3"/>
      <c r="H171" s="73">
        <f>L171</f>
        <v>472.5</v>
      </c>
      <c r="K171" s="287">
        <v>6.75</v>
      </c>
      <c r="L171" s="287">
        <f>K171*L169</f>
        <v>472.5</v>
      </c>
    </row>
    <row r="172" spans="1:14" ht="30" x14ac:dyDescent="0.25">
      <c r="A172" s="204" t="s">
        <v>797</v>
      </c>
      <c r="B172" s="73">
        <v>2</v>
      </c>
      <c r="C172" s="394" t="s">
        <v>282</v>
      </c>
      <c r="D172" s="9"/>
      <c r="E172" s="73" t="s">
        <v>283</v>
      </c>
      <c r="F172" s="3"/>
      <c r="G172" s="3"/>
      <c r="H172" s="73">
        <f>L172</f>
        <v>472.5</v>
      </c>
      <c r="K172" s="287">
        <v>6.75</v>
      </c>
      <c r="L172" s="287">
        <f>K172*L169</f>
        <v>472.5</v>
      </c>
    </row>
    <row r="173" spans="1:14" x14ac:dyDescent="0.25">
      <c r="A173" s="204"/>
      <c r="B173" s="73">
        <v>3</v>
      </c>
      <c r="C173" s="394" t="s">
        <v>613</v>
      </c>
      <c r="D173" s="9"/>
      <c r="E173" s="9" t="s">
        <v>590</v>
      </c>
      <c r="F173" s="3"/>
      <c r="G173" s="3"/>
      <c r="H173" s="73">
        <v>4807</v>
      </c>
      <c r="K173" s="227"/>
      <c r="L173" s="227"/>
    </row>
    <row r="174" spans="1:14" ht="45" x14ac:dyDescent="0.25">
      <c r="A174" s="204" t="s">
        <v>798</v>
      </c>
      <c r="B174" s="73">
        <v>4</v>
      </c>
      <c r="C174" s="394" t="s">
        <v>607</v>
      </c>
      <c r="D174" s="9"/>
      <c r="E174" s="73" t="s">
        <v>606</v>
      </c>
      <c r="F174" s="3"/>
      <c r="G174" s="3"/>
      <c r="H174" s="73">
        <v>1552</v>
      </c>
      <c r="K174" s="227"/>
      <c r="L174" s="227"/>
    </row>
    <row r="175" spans="1:14" ht="45" x14ac:dyDescent="0.25">
      <c r="A175" s="204" t="s">
        <v>799</v>
      </c>
      <c r="B175" s="73">
        <v>5</v>
      </c>
      <c r="C175" s="394" t="s">
        <v>608</v>
      </c>
      <c r="D175" s="9"/>
      <c r="E175" s="73" t="s">
        <v>609</v>
      </c>
      <c r="F175" s="3"/>
      <c r="G175" s="3"/>
      <c r="H175" s="73">
        <v>1052</v>
      </c>
      <c r="K175" s="227"/>
      <c r="L175" s="227"/>
    </row>
    <row r="176" spans="1:14" ht="45" x14ac:dyDescent="0.25">
      <c r="A176" s="204" t="s">
        <v>800</v>
      </c>
      <c r="B176" s="73">
        <v>6</v>
      </c>
      <c r="C176" s="394" t="s">
        <v>610</v>
      </c>
      <c r="D176" s="9"/>
      <c r="E176" s="73" t="s">
        <v>611</v>
      </c>
      <c r="F176" s="3"/>
      <c r="G176" s="3"/>
      <c r="H176" s="73">
        <v>1570</v>
      </c>
      <c r="K176" s="227"/>
      <c r="L176" s="227"/>
    </row>
    <row r="177" spans="1:12" ht="30" x14ac:dyDescent="0.25">
      <c r="A177" s="204" t="s">
        <v>801</v>
      </c>
      <c r="B177" s="73">
        <v>7</v>
      </c>
      <c r="C177" s="394" t="s">
        <v>612</v>
      </c>
      <c r="D177" s="9"/>
      <c r="E177" s="73" t="s">
        <v>804</v>
      </c>
      <c r="F177" s="3"/>
      <c r="G177" s="3"/>
      <c r="H177" s="73">
        <f>L177</f>
        <v>990.5</v>
      </c>
      <c r="K177" s="287">
        <v>14.15</v>
      </c>
      <c r="L177" s="287">
        <f>K177*L169</f>
        <v>990.5</v>
      </c>
    </row>
    <row r="178" spans="1:12" ht="30" x14ac:dyDescent="0.25">
      <c r="A178" s="204" t="s">
        <v>802</v>
      </c>
      <c r="B178" s="282">
        <v>8</v>
      </c>
      <c r="C178" s="564" t="s">
        <v>805</v>
      </c>
      <c r="D178" s="22"/>
      <c r="E178" s="22" t="s">
        <v>803</v>
      </c>
      <c r="F178" s="8"/>
      <c r="G178" s="8"/>
      <c r="H178" s="282">
        <v>5900</v>
      </c>
      <c r="K178" s="154"/>
      <c r="L178" s="154"/>
    </row>
    <row r="179" spans="1:12" x14ac:dyDescent="0.25">
      <c r="B179" s="3"/>
      <c r="C179" s="193" t="s">
        <v>862</v>
      </c>
      <c r="D179" s="9"/>
      <c r="E179" s="9" t="s">
        <v>866</v>
      </c>
      <c r="F179" s="3"/>
      <c r="G179" s="3"/>
      <c r="H179" s="565">
        <v>1592</v>
      </c>
    </row>
    <row r="180" spans="1:12" x14ac:dyDescent="0.25">
      <c r="B180" s="3"/>
      <c r="C180" s="193" t="s">
        <v>863</v>
      </c>
      <c r="D180" s="9"/>
      <c r="E180" s="9" t="s">
        <v>867</v>
      </c>
      <c r="F180" s="3"/>
      <c r="G180" s="3"/>
      <c r="H180" s="565">
        <v>1675</v>
      </c>
    </row>
    <row r="181" spans="1:12" x14ac:dyDescent="0.25">
      <c r="B181" s="3"/>
      <c r="C181" s="193" t="s">
        <v>864</v>
      </c>
      <c r="D181" s="9"/>
      <c r="E181" s="9" t="s">
        <v>868</v>
      </c>
      <c r="F181" s="3"/>
      <c r="G181" s="3"/>
      <c r="H181" s="565">
        <v>1792</v>
      </c>
    </row>
    <row r="182" spans="1:12" x14ac:dyDescent="0.25">
      <c r="B182" s="3"/>
      <c r="C182" s="193" t="s">
        <v>865</v>
      </c>
      <c r="D182" s="9"/>
      <c r="E182" s="9" t="s">
        <v>869</v>
      </c>
      <c r="F182" s="3"/>
      <c r="G182" s="3"/>
      <c r="H182" s="565">
        <v>4695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4"/>
  <dimension ref="B1:P235"/>
  <sheetViews>
    <sheetView zoomScale="85" zoomScaleNormal="85" workbookViewId="0">
      <pane ySplit="6" topLeftCell="A202" activePane="bottomLeft" state="frozen"/>
      <selection activeCell="B36" sqref="B36"/>
      <selection pane="bottomLeft" activeCell="B36" sqref="B36"/>
    </sheetView>
  </sheetViews>
  <sheetFormatPr defaultRowHeight="15" x14ac:dyDescent="0.25"/>
  <cols>
    <col min="2" max="2" width="11.42578125" style="1" customWidth="1"/>
    <col min="3" max="3" width="10.5703125" style="1" customWidth="1"/>
    <col min="4" max="4" width="41.7109375" customWidth="1"/>
    <col min="5" max="6" width="25.5703125" style="1" customWidth="1"/>
    <col min="7" max="7" width="12.140625" style="1" bestFit="1" customWidth="1"/>
    <col min="8" max="8" width="16.85546875" style="1" customWidth="1"/>
    <col min="9" max="9" width="18.5703125" style="1" customWidth="1"/>
    <col min="10" max="10" width="10.28515625" style="1" bestFit="1" customWidth="1"/>
    <col min="11" max="12" width="9.140625" style="1"/>
    <col min="13" max="13" width="14.140625" customWidth="1"/>
    <col min="14" max="14" width="12.42578125" bestFit="1" customWidth="1"/>
  </cols>
  <sheetData>
    <row r="1" spans="2:14" x14ac:dyDescent="0.25">
      <c r="E1" s="353" t="s">
        <v>390</v>
      </c>
      <c r="F1" s="310">
        <v>25</v>
      </c>
      <c r="G1" s="249">
        <v>44669</v>
      </c>
    </row>
    <row r="2" spans="2:14" x14ac:dyDescent="0.25">
      <c r="C2" s="34" t="s">
        <v>150</v>
      </c>
      <c r="E2" s="353" t="s">
        <v>351</v>
      </c>
      <c r="F2" s="145">
        <v>2.9</v>
      </c>
      <c r="G2" s="145"/>
      <c r="M2" s="34"/>
    </row>
    <row r="3" spans="2:14" x14ac:dyDescent="0.25">
      <c r="C3" s="34"/>
      <c r="E3" s="353" t="s">
        <v>352</v>
      </c>
      <c r="F3" s="145">
        <v>2</v>
      </c>
      <c r="G3" s="145"/>
    </row>
    <row r="4" spans="2:14" ht="15.75" thickBot="1" x14ac:dyDescent="0.3"/>
    <row r="5" spans="2:14" ht="15.75" thickBot="1" x14ac:dyDescent="0.3">
      <c r="B5" s="35" t="s">
        <v>163</v>
      </c>
      <c r="C5" s="35" t="s">
        <v>163</v>
      </c>
      <c r="D5" s="35" t="s">
        <v>41</v>
      </c>
      <c r="E5" s="36" t="s">
        <v>151</v>
      </c>
      <c r="F5" s="35" t="s">
        <v>45</v>
      </c>
      <c r="G5" s="301" t="s">
        <v>251</v>
      </c>
      <c r="H5" s="35" t="s">
        <v>152</v>
      </c>
      <c r="I5" s="35" t="s">
        <v>153</v>
      </c>
      <c r="J5" s="35" t="s">
        <v>256</v>
      </c>
      <c r="K5" s="35" t="s">
        <v>256</v>
      </c>
      <c r="L5" s="213"/>
    </row>
    <row r="6" spans="2:14" ht="23.25" customHeight="1" x14ac:dyDescent="0.25">
      <c r="B6" s="354" t="s">
        <v>521</v>
      </c>
      <c r="C6" s="354" t="s">
        <v>522</v>
      </c>
      <c r="D6" s="358"/>
      <c r="E6" s="359"/>
      <c r="F6" s="144"/>
      <c r="G6" s="300" t="s">
        <v>375</v>
      </c>
      <c r="H6" s="144" t="s">
        <v>387</v>
      </c>
      <c r="I6" s="144" t="s">
        <v>387</v>
      </c>
      <c r="J6" s="144" t="s">
        <v>257</v>
      </c>
      <c r="K6" s="144" t="s">
        <v>251</v>
      </c>
      <c r="L6" s="213"/>
    </row>
    <row r="7" spans="2:14" ht="15" customHeight="1" x14ac:dyDescent="0.25">
      <c r="B7" s="355"/>
      <c r="C7" s="355"/>
      <c r="D7" s="74" t="s">
        <v>488</v>
      </c>
      <c r="E7" s="145"/>
      <c r="F7" s="145"/>
      <c r="G7" s="356"/>
      <c r="H7" s="145"/>
      <c r="I7" s="145"/>
      <c r="J7" s="145"/>
      <c r="K7" s="145"/>
      <c r="L7" s="7"/>
    </row>
    <row r="8" spans="2:14" ht="15" customHeight="1" x14ac:dyDescent="0.25">
      <c r="B8" s="355"/>
      <c r="C8" s="355"/>
      <c r="D8" s="3" t="s">
        <v>515</v>
      </c>
      <c r="E8" s="9" t="str">
        <f>Расчет!I201</f>
        <v>3P/25A</v>
      </c>
      <c r="F8" s="64"/>
      <c r="G8" s="357">
        <v>0</v>
      </c>
      <c r="H8" s="9">
        <f>INDEX(Материалы!$H$5:$H$164,MATCH(E8,Материалы!$E$5:$E$164,0))</f>
        <v>20.82</v>
      </c>
      <c r="I8" s="9">
        <f>G8*H8</f>
        <v>0</v>
      </c>
      <c r="J8" s="64"/>
      <c r="K8" s="64"/>
      <c r="L8" s="34"/>
    </row>
    <row r="9" spans="2:14" ht="15" customHeight="1" x14ac:dyDescent="0.25">
      <c r="B9" s="355"/>
      <c r="C9" s="355"/>
      <c r="D9" s="3" t="str">
        <f>Материалы!C106</f>
        <v>Ось</v>
      </c>
      <c r="E9" s="9" t="str">
        <f>Материалы!E106</f>
        <v>Ось</v>
      </c>
      <c r="F9" s="9" t="str">
        <f>Материалы!D106</f>
        <v>Ось</v>
      </c>
      <c r="G9" s="357">
        <v>0</v>
      </c>
      <c r="H9" s="9">
        <f>INDEX(Материалы!$H$5:$H$164,MATCH(E9,Материалы!$E$5:$E$164,0))</f>
        <v>13.75</v>
      </c>
      <c r="I9" s="9">
        <f>G9*H9</f>
        <v>0</v>
      </c>
      <c r="J9" s="64"/>
      <c r="K9" s="64"/>
      <c r="L9" s="34"/>
    </row>
    <row r="10" spans="2:14" ht="15" customHeight="1" x14ac:dyDescent="0.25">
      <c r="B10" s="355"/>
      <c r="C10" s="355"/>
      <c r="D10" s="3" t="s">
        <v>54</v>
      </c>
      <c r="E10" s="9" t="str">
        <f>Расчет!I214</f>
        <v>Клемма6</v>
      </c>
      <c r="F10" s="64"/>
      <c r="G10" s="357">
        <v>3</v>
      </c>
      <c r="H10" s="9">
        <f>INDEX(Материалы!$H$5:$H$164,MATCH(E10,Материалы!$E$5:$E$164,0))</f>
        <v>1.22</v>
      </c>
      <c r="I10" s="9">
        <f>G10*H10</f>
        <v>3.66</v>
      </c>
      <c r="J10" s="64"/>
      <c r="K10" s="64"/>
      <c r="L10" s="34"/>
    </row>
    <row r="11" spans="2:14" ht="15" customHeight="1" x14ac:dyDescent="0.25">
      <c r="B11" s="355"/>
      <c r="C11" s="355"/>
      <c r="D11" s="3" t="s">
        <v>55</v>
      </c>
      <c r="E11" s="9" t="str">
        <f>Материалы!E71</f>
        <v>Клемма N6</v>
      </c>
      <c r="F11" s="9">
        <f>Материалы!D71</f>
        <v>6</v>
      </c>
      <c r="G11" s="357">
        <v>1</v>
      </c>
      <c r="H11" s="9">
        <f>INDEX(Материалы!$H$5:$H$164,MATCH(E11,Материалы!$E$5:$E$164,0))</f>
        <v>1.23</v>
      </c>
      <c r="I11" s="9">
        <f t="shared" ref="I11:I12" si="0">G11*H11</f>
        <v>1.23</v>
      </c>
      <c r="J11" s="64"/>
      <c r="K11" s="64"/>
      <c r="L11" s="34"/>
    </row>
    <row r="12" spans="2:14" ht="15" customHeight="1" x14ac:dyDescent="0.25">
      <c r="B12" s="355"/>
      <c r="C12" s="355"/>
      <c r="D12" s="3" t="s">
        <v>56</v>
      </c>
      <c r="E12" s="9" t="str">
        <f>Материалы!E77</f>
        <v>Клемма PE6</v>
      </c>
      <c r="F12" s="9">
        <f>Материалы!D77</f>
        <v>6</v>
      </c>
      <c r="G12" s="357">
        <v>1</v>
      </c>
      <c r="H12" s="9">
        <f>INDEX(Материалы!$H$5:$H$164,MATCH(E12,Материалы!$E$5:$E$164,0))</f>
        <v>3.4</v>
      </c>
      <c r="I12" s="9">
        <f t="shared" si="0"/>
        <v>3.4</v>
      </c>
      <c r="J12" s="64"/>
      <c r="K12" s="64"/>
      <c r="L12">
        <f>SUM(I8:I12)</f>
        <v>8.2900000000000009</v>
      </c>
    </row>
    <row r="13" spans="2:14" ht="15" customHeight="1" x14ac:dyDescent="0.25">
      <c r="B13" s="355"/>
      <c r="C13" s="355"/>
      <c r="D13" s="3"/>
      <c r="E13" s="64"/>
      <c r="F13" s="64"/>
      <c r="G13" s="357"/>
      <c r="H13" s="64"/>
      <c r="I13" s="64"/>
      <c r="J13" s="64"/>
      <c r="K13" s="64"/>
      <c r="L13" s="34"/>
    </row>
    <row r="14" spans="2:14" x14ac:dyDescent="0.25">
      <c r="B14" s="9"/>
      <c r="C14" s="54"/>
      <c r="D14" s="93" t="s">
        <v>633</v>
      </c>
      <c r="E14" s="376"/>
      <c r="F14" s="92"/>
      <c r="G14" s="92"/>
      <c r="H14" s="92"/>
      <c r="I14" s="92"/>
      <c r="J14" s="92"/>
      <c r="K14" s="92"/>
      <c r="L14" s="33"/>
    </row>
    <row r="15" spans="2:14" x14ac:dyDescent="0.25">
      <c r="B15" s="9">
        <v>0</v>
      </c>
      <c r="C15" s="9">
        <f>IF(AND(Расчет!E47=0,Расчет!E51=1),1,0)</f>
        <v>1</v>
      </c>
      <c r="D15" s="82" t="s">
        <v>562</v>
      </c>
      <c r="E15" s="350"/>
      <c r="F15" s="72"/>
      <c r="G15" s="72"/>
      <c r="H15" s="72"/>
      <c r="I15" s="72"/>
      <c r="J15" s="72"/>
      <c r="K15" s="72"/>
      <c r="L15" s="214"/>
    </row>
    <row r="16" spans="2:14" x14ac:dyDescent="0.25">
      <c r="B16" s="9"/>
      <c r="C16" s="9"/>
      <c r="D16" s="3" t="s">
        <v>0</v>
      </c>
      <c r="E16" s="9" t="str">
        <f>Расчет!M83</f>
        <v>GV2ME07</v>
      </c>
      <c r="F16" s="9" t="str">
        <f>Расчет!L83</f>
        <v>1,6…2,5</v>
      </c>
      <c r="G16" s="9">
        <f>1*($B$15+$C$15)</f>
        <v>1</v>
      </c>
      <c r="H16" s="110">
        <f>IFERROR(INDEX(Материалы!$H$5:$H$164,MATCH(E16,Материалы!$E$5:$E$164,0)),0)</f>
        <v>41.04</v>
      </c>
      <c r="I16" s="110">
        <f t="shared" ref="I16:I24" si="1">G16*H16</f>
        <v>41.04</v>
      </c>
      <c r="J16" s="9">
        <f>VLOOKUP(E16,Материалы!E7:I23,5,FALSE)</f>
        <v>0.35</v>
      </c>
      <c r="K16" s="9">
        <f t="shared" ref="K16:K21" si="2">G16*J16</f>
        <v>0.35</v>
      </c>
      <c r="N16" s="299"/>
    </row>
    <row r="17" spans="2:15" x14ac:dyDescent="0.25">
      <c r="B17" s="9"/>
      <c r="C17" s="9"/>
      <c r="D17" s="3" t="s">
        <v>63</v>
      </c>
      <c r="E17" s="73" t="str">
        <f>Материалы!E23</f>
        <v>ДП_к_мотор</v>
      </c>
      <c r="F17" s="9" t="str">
        <f>Материалы!E23</f>
        <v>ДП_к_мотор</v>
      </c>
      <c r="G17" s="9">
        <f t="shared" ref="G17:G21" si="3">1*($B$15+$C$15)</f>
        <v>1</v>
      </c>
      <c r="H17" s="110">
        <f>IFERROR(INDEX(Материалы!$H$5:$H$164,MATCH(E17,Материалы!$E$5:$E$164,0)),0)</f>
        <v>21.34</v>
      </c>
      <c r="I17" s="110">
        <f t="shared" si="1"/>
        <v>21.34</v>
      </c>
      <c r="J17" s="9">
        <f>VLOOKUP(E17,Материалы!E7:I23,5,FALSE)</f>
        <v>0.2</v>
      </c>
      <c r="K17" s="9">
        <f t="shared" si="2"/>
        <v>0.2</v>
      </c>
      <c r="N17" s="34"/>
    </row>
    <row r="18" spans="2:15" x14ac:dyDescent="0.25">
      <c r="B18" s="9"/>
      <c r="C18" s="9"/>
      <c r="D18" s="3" t="s">
        <v>47</v>
      </c>
      <c r="E18" s="9" t="str">
        <f>Расчет!O83</f>
        <v>LC1D09P7</v>
      </c>
      <c r="F18" s="9">
        <f>Расчет!N83</f>
        <v>9</v>
      </c>
      <c r="G18" s="9">
        <f t="shared" si="3"/>
        <v>1</v>
      </c>
      <c r="H18" s="110">
        <f>IFERROR(INDEX(Материалы!$H$5:$H$164,MATCH(E18,Материалы!$E$5:$E$164,0)),0)</f>
        <v>23.74</v>
      </c>
      <c r="I18" s="110">
        <f t="shared" si="1"/>
        <v>23.74</v>
      </c>
      <c r="J18" s="9">
        <f>VLOOKUP(E18,Материалы!E45:I53,5,FALSE)</f>
        <v>0.32</v>
      </c>
      <c r="K18" s="9">
        <f t="shared" si="2"/>
        <v>0.32</v>
      </c>
      <c r="M18" t="s">
        <v>813</v>
      </c>
    </row>
    <row r="19" spans="2:15" x14ac:dyDescent="0.25">
      <c r="B19" s="9"/>
      <c r="C19" s="9"/>
      <c r="D19" s="3" t="s">
        <v>154</v>
      </c>
      <c r="E19" s="9" t="str">
        <f>VLOOKUP(Расчет!P83,Материалы!D61:E66,2)</f>
        <v>Клемма2,5</v>
      </c>
      <c r="F19" s="9">
        <f>Расчет!P83</f>
        <v>2.5</v>
      </c>
      <c r="G19" s="9">
        <f>3*($B$15+$C$15)</f>
        <v>3</v>
      </c>
      <c r="H19" s="110">
        <f>IFERROR(INDEX(Материалы!$H$5:$H$164,MATCH(E19,Материалы!$E$5:$E$164,0)),0)</f>
        <v>0.63</v>
      </c>
      <c r="I19" s="110">
        <f t="shared" si="1"/>
        <v>1.8900000000000001</v>
      </c>
      <c r="J19" s="9">
        <f>VLOOKUP(E19,Материалы!E61:I66,5,FALSE)</f>
        <v>6.0000000000000001E-3</v>
      </c>
      <c r="K19" s="9">
        <f t="shared" si="2"/>
        <v>1.8000000000000002E-2</v>
      </c>
      <c r="M19" s="205">
        <v>0.621</v>
      </c>
      <c r="N19" s="205">
        <v>3</v>
      </c>
      <c r="O19" s="349">
        <f>M19*N19</f>
        <v>1.863</v>
      </c>
    </row>
    <row r="20" spans="2:15" x14ac:dyDescent="0.25">
      <c r="B20" s="9"/>
      <c r="C20" s="9"/>
      <c r="D20" s="3" t="s">
        <v>55</v>
      </c>
      <c r="E20" s="9" t="str">
        <f>VLOOKUP(Расчет!P83,Материалы!D69:E74,2)</f>
        <v>Клемма N2,5</v>
      </c>
      <c r="F20" s="9">
        <f>Расчет!P83</f>
        <v>2.5</v>
      </c>
      <c r="G20" s="9">
        <f t="shared" si="3"/>
        <v>1</v>
      </c>
      <c r="H20" s="110">
        <f>IFERROR(INDEX(Материалы!$H$5:$H$164,MATCH(E20,Материалы!$E$5:$E$164,0)),0)</f>
        <v>0.62</v>
      </c>
      <c r="I20" s="110">
        <f t="shared" si="1"/>
        <v>0.62</v>
      </c>
      <c r="J20" s="9">
        <f>VLOOKUP(E20,Материалы!E69:I74,5,FALSE)</f>
        <v>6.0000000000000001E-3</v>
      </c>
      <c r="K20" s="9">
        <f t="shared" si="2"/>
        <v>6.0000000000000001E-3</v>
      </c>
      <c r="M20" s="205">
        <v>0.57099999999999995</v>
      </c>
      <c r="N20" s="205">
        <v>3</v>
      </c>
      <c r="O20" s="205">
        <f>M20*N20</f>
        <v>1.7129999999999999</v>
      </c>
    </row>
    <row r="21" spans="2:15" x14ac:dyDescent="0.25">
      <c r="B21" s="9"/>
      <c r="C21" s="9"/>
      <c r="D21" s="3" t="s">
        <v>56</v>
      </c>
      <c r="E21" s="9" t="str">
        <f>VLOOKUP(Расчет!P83,Материалы!D75:F80,2)</f>
        <v>Клемма PE2,5</v>
      </c>
      <c r="F21" s="73">
        <f>Расчет!P83</f>
        <v>2.5</v>
      </c>
      <c r="G21" s="9">
        <f t="shared" si="3"/>
        <v>1</v>
      </c>
      <c r="H21" s="110">
        <f>IFERROR(INDEX(Материалы!$H$5:$H$164,MATCH(E21,Материалы!$E$5:$E$164,0)),0)</f>
        <v>1.87</v>
      </c>
      <c r="I21" s="110">
        <f t="shared" si="1"/>
        <v>1.87</v>
      </c>
      <c r="J21" s="9">
        <f>VLOOKUP(E21,Материалы!E75:I80,5,FALSE)</f>
        <v>6.0000000000000001E-3</v>
      </c>
      <c r="K21" s="9">
        <f t="shared" si="2"/>
        <v>6.0000000000000001E-3</v>
      </c>
      <c r="M21" s="205" t="s">
        <v>251</v>
      </c>
      <c r="N21" s="205">
        <f>O19+O20</f>
        <v>3.5759999999999996</v>
      </c>
    </row>
    <row r="22" spans="2:15" x14ac:dyDescent="0.25">
      <c r="B22" s="9"/>
      <c r="C22" s="9"/>
      <c r="D22" s="3" t="s">
        <v>169</v>
      </c>
      <c r="E22" s="9" t="str">
        <f>VLOOKUP(Расчет!Q83,Материалы!D150:F157,2)</f>
        <v>сила1,5</v>
      </c>
      <c r="F22" s="73">
        <f>Расчет!Q83</f>
        <v>1.5</v>
      </c>
      <c r="G22" s="190">
        <f>4*($B$15+$C$15)</f>
        <v>4</v>
      </c>
      <c r="H22" s="110">
        <f>IFERROR(INDEX(Материалы!$H$5:$H$164,MATCH(E22,Материалы!$E$5:$E$164,0)),0)</f>
        <v>0.53</v>
      </c>
      <c r="I22" s="110">
        <f t="shared" si="1"/>
        <v>2.12</v>
      </c>
      <c r="J22" s="9"/>
      <c r="K22" s="9"/>
      <c r="N22" t="s">
        <v>812</v>
      </c>
    </row>
    <row r="23" spans="2:15" x14ac:dyDescent="0.25">
      <c r="B23" s="9"/>
      <c r="C23" s="9">
        <f>Расчет!E112</f>
        <v>1</v>
      </c>
      <c r="D23" s="3" t="s">
        <v>206</v>
      </c>
      <c r="E23" s="9" t="str">
        <f>VLOOKUP(Расчет!R83,Материалы!D109:E116,2,FALSE)</f>
        <v>М_700х500х200</v>
      </c>
      <c r="F23" s="73" t="str">
        <f>Расчет!R83</f>
        <v>700х500х200</v>
      </c>
      <c r="G23" s="9">
        <f>1*C23*(B15+C15)</f>
        <v>1</v>
      </c>
      <c r="H23" s="110">
        <f>IFERROR(INDEX(Материалы!$H$5:$H$164,MATCH(E23,Материалы!$E$5:$E$164,0)),0)</f>
        <v>135.72</v>
      </c>
      <c r="I23" s="110">
        <f t="shared" si="1"/>
        <v>135.72</v>
      </c>
      <c r="J23" s="9">
        <f>VLOOKUP(E23,Материалы!E109:I116,5,FALSE)</f>
        <v>14.5</v>
      </c>
      <c r="K23" s="9">
        <f>G23*J23</f>
        <v>14.5</v>
      </c>
    </row>
    <row r="24" spans="2:15" x14ac:dyDescent="0.25">
      <c r="B24" s="9"/>
      <c r="C24" s="9">
        <f>Расчет!E111</f>
        <v>0</v>
      </c>
      <c r="D24" s="3" t="s">
        <v>207</v>
      </c>
      <c r="E24" s="9" t="str">
        <f>VLOOKUP(Расчет!S83,Материалы!D109:E116,2,FALSE)</f>
        <v>П_BNK 65-54-1</v>
      </c>
      <c r="F24" s="73" t="str">
        <f>Расчет!S83</f>
        <v>560х408х153</v>
      </c>
      <c r="G24" s="9">
        <f>1*C24*(B15+C15)</f>
        <v>0</v>
      </c>
      <c r="H24" s="110">
        <f>IFERROR(INDEX(Материалы!$H$5:$H$164,MATCH(E24,Материалы!$E$5:$E$164,0)),0)</f>
        <v>206</v>
      </c>
      <c r="I24" s="110">
        <f t="shared" si="1"/>
        <v>0</v>
      </c>
      <c r="J24" s="9">
        <f>VLOOKUP(E24,Материалы!E111:I116,5,FALSE)</f>
        <v>4.3</v>
      </c>
      <c r="K24" s="9">
        <f>G24*J24</f>
        <v>0</v>
      </c>
      <c r="L24" s="166">
        <f>SUM(I16:I24)</f>
        <v>228.34</v>
      </c>
    </row>
    <row r="25" spans="2:15" x14ac:dyDescent="0.25">
      <c r="B25" s="9"/>
      <c r="C25" s="9"/>
      <c r="D25" s="3"/>
      <c r="E25" s="9"/>
      <c r="F25" s="9"/>
      <c r="G25" s="9"/>
      <c r="H25" s="9"/>
      <c r="I25" s="9"/>
      <c r="J25" s="9"/>
      <c r="K25" s="9"/>
    </row>
    <row r="26" spans="2:15" x14ac:dyDescent="0.25">
      <c r="B26" s="9">
        <v>0</v>
      </c>
      <c r="C26" s="9">
        <f>IF(AND(Расчет!E47=0,Расчет!E51=2),1,0)</f>
        <v>0</v>
      </c>
      <c r="D26" s="82" t="s">
        <v>634</v>
      </c>
      <c r="E26" s="72"/>
      <c r="F26" s="72"/>
      <c r="G26" s="72"/>
      <c r="H26" s="72"/>
      <c r="I26" s="72"/>
      <c r="J26" s="72"/>
      <c r="K26" s="72"/>
      <c r="L26" s="214"/>
    </row>
    <row r="27" spans="2:15" x14ac:dyDescent="0.25">
      <c r="B27" s="9"/>
      <c r="C27" s="9"/>
      <c r="D27" s="3" t="s">
        <v>0</v>
      </c>
      <c r="E27" s="9" t="str">
        <f>Расчет!M107</f>
        <v>125А 3п.</v>
      </c>
      <c r="F27" s="9">
        <f>Расчет!L107</f>
        <v>125</v>
      </c>
      <c r="G27" s="9">
        <f>1*($B$26+$C$26)</f>
        <v>0</v>
      </c>
      <c r="H27" s="110">
        <f>IFERROR(INDEX(Материалы!$H$5:$H$164,MATCH(E27,Материалы!$E$5:$E$164,0)),0)</f>
        <v>232.85</v>
      </c>
      <c r="I27" s="110">
        <f t="shared" ref="I27:I36" si="4">G27*H27</f>
        <v>0</v>
      </c>
      <c r="J27" s="9">
        <f>VLOOKUP(E27,Материалы!E26:'Материалы'!I35,5,FALSE)</f>
        <v>0.5</v>
      </c>
      <c r="K27" s="9">
        <f t="shared" ref="K27:K32" si="5">G27*J27</f>
        <v>0</v>
      </c>
    </row>
    <row r="28" spans="2:15" x14ac:dyDescent="0.25">
      <c r="B28" s="9"/>
      <c r="C28" s="9"/>
      <c r="D28" s="3" t="s">
        <v>195</v>
      </c>
      <c r="E28" s="9" t="str">
        <f>Материалы!E36</f>
        <v>ДП_3п"С"</v>
      </c>
      <c r="F28" s="9" t="str">
        <f>Материалы!D36</f>
        <v>ДП_3п"С"</v>
      </c>
      <c r="G28" s="9">
        <f t="shared" ref="G28:G32" si="6">1*($B$26+$C$26)</f>
        <v>0</v>
      </c>
      <c r="H28" s="110">
        <f>IFERROR(INDEX(Материалы!$H$5:$H$164,MATCH(E28,Материалы!$E$5:$E$164,0)),0)</f>
        <v>24.55</v>
      </c>
      <c r="I28" s="110">
        <f t="shared" si="4"/>
        <v>0</v>
      </c>
      <c r="J28" s="9">
        <f>VLOOKUP(E28,Материалы!E26:I36,5,FALSE)</f>
        <v>0.2</v>
      </c>
      <c r="K28" s="9">
        <f t="shared" si="5"/>
        <v>0</v>
      </c>
    </row>
    <row r="29" spans="2:15" x14ac:dyDescent="0.25">
      <c r="B29" s="9"/>
      <c r="C29" s="9"/>
      <c r="D29" s="3" t="s">
        <v>52</v>
      </c>
      <c r="E29" s="9" t="str">
        <f>Материалы!E57</f>
        <v>Р_2_230</v>
      </c>
      <c r="F29" s="9" t="str">
        <f>Материалы!D57</f>
        <v>2СО, 230В</v>
      </c>
      <c r="G29" s="9">
        <f t="shared" si="6"/>
        <v>0</v>
      </c>
      <c r="H29" s="110">
        <f>IFERROR(INDEX(Материалы!$H$5:$H$164,MATCH(E29,Материалы!$E$5:$E$164,0)),0)</f>
        <v>14.63</v>
      </c>
      <c r="I29" s="110">
        <f t="shared" si="4"/>
        <v>0</v>
      </c>
      <c r="J29" s="9">
        <f>VLOOKUP(E29,Материалы!E56:I58,5,FALSE)</f>
        <v>0.1</v>
      </c>
      <c r="K29" s="9">
        <f t="shared" si="5"/>
        <v>0</v>
      </c>
    </row>
    <row r="30" spans="2:15" x14ac:dyDescent="0.25">
      <c r="B30" s="9"/>
      <c r="C30" s="9"/>
      <c r="D30" s="3" t="s">
        <v>154</v>
      </c>
      <c r="E30" s="9" t="str">
        <f>VLOOKUP(Расчет!N107,Материалы!D61:E66,2)</f>
        <v>Клемма35</v>
      </c>
      <c r="F30" s="9">
        <f>Расчет!N107</f>
        <v>35</v>
      </c>
      <c r="G30" s="9">
        <f>3*($B$26+$C$26)</f>
        <v>0</v>
      </c>
      <c r="H30" s="110">
        <f>IFERROR(INDEX(Материалы!$H$5:$H$164,MATCH(E30,Материалы!$E$5:$E$164,0)),0)</f>
        <v>2.79</v>
      </c>
      <c r="I30" s="110">
        <f t="shared" si="4"/>
        <v>0</v>
      </c>
      <c r="J30" s="9">
        <f>VLOOKUP(E30,Материалы!E61:I66,5,FALSE)</f>
        <v>0.06</v>
      </c>
      <c r="K30" s="9">
        <f t="shared" si="5"/>
        <v>0</v>
      </c>
    </row>
    <row r="31" spans="2:15" x14ac:dyDescent="0.25">
      <c r="B31" s="9"/>
      <c r="C31" s="9"/>
      <c r="D31" s="3" t="s">
        <v>55</v>
      </c>
      <c r="E31" s="9" t="str">
        <f>VLOOKUP(Расчет!N107,Материалы!D69:E74,2)</f>
        <v>Клемма N35</v>
      </c>
      <c r="F31" s="9">
        <f>Расчет!N107</f>
        <v>35</v>
      </c>
      <c r="G31" s="9">
        <f t="shared" si="6"/>
        <v>0</v>
      </c>
      <c r="H31" s="110">
        <f>IFERROR(INDEX(Материалы!$H$5:$H$164,MATCH(E31,Материалы!$E$5:$E$164,0)),0)</f>
        <v>3.23</v>
      </c>
      <c r="I31" s="110">
        <f t="shared" si="4"/>
        <v>0</v>
      </c>
      <c r="J31" s="9">
        <f>VLOOKUP(E31,Материалы!E69:I74,5,FALSE)</f>
        <v>0.06</v>
      </c>
      <c r="K31" s="9">
        <f t="shared" si="5"/>
        <v>0</v>
      </c>
    </row>
    <row r="32" spans="2:15" x14ac:dyDescent="0.25">
      <c r="B32" s="9"/>
      <c r="C32" s="9"/>
      <c r="D32" s="3" t="s">
        <v>56</v>
      </c>
      <c r="E32" s="9" t="str">
        <f>VLOOKUP(Расчет!N107,Материалы!D75:F80,2)</f>
        <v>Клемма PE35</v>
      </c>
      <c r="F32" s="9">
        <f>Расчет!N107</f>
        <v>35</v>
      </c>
      <c r="G32" s="9">
        <f t="shared" si="6"/>
        <v>0</v>
      </c>
      <c r="H32" s="110">
        <f>IFERROR(INDEX(Материалы!$H$5:$H$164,MATCH(E32,Материалы!$E$5:$E$164,0)),0)</f>
        <v>7.53</v>
      </c>
      <c r="I32" s="110">
        <f t="shared" si="4"/>
        <v>0</v>
      </c>
      <c r="J32" s="9">
        <f>VLOOKUP(E32,Материалы!E75:I80,5,FALSE)</f>
        <v>0.06</v>
      </c>
      <c r="K32" s="9">
        <f t="shared" si="5"/>
        <v>0</v>
      </c>
    </row>
    <row r="33" spans="2:14" x14ac:dyDescent="0.25">
      <c r="B33" s="9"/>
      <c r="C33" s="9"/>
      <c r="D33" s="3" t="s">
        <v>169</v>
      </c>
      <c r="E33" s="9" t="str">
        <f>VLOOKUP(Расчет!O107,Материалы!D150:F157,2)</f>
        <v>сила16</v>
      </c>
      <c r="F33" s="73">
        <f>Расчет!O107</f>
        <v>16</v>
      </c>
      <c r="G33" s="190">
        <f>3*($B$26+$C$26)</f>
        <v>0</v>
      </c>
      <c r="H33" s="110">
        <f>IFERROR(INDEX(Материалы!$H$5:$H$164,MATCH(E33,Материалы!$E$5:$E$164,0)),0)</f>
        <v>4.42</v>
      </c>
      <c r="I33" s="110">
        <f t="shared" si="4"/>
        <v>0</v>
      </c>
      <c r="J33" s="9"/>
      <c r="K33" s="9"/>
    </row>
    <row r="34" spans="2:14" x14ac:dyDescent="0.25">
      <c r="B34" s="9"/>
      <c r="C34" s="9"/>
      <c r="D34" s="3" t="s">
        <v>154</v>
      </c>
      <c r="E34" s="9" t="str">
        <f>Материалы!E61</f>
        <v>Клемма2,5</v>
      </c>
      <c r="F34" s="73">
        <f>Материалы!D61</f>
        <v>2.5</v>
      </c>
      <c r="G34" s="9">
        <f>2*($B$26+$C$26)</f>
        <v>0</v>
      </c>
      <c r="H34" s="110">
        <f>IFERROR(INDEX(Материалы!$H$5:$H$164,MATCH(E34,Материалы!$E$5:$E$164,0)),0)</f>
        <v>0.63</v>
      </c>
      <c r="I34" s="110">
        <f t="shared" si="4"/>
        <v>0</v>
      </c>
      <c r="J34" s="9"/>
      <c r="K34" s="9"/>
      <c r="N34">
        <f>G34+G55+G65+G67+G72+G76+G79+G84+G87+G89+G97+G100+G107+G109+G114+G119+G124+G128+G131+G136+G140+G143+G148+G152+G156+G160+G167+G169+G170+G171+G172+G173</f>
        <v>38</v>
      </c>
    </row>
    <row r="35" spans="2:14" x14ac:dyDescent="0.25">
      <c r="B35" s="9"/>
      <c r="C35" s="9">
        <f>Расчет!E112</f>
        <v>1</v>
      </c>
      <c r="D35" s="3" t="s">
        <v>206</v>
      </c>
      <c r="E35" s="9" t="str">
        <f>VLOOKUP(Расчет!P107,Материалы!D109:E116,2)</f>
        <v>М_700х500х200</v>
      </c>
      <c r="F35" s="9" t="str">
        <f>Расчет!P107</f>
        <v>700х500х200</v>
      </c>
      <c r="G35" s="9">
        <f>1*C35*(B26+C26)</f>
        <v>0</v>
      </c>
      <c r="H35" s="110">
        <f>IFERROR(INDEX(Материалы!$H$5:$H$164,MATCH(E35,Материалы!$E$5:$E$164,0)),0)</f>
        <v>135.72</v>
      </c>
      <c r="I35" s="110">
        <f t="shared" si="4"/>
        <v>0</v>
      </c>
      <c r="J35" s="9">
        <f>VLOOKUP(E35,Материалы!E109:I116,5,FALSE)</f>
        <v>14.5</v>
      </c>
      <c r="K35" s="9">
        <f>G35*J35</f>
        <v>0</v>
      </c>
    </row>
    <row r="36" spans="2:14" x14ac:dyDescent="0.25">
      <c r="B36" s="9"/>
      <c r="C36" s="9">
        <f>Расчет!E111</f>
        <v>0</v>
      </c>
      <c r="D36" s="3" t="s">
        <v>207</v>
      </c>
      <c r="E36" s="9" t="str">
        <f>VLOOKUP(Расчет!Q107,Материалы!D109:E116,2,FALSE)</f>
        <v>не существует</v>
      </c>
      <c r="F36" s="9" t="str">
        <f>Расчет!Q107</f>
        <v>-</v>
      </c>
      <c r="G36" s="9">
        <f>1*C36*(B26+C26)</f>
        <v>0</v>
      </c>
      <c r="H36" s="110">
        <f>IFERROR(INDEX(Материалы!$H$5:$H$164,MATCH(E36,Материалы!$E$5:$E$164,0)),0)</f>
        <v>0</v>
      </c>
      <c r="I36" s="110">
        <f t="shared" si="4"/>
        <v>0</v>
      </c>
      <c r="J36" s="9">
        <f>VLOOKUP(E36,Материалы!E111:I116,5,FALSE)</f>
        <v>0</v>
      </c>
      <c r="K36" s="9">
        <f>G36*J36</f>
        <v>0</v>
      </c>
      <c r="L36" s="166">
        <f>SUM(I27:I36)</f>
        <v>0</v>
      </c>
    </row>
    <row r="37" spans="2:14" x14ac:dyDescent="0.25">
      <c r="B37" s="9"/>
      <c r="C37" s="9"/>
      <c r="D37" s="3"/>
      <c r="E37" s="9"/>
      <c r="F37" s="9"/>
      <c r="G37" s="9"/>
      <c r="H37" s="9"/>
      <c r="I37" s="9"/>
      <c r="J37" s="9"/>
      <c r="K37" s="9"/>
    </row>
    <row r="38" spans="2:14" x14ac:dyDescent="0.25">
      <c r="B38" s="73">
        <f>IF(AND(Расчет!E47=1,OR(Расчет!E51=1,Расчет!E51=2)),1,0)</f>
        <v>0</v>
      </c>
      <c r="C38" s="9">
        <v>0</v>
      </c>
      <c r="D38" s="74" t="s">
        <v>635</v>
      </c>
      <c r="E38" s="71"/>
      <c r="F38" s="71"/>
      <c r="G38" s="71"/>
      <c r="H38" s="71"/>
      <c r="I38" s="71"/>
      <c r="J38" s="71"/>
      <c r="K38" s="71"/>
      <c r="L38" s="33"/>
    </row>
    <row r="39" spans="2:14" x14ac:dyDescent="0.25">
      <c r="B39" s="9"/>
      <c r="C39" s="9"/>
      <c r="D39" s="82" t="s">
        <v>563</v>
      </c>
      <c r="E39" s="72"/>
      <c r="F39" s="72"/>
      <c r="G39" s="72"/>
      <c r="H39" s="72"/>
      <c r="I39" s="72"/>
      <c r="J39" s="72"/>
      <c r="K39" s="72"/>
      <c r="L39" s="214"/>
    </row>
    <row r="40" spans="2:14" x14ac:dyDescent="0.25">
      <c r="B40" s="9"/>
      <c r="C40" s="9"/>
      <c r="D40" s="3" t="s">
        <v>0</v>
      </c>
      <c r="E40" s="9" t="str">
        <f>Расчет!M122</f>
        <v>16А 1п.</v>
      </c>
      <c r="F40" s="9">
        <f>Расчет!L122</f>
        <v>16</v>
      </c>
      <c r="G40" s="9">
        <f>1*($B$38+$C$38)</f>
        <v>0</v>
      </c>
      <c r="H40" s="110">
        <f>IFERROR(INDEX(Материалы!$H$5:$H$164,MATCH(E40,Материалы!$E$5:$E$164,0)),0)</f>
        <v>9.0299999999999994</v>
      </c>
      <c r="I40" s="110">
        <f t="shared" ref="I40:I48" si="7">G40*H40</f>
        <v>0</v>
      </c>
      <c r="J40" s="9">
        <f>IFERROR(VLOOKUP(E40,Материалы!E7:I23,5,FALSE),0)</f>
        <v>0</v>
      </c>
      <c r="K40" s="9">
        <f t="shared" ref="K40:K48" si="8">G40*J40</f>
        <v>0</v>
      </c>
    </row>
    <row r="41" spans="2:14" x14ac:dyDescent="0.25">
      <c r="B41" s="9"/>
      <c r="C41" s="9"/>
      <c r="D41" s="3" t="s">
        <v>63</v>
      </c>
      <c r="E41" s="9" t="str">
        <f>Материалы!D36</f>
        <v>ДП_3п"С"</v>
      </c>
      <c r="F41" s="9" t="str">
        <f>Материалы!E36</f>
        <v>ДП_3п"С"</v>
      </c>
      <c r="G41" s="9">
        <f t="shared" ref="G41:G45" si="9">1*($B$38+$C$38)</f>
        <v>0</v>
      </c>
      <c r="H41" s="110">
        <f>IFERROR(INDEX(Материалы!$H$5:$H$164,MATCH(E41,Материалы!$E$5:$E$164,0)),0)</f>
        <v>24.55</v>
      </c>
      <c r="I41" s="110">
        <f t="shared" si="7"/>
        <v>0</v>
      </c>
      <c r="J41" s="9">
        <f>IFERROR(VLOOKUP(E41,Материалы!E7:I23,5,FALSE),0)</f>
        <v>0</v>
      </c>
      <c r="K41" s="9">
        <f t="shared" si="8"/>
        <v>0</v>
      </c>
    </row>
    <row r="42" spans="2:14" x14ac:dyDescent="0.25">
      <c r="B42" s="9"/>
      <c r="C42" s="9"/>
      <c r="D42" s="3" t="s">
        <v>47</v>
      </c>
      <c r="E42" s="9" t="str">
        <f>Расчет!O122</f>
        <v>LC1D09P7</v>
      </c>
      <c r="F42" s="9">
        <f>Расчет!N122</f>
        <v>9</v>
      </c>
      <c r="G42" s="9">
        <f t="shared" si="9"/>
        <v>0</v>
      </c>
      <c r="H42" s="110">
        <f>IFERROR(INDEX(Материалы!$H$5:$H$164,MATCH(E42,Материалы!$E$5:$E$164,0)),0)</f>
        <v>23.74</v>
      </c>
      <c r="I42" s="110">
        <f t="shared" si="7"/>
        <v>0</v>
      </c>
      <c r="J42" s="9">
        <f>IFERROR(VLOOKUP(E42,Материалы!E45:I53,5,FALSE),0)</f>
        <v>0.32</v>
      </c>
      <c r="K42" s="9">
        <f t="shared" si="8"/>
        <v>0</v>
      </c>
    </row>
    <row r="43" spans="2:14" x14ac:dyDescent="0.25">
      <c r="B43" s="9"/>
      <c r="C43" s="9"/>
      <c r="D43" s="3" t="s">
        <v>154</v>
      </c>
      <c r="E43" s="9" t="str">
        <f>VLOOKUP(Расчет!P122,Материалы!D61:E66,2)</f>
        <v>Клемма2,5</v>
      </c>
      <c r="F43" s="9">
        <f>Расчет!P122</f>
        <v>2.5</v>
      </c>
      <c r="G43" s="9">
        <f t="shared" si="9"/>
        <v>0</v>
      </c>
      <c r="H43" s="110">
        <f>IFERROR(INDEX(Материалы!$H$5:$H$164,MATCH(E43,Материалы!$E$5:$E$164,0)),0)</f>
        <v>0.63</v>
      </c>
      <c r="I43" s="110">
        <f t="shared" si="7"/>
        <v>0</v>
      </c>
      <c r="J43" s="9">
        <f>IFERROR(VLOOKUP(E43,Материалы!E61:I66,5,FALSE),0)</f>
        <v>6.0000000000000001E-3</v>
      </c>
      <c r="K43" s="9">
        <f t="shared" si="8"/>
        <v>0</v>
      </c>
    </row>
    <row r="44" spans="2:14" x14ac:dyDescent="0.25">
      <c r="B44" s="9"/>
      <c r="C44" s="9"/>
      <c r="D44" s="3" t="s">
        <v>55</v>
      </c>
      <c r="E44" s="9" t="str">
        <f>VLOOKUP(Расчет!P122,Материалы!D69:E74,2)</f>
        <v>Клемма N2,5</v>
      </c>
      <c r="F44" s="9">
        <f>Расчет!P122</f>
        <v>2.5</v>
      </c>
      <c r="G44" s="9">
        <f t="shared" si="9"/>
        <v>0</v>
      </c>
      <c r="H44" s="110">
        <f>IFERROR(INDEX(Материалы!$H$5:$H$164,MATCH(E44,Материалы!$E$5:$E$164,0)),0)</f>
        <v>0.62</v>
      </c>
      <c r="I44" s="110">
        <f t="shared" si="7"/>
        <v>0</v>
      </c>
      <c r="J44" s="9">
        <f>IFERROR(VLOOKUP(E44,Материалы!E69:I74,5,FALSE),0)</f>
        <v>6.0000000000000001E-3</v>
      </c>
      <c r="K44" s="9">
        <f t="shared" si="8"/>
        <v>0</v>
      </c>
    </row>
    <row r="45" spans="2:14" x14ac:dyDescent="0.25">
      <c r="B45" s="9"/>
      <c r="C45" s="9"/>
      <c r="D45" s="3" t="s">
        <v>56</v>
      </c>
      <c r="E45" s="9" t="str">
        <f>VLOOKUP(Расчет!P122,Материалы!D75:F80,2)</f>
        <v>Клемма PE2,5</v>
      </c>
      <c r="F45" s="9">
        <f>Расчет!P122</f>
        <v>2.5</v>
      </c>
      <c r="G45" s="9">
        <f t="shared" si="9"/>
        <v>0</v>
      </c>
      <c r="H45" s="110">
        <f>IFERROR(INDEX(Материалы!$H$5:$H$164,MATCH(E45,Материалы!$E$5:$E$164,0)),0)</f>
        <v>1.87</v>
      </c>
      <c r="I45" s="110">
        <f t="shared" si="7"/>
        <v>0</v>
      </c>
      <c r="J45" s="9">
        <f>IFERROR(VLOOKUP(E45,Материалы!E75:I80,5,FALSE),0)</f>
        <v>6.0000000000000001E-3</v>
      </c>
      <c r="K45" s="9">
        <f t="shared" si="8"/>
        <v>0</v>
      </c>
    </row>
    <row r="46" spans="2:14" x14ac:dyDescent="0.25">
      <c r="B46" s="9"/>
      <c r="C46" s="9"/>
      <c r="D46" s="3" t="s">
        <v>169</v>
      </c>
      <c r="E46" s="9" t="str">
        <f>VLOOKUP(Расчет!Q122,Материалы!D150:F157,2)</f>
        <v>сила2,5</v>
      </c>
      <c r="F46" s="9">
        <f>Расчет!Q122</f>
        <v>2.5</v>
      </c>
      <c r="G46" s="190">
        <f>2*($B$38+$C$38)</f>
        <v>0</v>
      </c>
      <c r="H46" s="110">
        <f>IFERROR(INDEX(Материалы!$H$5:$H$164,MATCH(E46,Материалы!$E$5:$E$164,0)),0)</f>
        <v>0.61</v>
      </c>
      <c r="I46" s="110">
        <f t="shared" si="7"/>
        <v>0</v>
      </c>
      <c r="J46" s="9"/>
      <c r="K46" s="9">
        <f t="shared" si="8"/>
        <v>0</v>
      </c>
    </row>
    <row r="47" spans="2:14" x14ac:dyDescent="0.25">
      <c r="B47" s="9"/>
      <c r="C47" s="9">
        <f>Расчет!E112</f>
        <v>1</v>
      </c>
      <c r="D47" s="3" t="s">
        <v>206</v>
      </c>
      <c r="E47" s="9" t="str">
        <f>VLOOKUP(Расчет!R122,Материалы!D109:E116,2)</f>
        <v>М_700х500х200</v>
      </c>
      <c r="F47" s="9" t="str">
        <f>Расчет!R122</f>
        <v>700х500х200</v>
      </c>
      <c r="G47" s="9">
        <f>1*C47*(B38+C38)</f>
        <v>0</v>
      </c>
      <c r="H47" s="110">
        <f>IFERROR(INDEX(Материалы!$H$5:$H$164,MATCH(E47,Материалы!$E$5:$E$164,0)),0)</f>
        <v>135.72</v>
      </c>
      <c r="I47" s="110">
        <f t="shared" si="7"/>
        <v>0</v>
      </c>
      <c r="J47" s="9">
        <f>IFERROR(VLOOKUP(E47,Материалы!E109:I116,5,FALSE),0)</f>
        <v>14.5</v>
      </c>
      <c r="K47" s="9">
        <f t="shared" si="8"/>
        <v>0</v>
      </c>
    </row>
    <row r="48" spans="2:14" x14ac:dyDescent="0.25">
      <c r="B48" s="9"/>
      <c r="C48" s="9">
        <f>Расчет!E111</f>
        <v>0</v>
      </c>
      <c r="D48" s="3" t="s">
        <v>207</v>
      </c>
      <c r="E48" s="9" t="str">
        <f>VLOOKUP(Расчет!S122,Материалы!D109:E116,2)</f>
        <v>П_BNK 65-54-1</v>
      </c>
      <c r="F48" s="9" t="str">
        <f>Расчет!S122</f>
        <v>560х408х153</v>
      </c>
      <c r="G48" s="9">
        <f>1*C48*(B38+C38)</f>
        <v>0</v>
      </c>
      <c r="H48" s="110">
        <f>IFERROR(INDEX(Материалы!$H$5:$H$164,MATCH(E48,Материалы!$E$5:$E$164,0)),0)</f>
        <v>206</v>
      </c>
      <c r="I48" s="110">
        <f t="shared" si="7"/>
        <v>0</v>
      </c>
      <c r="J48" s="9">
        <f>VLOOKUP(E48,Материалы!E111:I116,5,FALSE)</f>
        <v>4.3</v>
      </c>
      <c r="K48" s="9">
        <f t="shared" si="8"/>
        <v>0</v>
      </c>
      <c r="L48" s="166">
        <f>SUM(I40:I48)</f>
        <v>0</v>
      </c>
    </row>
    <row r="49" spans="2:15" x14ac:dyDescent="0.25">
      <c r="B49" s="9"/>
      <c r="C49" s="9"/>
      <c r="D49" s="3"/>
      <c r="E49" s="9"/>
      <c r="F49" s="9"/>
      <c r="G49" s="9"/>
      <c r="H49" s="110"/>
      <c r="I49" s="110"/>
      <c r="J49" s="9"/>
      <c r="K49" s="9"/>
      <c r="M49" s="166"/>
    </row>
    <row r="50" spans="2:15" x14ac:dyDescent="0.25">
      <c r="B50" s="9">
        <f>IF(AND(Расчет!E47=1,Расчет!E56=1,Расчет!E60=1),1,0)</f>
        <v>0</v>
      </c>
      <c r="C50" s="9">
        <f>IF(AND(Расчет!E47=0,Расчет!E56=1,Расчет!E60=1),1,0)</f>
        <v>0</v>
      </c>
      <c r="D50" s="74" t="s">
        <v>516</v>
      </c>
      <c r="E50" s="71"/>
      <c r="F50" s="71"/>
      <c r="G50" s="71"/>
      <c r="H50" s="111"/>
      <c r="I50" s="111"/>
      <c r="J50" s="71"/>
      <c r="K50" s="71"/>
      <c r="L50" s="33"/>
      <c r="M50" s="166"/>
    </row>
    <row r="51" spans="2:15" x14ac:dyDescent="0.25">
      <c r="B51" s="9"/>
      <c r="C51" s="9"/>
      <c r="D51" s="3" t="s">
        <v>0</v>
      </c>
      <c r="E51" s="9" t="e">
        <f>Расчет!M139</f>
        <v>#N/A</v>
      </c>
      <c r="F51" s="9" t="e">
        <f>Расчет!L139</f>
        <v>#N/A</v>
      </c>
      <c r="G51" s="9">
        <f>1*($B$50+$C$50)</f>
        <v>0</v>
      </c>
      <c r="H51" s="110">
        <f>IFERROR(INDEX(Материалы!$H$5:$H$164,MATCH(E51,Материалы!$E$5:$E$164,0)),0)</f>
        <v>0</v>
      </c>
      <c r="I51" s="110">
        <f>G51*H51</f>
        <v>0</v>
      </c>
      <c r="J51" s="9"/>
      <c r="K51" s="9"/>
      <c r="M51" s="166"/>
    </row>
    <row r="52" spans="2:15" x14ac:dyDescent="0.25">
      <c r="B52" s="9"/>
      <c r="C52" s="9"/>
      <c r="D52" s="3" t="s">
        <v>63</v>
      </c>
      <c r="E52" s="9" t="str">
        <f>Материалы!D36</f>
        <v>ДП_3п"С"</v>
      </c>
      <c r="F52" s="9" t="str">
        <f>Материалы!E36</f>
        <v>ДП_3п"С"</v>
      </c>
      <c r="G52" s="9">
        <f t="shared" ref="G52:G57" si="10">1*($B$50+$C$50)</f>
        <v>0</v>
      </c>
      <c r="H52" s="110">
        <f>IFERROR(INDEX(Материалы!$H$5:$H$164,MATCH(E52,Материалы!$E$5:$E$164,0)),0)</f>
        <v>24.55</v>
      </c>
      <c r="I52" s="110">
        <f t="shared" ref="I52:I59" si="11">G52*H52</f>
        <v>0</v>
      </c>
      <c r="J52" s="9"/>
      <c r="K52" s="9"/>
      <c r="M52" s="166"/>
    </row>
    <row r="53" spans="2:15" x14ac:dyDescent="0.25">
      <c r="B53" s="9"/>
      <c r="C53" s="9"/>
      <c r="D53" s="3" t="s">
        <v>52</v>
      </c>
      <c r="E53" s="9" t="str">
        <f>Материалы!E57</f>
        <v>Р_2_230</v>
      </c>
      <c r="F53" s="9" t="str">
        <f>Материалы!D57</f>
        <v>2СО, 230В</v>
      </c>
      <c r="G53" s="9">
        <f>IFERROR(IF(Расчет!O139="Р_2_230",1,0)*1*($B$50+$C$50),0)</f>
        <v>0</v>
      </c>
      <c r="H53" s="110">
        <f>IFERROR(INDEX(Материалы!$H$5:$H$164,MATCH(E53,Материалы!$E$5:$E$164,0)),0)</f>
        <v>14.63</v>
      </c>
      <c r="I53" s="110">
        <f t="shared" si="11"/>
        <v>0</v>
      </c>
      <c r="J53" s="9"/>
      <c r="K53" s="9"/>
      <c r="M53" s="166"/>
    </row>
    <row r="54" spans="2:15" x14ac:dyDescent="0.25">
      <c r="B54" s="9"/>
      <c r="C54" s="9"/>
      <c r="D54" s="3" t="s">
        <v>47</v>
      </c>
      <c r="E54" s="9" t="str">
        <f>Материалы!E45</f>
        <v>LC1D09P7</v>
      </c>
      <c r="F54" s="9">
        <f>Материалы!D45</f>
        <v>9</v>
      </c>
      <c r="G54" s="9">
        <f>IFERROR(IF(Расчет!O139="LC1D09P7",1,0)*1*($B$50+$C$50),0)</f>
        <v>0</v>
      </c>
      <c r="H54" s="110">
        <f>IFERROR(INDEX(Материалы!$H$5:$H$164,MATCH(E54,Материалы!$E$5:$E$164,0)),0)</f>
        <v>23.74</v>
      </c>
      <c r="I54" s="110">
        <f t="shared" si="11"/>
        <v>0</v>
      </c>
      <c r="J54" s="9"/>
      <c r="K54" s="9"/>
      <c r="M54" s="166"/>
    </row>
    <row r="55" spans="2:15" x14ac:dyDescent="0.25">
      <c r="B55" s="9"/>
      <c r="C55" s="9"/>
      <c r="D55" s="3" t="s">
        <v>154</v>
      </c>
      <c r="E55" s="9" t="str">
        <f>Материалы!E61</f>
        <v>Клемма2,5</v>
      </c>
      <c r="F55" s="9">
        <f>Материалы!D61</f>
        <v>2.5</v>
      </c>
      <c r="G55" s="9">
        <f t="shared" si="10"/>
        <v>0</v>
      </c>
      <c r="H55" s="110">
        <f>IFERROR(INDEX(Материалы!$H$5:$H$164,MATCH(E55,Материалы!$E$5:$E$164,0)),0)</f>
        <v>0.63</v>
      </c>
      <c r="I55" s="110">
        <f t="shared" si="11"/>
        <v>0</v>
      </c>
      <c r="J55" s="9"/>
      <c r="K55" s="9"/>
      <c r="M55" s="166"/>
    </row>
    <row r="56" spans="2:15" x14ac:dyDescent="0.25">
      <c r="B56" s="9"/>
      <c r="C56" s="9"/>
      <c r="D56" s="3" t="s">
        <v>55</v>
      </c>
      <c r="E56" s="9" t="str">
        <f>Материалы!E69</f>
        <v>Клемма N2,5</v>
      </c>
      <c r="F56" s="9">
        <f>Материалы!D69</f>
        <v>2.5</v>
      </c>
      <c r="G56" s="9">
        <f t="shared" si="10"/>
        <v>0</v>
      </c>
      <c r="H56" s="110">
        <f>IFERROR(INDEX(Материалы!$H$5:$H$164,MATCH(E56,Материалы!$E$5:$E$164,0)),0)</f>
        <v>0.62</v>
      </c>
      <c r="I56" s="110">
        <f t="shared" si="11"/>
        <v>0</v>
      </c>
      <c r="J56" s="9"/>
      <c r="K56" s="9"/>
      <c r="M56" s="166"/>
    </row>
    <row r="57" spans="2:15" x14ac:dyDescent="0.25">
      <c r="B57" s="9"/>
      <c r="C57" s="9"/>
      <c r="D57" s="3" t="s">
        <v>56</v>
      </c>
      <c r="E57" s="9" t="str">
        <f>Материалы!E75</f>
        <v>Клемма PE2,5</v>
      </c>
      <c r="F57" s="9">
        <f>Материалы!D75</f>
        <v>2.5</v>
      </c>
      <c r="G57" s="9">
        <f t="shared" si="10"/>
        <v>0</v>
      </c>
      <c r="H57" s="110">
        <f>IFERROR(INDEX(Материалы!$H$5:$H$164,MATCH(E57,Материалы!$E$5:$E$164,0)),0)</f>
        <v>1.87</v>
      </c>
      <c r="I57" s="110">
        <f t="shared" si="11"/>
        <v>0</v>
      </c>
      <c r="J57" s="9"/>
      <c r="K57" s="9"/>
      <c r="M57" s="166"/>
    </row>
    <row r="58" spans="2:15" x14ac:dyDescent="0.25">
      <c r="B58" s="9"/>
      <c r="C58" s="9"/>
      <c r="D58" s="3" t="s">
        <v>154</v>
      </c>
      <c r="E58" s="9" t="str">
        <f>Материалы!E61</f>
        <v>Клемма2,5</v>
      </c>
      <c r="F58" s="9">
        <f>Материалы!D61</f>
        <v>2.5</v>
      </c>
      <c r="G58" s="9">
        <f>2*($B$50+$C$50)</f>
        <v>0</v>
      </c>
      <c r="H58" s="110">
        <f>IFERROR(INDEX(Материалы!$H$5:$H$164,MATCH(E58,Материалы!$E$5:$E$164,0)),0)</f>
        <v>0.63</v>
      </c>
      <c r="I58" s="110">
        <f t="shared" si="11"/>
        <v>0</v>
      </c>
      <c r="J58" s="9"/>
      <c r="K58" s="9"/>
    </row>
    <row r="59" spans="2:15" x14ac:dyDescent="0.25">
      <c r="B59" s="9"/>
      <c r="C59" s="9"/>
      <c r="D59" s="3" t="s">
        <v>169</v>
      </c>
      <c r="E59" s="9" t="e">
        <f>VLOOKUP(Расчет!Q139,Материалы!D150:F157,2)</f>
        <v>#N/A</v>
      </c>
      <c r="F59" s="9" t="e">
        <f>Расчет!Q139</f>
        <v>#N/A</v>
      </c>
      <c r="G59" s="190">
        <f>2*($B$50+$C$50)</f>
        <v>0</v>
      </c>
      <c r="H59" s="110">
        <f>IFERROR(INDEX(Материалы!$H$5:$H$164,MATCH(E59,Материалы!$E$5:$E$164,0)),0)</f>
        <v>0</v>
      </c>
      <c r="I59" s="110">
        <f t="shared" si="11"/>
        <v>0</v>
      </c>
      <c r="J59" s="9"/>
      <c r="K59" s="9"/>
      <c r="L59" s="166">
        <f>SUM(I51:I59)</f>
        <v>0</v>
      </c>
    </row>
    <row r="60" spans="2:15" x14ac:dyDescent="0.25">
      <c r="B60" s="9"/>
      <c r="C60" s="9"/>
      <c r="D60" s="3"/>
      <c r="E60" s="9"/>
      <c r="F60" s="9"/>
      <c r="G60" s="9"/>
      <c r="H60" s="110"/>
      <c r="I60" s="110"/>
      <c r="J60" s="9"/>
      <c r="K60" s="9"/>
      <c r="M60" s="166"/>
    </row>
    <row r="61" spans="2:15" x14ac:dyDescent="0.25">
      <c r="B61" s="9"/>
      <c r="C61" s="9">
        <f>IF(AND(Расчет!E47=0,Расчет!E56=1,Расчет!E60=0),1,0)</f>
        <v>0</v>
      </c>
      <c r="D61" s="74" t="s">
        <v>517</v>
      </c>
      <c r="E61" s="71"/>
      <c r="F61" s="71"/>
      <c r="G61" s="71"/>
      <c r="H61" s="111"/>
      <c r="I61" s="111"/>
      <c r="J61" s="71"/>
      <c r="K61" s="71"/>
      <c r="L61" s="33"/>
      <c r="M61" s="166"/>
    </row>
    <row r="62" spans="2:15" x14ac:dyDescent="0.25">
      <c r="B62" s="9"/>
      <c r="C62" s="9"/>
      <c r="D62" s="3" t="s">
        <v>0</v>
      </c>
      <c r="E62" s="9" t="e">
        <f>Расчет!M151</f>
        <v>#N/A</v>
      </c>
      <c r="F62" s="9" t="e">
        <f>Расчет!L151</f>
        <v>#N/A</v>
      </c>
      <c r="G62" s="9">
        <f>1*$C$61</f>
        <v>0</v>
      </c>
      <c r="H62" s="110">
        <f>IFERROR(INDEX(Материалы!$H$5:$H$164,MATCH(E62,Материалы!$E$5:$E$164,0)),0)</f>
        <v>0</v>
      </c>
      <c r="I62" s="110">
        <f>G62*H62</f>
        <v>0</v>
      </c>
      <c r="J62" s="9" t="e">
        <f>VLOOKUP(E62,Материалы!E7:I23,5,FALSE)</f>
        <v>#N/A</v>
      </c>
      <c r="K62" s="9"/>
      <c r="M62" s="166"/>
      <c r="N62" s="166"/>
      <c r="O62" s="166"/>
    </row>
    <row r="63" spans="2:15" x14ac:dyDescent="0.25">
      <c r="B63" s="9"/>
      <c r="C63" s="9"/>
      <c r="D63" s="3" t="s">
        <v>63</v>
      </c>
      <c r="E63" s="9" t="str">
        <f>Материалы!E23</f>
        <v>ДП_к_мотор</v>
      </c>
      <c r="F63" s="9" t="str">
        <f>Материалы!D23</f>
        <v>ДП_к_мотор</v>
      </c>
      <c r="G63" s="9">
        <f>1*$C$61</f>
        <v>0</v>
      </c>
      <c r="H63" s="110">
        <f>IFERROR(INDEX(Материалы!$H$5:$H$164,MATCH(E63,Материалы!$E$5:$E$164,0)),0)</f>
        <v>21.34</v>
      </c>
      <c r="I63" s="110">
        <f t="shared" ref="I63:I68" si="12">G63*H63</f>
        <v>0</v>
      </c>
      <c r="J63" s="9"/>
      <c r="K63" s="9"/>
      <c r="M63" s="166"/>
      <c r="N63" s="166"/>
      <c r="O63" s="166"/>
    </row>
    <row r="64" spans="2:15" x14ac:dyDescent="0.25">
      <c r="B64" s="9"/>
      <c r="C64" s="9"/>
      <c r="D64" s="3" t="s">
        <v>47</v>
      </c>
      <c r="E64" s="9" t="e">
        <f>Расчет!O151</f>
        <v>#N/A</v>
      </c>
      <c r="F64" s="9" t="e">
        <f>Расчет!N151</f>
        <v>#N/A</v>
      </c>
      <c r="G64" s="9">
        <f>1*$C$61</f>
        <v>0</v>
      </c>
      <c r="H64" s="110">
        <f>IFERROR(INDEX(Материалы!$H$5:$H$164,MATCH(E64,Материалы!$E$5:$E$164,0)),0)</f>
        <v>0</v>
      </c>
      <c r="I64" s="110">
        <f t="shared" si="12"/>
        <v>0</v>
      </c>
      <c r="J64" s="9" t="e">
        <f>VLOOKUP(E64,Материалы!E45:I53,5,FALSE)</f>
        <v>#N/A</v>
      </c>
      <c r="K64" s="9"/>
      <c r="M64" s="166"/>
      <c r="N64" s="166"/>
      <c r="O64" s="166"/>
    </row>
    <row r="65" spans="2:15" x14ac:dyDescent="0.25">
      <c r="B65" s="9"/>
      <c r="C65" s="9"/>
      <c r="D65" s="3" t="s">
        <v>154</v>
      </c>
      <c r="E65" s="9" t="str">
        <f>Материалы!E61</f>
        <v>Клемма2,5</v>
      </c>
      <c r="F65" s="9">
        <f>Материалы!D61</f>
        <v>2.5</v>
      </c>
      <c r="G65" s="9">
        <f>3*$C$61</f>
        <v>0</v>
      </c>
      <c r="H65" s="110">
        <f>IFERROR(INDEX(Материалы!$H$5:$H$164,MATCH(E65,Материалы!$E$5:$E$164,0)),0)</f>
        <v>0.63</v>
      </c>
      <c r="I65" s="110">
        <f t="shared" si="12"/>
        <v>0</v>
      </c>
      <c r="J65" s="9">
        <f>VLOOKUP(E65,Материалы!E61:I66,5,FALSE)</f>
        <v>6.0000000000000001E-3</v>
      </c>
      <c r="K65" s="9"/>
      <c r="M65" t="s">
        <v>813</v>
      </c>
    </row>
    <row r="66" spans="2:15" x14ac:dyDescent="0.25">
      <c r="B66" s="9"/>
      <c r="C66" s="9"/>
      <c r="D66" s="3" t="s">
        <v>56</v>
      </c>
      <c r="E66" s="9" t="str">
        <f>Материалы!E75</f>
        <v>Клемма PE2,5</v>
      </c>
      <c r="F66" s="9">
        <f>Материалы!D61</f>
        <v>2.5</v>
      </c>
      <c r="G66" s="9">
        <f>1*$C$61</f>
        <v>0</v>
      </c>
      <c r="H66" s="110">
        <f>IFERROR(INDEX(Материалы!$H$5:$H$164,MATCH(E66,Материалы!$E$5:$E$164,0)),0)</f>
        <v>1.87</v>
      </c>
      <c r="I66" s="110">
        <f t="shared" si="12"/>
        <v>0</v>
      </c>
      <c r="J66" s="9">
        <f>VLOOKUP(E66,Материалы!E75:I80,5,FALSE)</f>
        <v>6.0000000000000001E-3</v>
      </c>
      <c r="K66" s="9"/>
      <c r="M66" s="205">
        <v>0.71</v>
      </c>
      <c r="N66" s="205">
        <v>3</v>
      </c>
      <c r="O66" s="349">
        <f>M66*N66</f>
        <v>2.13</v>
      </c>
    </row>
    <row r="67" spans="2:15" x14ac:dyDescent="0.25">
      <c r="B67" s="9"/>
      <c r="C67" s="22"/>
      <c r="D67" t="s">
        <v>154</v>
      </c>
      <c r="E67" s="22" t="str">
        <f>Материалы!E61</f>
        <v>Клемма2,5</v>
      </c>
      <c r="F67" s="22">
        <f>Материалы!D61</f>
        <v>2.5</v>
      </c>
      <c r="G67" s="9">
        <f t="shared" ref="G67" si="13">2*$C$61</f>
        <v>0</v>
      </c>
      <c r="H67" s="110">
        <f>IFERROR(INDEX(Материалы!$H$5:$H$164,MATCH(E67,Материалы!$E$5:$E$164,0)),0)</f>
        <v>0.63</v>
      </c>
      <c r="I67" s="110">
        <f t="shared" si="12"/>
        <v>0</v>
      </c>
      <c r="J67" s="9">
        <f>VLOOKUP(E67,Материалы!E61:I66,5,FALSE)</f>
        <v>6.0000000000000001E-3</v>
      </c>
      <c r="K67" s="9"/>
      <c r="M67" s="205">
        <v>0.7</v>
      </c>
      <c r="N67" s="205">
        <v>3</v>
      </c>
      <c r="O67" s="205">
        <f>M67*N67</f>
        <v>2.0999999999999996</v>
      </c>
    </row>
    <row r="68" spans="2:15" x14ac:dyDescent="0.25">
      <c r="B68" s="9"/>
      <c r="C68" s="22"/>
      <c r="D68" s="3" t="s">
        <v>169</v>
      </c>
      <c r="E68" s="22" t="e">
        <f>VLOOKUP(Расчет!Q151,Материалы!D149:F157,2)</f>
        <v>#N/A</v>
      </c>
      <c r="F68" s="22" t="e">
        <f>Расчет!Q151</f>
        <v>#N/A</v>
      </c>
      <c r="G68" s="190">
        <f>5*$C$61</f>
        <v>0</v>
      </c>
      <c r="H68" s="110">
        <f>IFERROR(INDEX(Материалы!$H$5:$H$164,MATCH(E68,Материалы!$E$5:$E$164,0)),0)</f>
        <v>0</v>
      </c>
      <c r="I68" s="110">
        <f t="shared" si="12"/>
        <v>0</v>
      </c>
      <c r="J68" s="9"/>
      <c r="K68" s="9"/>
      <c r="L68" s="166">
        <f>SUM(I62:I68)</f>
        <v>0</v>
      </c>
      <c r="M68" s="205" t="s">
        <v>251</v>
      </c>
      <c r="N68" s="205">
        <f>O66+O67</f>
        <v>4.2299999999999995</v>
      </c>
    </row>
    <row r="69" spans="2:15" x14ac:dyDescent="0.25">
      <c r="B69" s="9"/>
      <c r="C69" s="9"/>
      <c r="D69" s="3"/>
      <c r="E69" s="9"/>
      <c r="F69" s="9"/>
      <c r="G69" s="9"/>
      <c r="H69" s="110"/>
      <c r="I69" s="110"/>
      <c r="J69" s="9"/>
      <c r="K69" s="9"/>
      <c r="M69" s="166"/>
    </row>
    <row r="70" spans="2:15" x14ac:dyDescent="0.25">
      <c r="B70" s="9"/>
      <c r="C70" s="9">
        <f>IF(Расчет!E56=1,1,0)</f>
        <v>0</v>
      </c>
      <c r="D70" s="74" t="s">
        <v>397</v>
      </c>
      <c r="E70" s="71"/>
      <c r="F70" s="71"/>
      <c r="G70" s="71"/>
      <c r="H70" s="360"/>
      <c r="I70" s="360"/>
      <c r="J70" s="145"/>
      <c r="K70" s="145"/>
      <c r="L70" s="7"/>
      <c r="M70" s="166"/>
    </row>
    <row r="71" spans="2:15" x14ac:dyDescent="0.25">
      <c r="B71" s="9"/>
      <c r="C71" s="9"/>
      <c r="D71" s="82" t="s">
        <v>520</v>
      </c>
      <c r="E71" s="72"/>
      <c r="F71" s="72"/>
      <c r="G71" s="72"/>
      <c r="H71" s="361"/>
      <c r="I71" s="361"/>
      <c r="J71" s="72"/>
      <c r="K71" s="72"/>
      <c r="L71" s="214"/>
      <c r="M71" s="166"/>
    </row>
    <row r="72" spans="2:15" x14ac:dyDescent="0.25">
      <c r="B72" s="9"/>
      <c r="C72" s="9"/>
      <c r="D72" s="3" t="s">
        <v>154</v>
      </c>
      <c r="E72" s="9" t="str">
        <f>Материалы!E61</f>
        <v>Клемма2,5</v>
      </c>
      <c r="F72" s="9">
        <f>Материалы!D61</f>
        <v>2.5</v>
      </c>
      <c r="G72" s="9">
        <f>3*$C$70</f>
        <v>0</v>
      </c>
      <c r="H72" s="110">
        <f>INDEX(Материалы!$H$5:$H$164,MATCH(E72,Материалы!$E$5:$E$164,0))</f>
        <v>0.63</v>
      </c>
      <c r="I72" s="110">
        <f>G72*H72</f>
        <v>0</v>
      </c>
      <c r="J72" s="9">
        <f>VLOOKUP(E72,Материалы!E61:I66,5,FALSE)</f>
        <v>6.0000000000000001E-3</v>
      </c>
      <c r="K72" s="9"/>
      <c r="M72" s="166"/>
    </row>
    <row r="73" spans="2:15" x14ac:dyDescent="0.25">
      <c r="B73" s="9"/>
      <c r="C73" s="9"/>
      <c r="D73" s="3" t="s">
        <v>56</v>
      </c>
      <c r="E73" s="9" t="str">
        <f>Материалы!E75</f>
        <v>Клемма PE2,5</v>
      </c>
      <c r="F73" s="9">
        <f>Материалы!D75</f>
        <v>2.5</v>
      </c>
      <c r="G73" s="9">
        <f>1*$C$70</f>
        <v>0</v>
      </c>
      <c r="H73" s="110">
        <f>INDEX(Материалы!$H$5:$H$164,MATCH(E73,Материалы!$E$5:$E$164,0))</f>
        <v>1.87</v>
      </c>
      <c r="I73" s="110">
        <f>G73*H73</f>
        <v>0</v>
      </c>
      <c r="J73" s="9">
        <f>VLOOKUP(E73,Материалы!E75:I80,5,FALSE)</f>
        <v>6.0000000000000001E-3</v>
      </c>
      <c r="K73" s="9"/>
      <c r="M73" s="166"/>
    </row>
    <row r="74" spans="2:15" x14ac:dyDescent="0.25">
      <c r="B74" s="9"/>
      <c r="C74" s="9"/>
      <c r="D74" s="3"/>
      <c r="E74" s="9"/>
      <c r="F74" s="9"/>
      <c r="G74" s="9"/>
      <c r="H74" s="9"/>
      <c r="I74" s="9"/>
      <c r="J74" s="9"/>
      <c r="K74" s="9"/>
      <c r="M74" s="166"/>
    </row>
    <row r="75" spans="2:15" x14ac:dyDescent="0.25">
      <c r="B75" s="9"/>
      <c r="C75" s="9"/>
      <c r="D75" s="82" t="s">
        <v>519</v>
      </c>
      <c r="E75" s="350"/>
      <c r="F75" s="350"/>
      <c r="G75" s="350"/>
      <c r="H75" s="361"/>
      <c r="I75" s="361"/>
      <c r="J75" s="72"/>
      <c r="K75" s="72"/>
      <c r="L75" s="214"/>
      <c r="M75" s="166"/>
    </row>
    <row r="76" spans="2:15" x14ac:dyDescent="0.25">
      <c r="B76" s="9"/>
      <c r="C76" s="9"/>
      <c r="D76" s="3" t="s">
        <v>154</v>
      </c>
      <c r="E76" s="9" t="str">
        <f>Материалы!E61</f>
        <v>Клемма2,5</v>
      </c>
      <c r="F76" s="9">
        <f>Материалы!D61</f>
        <v>2.5</v>
      </c>
      <c r="G76" s="9">
        <f>2*$C$70</f>
        <v>0</v>
      </c>
      <c r="H76" s="110">
        <f>INDEX(Материалы!$H$5:$H$164,MATCH(E76,Материалы!$E$5:$E$164,0))</f>
        <v>0.63</v>
      </c>
      <c r="I76" s="110">
        <f>G76*H76</f>
        <v>0</v>
      </c>
      <c r="J76" s="9">
        <f>VLOOKUP(E76,Материалы!E61:I66,5,FALSE)</f>
        <v>6.0000000000000001E-3</v>
      </c>
      <c r="K76" s="9"/>
      <c r="M76" s="166"/>
    </row>
    <row r="77" spans="2:15" x14ac:dyDescent="0.25">
      <c r="B77" s="9"/>
      <c r="C77" s="9"/>
      <c r="D77" s="3"/>
      <c r="E77" s="9"/>
      <c r="F77" s="9"/>
      <c r="G77" s="9"/>
      <c r="H77" s="110"/>
      <c r="I77" s="110"/>
      <c r="J77" s="9"/>
      <c r="K77" s="9"/>
      <c r="M77" s="166"/>
    </row>
    <row r="78" spans="2:15" x14ac:dyDescent="0.25">
      <c r="B78" s="9"/>
      <c r="C78" s="9"/>
      <c r="D78" s="172" t="s">
        <v>552</v>
      </c>
      <c r="E78" s="11"/>
      <c r="F78" s="11"/>
      <c r="G78" s="11"/>
      <c r="H78" s="371"/>
      <c r="I78" s="371"/>
      <c r="J78" s="11"/>
      <c r="K78" s="11"/>
      <c r="L78" s="372"/>
      <c r="M78" s="166"/>
    </row>
    <row r="79" spans="2:15" x14ac:dyDescent="0.25">
      <c r="B79" s="9"/>
      <c r="C79" s="9"/>
      <c r="D79" s="3" t="s">
        <v>154</v>
      </c>
      <c r="E79" s="9" t="str">
        <f>Материалы!E61</f>
        <v>Клемма2,5</v>
      </c>
      <c r="F79" s="9">
        <f>Материалы!D61</f>
        <v>2.5</v>
      </c>
      <c r="G79" s="9">
        <f>2*$C$70</f>
        <v>0</v>
      </c>
      <c r="H79" s="110">
        <f>INDEX(Материалы!$H$5:$H$164,MATCH(E79,Материалы!$E$5:$E$164,0))</f>
        <v>0.63</v>
      </c>
      <c r="I79" s="110">
        <f>G79*H79</f>
        <v>0</v>
      </c>
      <c r="J79" s="9">
        <f>VLOOKUP(E79,Материалы!E61:I66,5,FALSE)</f>
        <v>6.0000000000000001E-3</v>
      </c>
      <c r="K79" s="9"/>
      <c r="M79" s="166"/>
    </row>
    <row r="80" spans="2:15" x14ac:dyDescent="0.25">
      <c r="B80" s="9"/>
      <c r="C80" s="9"/>
      <c r="D80" s="3" t="s">
        <v>56</v>
      </c>
      <c r="E80" s="9" t="str">
        <f>Материалы!E75</f>
        <v>Клемма PE2,5</v>
      </c>
      <c r="F80" s="9">
        <f>Материалы!D75</f>
        <v>2.5</v>
      </c>
      <c r="G80" s="9">
        <f>1*$C$70</f>
        <v>0</v>
      </c>
      <c r="H80" s="110">
        <f>INDEX(Материалы!$H$5:$H$164,MATCH(E80,Материалы!$E$5:$E$164,0))</f>
        <v>1.87</v>
      </c>
      <c r="I80" s="110">
        <f>G80*H80</f>
        <v>0</v>
      </c>
      <c r="J80" s="9">
        <f>VLOOKUP(E80,Материалы!E75:I80,5,FALSE)</f>
        <v>6.0000000000000001E-3</v>
      </c>
      <c r="K80" s="9"/>
      <c r="L80" s="166">
        <f>SUM(I72:I80)</f>
        <v>0</v>
      </c>
    </row>
    <row r="81" spans="2:13" x14ac:dyDescent="0.25">
      <c r="B81" s="9"/>
      <c r="C81" s="9"/>
      <c r="D81" s="373"/>
      <c r="E81" s="9"/>
      <c r="F81" s="9"/>
      <c r="G81" s="9"/>
      <c r="H81" s="110"/>
      <c r="I81" s="110"/>
      <c r="J81" s="9"/>
      <c r="K81" s="9"/>
      <c r="M81" s="166"/>
    </row>
    <row r="82" spans="2:13" x14ac:dyDescent="0.25">
      <c r="B82" s="9"/>
      <c r="C82" s="9">
        <f>IF(Расчет!E56=2,1,0)</f>
        <v>1</v>
      </c>
      <c r="D82" s="74" t="s">
        <v>398</v>
      </c>
      <c r="E82" s="145"/>
      <c r="F82" s="145"/>
      <c r="G82" s="145"/>
      <c r="H82" s="360"/>
      <c r="I82" s="360"/>
      <c r="J82" s="145"/>
      <c r="K82" s="145"/>
      <c r="L82" s="7"/>
      <c r="M82" s="166"/>
    </row>
    <row r="83" spans="2:13" x14ac:dyDescent="0.25">
      <c r="B83" s="9"/>
      <c r="C83" s="9"/>
      <c r="D83" s="82" t="s">
        <v>519</v>
      </c>
      <c r="E83" s="350"/>
      <c r="F83" s="350"/>
      <c r="G83" s="350"/>
      <c r="H83" s="361"/>
      <c r="I83" s="361"/>
      <c r="J83" s="72"/>
      <c r="K83" s="72"/>
      <c r="L83" s="214"/>
      <c r="M83" s="166"/>
    </row>
    <row r="84" spans="2:13" x14ac:dyDescent="0.25">
      <c r="B84" s="9"/>
      <c r="C84" s="9" t="s">
        <v>651</v>
      </c>
      <c r="D84" s="3" t="s">
        <v>154</v>
      </c>
      <c r="E84" s="9" t="str">
        <f>Материалы!E61</f>
        <v>Клемма2,5</v>
      </c>
      <c r="F84" s="9">
        <f>Материалы!D61</f>
        <v>2.5</v>
      </c>
      <c r="G84" s="9">
        <f>2*$C$82</f>
        <v>2</v>
      </c>
      <c r="H84" s="110">
        <f>INDEX(Материалы!$H$5:$H$164,MATCH(E84,Материалы!$E$5:$E$164,0))</f>
        <v>0.63</v>
      </c>
      <c r="I84" s="110">
        <f>G84*H84</f>
        <v>1.26</v>
      </c>
      <c r="J84" s="9">
        <f>VLOOKUP(E84,Материалы!E61:I66,5,FALSE)</f>
        <v>6.0000000000000001E-3</v>
      </c>
      <c r="K84" s="9"/>
      <c r="M84" s="166"/>
    </row>
    <row r="85" spans="2:13" x14ac:dyDescent="0.25">
      <c r="B85" s="9"/>
      <c r="C85" s="9"/>
      <c r="D85" s="373"/>
      <c r="E85" s="9"/>
      <c r="F85" s="9"/>
      <c r="G85" s="9"/>
      <c r="H85" s="110"/>
      <c r="I85" s="110"/>
      <c r="J85" s="9"/>
      <c r="K85" s="9"/>
      <c r="M85" s="166"/>
    </row>
    <row r="86" spans="2:13" x14ac:dyDescent="0.25">
      <c r="B86" s="9"/>
      <c r="C86"/>
      <c r="D86" s="82" t="s">
        <v>564</v>
      </c>
      <c r="E86" s="72" t="s">
        <v>649</v>
      </c>
      <c r="F86" s="350"/>
      <c r="G86" s="72"/>
      <c r="H86" s="361"/>
      <c r="I86" s="361"/>
      <c r="J86" s="72"/>
      <c r="K86" s="72"/>
      <c r="L86" s="214"/>
      <c r="M86" s="166"/>
    </row>
    <row r="87" spans="2:13" x14ac:dyDescent="0.25">
      <c r="B87" s="9"/>
      <c r="C87" s="9" t="s">
        <v>649</v>
      </c>
      <c r="D87" s="3" t="s">
        <v>154</v>
      </c>
      <c r="E87" s="9" t="str">
        <f>Материалы!E61</f>
        <v>Клемма2,5</v>
      </c>
      <c r="F87" s="9">
        <f>Материалы!D61</f>
        <v>2.5</v>
      </c>
      <c r="G87" s="9">
        <f>2*C82</f>
        <v>2</v>
      </c>
      <c r="H87" s="110">
        <f>INDEX(Материалы!$H$5:$H$164,MATCH(E87,Материалы!$E$5:$E$164,0))</f>
        <v>0.63</v>
      </c>
      <c r="I87" s="110">
        <f>G87*H87</f>
        <v>1.26</v>
      </c>
      <c r="J87" s="9">
        <f>VLOOKUP(E87,Материалы!E61:I66,5,FALSE)</f>
        <v>6.0000000000000001E-3</v>
      </c>
      <c r="K87" s="9"/>
      <c r="M87" s="166"/>
    </row>
    <row r="88" spans="2:13" x14ac:dyDescent="0.25">
      <c r="B88" s="9"/>
      <c r="C88" s="9"/>
      <c r="D88" s="3" t="s">
        <v>56</v>
      </c>
      <c r="E88" s="9" t="str">
        <f>Материалы!E75</f>
        <v>Клемма PE2,5</v>
      </c>
      <c r="F88" s="9">
        <f>Материалы!D75</f>
        <v>2.5</v>
      </c>
      <c r="G88" s="9">
        <f>1*C82</f>
        <v>1</v>
      </c>
      <c r="H88" s="110">
        <f>INDEX(Материалы!$H$5:$H$164,MATCH(E88,Материалы!$E$5:$E$164,0))</f>
        <v>1.87</v>
      </c>
      <c r="I88" s="110">
        <f>G88*H88</f>
        <v>1.87</v>
      </c>
      <c r="J88" s="9">
        <f>VLOOKUP(E88,Материалы!E75:I80,5,FALSE)</f>
        <v>6.0000000000000001E-3</v>
      </c>
      <c r="K88" s="9"/>
    </row>
    <row r="89" spans="2:13" x14ac:dyDescent="0.25">
      <c r="B89" s="9"/>
      <c r="C89" s="9" t="s">
        <v>650</v>
      </c>
      <c r="D89" s="3" t="s">
        <v>154</v>
      </c>
      <c r="E89" s="9" t="str">
        <f>Материалы!E61</f>
        <v>Клемма2,5</v>
      </c>
      <c r="F89" s="9">
        <f>Материалы!D61</f>
        <v>2.5</v>
      </c>
      <c r="G89" s="9">
        <f>3*C82</f>
        <v>3</v>
      </c>
      <c r="H89" s="110">
        <f>INDEX(Материалы!$H$5:$H$164,MATCH(E89,Материалы!$E$5:$E$164,0))</f>
        <v>0.63</v>
      </c>
      <c r="I89" s="110">
        <f t="shared" ref="I89:I90" si="14">G89*H89</f>
        <v>1.8900000000000001</v>
      </c>
      <c r="J89" s="9">
        <f>VLOOKUP(E89,Материалы!E61:I66,5,FALSE)</f>
        <v>6.0000000000000001E-3</v>
      </c>
      <c r="K89" s="9"/>
      <c r="M89" s="166"/>
    </row>
    <row r="90" spans="2:13" x14ac:dyDescent="0.25">
      <c r="B90" s="9"/>
      <c r="C90" s="9"/>
      <c r="D90" s="3" t="s">
        <v>154</v>
      </c>
      <c r="E90" s="9" t="str">
        <f>Материалы!E69</f>
        <v>Клемма N2,5</v>
      </c>
      <c r="F90" s="9">
        <f>Материалы!D69</f>
        <v>2.5</v>
      </c>
      <c r="G90" s="9">
        <f>1*C82</f>
        <v>1</v>
      </c>
      <c r="H90" s="110">
        <f>INDEX(Материалы!$H$5:$H$164,MATCH(E90,Материалы!$E$5:$E$164,0))</f>
        <v>0.62</v>
      </c>
      <c r="I90" s="110">
        <f t="shared" si="14"/>
        <v>0.62</v>
      </c>
      <c r="J90" s="9"/>
      <c r="K90" s="9"/>
      <c r="L90" s="166">
        <f>SUM(I84:I90)</f>
        <v>6.9000000000000012</v>
      </c>
    </row>
    <row r="91" spans="2:13" x14ac:dyDescent="0.25">
      <c r="B91" s="9"/>
      <c r="C91" s="9"/>
      <c r="D91" s="3"/>
      <c r="E91" s="9"/>
      <c r="F91" s="9"/>
      <c r="G91" s="9"/>
      <c r="H91" s="110"/>
      <c r="I91" s="110"/>
      <c r="J91" s="9"/>
      <c r="K91" s="9"/>
      <c r="M91" s="166"/>
    </row>
    <row r="92" spans="2:13" x14ac:dyDescent="0.25">
      <c r="B92" s="9">
        <f>IF(AND(Расчет!E47=1,Расчет!E83=1,Расчет!E87=1),1,0)</f>
        <v>0</v>
      </c>
      <c r="C92" s="9">
        <f>IF(AND(Расчет!E47=0,Расчет!E83=1,Расчет!E87=1),1,0)</f>
        <v>0</v>
      </c>
      <c r="D92" s="74" t="s">
        <v>555</v>
      </c>
      <c r="E92" s="71"/>
      <c r="F92" s="71"/>
      <c r="G92" s="71"/>
      <c r="H92" s="111"/>
      <c r="I92" s="111"/>
      <c r="J92" s="71"/>
      <c r="K92" s="71"/>
      <c r="L92" s="33"/>
      <c r="M92" s="166"/>
    </row>
    <row r="93" spans="2:13" x14ac:dyDescent="0.25">
      <c r="B93" s="9"/>
      <c r="C93" s="9"/>
      <c r="D93" s="3" t="s">
        <v>0</v>
      </c>
      <c r="E93" s="9" t="str">
        <f>Расчет!M164</f>
        <v>16А 1п.</v>
      </c>
      <c r="F93" s="9">
        <f>Расчет!L164</f>
        <v>16</v>
      </c>
      <c r="G93" s="9">
        <f>1*($B$92+$C$92)</f>
        <v>0</v>
      </c>
      <c r="H93" s="110">
        <f>IFERROR(INDEX(Материалы!$H$5:$H$164,MATCH(E93,Материалы!$E$5:$E$164,0)),0)</f>
        <v>9.0299999999999994</v>
      </c>
      <c r="I93" s="110">
        <f>G93*H93</f>
        <v>0</v>
      </c>
      <c r="J93" s="9"/>
      <c r="K93" s="9"/>
      <c r="M93" s="166"/>
    </row>
    <row r="94" spans="2:13" x14ac:dyDescent="0.25">
      <c r="B94" s="9"/>
      <c r="C94" s="9"/>
      <c r="D94" s="3" t="s">
        <v>63</v>
      </c>
      <c r="E94" s="9" t="str">
        <f>Материалы!D36</f>
        <v>ДП_3п"С"</v>
      </c>
      <c r="F94" s="9" t="str">
        <f>Материалы!E36</f>
        <v>ДП_3п"С"</v>
      </c>
      <c r="G94" s="9">
        <f t="shared" ref="G94:G99" si="15">1*($B$92+$C$92)</f>
        <v>0</v>
      </c>
      <c r="H94" s="110">
        <f>IFERROR(INDEX(Материалы!$H$5:$H$164,MATCH(E94,Материалы!$E$5:$E$164,0)),0)</f>
        <v>24.55</v>
      </c>
      <c r="I94" s="110">
        <f t="shared" ref="I94:I101" si="16">G94*H94</f>
        <v>0</v>
      </c>
      <c r="J94" s="9"/>
      <c r="K94" s="9"/>
      <c r="M94" s="166"/>
    </row>
    <row r="95" spans="2:13" x14ac:dyDescent="0.25">
      <c r="B95" s="9"/>
      <c r="C95" s="9"/>
      <c r="D95" s="3" t="s">
        <v>52</v>
      </c>
      <c r="E95" s="9" t="str">
        <f>Материалы!E57</f>
        <v>Р_2_230</v>
      </c>
      <c r="F95" s="9" t="str">
        <f>Материалы!D57</f>
        <v>2СО, 230В</v>
      </c>
      <c r="G95" s="9">
        <f>IF(Расчет!O164="Р_2_230",1,0)*1*($B$92+$C$92)</f>
        <v>0</v>
      </c>
      <c r="H95" s="110">
        <f>IFERROR(INDEX(Материалы!$H$5:$H$164,MATCH(E95,Материалы!$E$5:$E$164,0)),0)</f>
        <v>14.63</v>
      </c>
      <c r="I95" s="110">
        <f t="shared" si="16"/>
        <v>0</v>
      </c>
      <c r="J95" s="9"/>
      <c r="K95" s="9"/>
      <c r="M95" s="166"/>
    </row>
    <row r="96" spans="2:13" x14ac:dyDescent="0.25">
      <c r="B96" s="9"/>
      <c r="C96" s="9"/>
      <c r="D96" s="3" t="s">
        <v>47</v>
      </c>
      <c r="E96" s="321" t="str">
        <f>Материалы!E45</f>
        <v>LC1D09P7</v>
      </c>
      <c r="F96" s="9">
        <f>Материалы!D45</f>
        <v>9</v>
      </c>
      <c r="G96" s="9">
        <f>IF(Расчет!O164="LC1D09P7",1,0)*1*($B$92+$C$92)</f>
        <v>0</v>
      </c>
      <c r="H96" s="110">
        <f>IFERROR(INDEX(Материалы!$H$5:$H$164,MATCH(E96,Материалы!$E$5:$E$164,0)),0)</f>
        <v>23.74</v>
      </c>
      <c r="I96" s="110">
        <f t="shared" si="16"/>
        <v>0</v>
      </c>
      <c r="J96" s="9"/>
      <c r="K96" s="9"/>
      <c r="M96" s="166"/>
    </row>
    <row r="97" spans="2:15" x14ac:dyDescent="0.25">
      <c r="B97" s="9"/>
      <c r="C97" s="9"/>
      <c r="D97" s="3" t="s">
        <v>154</v>
      </c>
      <c r="E97" s="9" t="str">
        <f>Материалы!E61</f>
        <v>Клемма2,5</v>
      </c>
      <c r="F97" s="9">
        <f>Материалы!D61</f>
        <v>2.5</v>
      </c>
      <c r="G97" s="9">
        <f t="shared" si="15"/>
        <v>0</v>
      </c>
      <c r="H97" s="110">
        <f>IFERROR(INDEX(Материалы!$H$5:$H$164,MATCH(E97,Материалы!$E$5:$E$164,0)),0)</f>
        <v>0.63</v>
      </c>
      <c r="I97" s="110">
        <f t="shared" si="16"/>
        <v>0</v>
      </c>
      <c r="J97" s="9"/>
      <c r="K97" s="9"/>
      <c r="M97" s="166"/>
    </row>
    <row r="98" spans="2:15" x14ac:dyDescent="0.25">
      <c r="B98" s="9"/>
      <c r="C98" s="9"/>
      <c r="D98" s="3" t="s">
        <v>55</v>
      </c>
      <c r="E98" s="9" t="str">
        <f>Материалы!E69</f>
        <v>Клемма N2,5</v>
      </c>
      <c r="F98" s="9">
        <f>Материалы!D69</f>
        <v>2.5</v>
      </c>
      <c r="G98" s="9">
        <f t="shared" si="15"/>
        <v>0</v>
      </c>
      <c r="H98" s="110">
        <f>IFERROR(INDEX(Материалы!$H$5:$H$164,MATCH(E98,Материалы!$E$5:$E$164,0)),0)</f>
        <v>0.62</v>
      </c>
      <c r="I98" s="110">
        <f t="shared" si="16"/>
        <v>0</v>
      </c>
      <c r="J98" s="9"/>
      <c r="K98" s="9"/>
      <c r="M98" s="166"/>
    </row>
    <row r="99" spans="2:15" x14ac:dyDescent="0.25">
      <c r="B99" s="9"/>
      <c r="C99" s="9"/>
      <c r="D99" s="3" t="s">
        <v>56</v>
      </c>
      <c r="E99" s="9" t="str">
        <f>Материалы!E75</f>
        <v>Клемма PE2,5</v>
      </c>
      <c r="F99" s="9">
        <f>Материалы!D61</f>
        <v>2.5</v>
      </c>
      <c r="G99" s="9">
        <f t="shared" si="15"/>
        <v>0</v>
      </c>
      <c r="H99" s="110">
        <f>IFERROR(INDEX(Материалы!$H$5:$H$164,MATCH(E99,Материалы!$E$5:$E$164,0)),0)</f>
        <v>1.87</v>
      </c>
      <c r="I99" s="110">
        <f t="shared" si="16"/>
        <v>0</v>
      </c>
      <c r="J99" s="9"/>
      <c r="K99" s="9"/>
      <c r="M99" s="166"/>
    </row>
    <row r="100" spans="2:15" x14ac:dyDescent="0.25">
      <c r="B100" s="9"/>
      <c r="C100" s="9"/>
      <c r="D100" s="3" t="s">
        <v>154</v>
      </c>
      <c r="E100" s="9" t="str">
        <f>Материалы!E61</f>
        <v>Клемма2,5</v>
      </c>
      <c r="F100" s="9">
        <f>Материалы!D61</f>
        <v>2.5</v>
      </c>
      <c r="G100" s="9">
        <f>2*($B$92+$C$92)</f>
        <v>0</v>
      </c>
      <c r="H100" s="110">
        <f>IFERROR(INDEX(Материалы!$H$5:$H$164,MATCH(E100,Материалы!$E$5:$E$164,0)),0)</f>
        <v>0.63</v>
      </c>
      <c r="I100" s="110">
        <f t="shared" si="16"/>
        <v>0</v>
      </c>
      <c r="J100" s="9"/>
      <c r="K100" s="9"/>
    </row>
    <row r="101" spans="2:15" x14ac:dyDescent="0.25">
      <c r="B101" s="9"/>
      <c r="C101" s="9"/>
      <c r="D101" s="3" t="s">
        <v>169</v>
      </c>
      <c r="E101" s="9" t="str">
        <f>VLOOKUP(Расчет!Q164,Материалы!D149:F157,2)</f>
        <v>сила2,5</v>
      </c>
      <c r="F101" s="9">
        <f>Расчет!Q164</f>
        <v>2.5</v>
      </c>
      <c r="G101" s="190">
        <f>2*($B$92+$C$92)</f>
        <v>0</v>
      </c>
      <c r="H101" s="110">
        <f>IFERROR(INDEX(Материалы!$H$5:$H$164,MATCH(E101,Материалы!$E$5:$E$164,0)),0)</f>
        <v>0.61</v>
      </c>
      <c r="I101" s="110">
        <f t="shared" si="16"/>
        <v>0</v>
      </c>
      <c r="J101" s="9"/>
      <c r="K101" s="9"/>
      <c r="L101" s="166">
        <f>SUM(I93:I101)</f>
        <v>0</v>
      </c>
    </row>
    <row r="102" spans="2:15" x14ac:dyDescent="0.25">
      <c r="B102" s="9"/>
      <c r="C102" s="9"/>
      <c r="D102" s="3"/>
      <c r="E102" s="9"/>
      <c r="F102" s="9"/>
      <c r="G102" s="9"/>
      <c r="H102" s="110"/>
      <c r="I102" s="110"/>
      <c r="J102" s="9"/>
      <c r="K102" s="9"/>
      <c r="M102" s="166"/>
    </row>
    <row r="103" spans="2:15" x14ac:dyDescent="0.25">
      <c r="B103" s="9"/>
      <c r="C103" s="9">
        <f>IF(AND(Расчет!E47=0,Расчет!E83=1,Расчет!E87=0),1,0)</f>
        <v>0</v>
      </c>
      <c r="D103" s="74" t="s">
        <v>518</v>
      </c>
      <c r="E103" s="71"/>
      <c r="F103" s="71"/>
      <c r="G103" s="71"/>
      <c r="H103" s="111"/>
      <c r="I103" s="111"/>
      <c r="J103" s="71"/>
      <c r="K103" s="71"/>
      <c r="L103" s="33"/>
      <c r="M103" s="166"/>
    </row>
    <row r="104" spans="2:15" x14ac:dyDescent="0.25">
      <c r="B104" s="9"/>
      <c r="C104" s="9"/>
      <c r="D104" s="3" t="s">
        <v>0</v>
      </c>
      <c r="E104" s="9" t="str">
        <f>Расчет!M176</f>
        <v>GV2ME10</v>
      </c>
      <c r="F104" s="9" t="str">
        <f>Расчет!L176</f>
        <v>4…6,3</v>
      </c>
      <c r="G104" s="9">
        <f>1*$C$103</f>
        <v>0</v>
      </c>
      <c r="H104" s="110">
        <f>IFERROR(INDEX(Материалы!$H$5:$H$164,MATCH(E104,Материалы!$E$5:$E$164,0)),0)</f>
        <v>58.52</v>
      </c>
      <c r="I104" s="110">
        <f>G104*H104</f>
        <v>0</v>
      </c>
      <c r="J104" s="9">
        <f>VLOOKUP(E104,Материалы!E7:I23,5,FALSE)</f>
        <v>0.35</v>
      </c>
      <c r="K104" s="9"/>
      <c r="M104" s="166"/>
    </row>
    <row r="105" spans="2:15" x14ac:dyDescent="0.25">
      <c r="B105" s="9"/>
      <c r="C105" s="9"/>
      <c r="D105" s="3" t="s">
        <v>63</v>
      </c>
      <c r="E105" s="9" t="str">
        <f>Материалы!E23</f>
        <v>ДП_к_мотор</v>
      </c>
      <c r="F105" s="9" t="str">
        <f>Материалы!D23</f>
        <v>ДП_к_мотор</v>
      </c>
      <c r="G105" s="9">
        <f t="shared" ref="G105:G108" si="17">1*$C$103</f>
        <v>0</v>
      </c>
      <c r="H105" s="110">
        <f>IFERROR(INDEX(Материалы!$H$5:$H$164,MATCH(E105,Материалы!$E$5:$E$164,0)),0)</f>
        <v>21.34</v>
      </c>
      <c r="I105" s="110">
        <f t="shared" ref="I105:I110" si="18">G105*H105</f>
        <v>0</v>
      </c>
      <c r="J105" s="9"/>
      <c r="K105" s="9"/>
      <c r="M105" s="166"/>
    </row>
    <row r="106" spans="2:15" x14ac:dyDescent="0.25">
      <c r="B106" s="9"/>
      <c r="C106" s="9"/>
      <c r="D106" s="3" t="s">
        <v>47</v>
      </c>
      <c r="E106" s="9" t="str">
        <f>Расчет!O176</f>
        <v>LC1D09P7</v>
      </c>
      <c r="F106" s="9">
        <f>Расчет!N176</f>
        <v>9</v>
      </c>
      <c r="G106" s="9">
        <f t="shared" si="17"/>
        <v>0</v>
      </c>
      <c r="H106" s="110">
        <f>IFERROR(INDEX(Материалы!$H$5:$H$164,MATCH(E106,Материалы!$E$5:$E$164,0)),0)</f>
        <v>23.74</v>
      </c>
      <c r="I106" s="110">
        <f t="shared" si="18"/>
        <v>0</v>
      </c>
      <c r="J106" s="9" t="e">
        <f>VLOOKUP(E64,Материалы!E45:I53,5,FALSE)</f>
        <v>#N/A</v>
      </c>
      <c r="K106" s="9"/>
      <c r="M106" s="166"/>
    </row>
    <row r="107" spans="2:15" x14ac:dyDescent="0.25">
      <c r="B107" s="9"/>
      <c r="C107" s="9"/>
      <c r="D107" s="3" t="s">
        <v>154</v>
      </c>
      <c r="E107" s="9" t="str">
        <f>Материалы!E61</f>
        <v>Клемма2,5</v>
      </c>
      <c r="F107" s="9">
        <f>Материалы!D61</f>
        <v>2.5</v>
      </c>
      <c r="G107" s="9">
        <f>3*$C$103</f>
        <v>0</v>
      </c>
      <c r="H107" s="110">
        <f>IFERROR(INDEX(Материалы!$H$5:$H$164,MATCH(E107,Материалы!$E$5:$E$164,0)),0)</f>
        <v>0.63</v>
      </c>
      <c r="I107" s="110">
        <f t="shared" si="18"/>
        <v>0</v>
      </c>
      <c r="J107" s="9">
        <f>VLOOKUP(E107,Материалы!E61:I66,5,FALSE)</f>
        <v>6.0000000000000001E-3</v>
      </c>
      <c r="K107" s="9"/>
      <c r="M107" t="s">
        <v>813</v>
      </c>
    </row>
    <row r="108" spans="2:15" x14ac:dyDescent="0.25">
      <c r="B108" s="9"/>
      <c r="C108" s="9"/>
      <c r="D108" s="3" t="s">
        <v>56</v>
      </c>
      <c r="E108" s="9" t="str">
        <f>Материалы!E75</f>
        <v>Клемма PE2,5</v>
      </c>
      <c r="F108" s="9">
        <f>Материалы!D61</f>
        <v>2.5</v>
      </c>
      <c r="G108" s="9">
        <f t="shared" si="17"/>
        <v>0</v>
      </c>
      <c r="H108" s="110">
        <f>IFERROR(INDEX(Материалы!$H$5:$H$164,MATCH(E108,Материалы!$E$5:$E$164,0)),0)</f>
        <v>1.87</v>
      </c>
      <c r="I108" s="110">
        <f t="shared" si="18"/>
        <v>0</v>
      </c>
      <c r="J108" s="9">
        <f>VLOOKUP(E108,Материалы!E75:I80,5,FALSE)</f>
        <v>6.0000000000000001E-3</v>
      </c>
      <c r="K108" s="9"/>
      <c r="M108" s="205">
        <v>0.75600000000000001</v>
      </c>
      <c r="N108" s="205">
        <v>3</v>
      </c>
      <c r="O108" s="349">
        <f>M108*N108</f>
        <v>2.2679999999999998</v>
      </c>
    </row>
    <row r="109" spans="2:15" x14ac:dyDescent="0.25">
      <c r="B109" s="9"/>
      <c r="C109" s="9"/>
      <c r="D109" s="3" t="s">
        <v>154</v>
      </c>
      <c r="E109" s="9" t="str">
        <f>Материалы!E61</f>
        <v>Клемма2,5</v>
      </c>
      <c r="F109" s="9">
        <f>Материалы!D61</f>
        <v>2.5</v>
      </c>
      <c r="G109" s="9">
        <f>2*$C$103</f>
        <v>0</v>
      </c>
      <c r="H109" s="110">
        <f>IFERROR(INDEX(Материалы!$H$5:$H$164,MATCH(E109,Материалы!$E$5:$E$164,0)),0)</f>
        <v>0.63</v>
      </c>
      <c r="I109" s="110">
        <f t="shared" si="18"/>
        <v>0</v>
      </c>
      <c r="J109" s="9">
        <f>VLOOKUP(E109,Материалы!E61:I66,5,FALSE)</f>
        <v>6.0000000000000001E-3</v>
      </c>
      <c r="K109" s="9"/>
      <c r="M109" s="205">
        <v>0.751</v>
      </c>
      <c r="N109" s="205">
        <v>3</v>
      </c>
      <c r="O109" s="205">
        <f>M109*N109</f>
        <v>2.2530000000000001</v>
      </c>
    </row>
    <row r="110" spans="2:15" x14ac:dyDescent="0.25">
      <c r="B110" s="9"/>
      <c r="C110" s="9"/>
      <c r="D110" s="3" t="s">
        <v>169</v>
      </c>
      <c r="E110" s="9" t="str">
        <f>VLOOKUP(Расчет!Q176,Материалы!D149:F157,2)</f>
        <v>сила1,5</v>
      </c>
      <c r="F110" s="9">
        <f>Расчет!Q176</f>
        <v>1.5</v>
      </c>
      <c r="G110" s="190">
        <f>5*$C$103</f>
        <v>0</v>
      </c>
      <c r="H110" s="110">
        <f>IFERROR(INDEX(Материалы!$H$5:$H$164,MATCH(E110,Материалы!$E$5:$E$164,0)),0)</f>
        <v>0.53</v>
      </c>
      <c r="I110" s="110">
        <f t="shared" si="18"/>
        <v>0</v>
      </c>
      <c r="J110" s="9"/>
      <c r="K110" s="9"/>
      <c r="L110" s="166">
        <f>SUM(I104:I110)</f>
        <v>0</v>
      </c>
      <c r="M110" s="205" t="s">
        <v>251</v>
      </c>
      <c r="N110" s="205">
        <f>O108+O109</f>
        <v>4.5209999999999999</v>
      </c>
    </row>
    <row r="111" spans="2:15" x14ac:dyDescent="0.25">
      <c r="B111" s="9"/>
      <c r="C111" s="9"/>
      <c r="D111" s="3"/>
      <c r="E111" s="9"/>
      <c r="F111" s="9"/>
      <c r="G111" s="9"/>
      <c r="H111" s="9"/>
      <c r="I111" s="9"/>
      <c r="J111" s="9"/>
      <c r="K111" s="9"/>
    </row>
    <row r="112" spans="2:15" x14ac:dyDescent="0.25">
      <c r="B112" s="9"/>
      <c r="C112" s="9"/>
      <c r="D112" s="74" t="s">
        <v>179</v>
      </c>
      <c r="E112" s="71"/>
      <c r="F112" s="71"/>
      <c r="G112" s="71"/>
      <c r="H112" s="71"/>
      <c r="I112" s="71"/>
      <c r="J112" s="71"/>
      <c r="K112" s="71"/>
      <c r="L112" s="33"/>
    </row>
    <row r="113" spans="2:12" x14ac:dyDescent="0.25">
      <c r="B113" s="9"/>
      <c r="C113" s="9"/>
      <c r="D113" s="3" t="s">
        <v>52</v>
      </c>
      <c r="E113" s="9" t="str">
        <f>Материалы!E57</f>
        <v>Р_2_230</v>
      </c>
      <c r="F113" s="9" t="str">
        <f>Материалы!D57</f>
        <v>2СО, 230В</v>
      </c>
      <c r="G113" s="9">
        <v>1</v>
      </c>
      <c r="H113" s="9">
        <f>INDEX(Материалы!$H$5:$H$164,MATCH(E113,Материалы!$E$5:$E$164,0))</f>
        <v>14.63</v>
      </c>
      <c r="I113" s="9">
        <f>G113*H113</f>
        <v>14.63</v>
      </c>
      <c r="J113" s="9"/>
      <c r="K113" s="9"/>
    </row>
    <row r="114" spans="2:12" x14ac:dyDescent="0.25">
      <c r="B114" s="9"/>
      <c r="C114" s="9"/>
      <c r="D114" s="3" t="s">
        <v>154</v>
      </c>
      <c r="E114" s="9" t="str">
        <f>Материалы!E61</f>
        <v>Клемма2,5</v>
      </c>
      <c r="F114" s="9">
        <f>Материалы!D61</f>
        <v>2.5</v>
      </c>
      <c r="G114" s="9">
        <v>4</v>
      </c>
      <c r="H114" s="9">
        <f>INDEX(Материалы!$H$5:$H$164,MATCH(E114,Материалы!$E$5:$E$164,0))</f>
        <v>0.63</v>
      </c>
      <c r="I114" s="110">
        <f>G114*H114</f>
        <v>2.52</v>
      </c>
      <c r="J114" s="9">
        <f>VLOOKUP(E114,Материалы!E61:I66,5,FALSE)</f>
        <v>6.0000000000000001E-3</v>
      </c>
      <c r="K114" s="9">
        <f>G114*J114</f>
        <v>2.4E-2</v>
      </c>
    </row>
    <row r="115" spans="2:12" x14ac:dyDescent="0.25">
      <c r="B115" s="9"/>
      <c r="C115" s="9"/>
      <c r="D115" s="3" t="s">
        <v>55</v>
      </c>
      <c r="E115" s="9" t="str">
        <f>Материалы!E69</f>
        <v>Клемма N2,5</v>
      </c>
      <c r="F115" s="9">
        <f>Материалы!D69</f>
        <v>2.5</v>
      </c>
      <c r="G115" s="9">
        <v>1</v>
      </c>
      <c r="H115" s="9">
        <f>INDEX(Материалы!$H$5:$H$164,MATCH(E115,Материалы!$E$5:$E$164,0))</f>
        <v>0.62</v>
      </c>
      <c r="I115" s="110">
        <f>G115*H115</f>
        <v>0.62</v>
      </c>
      <c r="J115" s="9">
        <f>VLOOKUP(E115,Материалы!E69:I74,5,FALSE)</f>
        <v>6.0000000000000001E-3</v>
      </c>
      <c r="K115" s="9">
        <f>G115*J115</f>
        <v>6.0000000000000001E-3</v>
      </c>
      <c r="L115" s="166">
        <f>SUM(I113:I115)</f>
        <v>17.770000000000003</v>
      </c>
    </row>
    <row r="116" spans="2:12" x14ac:dyDescent="0.25">
      <c r="B116" s="9"/>
      <c r="C116" s="9"/>
      <c r="D116" s="3"/>
      <c r="E116" s="9"/>
      <c r="F116" s="9"/>
      <c r="G116" s="9"/>
      <c r="H116" s="110"/>
      <c r="I116" s="110"/>
      <c r="J116" s="9"/>
      <c r="K116" s="9"/>
    </row>
    <row r="117" spans="2:12" x14ac:dyDescent="0.25">
      <c r="B117" s="9"/>
      <c r="C117" s="9"/>
      <c r="D117" s="74" t="s">
        <v>178</v>
      </c>
      <c r="E117" s="71"/>
      <c r="F117" s="71"/>
      <c r="G117" s="71"/>
      <c r="H117" s="111"/>
      <c r="I117" s="111"/>
      <c r="J117" s="71"/>
      <c r="K117" s="71"/>
      <c r="L117" s="33"/>
    </row>
    <row r="118" spans="2:12" x14ac:dyDescent="0.25">
      <c r="B118" s="9"/>
      <c r="C118" s="9"/>
      <c r="D118" s="3" t="s">
        <v>0</v>
      </c>
      <c r="E118" s="9" t="str">
        <f>Материалы!E38</f>
        <v>16А 1п.</v>
      </c>
      <c r="F118" s="9">
        <f>Материалы!D38</f>
        <v>16</v>
      </c>
      <c r="G118" s="9">
        <f>1</f>
        <v>1</v>
      </c>
      <c r="H118" s="110">
        <f>INDEX(Материалы!$H$5:$H$164,MATCH(E118,Материалы!$E$5:$E$164,0))</f>
        <v>9.0299999999999994</v>
      </c>
      <c r="I118" s="110">
        <f>G118*H118</f>
        <v>9.0299999999999994</v>
      </c>
      <c r="J118" s="9">
        <f>VLOOKUP(E118,Материалы!E37:I38,5,FALSE)</f>
        <v>0.17</v>
      </c>
      <c r="K118" s="9">
        <f>G118*J118</f>
        <v>0.17</v>
      </c>
    </row>
    <row r="119" spans="2:12" x14ac:dyDescent="0.25">
      <c r="B119" s="9"/>
      <c r="C119" s="9"/>
      <c r="D119" s="3" t="s">
        <v>154</v>
      </c>
      <c r="E119" s="9" t="str">
        <f>Материалы!E61</f>
        <v>Клемма2,5</v>
      </c>
      <c r="F119" s="9">
        <f>Материалы!D61</f>
        <v>2.5</v>
      </c>
      <c r="G119" s="9">
        <f>1</f>
        <v>1</v>
      </c>
      <c r="H119" s="110">
        <f>INDEX(Материалы!$H$5:$H$164,MATCH(E119,Материалы!$E$5:$E$164,0))</f>
        <v>0.63</v>
      </c>
      <c r="I119" s="110">
        <f>G119*H119</f>
        <v>0.63</v>
      </c>
      <c r="J119" s="9">
        <f>VLOOKUP(E119,Материалы!E61:I66,5,FALSE)</f>
        <v>6.0000000000000001E-3</v>
      </c>
      <c r="K119" s="9">
        <f>G119*J119</f>
        <v>6.0000000000000001E-3</v>
      </c>
    </row>
    <row r="120" spans="2:12" x14ac:dyDescent="0.25">
      <c r="B120" s="9"/>
      <c r="C120" s="9"/>
      <c r="D120" s="3" t="s">
        <v>55</v>
      </c>
      <c r="E120" s="9" t="str">
        <f>Материалы!E69</f>
        <v>Клемма N2,5</v>
      </c>
      <c r="F120" s="9">
        <f>Материалы!D69</f>
        <v>2.5</v>
      </c>
      <c r="G120" s="9">
        <f>1</f>
        <v>1</v>
      </c>
      <c r="H120" s="110">
        <f>INDEX(Материалы!$H$5:$H$164,MATCH(E120,Материалы!$E$5:$E$164,0))</f>
        <v>0.62</v>
      </c>
      <c r="I120" s="110">
        <f>G120*H120</f>
        <v>0.62</v>
      </c>
      <c r="J120" s="9">
        <f>VLOOKUP(E120,Материалы!E69:I74,5,FALSE)</f>
        <v>6.0000000000000001E-3</v>
      </c>
      <c r="K120" s="9">
        <f>G120*J120</f>
        <v>6.0000000000000001E-3</v>
      </c>
    </row>
    <row r="121" spans="2:12" x14ac:dyDescent="0.25">
      <c r="B121" s="9"/>
      <c r="C121" s="9"/>
      <c r="D121" s="3" t="s">
        <v>56</v>
      </c>
      <c r="E121" s="9" t="str">
        <f>Материалы!E75</f>
        <v>Клемма PE2,5</v>
      </c>
      <c r="F121" s="9">
        <f>Материалы!D75</f>
        <v>2.5</v>
      </c>
      <c r="G121" s="9">
        <f>1</f>
        <v>1</v>
      </c>
      <c r="H121" s="110">
        <f>INDEX(Материалы!$H$5:$H$164,MATCH(E121,Материалы!$E$5:$E$164,0))</f>
        <v>1.87</v>
      </c>
      <c r="I121" s="110">
        <f>G121*H121</f>
        <v>1.87</v>
      </c>
      <c r="J121" s="9">
        <f>VLOOKUP(E121,Материалы!E75:I80,5,FALSE)</f>
        <v>6.0000000000000001E-3</v>
      </c>
      <c r="K121" s="9">
        <f>G121*J121</f>
        <v>6.0000000000000001E-3</v>
      </c>
      <c r="L121" s="166">
        <f>SUM(I118:I121)</f>
        <v>12.149999999999999</v>
      </c>
    </row>
    <row r="122" spans="2:12" x14ac:dyDescent="0.25">
      <c r="B122" s="9"/>
      <c r="C122" s="9"/>
      <c r="D122" s="3"/>
      <c r="E122" s="9"/>
      <c r="F122" s="9"/>
      <c r="G122" s="9"/>
      <c r="H122" s="110"/>
      <c r="I122" s="110"/>
      <c r="J122" s="9"/>
      <c r="K122" s="9"/>
    </row>
    <row r="123" spans="2:12" x14ac:dyDescent="0.25">
      <c r="B123" s="9"/>
      <c r="C123" s="9"/>
      <c r="D123" s="74" t="s">
        <v>364</v>
      </c>
      <c r="E123" s="71"/>
      <c r="F123" s="71"/>
      <c r="G123" s="71"/>
      <c r="H123" s="111"/>
      <c r="I123" s="111"/>
      <c r="J123" s="71"/>
      <c r="K123" s="71"/>
      <c r="L123" s="33"/>
    </row>
    <row r="124" spans="2:12" x14ac:dyDescent="0.25">
      <c r="B124" s="9"/>
      <c r="C124" s="9"/>
      <c r="D124" s="3" t="s">
        <v>154</v>
      </c>
      <c r="E124" s="9" t="str">
        <f>Материалы!E61</f>
        <v>Клемма2,5</v>
      </c>
      <c r="F124" s="9">
        <f>Материалы!D61</f>
        <v>2.5</v>
      </c>
      <c r="G124" s="9">
        <f>2</f>
        <v>2</v>
      </c>
      <c r="H124" s="110">
        <f>INDEX(Материалы!$H$5:$H$164,MATCH(E124,Материалы!$E$5:$E$164,0))</f>
        <v>0.63</v>
      </c>
      <c r="I124" s="110">
        <f>G124*H124</f>
        <v>1.26</v>
      </c>
      <c r="J124" s="9">
        <f>VLOOKUP(E124,Материалы!E61:I66,5,FALSE)</f>
        <v>6.0000000000000001E-3</v>
      </c>
      <c r="K124" s="9">
        <f>G124*J124</f>
        <v>1.2E-2</v>
      </c>
      <c r="L124" s="166">
        <f>I124</f>
        <v>1.26</v>
      </c>
    </row>
    <row r="125" spans="2:12" x14ac:dyDescent="0.25">
      <c r="B125" s="9"/>
      <c r="C125" s="9"/>
      <c r="D125" s="3"/>
      <c r="E125" s="9"/>
      <c r="F125" s="9"/>
      <c r="G125" s="9"/>
      <c r="H125" s="110"/>
      <c r="I125" s="110"/>
      <c r="J125" s="9"/>
      <c r="K125" s="9"/>
    </row>
    <row r="126" spans="2:12" x14ac:dyDescent="0.25">
      <c r="B126" s="9"/>
      <c r="C126" s="9"/>
      <c r="D126" s="3"/>
      <c r="E126" s="9"/>
      <c r="F126" s="9"/>
      <c r="G126" s="9"/>
      <c r="H126" s="110"/>
      <c r="I126" s="110"/>
      <c r="J126" s="9"/>
      <c r="K126" s="9"/>
    </row>
    <row r="127" spans="2:12" x14ac:dyDescent="0.25">
      <c r="B127" s="9"/>
      <c r="C127" s="9"/>
      <c r="D127" s="74" t="s">
        <v>373</v>
      </c>
      <c r="E127" s="71"/>
      <c r="F127" s="71"/>
      <c r="G127" s="71"/>
      <c r="H127" s="111"/>
      <c r="I127" s="111"/>
      <c r="J127" s="71"/>
      <c r="K127" s="71"/>
      <c r="L127" s="33"/>
    </row>
    <row r="128" spans="2:12" x14ac:dyDescent="0.25">
      <c r="B128" s="9"/>
      <c r="C128" s="9"/>
      <c r="D128" s="3" t="s">
        <v>154</v>
      </c>
      <c r="E128" s="9" t="str">
        <f>Материалы!E61</f>
        <v>Клемма2,5</v>
      </c>
      <c r="F128" s="9">
        <f>Материалы!D61</f>
        <v>2.5</v>
      </c>
      <c r="G128" s="9">
        <v>2</v>
      </c>
      <c r="H128" s="110">
        <f>INDEX(Материалы!$H$5:$H$164,MATCH(E128,Материалы!$E$5:$E$164,0))</f>
        <v>0.63</v>
      </c>
      <c r="I128" s="110">
        <f>G128*H128</f>
        <v>1.26</v>
      </c>
      <c r="J128" s="9">
        <f>VLOOKUP(E128,Материалы!E61:I66,5,FALSE)</f>
        <v>6.0000000000000001E-3</v>
      </c>
      <c r="K128" s="9"/>
      <c r="L128" s="166">
        <f>I128</f>
        <v>1.26</v>
      </c>
    </row>
    <row r="129" spans="2:14" x14ac:dyDescent="0.25">
      <c r="B129" s="9"/>
      <c r="C129" s="9"/>
      <c r="D129" s="3"/>
      <c r="E129" s="9"/>
      <c r="F129" s="9"/>
      <c r="G129" s="9"/>
      <c r="H129" s="110"/>
      <c r="I129" s="110"/>
      <c r="J129" s="9"/>
      <c r="K129" s="9"/>
    </row>
    <row r="130" spans="2:14" x14ac:dyDescent="0.25">
      <c r="B130" s="9"/>
      <c r="C130" s="9">
        <f>IF(Расчет!E73=1,1,0)</f>
        <v>0</v>
      </c>
      <c r="D130" s="74" t="s">
        <v>553</v>
      </c>
      <c r="E130" s="71"/>
      <c r="F130" s="71"/>
      <c r="G130" s="71"/>
      <c r="H130" s="111"/>
      <c r="I130" s="111"/>
      <c r="J130" s="71"/>
      <c r="K130" s="71"/>
      <c r="L130" s="33"/>
    </row>
    <row r="131" spans="2:14" x14ac:dyDescent="0.25">
      <c r="B131" s="9"/>
      <c r="C131" s="9"/>
      <c r="D131" s="3" t="s">
        <v>154</v>
      </c>
      <c r="E131" s="9" t="str">
        <f>Материалы!E61</f>
        <v>Клемма2,5</v>
      </c>
      <c r="F131" s="9">
        <f>Материалы!D61</f>
        <v>2.5</v>
      </c>
      <c r="G131" s="9">
        <f>3*C130</f>
        <v>0</v>
      </c>
      <c r="H131" s="110">
        <f>INDEX(Материалы!$H$5:$H$164,MATCH(E131,Материалы!$E$5:$E$164,0))</f>
        <v>0.63</v>
      </c>
      <c r="I131" s="110">
        <f>G131*H131</f>
        <v>0</v>
      </c>
      <c r="J131" s="9">
        <f>VLOOKUP(E131,Материалы!E61:I66,5,FALSE)</f>
        <v>6.0000000000000001E-3</v>
      </c>
      <c r="K131" s="9"/>
    </row>
    <row r="132" spans="2:14" x14ac:dyDescent="0.25">
      <c r="B132" s="9"/>
      <c r="C132" s="9"/>
      <c r="D132" s="3" t="s">
        <v>56</v>
      </c>
      <c r="E132" s="9" t="str">
        <f>Материалы!E75</f>
        <v>Клемма PE2,5</v>
      </c>
      <c r="F132" s="9">
        <f>Материалы!D75</f>
        <v>2.5</v>
      </c>
      <c r="G132" s="9">
        <f>1*C130</f>
        <v>0</v>
      </c>
      <c r="H132" s="110">
        <f>INDEX(Материалы!$H$5:$H$164,MATCH(E132,Материалы!$E$5:$E$164,0))</f>
        <v>1.87</v>
      </c>
      <c r="I132" s="110">
        <f>G132*H132</f>
        <v>0</v>
      </c>
      <c r="J132" s="9">
        <f>VLOOKUP(E121,Материалы!E75:I80,5,FALSE)</f>
        <v>6.0000000000000001E-3</v>
      </c>
      <c r="K132" s="9"/>
      <c r="L132" s="166">
        <f>SUM(I131:I132)</f>
        <v>0</v>
      </c>
    </row>
    <row r="133" spans="2:14" x14ac:dyDescent="0.25">
      <c r="B133" s="9"/>
      <c r="C133" s="9"/>
      <c r="D133" s="3"/>
      <c r="E133" s="9"/>
      <c r="F133" s="9"/>
      <c r="G133" s="9"/>
      <c r="H133" s="9"/>
      <c r="I133" s="9"/>
      <c r="J133" s="9"/>
      <c r="K133" s="9"/>
    </row>
    <row r="134" spans="2:14" x14ac:dyDescent="0.25">
      <c r="B134" s="9"/>
      <c r="C134" s="9">
        <f>IF(Расчет!E78=1,1,0)</f>
        <v>0</v>
      </c>
      <c r="D134" s="74" t="s">
        <v>554</v>
      </c>
      <c r="E134" s="145"/>
      <c r="F134" s="145"/>
      <c r="G134" s="145"/>
      <c r="H134" s="360"/>
      <c r="I134" s="360"/>
      <c r="J134" s="145"/>
      <c r="K134" s="145"/>
      <c r="L134" s="7"/>
    </row>
    <row r="135" spans="2:14" x14ac:dyDescent="0.25">
      <c r="B135" s="9"/>
      <c r="C135" s="9"/>
      <c r="D135" s="3" t="s">
        <v>52</v>
      </c>
      <c r="E135" s="9" t="str">
        <f>Материалы!E57</f>
        <v>Р_2_230</v>
      </c>
      <c r="F135" s="9" t="str">
        <f>Материалы!D57</f>
        <v>2СО, 230В</v>
      </c>
      <c r="G135" s="9">
        <f>1*C134</f>
        <v>0</v>
      </c>
      <c r="H135" s="110">
        <f>INDEX(Материалы!$H$5:$H$164,MATCH(E135,Материалы!$E$5:$E$164,0))</f>
        <v>14.63</v>
      </c>
      <c r="I135" s="110">
        <f>G135*H135</f>
        <v>0</v>
      </c>
      <c r="J135" s="9"/>
      <c r="K135" s="9"/>
      <c r="N135" s="166"/>
    </row>
    <row r="136" spans="2:14" x14ac:dyDescent="0.25">
      <c r="B136" s="9"/>
      <c r="C136" s="9"/>
      <c r="D136" s="3" t="s">
        <v>154</v>
      </c>
      <c r="E136" s="9" t="str">
        <f>Материалы!E61</f>
        <v>Клемма2,5</v>
      </c>
      <c r="F136" s="9">
        <f>Материалы!D61</f>
        <v>2.5</v>
      </c>
      <c r="G136" s="9">
        <f>4*C134</f>
        <v>0</v>
      </c>
      <c r="H136" s="110">
        <f>INDEX(Материалы!$H$5:$H$164,MATCH(E136,Материалы!$E$5:$E$164,0))</f>
        <v>0.63</v>
      </c>
      <c r="I136" s="110">
        <f>G136*H136</f>
        <v>0</v>
      </c>
      <c r="J136" s="9">
        <f>VLOOKUP(E136,Материалы!E61:I66,5,FALSE)</f>
        <v>6.0000000000000001E-3</v>
      </c>
      <c r="K136" s="9"/>
      <c r="L136" s="166">
        <f>SUM(I135:I136)</f>
        <v>0</v>
      </c>
    </row>
    <row r="137" spans="2:14" x14ac:dyDescent="0.25">
      <c r="B137" s="9"/>
      <c r="C137" s="9"/>
      <c r="D137" s="3"/>
      <c r="E137" s="9"/>
      <c r="F137" s="9"/>
      <c r="G137" s="9"/>
      <c r="H137" s="9"/>
      <c r="I137" s="9"/>
      <c r="J137" s="9"/>
      <c r="K137" s="9"/>
      <c r="N137" s="166"/>
    </row>
    <row r="138" spans="2:14" x14ac:dyDescent="0.25">
      <c r="B138" s="9"/>
      <c r="C138" s="9">
        <f>IF(Расчет!E91=1,1,0)</f>
        <v>0</v>
      </c>
      <c r="D138" s="74" t="s">
        <v>556</v>
      </c>
      <c r="E138" s="145"/>
      <c r="F138" s="145"/>
      <c r="G138" s="145"/>
      <c r="H138" s="360"/>
      <c r="I138" s="360"/>
      <c r="J138" s="145"/>
      <c r="K138" s="145"/>
      <c r="L138" s="7"/>
    </row>
    <row r="139" spans="2:14" x14ac:dyDescent="0.25">
      <c r="B139" s="9"/>
      <c r="C139" s="9"/>
      <c r="D139" s="3" t="s">
        <v>52</v>
      </c>
      <c r="E139" s="9" t="str">
        <f>Материалы!E57</f>
        <v>Р_2_230</v>
      </c>
      <c r="F139" s="9" t="str">
        <f>Материалы!D57</f>
        <v>2СО, 230В</v>
      </c>
      <c r="G139" s="9">
        <f>1*C138</f>
        <v>0</v>
      </c>
      <c r="H139" s="110">
        <f>INDEX(Материалы!$H$5:$H$164,MATCH(E139,Материалы!$E$5:$E$164,0))</f>
        <v>14.63</v>
      </c>
      <c r="I139" s="110">
        <f>G139*H139</f>
        <v>0</v>
      </c>
      <c r="J139" s="9"/>
      <c r="K139" s="9"/>
    </row>
    <row r="140" spans="2:14" x14ac:dyDescent="0.25">
      <c r="B140" s="9"/>
      <c r="C140" s="9"/>
      <c r="D140" s="3" t="s">
        <v>154</v>
      </c>
      <c r="E140" s="9" t="str">
        <f>Материалы!E61</f>
        <v>Клемма2,5</v>
      </c>
      <c r="F140" s="9">
        <f>Материалы!D61</f>
        <v>2.5</v>
      </c>
      <c r="G140" s="9">
        <f>4*C138</f>
        <v>0</v>
      </c>
      <c r="H140" s="110">
        <f>INDEX(Материалы!$H$5:$H$164,MATCH(E140,Материалы!$E$5:$E$164,0))</f>
        <v>0.63</v>
      </c>
      <c r="I140" s="110">
        <f>G140*H140</f>
        <v>0</v>
      </c>
      <c r="J140" s="9">
        <f>VLOOKUP(E140,Материалы!E61:I66,5,FALSE)</f>
        <v>6.0000000000000001E-3</v>
      </c>
      <c r="K140" s="9"/>
      <c r="L140" s="166">
        <f>SUM(I139:I140)</f>
        <v>0</v>
      </c>
    </row>
    <row r="141" spans="2:14" x14ac:dyDescent="0.25">
      <c r="B141" s="9"/>
      <c r="C141" s="9"/>
      <c r="D141" s="3"/>
      <c r="E141" s="9"/>
      <c r="F141" s="9"/>
      <c r="G141" s="9"/>
      <c r="H141" s="9"/>
      <c r="I141" s="9"/>
      <c r="J141" s="9"/>
      <c r="K141" s="9"/>
    </row>
    <row r="142" spans="2:14" x14ac:dyDescent="0.25">
      <c r="B142" s="9"/>
      <c r="C142" s="9">
        <f>IF(Расчет!E68=1,1,0)</f>
        <v>0</v>
      </c>
      <c r="D142" s="74" t="s">
        <v>449</v>
      </c>
      <c r="E142" s="71"/>
      <c r="F142" s="71"/>
      <c r="G142" s="71"/>
      <c r="H142" s="111"/>
      <c r="I142" s="111"/>
      <c r="J142" s="71"/>
      <c r="K142" s="71"/>
      <c r="L142" s="33"/>
    </row>
    <row r="143" spans="2:14" x14ac:dyDescent="0.25">
      <c r="B143" s="9"/>
      <c r="C143" s="9"/>
      <c r="D143" s="3" t="s">
        <v>154</v>
      </c>
      <c r="E143" s="9" t="str">
        <f>Материалы!E61</f>
        <v>Клемма2,5</v>
      </c>
      <c r="F143" s="9">
        <f>Материалы!D61</f>
        <v>2.5</v>
      </c>
      <c r="G143" s="9">
        <f>3*C142</f>
        <v>0</v>
      </c>
      <c r="H143" s="110">
        <f>INDEX(Материалы!$H$5:$H$164,MATCH(E143,Материалы!$E$5:$E$164,0))</f>
        <v>0.63</v>
      </c>
      <c r="I143" s="110">
        <f>G143*H143</f>
        <v>0</v>
      </c>
      <c r="J143" s="9">
        <f>VLOOKUP(E143,Материалы!E61:I66,5,FALSE)</f>
        <v>6.0000000000000001E-3</v>
      </c>
      <c r="K143" s="9"/>
    </row>
    <row r="144" spans="2:14" x14ac:dyDescent="0.25">
      <c r="B144" s="9"/>
      <c r="C144" s="9"/>
      <c r="D144" s="3" t="s">
        <v>56</v>
      </c>
      <c r="E144" s="9" t="str">
        <f>Материалы!E75</f>
        <v>Клемма PE2,5</v>
      </c>
      <c r="F144" s="9">
        <f>Материалы!D75</f>
        <v>2.5</v>
      </c>
      <c r="G144" s="9">
        <f>1*C142</f>
        <v>0</v>
      </c>
      <c r="H144" s="110">
        <f>INDEX(Материалы!$H$5:$H$164,MATCH(E144,Материалы!$E$5:$E$164,0))</f>
        <v>1.87</v>
      </c>
      <c r="I144" s="110">
        <f>G144*H144</f>
        <v>0</v>
      </c>
      <c r="J144" s="9">
        <f>VLOOKUP(E121,Материалы!E75:I80,5,FALSE)</f>
        <v>6.0000000000000001E-3</v>
      </c>
      <c r="K144" s="9"/>
      <c r="L144" s="166">
        <f>SUM(I143:I144)</f>
        <v>0</v>
      </c>
    </row>
    <row r="145" spans="2:12" x14ac:dyDescent="0.25">
      <c r="B145" s="9"/>
      <c r="C145" s="9"/>
      <c r="D145" s="3"/>
      <c r="E145" s="9"/>
      <c r="F145" s="9"/>
      <c r="G145" s="9"/>
      <c r="H145" s="110"/>
      <c r="I145" s="110"/>
      <c r="J145" s="9"/>
      <c r="K145" s="9"/>
    </row>
    <row r="146" spans="2:12" x14ac:dyDescent="0.25">
      <c r="B146" s="9"/>
      <c r="C146" s="9"/>
      <c r="D146" s="74" t="s">
        <v>557</v>
      </c>
      <c r="E146" s="145"/>
      <c r="F146" s="145"/>
      <c r="G146" s="145"/>
      <c r="H146" s="360"/>
      <c r="I146" s="360"/>
      <c r="J146" s="145"/>
      <c r="K146" s="145"/>
      <c r="L146" s="7"/>
    </row>
    <row r="147" spans="2:12" x14ac:dyDescent="0.25">
      <c r="B147" s="9"/>
      <c r="C147" s="9"/>
      <c r="D147" s="172" t="s">
        <v>558</v>
      </c>
      <c r="E147" s="11"/>
      <c r="F147" s="11"/>
      <c r="G147" s="11"/>
      <c r="H147" s="371"/>
      <c r="I147" s="371"/>
      <c r="J147" s="11"/>
      <c r="K147" s="11"/>
      <c r="L147" s="372"/>
    </row>
    <row r="148" spans="2:12" x14ac:dyDescent="0.25">
      <c r="B148" s="9"/>
      <c r="C148" s="9"/>
      <c r="D148" s="3" t="s">
        <v>154</v>
      </c>
      <c r="E148" s="9" t="str">
        <f>Материалы!E61</f>
        <v>Клемма2,5</v>
      </c>
      <c r="F148" s="9">
        <f>Материалы!D61</f>
        <v>2.5</v>
      </c>
      <c r="G148" s="9">
        <v>2</v>
      </c>
      <c r="H148" s="110">
        <f>INDEX(Материалы!$H$5:$H$164,MATCH(E148,Материалы!$E$5:$E$164,0))</f>
        <v>0.63</v>
      </c>
      <c r="I148" s="110">
        <f>G148*H148</f>
        <v>1.26</v>
      </c>
      <c r="J148" s="9">
        <f>VLOOKUP(E148,Материалы!E61:I66,5,FALSE)</f>
        <v>6.0000000000000001E-3</v>
      </c>
      <c r="K148" s="9"/>
    </row>
    <row r="149" spans="2:12" x14ac:dyDescent="0.25">
      <c r="B149" s="9"/>
      <c r="C149" s="9"/>
      <c r="D149" s="3" t="s">
        <v>56</v>
      </c>
      <c r="E149" s="9" t="str">
        <f>Материалы!E75</f>
        <v>Клемма PE2,5</v>
      </c>
      <c r="F149" s="9">
        <f>Материалы!D75</f>
        <v>2.5</v>
      </c>
      <c r="G149" s="9">
        <v>1</v>
      </c>
      <c r="H149" s="110">
        <f>INDEX(Материалы!$H$5:$H$164,MATCH(E149,Материалы!$E$5:$E$164,0))</f>
        <v>1.87</v>
      </c>
      <c r="I149" s="110">
        <f>G149*H149</f>
        <v>1.87</v>
      </c>
      <c r="J149" s="9">
        <f>VLOOKUP(E149,Материалы!E75:I80,5,FALSE)</f>
        <v>6.0000000000000001E-3</v>
      </c>
      <c r="K149" s="9"/>
    </row>
    <row r="150" spans="2:12" x14ac:dyDescent="0.25">
      <c r="B150" s="9"/>
      <c r="C150" s="9"/>
      <c r="D150" s="3"/>
      <c r="E150" s="9"/>
      <c r="F150" s="9"/>
      <c r="G150" s="9"/>
      <c r="H150" s="110"/>
      <c r="I150" s="9"/>
      <c r="J150" s="9"/>
      <c r="K150" s="9"/>
    </row>
    <row r="151" spans="2:12" x14ac:dyDescent="0.25">
      <c r="B151" s="9"/>
      <c r="C151" s="9"/>
      <c r="D151" s="172" t="s">
        <v>559</v>
      </c>
      <c r="E151" s="11"/>
      <c r="F151" s="11"/>
      <c r="G151" s="11"/>
      <c r="H151" s="110"/>
      <c r="I151" s="371"/>
      <c r="J151" s="11"/>
      <c r="K151" s="11"/>
      <c r="L151" s="372"/>
    </row>
    <row r="152" spans="2:12" x14ac:dyDescent="0.25">
      <c r="B152" s="9"/>
      <c r="C152" s="9"/>
      <c r="D152" s="3" t="s">
        <v>154</v>
      </c>
      <c r="E152" s="9" t="str">
        <f>Материалы!E61</f>
        <v>Клемма2,5</v>
      </c>
      <c r="F152" s="9">
        <f>Материалы!D61</f>
        <v>2.5</v>
      </c>
      <c r="G152" s="9">
        <v>2</v>
      </c>
      <c r="H152" s="110">
        <f>INDEX(Материалы!$H$5:$H$164,MATCH(E152,Материалы!$E$5:$E$164,0))</f>
        <v>0.63</v>
      </c>
      <c r="I152" s="9">
        <f>G152*H152</f>
        <v>1.26</v>
      </c>
      <c r="J152" s="9">
        <f>VLOOKUP(E152,Материалы!E61:I66,5,FALSE)</f>
        <v>6.0000000000000001E-3</v>
      </c>
      <c r="K152" s="9"/>
    </row>
    <row r="153" spans="2:12" x14ac:dyDescent="0.25">
      <c r="B153" s="9"/>
      <c r="C153" s="9"/>
      <c r="D153" s="3" t="s">
        <v>56</v>
      </c>
      <c r="E153" s="9" t="str">
        <f>Материалы!E75</f>
        <v>Клемма PE2,5</v>
      </c>
      <c r="F153" s="9">
        <f>Материалы!D75</f>
        <v>2.5</v>
      </c>
      <c r="G153" s="9">
        <v>1</v>
      </c>
      <c r="H153" s="110">
        <f>INDEX(Материалы!$H$5:$H$164,MATCH(E153,Материалы!$E$5:$E$164,0))</f>
        <v>1.87</v>
      </c>
      <c r="I153" s="9">
        <f>G153*H153</f>
        <v>1.87</v>
      </c>
      <c r="J153" s="9">
        <f>VLOOKUP(E153,Материалы!E75:I80,5,FALSE)</f>
        <v>6.0000000000000001E-3</v>
      </c>
      <c r="K153" s="9"/>
    </row>
    <row r="154" spans="2:12" x14ac:dyDescent="0.25">
      <c r="B154" s="9"/>
      <c r="C154" s="9"/>
      <c r="D154" s="3"/>
      <c r="E154" s="9"/>
      <c r="F154" s="9"/>
      <c r="G154" s="9"/>
      <c r="H154" s="110"/>
      <c r="I154" s="9"/>
      <c r="J154" s="9"/>
      <c r="K154" s="9"/>
    </row>
    <row r="155" spans="2:12" x14ac:dyDescent="0.25">
      <c r="B155" s="9"/>
      <c r="C155" s="9"/>
      <c r="D155" s="172" t="s">
        <v>560</v>
      </c>
      <c r="E155" s="11"/>
      <c r="F155" s="11"/>
      <c r="G155" s="11"/>
      <c r="H155" s="110"/>
      <c r="I155" s="371"/>
      <c r="J155" s="11"/>
      <c r="K155" s="11"/>
      <c r="L155" s="372"/>
    </row>
    <row r="156" spans="2:12" x14ac:dyDescent="0.25">
      <c r="B156" s="9"/>
      <c r="C156" s="9"/>
      <c r="D156" s="3" t="s">
        <v>154</v>
      </c>
      <c r="E156" s="9" t="str">
        <f>Материалы!E61</f>
        <v>Клемма2,5</v>
      </c>
      <c r="F156" s="9">
        <f>Материалы!D61</f>
        <v>2.5</v>
      </c>
      <c r="G156" s="9">
        <v>2</v>
      </c>
      <c r="H156" s="110">
        <f>INDEX(Материалы!$H$5:$H$164,MATCH(E156,Материалы!$E$5:$E$164,0))</f>
        <v>0.63</v>
      </c>
      <c r="I156" s="9">
        <f>G156*H156</f>
        <v>1.26</v>
      </c>
      <c r="J156" s="9">
        <f>VLOOKUP(E156,Материалы!E61:I66,5,FALSE)</f>
        <v>6.0000000000000001E-3</v>
      </c>
      <c r="K156" s="9"/>
    </row>
    <row r="157" spans="2:12" x14ac:dyDescent="0.25">
      <c r="B157" s="9"/>
      <c r="C157" s="9"/>
      <c r="D157" s="3" t="s">
        <v>56</v>
      </c>
      <c r="E157" s="9" t="str">
        <f>Материалы!E75</f>
        <v>Клемма PE2,5</v>
      </c>
      <c r="F157" s="9">
        <f>Материалы!D75</f>
        <v>2.5</v>
      </c>
      <c r="G157" s="9">
        <v>1</v>
      </c>
      <c r="H157" s="110">
        <f>INDEX(Материалы!$H$5:$H$164,MATCH(E157,Материалы!$E$5:$E$164,0))</f>
        <v>1.87</v>
      </c>
      <c r="I157" s="9">
        <f>G157*H157</f>
        <v>1.87</v>
      </c>
      <c r="J157" s="9">
        <f>VLOOKUP(E157,Материалы!E75:I80,5,FALSE)</f>
        <v>6.0000000000000001E-3</v>
      </c>
      <c r="K157" s="9"/>
    </row>
    <row r="158" spans="2:12" x14ac:dyDescent="0.25">
      <c r="B158" s="9"/>
      <c r="C158" s="9"/>
      <c r="D158" s="3"/>
      <c r="E158" s="9"/>
      <c r="F158" s="9"/>
      <c r="G158" s="9"/>
      <c r="H158" s="110"/>
      <c r="I158" s="9"/>
      <c r="J158" s="9"/>
      <c r="K158" s="9"/>
    </row>
    <row r="159" spans="2:12" x14ac:dyDescent="0.25">
      <c r="B159" s="9"/>
      <c r="C159" s="9"/>
      <c r="D159" s="172" t="s">
        <v>561</v>
      </c>
      <c r="E159" s="11"/>
      <c r="F159" s="11"/>
      <c r="G159" s="11"/>
      <c r="H159" s="110"/>
      <c r="I159" s="371"/>
      <c r="J159" s="11"/>
      <c r="K159" s="11"/>
      <c r="L159" s="372"/>
    </row>
    <row r="160" spans="2:12" x14ac:dyDescent="0.25">
      <c r="B160" s="9"/>
      <c r="C160" s="9"/>
      <c r="D160" s="3" t="s">
        <v>154</v>
      </c>
      <c r="E160" s="9" t="str">
        <f>Материалы!E61</f>
        <v>Клемма2,5</v>
      </c>
      <c r="F160" s="9">
        <f>Материалы!D61</f>
        <v>2.5</v>
      </c>
      <c r="G160" s="9">
        <v>2</v>
      </c>
      <c r="H160" s="110">
        <f>INDEX(Материалы!$H$5:$H$164,MATCH(E160,Материалы!$E$5:$E$164,0))</f>
        <v>0.63</v>
      </c>
      <c r="I160" s="9">
        <f>G160*H160</f>
        <v>1.26</v>
      </c>
      <c r="J160" s="9">
        <f>VLOOKUP(E160,Материалы!E61:I66,5,FALSE)</f>
        <v>6.0000000000000001E-3</v>
      </c>
      <c r="K160" s="9"/>
    </row>
    <row r="161" spans="2:12" x14ac:dyDescent="0.25">
      <c r="B161" s="9"/>
      <c r="C161" s="9"/>
      <c r="D161" s="3" t="s">
        <v>56</v>
      </c>
      <c r="E161" s="9" t="str">
        <f>Материалы!E75</f>
        <v>Клемма PE2,5</v>
      </c>
      <c r="F161" s="9">
        <f>Материалы!D75</f>
        <v>2.5</v>
      </c>
      <c r="G161" s="9">
        <v>1</v>
      </c>
      <c r="H161" s="110">
        <f>INDEX(Материалы!$H$5:$H$164,MATCH(E161,Материалы!$E$5:$E$164,0))</f>
        <v>1.87</v>
      </c>
      <c r="I161" s="9">
        <f>G161*H161</f>
        <v>1.87</v>
      </c>
      <c r="J161" s="9">
        <f>VLOOKUP(E161,Материалы!E75:I80,5,FALSE)</f>
        <v>6.0000000000000001E-3</v>
      </c>
      <c r="K161" s="9"/>
      <c r="L161" s="166">
        <f>SUM(I148:I161)</f>
        <v>12.52</v>
      </c>
    </row>
    <row r="162" spans="2:12" x14ac:dyDescent="0.25">
      <c r="B162" s="9"/>
      <c r="C162" s="9"/>
      <c r="D162" s="3"/>
      <c r="E162" s="9"/>
      <c r="F162" s="9"/>
      <c r="G162" s="9"/>
      <c r="H162" s="9"/>
      <c r="I162" s="9"/>
      <c r="J162" s="9"/>
      <c r="K162" s="9"/>
    </row>
    <row r="163" spans="2:12" x14ac:dyDescent="0.25">
      <c r="B163" s="9"/>
      <c r="C163" s="9"/>
      <c r="D163" s="159" t="s">
        <v>586</v>
      </c>
      <c r="E163" s="71"/>
      <c r="F163" s="71"/>
      <c r="G163" s="71"/>
      <c r="H163" s="71"/>
      <c r="I163" s="71"/>
      <c r="J163" s="71"/>
      <c r="K163" s="71"/>
      <c r="L163" s="33"/>
    </row>
    <row r="164" spans="2:12" x14ac:dyDescent="0.25">
      <c r="B164" s="9"/>
      <c r="C164" s="9"/>
      <c r="D164" s="3" t="str">
        <f>Материалы!C85</f>
        <v>Контроллер программируемый ПР200-220.4.2.0</v>
      </c>
      <c r="E164" s="9" t="str">
        <f>Материалы!E85</f>
        <v>ПР200-220.4.2.0</v>
      </c>
      <c r="F164" s="9" t="str">
        <f>Материалы!D85</f>
        <v>ПР200</v>
      </c>
      <c r="G164" s="9">
        <v>1</v>
      </c>
      <c r="H164" s="110">
        <f>INDEX(Материалы!$H$5:$H$164,MATCH(E164,Материалы!$E$5:$E$164,0))</f>
        <v>275.70999999999998</v>
      </c>
      <c r="I164" s="110">
        <f>G164*H164</f>
        <v>275.70999999999998</v>
      </c>
      <c r="J164" s="9"/>
      <c r="K164" s="9"/>
      <c r="L164" s="166">
        <f>I164</f>
        <v>275.70999999999998</v>
      </c>
    </row>
    <row r="165" spans="2:12" x14ac:dyDescent="0.25">
      <c r="B165" s="9"/>
      <c r="C165" s="9"/>
      <c r="D165" s="3"/>
      <c r="E165" s="9"/>
      <c r="F165" s="9"/>
      <c r="G165" s="9"/>
      <c r="H165" s="110"/>
      <c r="I165" s="110"/>
      <c r="J165" s="9"/>
      <c r="K165" s="9"/>
    </row>
    <row r="166" spans="2:12" x14ac:dyDescent="0.25">
      <c r="B166" s="9"/>
      <c r="C166" s="9"/>
      <c r="D166" s="74" t="s">
        <v>183</v>
      </c>
      <c r="E166" s="71"/>
      <c r="F166" s="71"/>
      <c r="G166" s="71"/>
      <c r="H166" s="111"/>
      <c r="I166" s="111"/>
      <c r="J166" s="71"/>
      <c r="K166" s="71"/>
      <c r="L166" s="33"/>
    </row>
    <row r="167" spans="2:12" x14ac:dyDescent="0.25">
      <c r="B167" s="9"/>
      <c r="C167" s="9" t="s">
        <v>590</v>
      </c>
      <c r="D167" s="3" t="s">
        <v>154</v>
      </c>
      <c r="E167" s="9" t="str">
        <f>Материалы!E61</f>
        <v>Клемма2,5</v>
      </c>
      <c r="F167" s="9">
        <f>Материалы!D61</f>
        <v>2.5</v>
      </c>
      <c r="G167" s="9">
        <v>4</v>
      </c>
      <c r="H167" s="110">
        <f>INDEX(Материалы!$H$5:$H$164,MATCH(E167,Материалы!$E$5:$E$164,0))</f>
        <v>0.63</v>
      </c>
      <c r="I167" s="110">
        <f>G167*H167</f>
        <v>2.52</v>
      </c>
      <c r="J167" s="9">
        <f>VLOOKUP(E167,Материалы!E61:I66,5,FALSE)</f>
        <v>6.0000000000000001E-3</v>
      </c>
      <c r="K167" s="9"/>
    </row>
    <row r="168" spans="2:12" x14ac:dyDescent="0.25">
      <c r="B168" s="9"/>
      <c r="C168" s="9" t="s">
        <v>590</v>
      </c>
      <c r="D168" s="3" t="s">
        <v>56</v>
      </c>
      <c r="E168" s="9" t="str">
        <f>Материалы!E75</f>
        <v>Клемма PE2,5</v>
      </c>
      <c r="F168" s="9">
        <f>Материалы!D75</f>
        <v>2.5</v>
      </c>
      <c r="G168" s="9">
        <v>1</v>
      </c>
      <c r="H168" s="110">
        <f>INDEX(Материалы!$H$5:$H$164,MATCH(E168,Материалы!$E$5:$E$164,0))</f>
        <v>1.87</v>
      </c>
      <c r="I168" s="110">
        <f t="shared" ref="I168:I173" si="19">G168*H168</f>
        <v>1.87</v>
      </c>
      <c r="J168" s="9">
        <f>VLOOKUP(E168,Материалы!E75:I80,5,FALSE)</f>
        <v>6.0000000000000001E-3</v>
      </c>
      <c r="K168" s="9"/>
    </row>
    <row r="169" spans="2:12" x14ac:dyDescent="0.25">
      <c r="B169" s="9"/>
      <c r="C169" s="191" t="s">
        <v>591</v>
      </c>
      <c r="D169" s="3" t="s">
        <v>154</v>
      </c>
      <c r="E169" s="9" t="str">
        <f>Материалы!E61</f>
        <v>Клемма2,5</v>
      </c>
      <c r="F169" s="9">
        <f>Материалы!D61</f>
        <v>2.5</v>
      </c>
      <c r="G169" s="9">
        <v>2</v>
      </c>
      <c r="H169" s="110">
        <f>INDEX(Материалы!$H$5:$H$164,MATCH(E169,Материалы!$E$5:$E$164,0))</f>
        <v>0.63</v>
      </c>
      <c r="I169" s="110">
        <f t="shared" si="19"/>
        <v>1.26</v>
      </c>
      <c r="J169" s="9">
        <f>VLOOKUP(E169,Материалы!E61:I66,5,FALSE)</f>
        <v>6.0000000000000001E-3</v>
      </c>
      <c r="K169" s="9"/>
    </row>
    <row r="170" spans="2:12" x14ac:dyDescent="0.25">
      <c r="B170" s="9"/>
      <c r="C170" s="9" t="s">
        <v>592</v>
      </c>
      <c r="D170" s="3" t="s">
        <v>154</v>
      </c>
      <c r="E170" s="9" t="str">
        <f>Материалы!E61</f>
        <v>Клемма2,5</v>
      </c>
      <c r="F170" s="9">
        <f>Материалы!D61</f>
        <v>2.5</v>
      </c>
      <c r="G170" s="9">
        <v>2</v>
      </c>
      <c r="H170" s="110">
        <f>INDEX(Материалы!$H$5:$H$164,MATCH(E170,Материалы!$E$5:$E$164,0))</f>
        <v>0.63</v>
      </c>
      <c r="I170" s="110">
        <f t="shared" si="19"/>
        <v>1.26</v>
      </c>
      <c r="J170" s="9">
        <f>VLOOKUP(E170,Материалы!E61:I66,5,FALSE)</f>
        <v>6.0000000000000001E-3</v>
      </c>
      <c r="K170" s="9"/>
    </row>
    <row r="171" spans="2:12" x14ac:dyDescent="0.25">
      <c r="B171" s="9"/>
      <c r="C171" s="191" t="s">
        <v>593</v>
      </c>
      <c r="D171" s="3" t="s">
        <v>154</v>
      </c>
      <c r="E171" s="9" t="str">
        <f>Материалы!E61</f>
        <v>Клемма2,5</v>
      </c>
      <c r="F171" s="9">
        <f>Материалы!D61</f>
        <v>2.5</v>
      </c>
      <c r="G171" s="9">
        <v>2</v>
      </c>
      <c r="H171" s="110">
        <f>INDEX(Материалы!$H$5:$H$164,MATCH(E171,Материалы!$E$5:$E$164,0))</f>
        <v>0.63</v>
      </c>
      <c r="I171" s="110">
        <f t="shared" si="19"/>
        <v>1.26</v>
      </c>
      <c r="J171" s="9">
        <f>VLOOKUP(E171,Материалы!E61:I66,5,FALSE)</f>
        <v>6.0000000000000001E-3</v>
      </c>
      <c r="K171" s="9"/>
    </row>
    <row r="172" spans="2:12" x14ac:dyDescent="0.25">
      <c r="B172" s="9"/>
      <c r="C172" s="9" t="s">
        <v>594</v>
      </c>
      <c r="D172" s="3" t="s">
        <v>154</v>
      </c>
      <c r="E172" s="9" t="str">
        <f>Материалы!E61</f>
        <v>Клемма2,5</v>
      </c>
      <c r="F172" s="9">
        <f>Материалы!D61</f>
        <v>2.5</v>
      </c>
      <c r="G172" s="9">
        <v>2</v>
      </c>
      <c r="H172" s="110">
        <f>INDEX(Материалы!$H$5:$H$164,MATCH(E172,Материалы!$E$5:$E$164,0))</f>
        <v>0.63</v>
      </c>
      <c r="I172" s="110">
        <f t="shared" si="19"/>
        <v>1.26</v>
      </c>
      <c r="J172" s="9">
        <f>VLOOKUP(E172,Материалы!E61:I66,5,FALSE)</f>
        <v>6.0000000000000001E-3</v>
      </c>
      <c r="K172" s="9"/>
    </row>
    <row r="173" spans="2:12" x14ac:dyDescent="0.25">
      <c r="B173" s="9"/>
      <c r="C173" s="9" t="s">
        <v>595</v>
      </c>
      <c r="D173" s="3" t="s">
        <v>154</v>
      </c>
      <c r="E173" s="9" t="str">
        <f>Материалы!E61</f>
        <v>Клемма2,5</v>
      </c>
      <c r="F173" s="9">
        <f>Материалы!D61</f>
        <v>2.5</v>
      </c>
      <c r="G173" s="9">
        <v>2</v>
      </c>
      <c r="H173" s="110">
        <f>INDEX(Материалы!$H$5:$H$164,MATCH(E173,Материалы!$E$5:$E$164,0))</f>
        <v>0.63</v>
      </c>
      <c r="I173" s="110">
        <f t="shared" si="19"/>
        <v>1.26</v>
      </c>
      <c r="J173" s="9">
        <f>VLOOKUP(E173,Материалы!E61:I66,5,FALSE)</f>
        <v>6.0000000000000001E-3</v>
      </c>
      <c r="K173" s="9"/>
    </row>
    <row r="174" spans="2:12" x14ac:dyDescent="0.25">
      <c r="B174" s="9"/>
      <c r="C174" s="191"/>
      <c r="D174" s="8" t="s">
        <v>230</v>
      </c>
      <c r="E174" s="22" t="str">
        <f>Материалы!E81</f>
        <v>Кон_стопор</v>
      </c>
      <c r="F174" s="22" t="str">
        <f>Материалы!D81</f>
        <v>КС</v>
      </c>
      <c r="G174" s="9">
        <v>4</v>
      </c>
      <c r="H174" s="110">
        <f>INDEX(Материалы!$H$5:$H$164,MATCH(E174,Материалы!$E$5:$E$164,0))</f>
        <v>1.04</v>
      </c>
      <c r="I174" s="110">
        <f>G174*H174</f>
        <v>4.16</v>
      </c>
      <c r="J174" s="22"/>
      <c r="K174" s="22"/>
    </row>
    <row r="175" spans="2:12" x14ac:dyDescent="0.25">
      <c r="B175" s="9"/>
      <c r="C175" s="9"/>
      <c r="D175" s="3" t="str">
        <f>Материалы!C146</f>
        <v xml:space="preserve">Трансформатор 230VAC / 12, 12, 24VAC </v>
      </c>
      <c r="E175" s="9" t="str">
        <f>Материалы!E146</f>
        <v xml:space="preserve">230VAC /24VAC </v>
      </c>
      <c r="F175" s="9" t="str">
        <f>Материалы!E146</f>
        <v xml:space="preserve">230VAC /24VAC </v>
      </c>
      <c r="G175" s="9">
        <v>1</v>
      </c>
      <c r="H175" s="110">
        <f>INDEX(Материалы!$H$5:$H$164,MATCH(E175,Материалы!$E$5:$E$164,0))</f>
        <v>38.76</v>
      </c>
      <c r="I175" s="110">
        <f>G175*H175</f>
        <v>38.76</v>
      </c>
      <c r="J175" s="9"/>
      <c r="K175" s="9"/>
    </row>
    <row r="176" spans="2:12" x14ac:dyDescent="0.25">
      <c r="B176" s="9"/>
      <c r="C176" s="22"/>
      <c r="D176" s="8" t="s">
        <v>0</v>
      </c>
      <c r="E176" s="22" t="str">
        <f>Материалы!E38</f>
        <v>16А 1п.</v>
      </c>
      <c r="F176" s="22">
        <f>Материалы!D38</f>
        <v>16</v>
      </c>
      <c r="G176" s="22">
        <v>1</v>
      </c>
      <c r="H176" s="110">
        <f>INDEX(Материалы!$H$5:$H$164,MATCH(E176,Материалы!$E$5:$E$164,0))</f>
        <v>9.0299999999999994</v>
      </c>
      <c r="I176" s="110">
        <f>G176*H176</f>
        <v>9.0299999999999994</v>
      </c>
      <c r="J176" s="22"/>
      <c r="K176" s="22"/>
    </row>
    <row r="177" spans="2:12" x14ac:dyDescent="0.25">
      <c r="B177" s="9"/>
      <c r="C177" s="22"/>
      <c r="D177" s="8" t="s">
        <v>52</v>
      </c>
      <c r="E177" s="22" t="str">
        <f>Материалы!E57</f>
        <v>Р_2_230</v>
      </c>
      <c r="F177" s="22" t="str">
        <f>Материалы!D57</f>
        <v>2СО, 230В</v>
      </c>
      <c r="G177" s="22">
        <v>2</v>
      </c>
      <c r="H177" s="110">
        <f>INDEX(Материалы!$H$5:$H$164,MATCH(E177,Материалы!$E$5:$E$164,0))</f>
        <v>14.63</v>
      </c>
      <c r="I177" s="110">
        <f>G177*H177</f>
        <v>29.26</v>
      </c>
      <c r="J177" s="22"/>
      <c r="K177" s="22"/>
    </row>
    <row r="178" spans="2:12" x14ac:dyDescent="0.25">
      <c r="B178" s="9"/>
      <c r="C178" s="22"/>
      <c r="D178" s="8" t="str">
        <f>Материалы!C145</f>
        <v>Предохранитель 5А компл.</v>
      </c>
      <c r="E178" s="22" t="str">
        <f>Материалы!E145</f>
        <v>5А</v>
      </c>
      <c r="F178" s="22"/>
      <c r="G178" s="22">
        <v>2</v>
      </c>
      <c r="H178" s="110">
        <f>INDEX(Материалы!$H$5:$H$164,MATCH(E178,Материалы!$E$5:$E$164,0))</f>
        <v>3.56</v>
      </c>
      <c r="I178" s="110">
        <f>G178*H178</f>
        <v>7.12</v>
      </c>
      <c r="J178" s="22"/>
      <c r="K178" s="22"/>
      <c r="L178" s="166">
        <f>SUM(I167:I178)</f>
        <v>99.02000000000001</v>
      </c>
    </row>
    <row r="179" spans="2:12" x14ac:dyDescent="0.25">
      <c r="B179" s="9"/>
      <c r="C179" s="22">
        <f>IF(Расчет!E42=2,1,0)</f>
        <v>0</v>
      </c>
      <c r="D179" s="159" t="s">
        <v>182</v>
      </c>
      <c r="E179" s="160"/>
      <c r="F179" s="160"/>
      <c r="G179" s="160"/>
      <c r="H179" s="161"/>
      <c r="I179" s="161"/>
      <c r="J179" s="160"/>
      <c r="K179" s="160"/>
      <c r="L179" s="33"/>
    </row>
    <row r="180" spans="2:12" x14ac:dyDescent="0.25">
      <c r="B180" s="56" t="s">
        <v>267</v>
      </c>
      <c r="C180" s="56">
        <f>Расчет!E112</f>
        <v>1</v>
      </c>
      <c r="D180" s="154" t="str">
        <f>Материалы!C93</f>
        <v>Переключатель 3 пол.</v>
      </c>
      <c r="E180" s="56" t="str">
        <f>Материалы!E93</f>
        <v>ПЕРЕКЛ_3пол</v>
      </c>
      <c r="F180" s="56" t="str">
        <f>Материалы!D93</f>
        <v>1NO+1NC+1NO</v>
      </c>
      <c r="G180" s="56">
        <f>1*$C$179*C180</f>
        <v>0</v>
      </c>
      <c r="H180" s="155">
        <f>INDEX(Материалы!$H$5:$H$164,MATCH(E180,Материалы!$E$5:$E$164,0))</f>
        <v>2.84</v>
      </c>
      <c r="I180" s="155">
        <f>G180*H180</f>
        <v>0</v>
      </c>
      <c r="J180" s="56">
        <f>VLOOKUP(E180,Материалы!E88:I93,5,FALSE)</f>
        <v>0.2</v>
      </c>
      <c r="K180" s="56">
        <f>G180*J180</f>
        <v>0</v>
      </c>
      <c r="L180" s="215"/>
    </row>
    <row r="181" spans="2:12" x14ac:dyDescent="0.25">
      <c r="B181" s="56" t="s">
        <v>268</v>
      </c>
      <c r="C181" s="9"/>
      <c r="D181" s="3"/>
      <c r="E181" s="9"/>
      <c r="F181" s="9"/>
      <c r="G181" s="9"/>
      <c r="H181" s="110"/>
      <c r="I181" s="110"/>
      <c r="J181" s="9"/>
      <c r="K181" s="9"/>
    </row>
    <row r="182" spans="2:12" x14ac:dyDescent="0.25">
      <c r="B182" s="156" t="s">
        <v>266</v>
      </c>
      <c r="C182" s="156">
        <f>Расчет!E111</f>
        <v>0</v>
      </c>
      <c r="D182" s="157" t="s">
        <v>269</v>
      </c>
      <c r="E182" s="156" t="str">
        <f>Материалы!E37</f>
        <v>6А 1п.</v>
      </c>
      <c r="F182" s="156">
        <f>Материалы!D37</f>
        <v>6</v>
      </c>
      <c r="G182" s="156">
        <f>1*$C$182*$C$179</f>
        <v>0</v>
      </c>
      <c r="H182" s="158">
        <f>INDEX(Материалы!$H$5:$H$164,MATCH(E182,Материалы!$E$5:$E$164,0))</f>
        <v>11.2</v>
      </c>
      <c r="I182" s="158">
        <f>G182*H182</f>
        <v>0</v>
      </c>
      <c r="J182" s="156">
        <v>0</v>
      </c>
      <c r="K182" s="156">
        <f>G182*J182</f>
        <v>0</v>
      </c>
      <c r="L182" s="216"/>
    </row>
    <row r="183" spans="2:12" x14ac:dyDescent="0.25">
      <c r="B183" s="156" t="s">
        <v>268</v>
      </c>
      <c r="C183" s="156"/>
      <c r="D183" s="157"/>
      <c r="E183" s="156"/>
      <c r="F183" s="156"/>
      <c r="G183" s="156"/>
      <c r="H183" s="156"/>
      <c r="I183" s="156"/>
      <c r="J183" s="156"/>
      <c r="K183" s="156"/>
      <c r="L183" s="166">
        <f>SUM(I180:I182)</f>
        <v>0</v>
      </c>
    </row>
    <row r="184" spans="2:12" x14ac:dyDescent="0.25">
      <c r="C184" s="9"/>
      <c r="D184" s="3"/>
      <c r="E184" s="9"/>
      <c r="F184" s="9"/>
      <c r="G184" s="9"/>
      <c r="H184" s="9"/>
      <c r="I184" s="9"/>
      <c r="J184" s="9"/>
      <c r="K184" s="9"/>
    </row>
    <row r="185" spans="2:12" x14ac:dyDescent="0.25">
      <c r="C185" s="146">
        <f>IF(Расчет!E42=1,1,0)</f>
        <v>1</v>
      </c>
      <c r="D185" s="162" t="s">
        <v>181</v>
      </c>
      <c r="E185" s="163"/>
      <c r="F185" s="163"/>
      <c r="G185" s="163"/>
      <c r="H185" s="164"/>
      <c r="I185" s="164"/>
      <c r="J185" s="163"/>
      <c r="K185" s="163"/>
      <c r="L185" s="33"/>
    </row>
    <row r="186" spans="2:12" x14ac:dyDescent="0.25">
      <c r="B186" s="56" t="s">
        <v>267</v>
      </c>
      <c r="C186" s="56">
        <f>Расчет!E112</f>
        <v>1</v>
      </c>
      <c r="D186" s="154" t="str">
        <f>Материалы!C91</f>
        <v>Кнопка ПУСК</v>
      </c>
      <c r="E186" s="56" t="str">
        <f>Материалы!E91</f>
        <v>ПУСК_1NO</v>
      </c>
      <c r="F186" s="56" t="str">
        <f>Материалы!D91</f>
        <v>1NO</v>
      </c>
      <c r="G186" s="56">
        <f>1*$C$185*C186</f>
        <v>1</v>
      </c>
      <c r="H186" s="155">
        <f>INDEX(Материалы!$H$5:$H$164,MATCH(E186,Материалы!$E$5:$E$164,0))</f>
        <v>2.8</v>
      </c>
      <c r="I186" s="155">
        <f>G186*H186</f>
        <v>2.8</v>
      </c>
      <c r="J186" s="56">
        <f>VLOOKUP(E186,Материалы!E88:I93,5,FALSE)</f>
        <v>0.2</v>
      </c>
      <c r="K186" s="56">
        <f>G186*J186</f>
        <v>0.2</v>
      </c>
      <c r="L186" s="215"/>
    </row>
    <row r="187" spans="2:12" x14ac:dyDescent="0.25">
      <c r="B187" s="56" t="s">
        <v>268</v>
      </c>
      <c r="C187" s="56">
        <f>Расчет!E112</f>
        <v>1</v>
      </c>
      <c r="D187" s="154" t="str">
        <f>Материалы!C92</f>
        <v>Кнопка СТОП</v>
      </c>
      <c r="E187" s="56" t="str">
        <f>Материалы!E92</f>
        <v>ПУСК_1NC</v>
      </c>
      <c r="F187" s="56" t="str">
        <f>Материалы!D92</f>
        <v>1NC</v>
      </c>
      <c r="G187" s="56">
        <f>1*$C$185*C187</f>
        <v>1</v>
      </c>
      <c r="H187" s="155">
        <f>INDEX(Материалы!$H$5:$H$164,MATCH(E187,Материалы!$E$5:$E$164,0))</f>
        <v>2.8</v>
      </c>
      <c r="I187" s="155">
        <f>G187*H187</f>
        <v>2.8</v>
      </c>
      <c r="J187" s="56">
        <f>VLOOKUP(E187,Материалы!E88:I93,5,FALSE)</f>
        <v>0.2</v>
      </c>
      <c r="K187" s="56">
        <f>G187*J187</f>
        <v>0.2</v>
      </c>
      <c r="L187" s="215"/>
    </row>
    <row r="188" spans="2:12" x14ac:dyDescent="0.25">
      <c r="B188" s="156" t="s">
        <v>266</v>
      </c>
      <c r="C188" s="156">
        <f>Расчет!E111</f>
        <v>0</v>
      </c>
      <c r="D188" s="157" t="s">
        <v>262</v>
      </c>
      <c r="E188" s="156" t="str">
        <f>Материалы!E94</f>
        <v>ПУСК_1NO_1NC</v>
      </c>
      <c r="F188" s="156" t="str">
        <f>Материалы!D94</f>
        <v>1NO+1NC</v>
      </c>
      <c r="G188" s="156">
        <f>2*C188*$C$185</f>
        <v>0</v>
      </c>
      <c r="H188" s="158">
        <f>INDEX(Материалы!$H$5:$H$164,MATCH(E188,Материалы!$E$5:$E$164,0))</f>
        <v>11.64</v>
      </c>
      <c r="I188" s="158">
        <f>G188*H188</f>
        <v>0</v>
      </c>
      <c r="J188" s="156"/>
      <c r="K188" s="156"/>
      <c r="L188" s="216"/>
    </row>
    <row r="189" spans="2:12" x14ac:dyDescent="0.25">
      <c r="B189" s="156" t="s">
        <v>268</v>
      </c>
      <c r="C189" s="156"/>
      <c r="D189" s="157"/>
      <c r="E189" s="156"/>
      <c r="F189" s="156"/>
      <c r="G189" s="156"/>
      <c r="H189" s="158"/>
      <c r="I189" s="158"/>
      <c r="J189" s="156"/>
      <c r="K189" s="156"/>
      <c r="L189" s="166">
        <f>SUM(I186:I188)</f>
        <v>5.6</v>
      </c>
    </row>
    <row r="190" spans="2:12" x14ac:dyDescent="0.25">
      <c r="C190" s="54"/>
      <c r="D190" s="65"/>
      <c r="E190" s="54"/>
      <c r="F190" s="54"/>
      <c r="G190" s="54"/>
      <c r="H190" s="105"/>
      <c r="I190" s="105"/>
      <c r="J190" s="54"/>
      <c r="K190" s="54"/>
    </row>
    <row r="191" spans="2:12" x14ac:dyDescent="0.25">
      <c r="C191" s="9"/>
      <c r="D191" s="373"/>
      <c r="E191" s="9"/>
      <c r="F191" s="9"/>
      <c r="G191" s="9"/>
      <c r="H191" s="110"/>
      <c r="I191" s="110"/>
      <c r="J191" s="9"/>
      <c r="K191" s="9"/>
    </row>
    <row r="192" spans="2:12" x14ac:dyDescent="0.25">
      <c r="B192" s="1">
        <f>IF(OR(Расчет!E114="Ф100",Расчет!E114="Ф130",Расчет!E114="Ф160"),1,0)</f>
        <v>0</v>
      </c>
      <c r="C192" s="9">
        <v>0</v>
      </c>
      <c r="D192" s="74" t="s">
        <v>183</v>
      </c>
      <c r="E192" s="71"/>
      <c r="F192" s="71"/>
      <c r="G192" s="71"/>
      <c r="H192" s="71"/>
      <c r="I192" s="71"/>
      <c r="J192" s="71"/>
      <c r="K192" s="71"/>
      <c r="L192" s="33"/>
    </row>
    <row r="193" spans="2:12" x14ac:dyDescent="0.25">
      <c r="B193" s="56" t="s">
        <v>267</v>
      </c>
      <c r="C193" s="56">
        <f>Расчет!E112</f>
        <v>1</v>
      </c>
      <c r="D193" s="154" t="s">
        <v>247</v>
      </c>
      <c r="E193" s="56" t="str">
        <f>Материалы!E89</f>
        <v>Ин_з</v>
      </c>
      <c r="F193" s="56" t="str">
        <f>Материалы!D89</f>
        <v>зеленый</v>
      </c>
      <c r="G193" s="56">
        <f>1*C193</f>
        <v>1</v>
      </c>
      <c r="H193" s="155">
        <f>INDEX(Материалы!$H$5:$H$164,MATCH(E193,Материалы!$E$5:$E$164,0))</f>
        <v>1.4</v>
      </c>
      <c r="I193" s="155">
        <f>G193*H193</f>
        <v>1.4</v>
      </c>
      <c r="J193" s="56">
        <f>VLOOKUP(E193,Материалы!E88:I93,5,FALSE)</f>
        <v>0.2</v>
      </c>
      <c r="K193" s="56">
        <f>G193*J193</f>
        <v>0.2</v>
      </c>
      <c r="L193" s="215"/>
    </row>
    <row r="194" spans="2:12" x14ac:dyDescent="0.25">
      <c r="B194" s="56" t="s">
        <v>268</v>
      </c>
      <c r="C194" s="56">
        <f>Расчет!E112</f>
        <v>1</v>
      </c>
      <c r="D194" s="154" t="s">
        <v>62</v>
      </c>
      <c r="E194" s="56" t="str">
        <f>Материалы!E90</f>
        <v>Ин_кр</v>
      </c>
      <c r="F194" s="56" t="str">
        <f>Материалы!D90</f>
        <v>красный</v>
      </c>
      <c r="G194" s="56">
        <f>2*C193</f>
        <v>2</v>
      </c>
      <c r="H194" s="155">
        <f>INDEX(Материалы!$H$5:$H$164,MATCH(E194,Материалы!$E$5:$E$164,0))</f>
        <v>1.4</v>
      </c>
      <c r="I194" s="155">
        <f>G194*H194</f>
        <v>2.8</v>
      </c>
      <c r="J194" s="56">
        <f>VLOOKUP(E194,Материалы!E88:I93,5,FALSE)</f>
        <v>0.2</v>
      </c>
      <c r="K194" s="56">
        <f>G194*J194</f>
        <v>0.4</v>
      </c>
      <c r="L194" s="215"/>
    </row>
    <row r="195" spans="2:12" x14ac:dyDescent="0.25">
      <c r="B195" s="156" t="s">
        <v>266</v>
      </c>
      <c r="C195" s="156">
        <f>Расчет!E111</f>
        <v>0</v>
      </c>
      <c r="D195" s="157" t="s">
        <v>264</v>
      </c>
      <c r="E195" s="156" t="str">
        <f>Материалы!E95</f>
        <v>Л_М</v>
      </c>
      <c r="F195" s="156" t="str">
        <f>Материалы!D95</f>
        <v>желтый,красный</v>
      </c>
      <c r="G195" s="156">
        <f>3*C195</f>
        <v>0</v>
      </c>
      <c r="H195" s="158">
        <f>INDEX(Материалы!$H$5:$H$164,MATCH(E195,Материалы!$E$5:$E$164,0))</f>
        <v>11.64</v>
      </c>
      <c r="I195" s="158">
        <f>G195*H195</f>
        <v>0</v>
      </c>
      <c r="J195" s="156"/>
      <c r="K195" s="156"/>
      <c r="L195" s="216"/>
    </row>
    <row r="196" spans="2:12" x14ac:dyDescent="0.25">
      <c r="B196" s="156" t="s">
        <v>268</v>
      </c>
      <c r="C196" s="156"/>
      <c r="D196" s="157" t="s">
        <v>155</v>
      </c>
      <c r="E196" s="156" t="str">
        <f>Материалы!E149</f>
        <v>монт.0,75</v>
      </c>
      <c r="F196" s="156">
        <f>Материалы!D149</f>
        <v>0.75</v>
      </c>
      <c r="G196" s="156">
        <v>60</v>
      </c>
      <c r="H196" s="158">
        <f>INDEX(Материалы!$H$5:$H$164,MATCH(E196,Материалы!$E$5:$E$164,0))</f>
        <v>0.28999999999999998</v>
      </c>
      <c r="I196" s="158">
        <f>G196*H196</f>
        <v>17.399999999999999</v>
      </c>
      <c r="J196" s="156"/>
      <c r="K196" s="156"/>
    </row>
    <row r="197" spans="2:12" x14ac:dyDescent="0.25">
      <c r="D197" s="394" t="s">
        <v>836</v>
      </c>
      <c r="E197" s="9" t="str">
        <f>Материалы!E160</f>
        <v>К_15х30</v>
      </c>
      <c r="F197" s="9" t="str">
        <f>Материалы!E160</f>
        <v>К_15х30</v>
      </c>
      <c r="G197" s="9">
        <v>0.5</v>
      </c>
      <c r="H197" s="110">
        <f>INDEX(Материалы!$H$5:$H$164,MATCH(E197,Материалы!$E$5:$E$164,0))</f>
        <v>4.33</v>
      </c>
      <c r="I197" s="110">
        <f>G197*H197</f>
        <v>2.165</v>
      </c>
      <c r="J197" s="9"/>
      <c r="K197" s="9"/>
      <c r="L197" s="166"/>
    </row>
    <row r="198" spans="2:12" x14ac:dyDescent="0.25">
      <c r="D198" s="394" t="s">
        <v>844</v>
      </c>
      <c r="E198" s="9" t="str">
        <f>Материалы!E162</f>
        <v>К_40х60</v>
      </c>
      <c r="F198" s="9" t="str">
        <f>Материалы!E162</f>
        <v>К_40х60</v>
      </c>
      <c r="G198" s="9">
        <v>2</v>
      </c>
      <c r="H198" s="110">
        <f>INDEX(Материалы!$H$5:$H$164,MATCH(E198,Материалы!$E$5:$E$164,0))</f>
        <v>5.15</v>
      </c>
      <c r="I198" s="110">
        <f t="shared" ref="I198:I200" si="20">G198*H198</f>
        <v>10.3</v>
      </c>
      <c r="J198" s="9"/>
      <c r="K198" s="9"/>
      <c r="L198" s="166"/>
    </row>
    <row r="199" spans="2:12" x14ac:dyDescent="0.25">
      <c r="D199" s="394" t="s">
        <v>840</v>
      </c>
      <c r="E199" s="9" t="str">
        <f>Материалы!E163</f>
        <v>DIN_р</v>
      </c>
      <c r="F199" s="9" t="str">
        <f>Материалы!E163</f>
        <v>DIN_р</v>
      </c>
      <c r="G199" s="9">
        <v>1.2</v>
      </c>
      <c r="H199" s="110">
        <f>INDEX(Материалы!$H$5:$H$164,MATCH(E199,Материалы!$E$5:$E$164,0))</f>
        <v>2.64</v>
      </c>
      <c r="I199" s="110">
        <f t="shared" si="20"/>
        <v>3.1680000000000001</v>
      </c>
      <c r="J199" s="9"/>
      <c r="K199" s="9"/>
      <c r="L199" s="166"/>
    </row>
    <row r="200" spans="2:12" x14ac:dyDescent="0.25">
      <c r="D200" s="394" t="s">
        <v>842</v>
      </c>
      <c r="E200" s="9" t="str">
        <f>Материалы!E164</f>
        <v>шланг</v>
      </c>
      <c r="F200" s="9" t="str">
        <f>Материалы!E164</f>
        <v>шланг</v>
      </c>
      <c r="G200" s="9">
        <v>0.4</v>
      </c>
      <c r="H200" s="110">
        <f>INDEX(Материалы!$H$5:$H$164,MATCH(E200,Материалы!$E$5:$E$164,0))</f>
        <v>0.4</v>
      </c>
      <c r="I200" s="110">
        <f t="shared" si="20"/>
        <v>0.16000000000000003</v>
      </c>
      <c r="J200" s="9"/>
      <c r="K200" s="9"/>
      <c r="L200" s="166">
        <f>SUM(I193:I200)</f>
        <v>37.392999999999994</v>
      </c>
    </row>
    <row r="201" spans="2:12" x14ac:dyDescent="0.25">
      <c r="C201" s="9"/>
      <c r="D201" s="74" t="s">
        <v>143</v>
      </c>
      <c r="E201" s="71"/>
      <c r="F201" s="71"/>
      <c r="G201" s="71"/>
      <c r="H201" s="111"/>
      <c r="I201" s="111"/>
      <c r="J201" s="71"/>
      <c r="K201" s="71"/>
      <c r="L201" s="33"/>
    </row>
    <row r="202" spans="2:12" x14ac:dyDescent="0.25">
      <c r="C202" s="9"/>
      <c r="D202" s="3" t="s">
        <v>828</v>
      </c>
      <c r="E202" s="9" t="str">
        <f>Расчет!AD80</f>
        <v>Д0</v>
      </c>
      <c r="F202" s="9"/>
      <c r="G202" s="9">
        <v>1</v>
      </c>
      <c r="H202" s="110">
        <f>Расчет!AJ79</f>
        <v>0</v>
      </c>
      <c r="I202" s="110">
        <f>G202*H202</f>
        <v>0</v>
      </c>
      <c r="J202" s="9"/>
      <c r="K202" s="9"/>
    </row>
    <row r="207" spans="2:12" x14ac:dyDescent="0.25">
      <c r="H207" s="109"/>
      <c r="I207" s="109"/>
    </row>
    <row r="208" spans="2:12" x14ac:dyDescent="0.25">
      <c r="H208" s="109"/>
      <c r="I208" s="109"/>
    </row>
    <row r="209" spans="4:14" x14ac:dyDescent="0.25">
      <c r="H209" s="109"/>
      <c r="I209" s="109"/>
    </row>
    <row r="211" spans="4:14" x14ac:dyDescent="0.25">
      <c r="K211" s="145" t="s">
        <v>258</v>
      </c>
      <c r="L211" s="7"/>
      <c r="M211" s="1" t="s">
        <v>391</v>
      </c>
      <c r="N211" t="s">
        <v>392</v>
      </c>
    </row>
    <row r="212" spans="4:14" ht="18.75" x14ac:dyDescent="0.3">
      <c r="D212" s="112" t="s">
        <v>814</v>
      </c>
      <c r="E212" s="113"/>
      <c r="F212" s="113"/>
      <c r="G212" s="113"/>
      <c r="H212" s="113"/>
      <c r="I212" s="117">
        <f>SUM(I8:I200)</f>
        <v>706.2129999999994</v>
      </c>
      <c r="K212" s="117">
        <f>SUM(K16:K211)</f>
        <v>16.63</v>
      </c>
      <c r="L212" s="217"/>
      <c r="M212" s="1">
        <v>100</v>
      </c>
      <c r="N212">
        <v>3.9620000000000002</v>
      </c>
    </row>
    <row r="213" spans="4:14" ht="18.75" x14ac:dyDescent="0.3">
      <c r="D213" s="114" t="s">
        <v>222</v>
      </c>
      <c r="E213" s="115"/>
      <c r="F213" s="115"/>
      <c r="G213" s="115"/>
      <c r="I213" s="116">
        <f>Расчет!L276</f>
        <v>1</v>
      </c>
      <c r="M213" s="1">
        <f>M212*N213/N212</f>
        <v>65707.470974255426</v>
      </c>
      <c r="N213" s="166">
        <v>2603.33</v>
      </c>
    </row>
    <row r="214" spans="4:14" ht="18.75" x14ac:dyDescent="0.3">
      <c r="D214" s="114" t="s">
        <v>223</v>
      </c>
      <c r="E214" s="115"/>
      <c r="F214" s="115"/>
      <c r="G214" s="115"/>
      <c r="H214" s="115"/>
      <c r="I214" s="115" t="e">
        <f>IF(AND(Расчет!E110="П",OR(F24="-",F36="-",#REF!="-")),0,1)</f>
        <v>#REF!</v>
      </c>
    </row>
    <row r="216" spans="4:14" ht="18.75" x14ac:dyDescent="0.3">
      <c r="D216" s="119" t="s">
        <v>388</v>
      </c>
      <c r="E216" s="120"/>
      <c r="F216" s="120"/>
      <c r="G216" s="120"/>
      <c r="H216" s="121"/>
      <c r="I216" s="117">
        <f>I212</f>
        <v>706.2129999999994</v>
      </c>
      <c r="L216" s="383" t="s">
        <v>349</v>
      </c>
      <c r="M216" s="1"/>
    </row>
    <row r="217" spans="4:14" ht="18.75" x14ac:dyDescent="0.3">
      <c r="D217" s="122" t="s">
        <v>349</v>
      </c>
      <c r="E217" s="123"/>
      <c r="F217" s="123"/>
      <c r="G217" s="123"/>
      <c r="H217" s="124"/>
      <c r="I217" s="118">
        <f>L220</f>
        <v>2.6728615384615386</v>
      </c>
      <c r="L217" s="9">
        <v>1.3680000000000001</v>
      </c>
      <c r="M217" s="384" t="s">
        <v>599</v>
      </c>
    </row>
    <row r="218" spans="4:14" ht="18.75" x14ac:dyDescent="0.3">
      <c r="D218" s="258" t="s">
        <v>780</v>
      </c>
      <c r="E218" s="259"/>
      <c r="F218" s="259"/>
      <c r="G218" s="259"/>
      <c r="H218" s="260"/>
      <c r="I218" s="264">
        <f>I216*I217</f>
        <v>1887.6095656615369</v>
      </c>
      <c r="L218" s="9">
        <v>1.27</v>
      </c>
      <c r="M218" s="384" t="s">
        <v>600</v>
      </c>
    </row>
    <row r="219" spans="4:14" ht="18.75" x14ac:dyDescent="0.3">
      <c r="D219" s="122" t="s">
        <v>389</v>
      </c>
      <c r="E219" s="123"/>
      <c r="F219" s="123"/>
      <c r="G219" s="123"/>
      <c r="H219" s="124"/>
      <c r="I219" s="118">
        <f>F1</f>
        <v>25</v>
      </c>
      <c r="L219" s="9">
        <v>0.65</v>
      </c>
      <c r="M219" s="384" t="s">
        <v>601</v>
      </c>
    </row>
    <row r="220" spans="4:14" ht="18.75" x14ac:dyDescent="0.3">
      <c r="D220" s="119" t="s">
        <v>618</v>
      </c>
      <c r="E220" s="120"/>
      <c r="F220" s="120"/>
      <c r="G220" s="120"/>
      <c r="H220" s="121"/>
      <c r="I220" s="117">
        <f>I218*I219</f>
        <v>47190.239141538419</v>
      </c>
      <c r="L220" s="385">
        <f>L217*L218/L219</f>
        <v>2.6728615384615386</v>
      </c>
      <c r="M220" s="385" t="s">
        <v>251</v>
      </c>
    </row>
    <row r="221" spans="4:14" ht="18.75" x14ac:dyDescent="0.3">
      <c r="D221" s="119" t="s">
        <v>602</v>
      </c>
      <c r="E221" s="120"/>
      <c r="F221" s="120"/>
      <c r="G221" s="120"/>
      <c r="H221" s="121"/>
      <c r="I221" s="117"/>
      <c r="L221" s="521"/>
      <c r="M221" s="521"/>
    </row>
    <row r="222" spans="4:14" ht="18.75" x14ac:dyDescent="0.3">
      <c r="D222" s="403"/>
      <c r="E222" s="404"/>
      <c r="F222" s="404"/>
      <c r="G222" s="404"/>
      <c r="H222" s="405"/>
      <c r="I222" s="406"/>
    </row>
    <row r="223" spans="4:14" ht="18.75" x14ac:dyDescent="0.3">
      <c r="D223" s="250" t="s">
        <v>617</v>
      </c>
      <c r="E223" s="251"/>
      <c r="F223" s="251"/>
      <c r="G223" s="251"/>
      <c r="H223" s="252"/>
      <c r="I223" s="253">
        <f>I202</f>
        <v>0</v>
      </c>
      <c r="L223" s="383" t="s">
        <v>808</v>
      </c>
    </row>
    <row r="224" spans="4:14" ht="18.75" x14ac:dyDescent="0.3">
      <c r="D224" s="254" t="s">
        <v>350</v>
      </c>
      <c r="E224" s="255"/>
      <c r="F224" s="255"/>
      <c r="G224" s="255"/>
      <c r="H224" s="256"/>
      <c r="I224" s="257">
        <f>L226</f>
        <v>1.7692307692307689</v>
      </c>
      <c r="L224" s="9">
        <v>1.1499999999999999</v>
      </c>
    </row>
    <row r="225" spans="4:16" ht="18.75" x14ac:dyDescent="0.3">
      <c r="D225" s="261" t="s">
        <v>846</v>
      </c>
      <c r="E225" s="262"/>
      <c r="F225" s="262"/>
      <c r="G225" s="262"/>
      <c r="H225" s="263"/>
      <c r="I225" s="265">
        <f>I223*I224</f>
        <v>0</v>
      </c>
      <c r="L225" s="9">
        <v>0.65</v>
      </c>
      <c r="P225">
        <f>CEILING(I220,5)</f>
        <v>47195</v>
      </c>
    </row>
    <row r="226" spans="4:16" ht="18.75" x14ac:dyDescent="0.3">
      <c r="D226" s="403"/>
      <c r="E226" s="404"/>
      <c r="F226" s="404"/>
      <c r="G226" s="404"/>
      <c r="H226" s="405"/>
      <c r="I226" s="406"/>
      <c r="L226" s="385">
        <f>L224/L225</f>
        <v>1.7692307692307689</v>
      </c>
    </row>
    <row r="227" spans="4:16" ht="18.75" x14ac:dyDescent="0.3">
      <c r="D227" s="589" t="s">
        <v>967</v>
      </c>
      <c r="E227" s="590"/>
      <c r="F227" s="590"/>
      <c r="G227" s="590"/>
      <c r="H227" s="591"/>
      <c r="I227" s="592">
        <f>I220+I225</f>
        <v>47190.239141538419</v>
      </c>
    </row>
    <row r="228" spans="4:16" ht="18.75" x14ac:dyDescent="0.3">
      <c r="D228" s="585" t="s">
        <v>968</v>
      </c>
      <c r="E228" s="586"/>
      <c r="F228" s="586"/>
      <c r="G228" s="586"/>
      <c r="H228" s="587"/>
      <c r="I228" s="588">
        <f>CEILING(I227,5)</f>
        <v>47195</v>
      </c>
    </row>
    <row r="229" spans="4:16" ht="18.75" x14ac:dyDescent="0.3">
      <c r="D229" s="273" t="s">
        <v>229</v>
      </c>
      <c r="E229" s="274"/>
      <c r="F229" s="274"/>
      <c r="G229" s="274"/>
      <c r="H229" s="274"/>
      <c r="I229" s="274">
        <f>Расчет!L276</f>
        <v>1</v>
      </c>
    </row>
    <row r="230" spans="4:16" ht="18.75" x14ac:dyDescent="0.3">
      <c r="D230" s="270" t="s">
        <v>966</v>
      </c>
      <c r="E230" s="271"/>
      <c r="F230" s="271"/>
      <c r="G230" s="271"/>
      <c r="H230" s="272"/>
      <c r="I230" s="275">
        <f>I228*I229</f>
        <v>47195</v>
      </c>
    </row>
    <row r="232" spans="4:16" ht="18.75" x14ac:dyDescent="0.3">
      <c r="D232" s="125"/>
      <c r="E232" s="126"/>
      <c r="F232" s="126"/>
      <c r="G232" s="126"/>
      <c r="H232" s="127"/>
      <c r="I232" s="266"/>
    </row>
    <row r="234" spans="4:16" ht="21" x14ac:dyDescent="0.35">
      <c r="D234" s="386" t="s">
        <v>603</v>
      </c>
      <c r="E234"/>
      <c r="I234" s="387">
        <v>1.2</v>
      </c>
    </row>
    <row r="235" spans="4:16" ht="21" x14ac:dyDescent="0.35">
      <c r="D235" s="388" t="s">
        <v>604</v>
      </c>
      <c r="E235" s="389"/>
      <c r="F235" s="390"/>
      <c r="G235" s="390"/>
      <c r="H235" s="390"/>
      <c r="I235" s="391">
        <f>I230*I234</f>
        <v>56634</v>
      </c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/>
  <dimension ref="A1:AC163"/>
  <sheetViews>
    <sheetView zoomScale="70" zoomScaleNormal="70" workbookViewId="0">
      <selection activeCell="B36" sqref="B36"/>
    </sheetView>
  </sheetViews>
  <sheetFormatPr defaultRowHeight="15" x14ac:dyDescent="0.25"/>
  <cols>
    <col min="1" max="1" width="6.140625" customWidth="1"/>
    <col min="3" max="3" width="35.42578125" bestFit="1" customWidth="1"/>
    <col min="4" max="4" width="29.140625" style="1" customWidth="1"/>
    <col min="5" max="5" width="18.42578125" style="1" customWidth="1"/>
    <col min="6" max="6" width="17.140625" style="1" bestFit="1" customWidth="1"/>
    <col min="7" max="7" width="6" customWidth="1"/>
    <col min="8" max="8" width="14.28515625" customWidth="1"/>
    <col min="9" max="9" width="12.140625" style="1" bestFit="1" customWidth="1"/>
    <col min="10" max="12" width="12.140625" style="1" customWidth="1"/>
    <col min="13" max="13" width="5.42578125" customWidth="1"/>
    <col min="14" max="14" width="21.85546875" style="88" bestFit="1" customWidth="1"/>
    <col min="15" max="15" width="22.140625" style="1" customWidth="1"/>
    <col min="16" max="16" width="19.7109375" style="1" customWidth="1"/>
    <col min="17" max="17" width="12.85546875" style="1" bestFit="1" customWidth="1"/>
    <col min="18" max="18" width="12.28515625" style="1" bestFit="1" customWidth="1"/>
    <col min="19" max="19" width="17.85546875" bestFit="1" customWidth="1"/>
    <col min="20" max="22" width="17.85546875" customWidth="1"/>
    <col min="24" max="24" width="16.5703125" bestFit="1" customWidth="1"/>
    <col min="25" max="25" width="17.28515625" bestFit="1" customWidth="1"/>
    <col min="26" max="26" width="18" bestFit="1" customWidth="1"/>
    <col min="27" max="27" width="12.85546875" bestFit="1" customWidth="1"/>
    <col min="28" max="28" width="12.28515625" bestFit="1" customWidth="1"/>
    <col min="29" max="29" width="20.42578125" bestFit="1" customWidth="1"/>
  </cols>
  <sheetData>
    <row r="1" spans="1:29" ht="15.75" thickBot="1" x14ac:dyDescent="0.3">
      <c r="G1">
        <v>1</v>
      </c>
      <c r="I1" s="1" t="s">
        <v>823</v>
      </c>
      <c r="J1" s="1" t="s">
        <v>824</v>
      </c>
      <c r="N1" s="532" t="s">
        <v>823</v>
      </c>
      <c r="Y1" t="s">
        <v>824</v>
      </c>
    </row>
    <row r="2" spans="1:29" ht="16.5" thickBot="1" x14ac:dyDescent="0.3">
      <c r="B2" s="90" t="s">
        <v>42</v>
      </c>
      <c r="C2" s="90" t="s">
        <v>41</v>
      </c>
      <c r="D2" s="90" t="s">
        <v>45</v>
      </c>
      <c r="E2" s="90" t="s">
        <v>1</v>
      </c>
      <c r="F2" s="90" t="s">
        <v>156</v>
      </c>
      <c r="G2" s="90" t="s">
        <v>158</v>
      </c>
      <c r="H2" s="90" t="s">
        <v>156</v>
      </c>
      <c r="I2" s="90" t="s">
        <v>233</v>
      </c>
      <c r="J2" s="90" t="s">
        <v>233</v>
      </c>
      <c r="K2" s="538"/>
      <c r="L2" s="538"/>
      <c r="N2" s="89" t="s">
        <v>41</v>
      </c>
      <c r="O2" s="90" t="s">
        <v>45</v>
      </c>
      <c r="P2" s="90" t="s">
        <v>1</v>
      </c>
      <c r="Q2" s="90" t="s">
        <v>233</v>
      </c>
      <c r="R2" s="128" t="s">
        <v>156</v>
      </c>
      <c r="S2" s="128" t="s">
        <v>825</v>
      </c>
      <c r="T2" s="584"/>
      <c r="U2" s="584"/>
      <c r="V2" s="584"/>
      <c r="X2" s="89" t="s">
        <v>41</v>
      </c>
      <c r="Y2" s="90" t="s">
        <v>45</v>
      </c>
      <c r="Z2" s="90" t="s">
        <v>1</v>
      </c>
      <c r="AA2" s="90" t="s">
        <v>233</v>
      </c>
      <c r="AB2" s="128" t="s">
        <v>156</v>
      </c>
      <c r="AC2" s="128" t="s">
        <v>826</v>
      </c>
    </row>
    <row r="3" spans="1:29" ht="15.75" x14ac:dyDescent="0.25">
      <c r="A3">
        <v>1</v>
      </c>
      <c r="B3" s="70"/>
      <c r="C3" s="65" t="s">
        <v>44</v>
      </c>
      <c r="D3" s="54" t="s">
        <v>217</v>
      </c>
      <c r="E3" s="54" t="s">
        <v>219</v>
      </c>
      <c r="F3" s="54">
        <v>36.44</v>
      </c>
      <c r="G3" s="98">
        <f>$G$1</f>
        <v>1</v>
      </c>
      <c r="H3" s="149">
        <f>F3/G3</f>
        <v>36.44</v>
      </c>
      <c r="I3" s="526">
        <f>SUMIF(Цена!$E$7:$E$200,E3,Цена!$G$7:$G$200)</f>
        <v>0</v>
      </c>
      <c r="J3" s="526">
        <f>SUMIF(Расчет_ЭК!$E$16:$E$86,E3,Расчет_ЭК!$F$16:$F$86)</f>
        <v>0</v>
      </c>
      <c r="K3" s="200">
        <f>H3*I3</f>
        <v>0</v>
      </c>
      <c r="L3" s="200"/>
      <c r="M3" s="166"/>
      <c r="N3" s="436" t="str">
        <f t="array" ref="N3">IFERROR(INDEX(Общее!$C$3:$C$163,SMALL(IF(0&lt;&gt;Общее!$I$3:$I$163,ROW(Общее!$I$3:$I$163),""),ROW()-ROW(Общее!$I$2))-ROW(Общее!$I$2)),"")</f>
        <v>Автомат защиты эл/дв</v>
      </c>
      <c r="O3" s="54" t="str">
        <f t="array" ref="O3">IFERROR(INDEX(Общее!$D$3:$D$163,SMALL(IF(0&lt;&gt;Общее!$I$3:$I$163,ROW(Общее!$I$3:$I$163),""),ROW()-ROW(Общее!$I$2))-ROW(Общее!$I$2)),"")</f>
        <v>1,6…2,5</v>
      </c>
      <c r="P3" s="54" t="str">
        <f t="array" ref="P3">IFERROR(INDEX(Общее!$E$3:$E$163,SMALL(IF(0&lt;&gt;Общее!$I$3:$I$163,ROW(Общее!$I$3:$I$163),""),ROW()-ROW(Общее!$I$2))-ROW(Общее!$I$2)),"")</f>
        <v>GV2ME07</v>
      </c>
      <c r="Q3" s="54">
        <f t="array" ref="Q3">IFERROR(INDEX(Общее!$I$3:$I$163,SMALL(IF(0&lt;&gt;Общее!$I$3:$I$163,ROW(Общее!$I$3:$I$163),""),ROW()-ROW(Общее!$I$2))-ROW(Общее!$I$2)),"")</f>
        <v>1</v>
      </c>
      <c r="R3" s="105">
        <f t="array" ref="R3">IFERROR(INDEX(Общее!$H$3:$H$163,SMALL(IF(0&lt;&gt;Общее!$I$3:$I$163,ROW(Общее!$I$3:$I$163),""),ROW()-ROW(Общее!$I$2))-ROW(Общее!$I$2)),"")</f>
        <v>41.04</v>
      </c>
      <c r="S3" s="129">
        <f>IFERROR(Q3*R3,0)</f>
        <v>41.04</v>
      </c>
      <c r="T3" s="109"/>
      <c r="U3" s="109"/>
      <c r="V3" s="109"/>
      <c r="W3">
        <v>1</v>
      </c>
      <c r="X3" s="436"/>
      <c r="Y3" s="54"/>
      <c r="Z3" s="54"/>
      <c r="AA3" s="54"/>
      <c r="AB3" s="105"/>
      <c r="AC3" s="129"/>
    </row>
    <row r="4" spans="1:29" ht="15.75" x14ac:dyDescent="0.25">
      <c r="A4">
        <v>2</v>
      </c>
      <c r="B4" s="63"/>
      <c r="C4" s="3" t="s">
        <v>44</v>
      </c>
      <c r="D4" s="9" t="s">
        <v>218</v>
      </c>
      <c r="E4" s="9" t="s">
        <v>220</v>
      </c>
      <c r="F4" s="54">
        <v>36.86</v>
      </c>
      <c r="G4" s="98">
        <f t="shared" ref="G4:G20" si="0">$G$1</f>
        <v>1</v>
      </c>
      <c r="H4" s="149">
        <f t="shared" ref="H4:H20" si="1">F4/G4</f>
        <v>36.86</v>
      </c>
      <c r="I4" s="526">
        <f>SUMIF(Цена!$E$7:$E$200,E4,Цена!$G$7:$G$200)</f>
        <v>0</v>
      </c>
      <c r="J4" s="283">
        <f>SUMIF(Расчет_ЭК!$E$16:$E$86,E4,Расчет_ЭК!$F$16:$F$86)</f>
        <v>0</v>
      </c>
      <c r="K4" s="200">
        <f t="shared" ref="K4:K66" si="2">H4*I4</f>
        <v>0</v>
      </c>
      <c r="L4" s="200"/>
      <c r="M4" s="166"/>
      <c r="N4" s="436" t="str">
        <f t="array" ref="N4">IFERROR(INDEX(Общее!$C$3:$C$163,SMALL(IF(0&lt;&gt;Общее!$I$3:$I$163,ROW(Общее!$I$3:$I$163),""),ROW()-ROW(Общее!$I$2))-ROW(Общее!$I$2)),"")</f>
        <v>Доп. контакт для автомата мотор</v>
      </c>
      <c r="O4" s="54" t="str">
        <f t="array" ref="O4">IFERROR(INDEX(Общее!$D$3:$D$163,SMALL(IF(0&lt;&gt;Общее!$I$3:$I$163,ROW(Общее!$I$3:$I$163),""),ROW()-ROW(Общее!$I$2))-ROW(Общее!$I$2)),"")</f>
        <v>ДП_к_мотор</v>
      </c>
      <c r="P4" s="54" t="str">
        <f t="array" ref="P4">IFERROR(INDEX(Общее!$E$3:$E$163,SMALL(IF(0&lt;&gt;Общее!$I$3:$I$163,ROW(Общее!$I$3:$I$163),""),ROW()-ROW(Общее!$I$2))-ROW(Общее!$I$2)),"")</f>
        <v>ДП_к_мотор</v>
      </c>
      <c r="Q4" s="54">
        <f t="array" ref="Q4">IFERROR(INDEX(Общее!$I$3:$I$163,SMALL(IF(0&lt;&gt;Общее!$I$3:$I$163,ROW(Общее!$I$3:$I$163),""),ROW()-ROW(Общее!$I$2))-ROW(Общее!$I$2)),"")</f>
        <v>1</v>
      </c>
      <c r="R4" s="105">
        <f t="array" ref="R4">IFERROR(INDEX(Общее!$H$3:$H$163,SMALL(IF(0&lt;&gt;Общее!$I$3:$I$163,ROW(Общее!$I$3:$I$163),""),ROW()-ROW(Общее!$I$2))-ROW(Общее!$I$2)),"")</f>
        <v>21.34</v>
      </c>
      <c r="S4" s="129">
        <f t="shared" ref="S4:S42" si="3">IFERROR(Q4*R4,0)</f>
        <v>21.34</v>
      </c>
      <c r="T4" s="109"/>
      <c r="U4" s="109"/>
      <c r="V4" s="109"/>
      <c r="W4">
        <v>2</v>
      </c>
      <c r="X4" s="436"/>
      <c r="Y4" s="54"/>
      <c r="Z4" s="54"/>
      <c r="AA4" s="54"/>
      <c r="AB4" s="105"/>
      <c r="AC4" s="129"/>
    </row>
    <row r="5" spans="1:29" ht="15.75" x14ac:dyDescent="0.25">
      <c r="A5">
        <v>3</v>
      </c>
      <c r="B5" s="3" t="s">
        <v>43</v>
      </c>
      <c r="C5" s="3" t="s">
        <v>44</v>
      </c>
      <c r="D5" s="9" t="s">
        <v>3</v>
      </c>
      <c r="E5" s="9" t="s">
        <v>2</v>
      </c>
      <c r="F5" s="54">
        <v>54.31</v>
      </c>
      <c r="G5" s="98">
        <f t="shared" si="0"/>
        <v>1</v>
      </c>
      <c r="H5" s="149">
        <f t="shared" si="1"/>
        <v>54.31</v>
      </c>
      <c r="I5" s="526">
        <f>SUMIF(Цена!$E$7:$E$200,E5,Цена!$G$7:$G$200)</f>
        <v>0</v>
      </c>
      <c r="J5" s="283">
        <f>SUMIF(Расчет_ЭК!$E$16:$E$86,E5,Расчет_ЭК!$F$16:$F$86)</f>
        <v>0</v>
      </c>
      <c r="K5" s="200">
        <f t="shared" si="2"/>
        <v>0</v>
      </c>
      <c r="L5" s="200"/>
      <c r="M5" s="166"/>
      <c r="N5" s="436" t="str">
        <f t="array" ref="N5">IFERROR(INDEX(Общее!$C$3:$C$163,SMALL(IF(0&lt;&gt;Общее!$I$3:$I$163,ROW(Общее!$I$3:$I$163),""),ROW()-ROW(Общее!$I$2))-ROW(Общее!$I$2)),"")</f>
        <v>Автомат. Выключатель 1п</v>
      </c>
      <c r="O5" s="54">
        <f t="array" ref="O5">IFERROR(INDEX(Общее!$D$3:$D$163,SMALL(IF(0&lt;&gt;Общее!$I$3:$I$163,ROW(Общее!$I$3:$I$163),""),ROW()-ROW(Общее!$I$2))-ROW(Общее!$I$2)),"")</f>
        <v>16</v>
      </c>
      <c r="P5" s="54" t="str">
        <f t="array" ref="P5">IFERROR(INDEX(Общее!$E$3:$E$163,SMALL(IF(0&lt;&gt;Общее!$I$3:$I$163,ROW(Общее!$I$3:$I$163),""),ROW()-ROW(Общее!$I$2))-ROW(Общее!$I$2)),"")</f>
        <v>16А 1п.</v>
      </c>
      <c r="Q5" s="54">
        <f t="array" ref="Q5">IFERROR(INDEX(Общее!$I$3:$I$163,SMALL(IF(0&lt;&gt;Общее!$I$3:$I$163,ROW(Общее!$I$3:$I$163),""),ROW()-ROW(Общее!$I$2))-ROW(Общее!$I$2)),"")</f>
        <v>2</v>
      </c>
      <c r="R5" s="105">
        <f t="array" ref="R5">IFERROR(INDEX(Общее!$H$3:$H$163,SMALL(IF(0&lt;&gt;Общее!$I$3:$I$163,ROW(Общее!$I$3:$I$163),""),ROW()-ROW(Общее!$I$2))-ROW(Общее!$I$2)),"")</f>
        <v>9.0299999999999994</v>
      </c>
      <c r="S5" s="129">
        <f t="shared" si="3"/>
        <v>18.059999999999999</v>
      </c>
      <c r="T5" s="109"/>
      <c r="U5" s="109"/>
      <c r="V5" s="109"/>
      <c r="W5">
        <v>3</v>
      </c>
      <c r="X5" s="436"/>
      <c r="Y5" s="54"/>
      <c r="Z5" s="54"/>
      <c r="AA5" s="54"/>
      <c r="AB5" s="105"/>
      <c r="AC5" s="129"/>
    </row>
    <row r="6" spans="1:29" ht="15.75" x14ac:dyDescent="0.25">
      <c r="A6">
        <v>4</v>
      </c>
      <c r="B6" s="3"/>
      <c r="C6" s="3" t="s">
        <v>44</v>
      </c>
      <c r="D6" s="9" t="s">
        <v>6</v>
      </c>
      <c r="E6" s="9" t="s">
        <v>5</v>
      </c>
      <c r="F6" s="54">
        <v>65.11</v>
      </c>
      <c r="G6" s="98">
        <f t="shared" si="0"/>
        <v>1</v>
      </c>
      <c r="H6" s="149">
        <f t="shared" si="1"/>
        <v>65.11</v>
      </c>
      <c r="I6" s="526">
        <f>SUMIF(Цена!$E$7:$E$200,E6,Цена!$G$7:$G$200)</f>
        <v>0</v>
      </c>
      <c r="J6" s="283">
        <f>SUMIF(Расчет_ЭК!$E$16:$E$86,E6,Расчет_ЭК!$F$16:$F$86)</f>
        <v>0</v>
      </c>
      <c r="K6" s="200">
        <f t="shared" si="2"/>
        <v>0</v>
      </c>
      <c r="L6" s="200"/>
      <c r="M6" s="166"/>
      <c r="N6" s="436" t="str">
        <f t="array" ref="N6">IFERROR(INDEX(Общее!$C$3:$C$163,SMALL(IF(0&lt;&gt;Общее!$I$3:$I$163,ROW(Общее!$I$3:$I$163),""),ROW()-ROW(Общее!$I$2))-ROW(Общее!$I$2)),"")</f>
        <v>Контактор</v>
      </c>
      <c r="O6" s="54">
        <f t="array" ref="O6">IFERROR(INDEX(Общее!$D$3:$D$163,SMALL(IF(0&lt;&gt;Общее!$I$3:$I$163,ROW(Общее!$I$3:$I$163),""),ROW()-ROW(Общее!$I$2))-ROW(Общее!$I$2)),"")</f>
        <v>9</v>
      </c>
      <c r="P6" s="54" t="str">
        <f t="array" ref="P6">IFERROR(INDEX(Общее!$E$3:$E$163,SMALL(IF(0&lt;&gt;Общее!$I$3:$I$163,ROW(Общее!$I$3:$I$163),""),ROW()-ROW(Общее!$I$2))-ROW(Общее!$I$2)),"")</f>
        <v>LC1D09P7</v>
      </c>
      <c r="Q6" s="54">
        <f t="array" ref="Q6">IFERROR(INDEX(Общее!$I$3:$I$163,SMALL(IF(0&lt;&gt;Общее!$I$3:$I$163,ROW(Общее!$I$3:$I$163),""),ROW()-ROW(Общее!$I$2))-ROW(Общее!$I$2)),"")</f>
        <v>1</v>
      </c>
      <c r="R6" s="105">
        <f t="array" ref="R6">IFERROR(INDEX(Общее!$H$3:$H$163,SMALL(IF(0&lt;&gt;Общее!$I$3:$I$163,ROW(Общее!$I$3:$I$163),""),ROW()-ROW(Общее!$I$2))-ROW(Общее!$I$2)),"")</f>
        <v>23.74</v>
      </c>
      <c r="S6" s="129">
        <f t="shared" si="3"/>
        <v>23.74</v>
      </c>
      <c r="T6" s="109"/>
      <c r="U6" s="109"/>
      <c r="V6" s="109"/>
      <c r="W6">
        <v>4</v>
      </c>
      <c r="X6" s="436"/>
      <c r="Y6" s="54"/>
      <c r="Z6" s="54"/>
      <c r="AA6" s="54"/>
      <c r="AB6" s="105"/>
      <c r="AC6" s="129"/>
    </row>
    <row r="7" spans="1:29" ht="15.75" x14ac:dyDescent="0.25">
      <c r="A7">
        <v>5</v>
      </c>
      <c r="B7" s="3"/>
      <c r="C7" s="3" t="s">
        <v>44</v>
      </c>
      <c r="D7" s="9" t="s">
        <v>8</v>
      </c>
      <c r="E7" s="9" t="s">
        <v>7</v>
      </c>
      <c r="F7" s="54">
        <v>41.04</v>
      </c>
      <c r="G7" s="98">
        <f t="shared" si="0"/>
        <v>1</v>
      </c>
      <c r="H7" s="149">
        <f t="shared" si="1"/>
        <v>41.04</v>
      </c>
      <c r="I7" s="526">
        <f>SUMIF(Цена!$E$7:$E$200,E7,Цена!$G$7:$G$200)</f>
        <v>1</v>
      </c>
      <c r="J7" s="283">
        <f>SUMIF(Расчет_ЭК!$E$16:$E$86,E7,Расчет_ЭК!$F$16:$F$86)</f>
        <v>0</v>
      </c>
      <c r="K7" s="200">
        <f t="shared" si="2"/>
        <v>41.04</v>
      </c>
      <c r="L7" s="200"/>
      <c r="M7" s="166"/>
      <c r="N7" s="436" t="str">
        <f t="array" ref="N7">IFERROR(INDEX(Общее!$C$3:$C$163,SMALL(IF(0&lt;&gt;Общее!$I$3:$I$163,ROW(Общее!$I$3:$I$163),""),ROW()-ROW(Общее!$I$2))-ROW(Общее!$I$2)),"")</f>
        <v>Реле промеж., 2пер.конт</v>
      </c>
      <c r="O7" s="54" t="str">
        <f t="array" ref="O7">IFERROR(INDEX(Общее!$D$3:$D$163,SMALL(IF(0&lt;&gt;Общее!$I$3:$I$163,ROW(Общее!$I$3:$I$163),""),ROW()-ROW(Общее!$I$2))-ROW(Общее!$I$2)),"")</f>
        <v>2СО, 230В</v>
      </c>
      <c r="P7" s="54" t="str">
        <f t="array" ref="P7">IFERROR(INDEX(Общее!$E$3:$E$163,SMALL(IF(0&lt;&gt;Общее!$I$3:$I$163,ROW(Общее!$I$3:$I$163),""),ROW()-ROW(Общее!$I$2))-ROW(Общее!$I$2)),"")</f>
        <v>Р_2_230</v>
      </c>
      <c r="Q7" s="54">
        <f t="array" ref="Q7">IFERROR(INDEX(Общее!$I$3:$I$163,SMALL(IF(0&lt;&gt;Общее!$I$3:$I$163,ROW(Общее!$I$3:$I$163),""),ROW()-ROW(Общее!$I$2))-ROW(Общее!$I$2)),"")</f>
        <v>3</v>
      </c>
      <c r="R7" s="105">
        <f t="array" ref="R7">IFERROR(INDEX(Общее!$H$3:$H$163,SMALL(IF(0&lt;&gt;Общее!$I$3:$I$163,ROW(Общее!$I$3:$I$163),""),ROW()-ROW(Общее!$I$2))-ROW(Общее!$I$2)),"")</f>
        <v>14.63</v>
      </c>
      <c r="S7" s="129">
        <f t="shared" si="3"/>
        <v>43.89</v>
      </c>
      <c r="T7" s="109"/>
      <c r="U7" s="109"/>
      <c r="V7" s="109"/>
      <c r="W7">
        <v>5</v>
      </c>
      <c r="X7" s="436"/>
      <c r="Y7" s="54"/>
      <c r="Z7" s="54"/>
      <c r="AA7" s="54"/>
      <c r="AB7" s="105"/>
      <c r="AC7" s="129"/>
    </row>
    <row r="8" spans="1:29" ht="15.75" x14ac:dyDescent="0.25">
      <c r="A8">
        <v>6</v>
      </c>
      <c r="B8" s="3"/>
      <c r="C8" s="3" t="s">
        <v>44</v>
      </c>
      <c r="D8" s="9" t="s">
        <v>10</v>
      </c>
      <c r="E8" s="9" t="s">
        <v>9</v>
      </c>
      <c r="F8" s="54">
        <v>40.049999999999997</v>
      </c>
      <c r="G8" s="98">
        <f t="shared" si="0"/>
        <v>1</v>
      </c>
      <c r="H8" s="149">
        <f t="shared" si="1"/>
        <v>40.049999999999997</v>
      </c>
      <c r="I8" s="526">
        <f>SUMIF(Цена!$E$7:$E$200,E8,Цена!$G$7:$G$200)</f>
        <v>0</v>
      </c>
      <c r="J8" s="283">
        <f>SUMIF(Расчет_ЭК!$E$16:$E$86,E8,Расчет_ЭК!$F$16:$F$86)</f>
        <v>0</v>
      </c>
      <c r="K8" s="200">
        <f t="shared" si="2"/>
        <v>0</v>
      </c>
      <c r="L8" s="200"/>
      <c r="M8" s="166"/>
      <c r="N8" s="436" t="str">
        <f t="array" ref="N8">IFERROR(INDEX(Общее!$C$3:$C$163,SMALL(IF(0&lt;&gt;Общее!$I$3:$I$163,ROW(Общее!$I$3:$I$163),""),ROW()-ROW(Общее!$I$2))-ROW(Общее!$I$2)),"")</f>
        <v>Клемма</v>
      </c>
      <c r="O8" s="54">
        <f t="array" ref="O8">IFERROR(INDEX(Общее!$D$3:$D$163,SMALL(IF(0&lt;&gt;Общее!$I$3:$I$163,ROW(Общее!$I$3:$I$163),""),ROW()-ROW(Общее!$I$2))-ROW(Общее!$I$2)),"")</f>
        <v>2.5</v>
      </c>
      <c r="P8" s="54" t="str">
        <f t="array" ref="P8">IFERROR(INDEX(Общее!$E$3:$E$163,SMALL(IF(0&lt;&gt;Общее!$I$3:$I$163,ROW(Общее!$I$3:$I$163),""),ROW()-ROW(Общее!$I$2))-ROW(Общее!$I$2)),"")</f>
        <v>Клемма2,5</v>
      </c>
      <c r="Q8" s="54">
        <f t="array" ref="Q8">IFERROR(INDEX(Общее!$I$3:$I$163,SMALL(IF(0&lt;&gt;Общее!$I$3:$I$163,ROW(Общее!$I$3:$I$163),""),ROW()-ROW(Общее!$I$2))-ROW(Общее!$I$2)),"")</f>
        <v>41</v>
      </c>
      <c r="R8" s="105">
        <f t="array" ref="R8">IFERROR(INDEX(Общее!$H$3:$H$163,SMALL(IF(0&lt;&gt;Общее!$I$3:$I$163,ROW(Общее!$I$3:$I$163),""),ROW()-ROW(Общее!$I$2))-ROW(Общее!$I$2)),"")</f>
        <v>0.63</v>
      </c>
      <c r="S8" s="129">
        <f t="shared" si="3"/>
        <v>25.830000000000002</v>
      </c>
      <c r="T8" s="109"/>
      <c r="U8" s="109"/>
      <c r="V8" s="109"/>
      <c r="W8">
        <v>6</v>
      </c>
      <c r="X8" s="436"/>
      <c r="Y8" s="54"/>
      <c r="Z8" s="54"/>
      <c r="AA8" s="54"/>
      <c r="AB8" s="105"/>
      <c r="AC8" s="129"/>
    </row>
    <row r="9" spans="1:29" ht="15.75" x14ac:dyDescent="0.25">
      <c r="A9">
        <v>7</v>
      </c>
      <c r="B9" s="3"/>
      <c r="C9" s="3" t="s">
        <v>44</v>
      </c>
      <c r="D9" s="9" t="s">
        <v>12</v>
      </c>
      <c r="E9" s="9" t="s">
        <v>11</v>
      </c>
      <c r="F9" s="54">
        <v>58.52</v>
      </c>
      <c r="G9" s="98">
        <f t="shared" si="0"/>
        <v>1</v>
      </c>
      <c r="H9" s="149">
        <f t="shared" si="1"/>
        <v>58.52</v>
      </c>
      <c r="I9" s="526">
        <f>SUMIF(Цена!$E$7:$E$200,E9,Цена!$G$7:$G$200)</f>
        <v>0</v>
      </c>
      <c r="J9" s="283">
        <f>SUMIF(Расчет_ЭК!$E$16:$E$86,E9,Расчет_ЭК!$F$16:$F$86)</f>
        <v>0</v>
      </c>
      <c r="K9" s="200">
        <f t="shared" si="2"/>
        <v>0</v>
      </c>
      <c r="L9" s="200"/>
      <c r="M9" s="166"/>
      <c r="N9" s="436" t="str">
        <f t="array" ref="N9">IFERROR(INDEX(Общее!$C$3:$C$163,SMALL(IF(0&lt;&gt;Общее!$I$3:$I$163,ROW(Общее!$I$3:$I$163),""),ROW()-ROW(Общее!$I$2))-ROW(Общее!$I$2)),"")</f>
        <v>Клемма</v>
      </c>
      <c r="O9" s="54">
        <f t="array" ref="O9">IFERROR(INDEX(Общее!$D$3:$D$163,SMALL(IF(0&lt;&gt;Общее!$I$3:$I$163,ROW(Общее!$I$3:$I$163),""),ROW()-ROW(Общее!$I$2))-ROW(Общее!$I$2)),"")</f>
        <v>6</v>
      </c>
      <c r="P9" s="54" t="str">
        <f t="array" ref="P9">IFERROR(INDEX(Общее!$E$3:$E$163,SMALL(IF(0&lt;&gt;Общее!$I$3:$I$163,ROW(Общее!$I$3:$I$163),""),ROW()-ROW(Общее!$I$2))-ROW(Общее!$I$2)),"")</f>
        <v>Клемма6</v>
      </c>
      <c r="Q9" s="54">
        <f t="array" ref="Q9">IFERROR(INDEX(Общее!$I$3:$I$163,SMALL(IF(0&lt;&gt;Общее!$I$3:$I$163,ROW(Общее!$I$3:$I$163),""),ROW()-ROW(Общее!$I$2))-ROW(Общее!$I$2)),"")</f>
        <v>3</v>
      </c>
      <c r="R9" s="105">
        <f t="array" ref="R9">IFERROR(INDEX(Общее!$H$3:$H$163,SMALL(IF(0&lt;&gt;Общее!$I$3:$I$163,ROW(Общее!$I$3:$I$163),""),ROW()-ROW(Общее!$I$2))-ROW(Общее!$I$2)),"")</f>
        <v>1.22</v>
      </c>
      <c r="S9" s="129">
        <f t="shared" si="3"/>
        <v>3.66</v>
      </c>
      <c r="T9" s="109"/>
      <c r="U9" s="109"/>
      <c r="V9" s="109"/>
      <c r="W9">
        <v>7</v>
      </c>
      <c r="X9" s="436"/>
      <c r="Y9" s="54"/>
      <c r="Z9" s="54"/>
      <c r="AA9" s="54"/>
      <c r="AB9" s="105"/>
      <c r="AC9" s="129"/>
    </row>
    <row r="10" spans="1:29" ht="15.75" x14ac:dyDescent="0.25">
      <c r="A10">
        <v>8</v>
      </c>
      <c r="B10" s="3"/>
      <c r="C10" s="3" t="s">
        <v>44</v>
      </c>
      <c r="D10" s="9" t="s">
        <v>14</v>
      </c>
      <c r="E10" s="9" t="s">
        <v>13</v>
      </c>
      <c r="F10" s="54">
        <v>89.67</v>
      </c>
      <c r="G10" s="98">
        <f t="shared" si="0"/>
        <v>1</v>
      </c>
      <c r="H10" s="149">
        <f t="shared" si="1"/>
        <v>89.67</v>
      </c>
      <c r="I10" s="526">
        <f>SUMIF(Цена!$E$7:$E$200,E10,Цена!$G$7:$G$200)</f>
        <v>0</v>
      </c>
      <c r="J10" s="283">
        <f>SUMIF(Расчет_ЭК!$E$16:$E$86,E10,Расчет_ЭК!$F$16:$F$86)</f>
        <v>0</v>
      </c>
      <c r="K10" s="200">
        <f t="shared" si="2"/>
        <v>0</v>
      </c>
      <c r="L10" s="200"/>
      <c r="M10" s="166"/>
      <c r="N10" s="436" t="str">
        <f t="array" ref="N10">IFERROR(INDEX(Общее!$C$3:$C$163,SMALL(IF(0&lt;&gt;Общее!$I$3:$I$163,ROW(Общее!$I$3:$I$163),""),ROW()-ROW(Общее!$I$2))-ROW(Общее!$I$2)),"")</f>
        <v>Клемма N</v>
      </c>
      <c r="O10" s="54">
        <f t="array" ref="O10">IFERROR(INDEX(Общее!$D$3:$D$163,SMALL(IF(0&lt;&gt;Общее!$I$3:$I$163,ROW(Общее!$I$3:$I$163),""),ROW()-ROW(Общее!$I$2))-ROW(Общее!$I$2)),"")</f>
        <v>2.5</v>
      </c>
      <c r="P10" s="54" t="str">
        <f t="array" ref="P10">IFERROR(INDEX(Общее!$E$3:$E$163,SMALL(IF(0&lt;&gt;Общее!$I$3:$I$163,ROW(Общее!$I$3:$I$163),""),ROW()-ROW(Общее!$I$2))-ROW(Общее!$I$2)),"")</f>
        <v>Клемма N2,5</v>
      </c>
      <c r="Q10" s="54">
        <f t="array" ref="Q10">IFERROR(INDEX(Общее!$I$3:$I$163,SMALL(IF(0&lt;&gt;Общее!$I$3:$I$163,ROW(Общее!$I$3:$I$163),""),ROW()-ROW(Общее!$I$2))-ROW(Общее!$I$2)),"")</f>
        <v>4</v>
      </c>
      <c r="R10" s="105">
        <f t="array" ref="R10">IFERROR(INDEX(Общее!$H$3:$H$163,SMALL(IF(0&lt;&gt;Общее!$I$3:$I$163,ROW(Общее!$I$3:$I$163),""),ROW()-ROW(Общее!$I$2))-ROW(Общее!$I$2)),"")</f>
        <v>0.62</v>
      </c>
      <c r="S10" s="129">
        <f t="shared" si="3"/>
        <v>2.48</v>
      </c>
      <c r="T10" s="109"/>
      <c r="U10" s="109"/>
      <c r="V10" s="109"/>
      <c r="W10">
        <v>8</v>
      </c>
      <c r="X10" s="436"/>
      <c r="Y10" s="54"/>
      <c r="Z10" s="54"/>
      <c r="AA10" s="54"/>
      <c r="AB10" s="105"/>
      <c r="AC10" s="129"/>
    </row>
    <row r="11" spans="1:29" ht="15.75" x14ac:dyDescent="0.25">
      <c r="A11">
        <v>9</v>
      </c>
      <c r="B11" s="3"/>
      <c r="C11" s="3" t="s">
        <v>44</v>
      </c>
      <c r="D11" s="9" t="s">
        <v>17</v>
      </c>
      <c r="E11" s="9" t="s">
        <v>16</v>
      </c>
      <c r="F11" s="54">
        <v>61.05</v>
      </c>
      <c r="G11" s="98">
        <f t="shared" si="0"/>
        <v>1</v>
      </c>
      <c r="H11" s="149">
        <f t="shared" si="1"/>
        <v>61.05</v>
      </c>
      <c r="I11" s="526">
        <f>SUMIF(Цена!$E$7:$E$200,E11,Цена!$G$7:$G$200)</f>
        <v>0</v>
      </c>
      <c r="J11" s="283">
        <f>SUMIF(Расчет_ЭК!$E$16:$E$86,E11,Расчет_ЭК!$F$16:$F$86)</f>
        <v>0</v>
      </c>
      <c r="K11" s="200">
        <f t="shared" si="2"/>
        <v>0</v>
      </c>
      <c r="L11" s="200"/>
      <c r="M11" s="166"/>
      <c r="N11" s="436" t="str">
        <f t="array" ref="N11">IFERROR(INDEX(Общее!$C$3:$C$163,SMALL(IF(0&lt;&gt;Общее!$I$3:$I$163,ROW(Общее!$I$3:$I$163),""),ROW()-ROW(Общее!$I$2))-ROW(Общее!$I$2)),"")</f>
        <v>Клемма N</v>
      </c>
      <c r="O11" s="54">
        <f t="array" ref="O11">IFERROR(INDEX(Общее!$D$3:$D$163,SMALL(IF(0&lt;&gt;Общее!$I$3:$I$163,ROW(Общее!$I$3:$I$163),""),ROW()-ROW(Общее!$I$2))-ROW(Общее!$I$2)),"")</f>
        <v>6</v>
      </c>
      <c r="P11" s="54" t="str">
        <f t="array" ref="P11">IFERROR(INDEX(Общее!$E$3:$E$163,SMALL(IF(0&lt;&gt;Общее!$I$3:$I$163,ROW(Общее!$I$3:$I$163),""),ROW()-ROW(Общее!$I$2))-ROW(Общее!$I$2)),"")</f>
        <v>Клемма N6</v>
      </c>
      <c r="Q11" s="54">
        <f t="array" ref="Q11">IFERROR(INDEX(Общее!$I$3:$I$163,SMALL(IF(0&lt;&gt;Общее!$I$3:$I$163,ROW(Общее!$I$3:$I$163),""),ROW()-ROW(Общее!$I$2))-ROW(Общее!$I$2)),"")</f>
        <v>1</v>
      </c>
      <c r="R11" s="105">
        <f t="array" ref="R11">IFERROR(INDEX(Общее!$H$3:$H$163,SMALL(IF(0&lt;&gt;Общее!$I$3:$I$163,ROW(Общее!$I$3:$I$163),""),ROW()-ROW(Общее!$I$2))-ROW(Общее!$I$2)),"")</f>
        <v>1.23</v>
      </c>
      <c r="S11" s="129">
        <f t="shared" si="3"/>
        <v>1.23</v>
      </c>
      <c r="T11" s="109">
        <v>5.2</v>
      </c>
      <c r="U11" s="109">
        <f>Q11*T11</f>
        <v>5.2</v>
      </c>
      <c r="V11" s="109"/>
      <c r="W11">
        <v>9</v>
      </c>
      <c r="X11" s="436"/>
      <c r="Y11" s="54"/>
      <c r="Z11" s="54"/>
      <c r="AA11" s="54"/>
      <c r="AB11" s="105"/>
      <c r="AC11" s="129"/>
    </row>
    <row r="12" spans="1:29" ht="15.75" x14ac:dyDescent="0.25">
      <c r="A12">
        <v>10</v>
      </c>
      <c r="B12" s="3"/>
      <c r="C12" s="3" t="s">
        <v>44</v>
      </c>
      <c r="D12" s="9" t="s">
        <v>20</v>
      </c>
      <c r="E12" s="9" t="s">
        <v>19</v>
      </c>
      <c r="F12" s="54">
        <v>66.77</v>
      </c>
      <c r="G12" s="98">
        <f t="shared" si="0"/>
        <v>1</v>
      </c>
      <c r="H12" s="149">
        <f t="shared" si="1"/>
        <v>66.77</v>
      </c>
      <c r="I12" s="526">
        <f>SUMIF(Цена!$E$7:$E$200,E12,Цена!$G$7:$G$200)</f>
        <v>0</v>
      </c>
      <c r="J12" s="283">
        <f>SUMIF(Расчет_ЭК!$E$16:$E$86,E12,Расчет_ЭК!$F$16:$F$86)</f>
        <v>0</v>
      </c>
      <c r="K12" s="200">
        <f t="shared" si="2"/>
        <v>0</v>
      </c>
      <c r="L12" s="200"/>
      <c r="M12" s="166"/>
      <c r="N12" s="436" t="str">
        <f t="array" ref="N12">IFERROR(INDEX(Общее!$C$3:$C$163,SMALL(IF(0&lt;&gt;Общее!$I$3:$I$163,ROW(Общее!$I$3:$I$163),""),ROW()-ROW(Общее!$I$2))-ROW(Общее!$I$2)),"")</f>
        <v>Клемма PE</v>
      </c>
      <c r="O12" s="54">
        <f t="array" ref="O12">IFERROR(INDEX(Общее!$D$3:$D$163,SMALL(IF(0&lt;&gt;Общее!$I$3:$I$163,ROW(Общее!$I$3:$I$163),""),ROW()-ROW(Общее!$I$2))-ROW(Общее!$I$2)),"")</f>
        <v>2.5</v>
      </c>
      <c r="P12" s="54" t="str">
        <f t="array" ref="P12">IFERROR(INDEX(Общее!$E$3:$E$163,SMALL(IF(0&lt;&gt;Общее!$I$3:$I$163,ROW(Общее!$I$3:$I$163),""),ROW()-ROW(Общее!$I$2))-ROW(Общее!$I$2)),"")</f>
        <v>Клемма PE2,5</v>
      </c>
      <c r="Q12" s="54">
        <f t="array" ref="Q12">IFERROR(INDEX(Общее!$I$3:$I$163,SMALL(IF(0&lt;&gt;Общее!$I$3:$I$163,ROW(Общее!$I$3:$I$163),""),ROW()-ROW(Общее!$I$2))-ROW(Общее!$I$2)),"")</f>
        <v>8</v>
      </c>
      <c r="R12" s="105">
        <f t="array" ref="R12">IFERROR(INDEX(Общее!$H$3:$H$163,SMALL(IF(0&lt;&gt;Общее!$I$3:$I$163,ROW(Общее!$I$3:$I$163),""),ROW()-ROW(Общее!$I$2))-ROW(Общее!$I$2)),"")</f>
        <v>1.87</v>
      </c>
      <c r="S12" s="129">
        <f t="shared" si="3"/>
        <v>14.96</v>
      </c>
      <c r="T12" s="109"/>
      <c r="U12" s="109"/>
      <c r="V12" s="109"/>
      <c r="W12">
        <v>10</v>
      </c>
      <c r="X12" s="436" t="str">
        <f t="array" ref="X12">IFERROR(INDEX(Общее!$C$3:$C$152,SMALL(IF(0&lt;&gt;Общее!$J$3:$J$152,ROW(Общее!$J$3:$J$152),""),ROW()-ROW(Общее!$J$2))-ROW(Общее!$J$2)),"")</f>
        <v/>
      </c>
      <c r="Y12" s="54" t="str">
        <f t="array" ref="Y12">IFERROR(INDEX(Общее!$D$3:$D$152,SMALL(IF(0&lt;&gt;Общее!$J$3:$J$152,ROW(Общее!$J$3:$J$152),""),ROW()-ROW(Общее!$J$2))-ROW(Общее!$J$2)),"")</f>
        <v/>
      </c>
      <c r="Z12" s="54" t="str">
        <f t="array" ref="Z12">IFERROR(INDEX(Общее!$E$3:$E$152,SMALL(IF(0&lt;&gt;Общее!$J$3:$J$152,ROW(Общее!$J$3:$J$152),""),ROW()-ROW(Общее!$J$2))-ROW(Общее!$J$2)),"")</f>
        <v/>
      </c>
      <c r="AA12" s="54" t="str">
        <f t="array" ref="AA12">IFERROR(INDEX(Общее!$J$3:$J$152,SMALL(IF(0&lt;&gt;Общее!$J$3:$J$152,ROW(Общее!$J$3:$J$152),""),ROW()-ROW(Общее!$J$2))-ROW(Общее!$J$2)),"")</f>
        <v/>
      </c>
      <c r="AB12" s="105" t="str">
        <f t="array" ref="AB12">IFERROR(INDEX(Общее!$H$3:$H$152,SMALL(IF(0&lt;&gt;Общее!$J$3:$J$152,ROW(Общее!$J$3:$J$152),""),ROW()-ROW(Общее!$J$2))-ROW(Общее!$J$2)),"")</f>
        <v/>
      </c>
      <c r="AC12" s="129">
        <f t="shared" ref="AC12:AC42" si="4">IFERROR(AA12*AB12,0)</f>
        <v>0</v>
      </c>
    </row>
    <row r="13" spans="1:29" ht="15.75" x14ac:dyDescent="0.25">
      <c r="A13">
        <v>11</v>
      </c>
      <c r="B13" s="3"/>
      <c r="C13" s="3" t="s">
        <v>44</v>
      </c>
      <c r="D13" s="9" t="s">
        <v>22</v>
      </c>
      <c r="E13" s="9" t="s">
        <v>21</v>
      </c>
      <c r="F13" s="54">
        <v>69.14</v>
      </c>
      <c r="G13" s="98">
        <f t="shared" si="0"/>
        <v>1</v>
      </c>
      <c r="H13" s="149">
        <f t="shared" si="1"/>
        <v>69.14</v>
      </c>
      <c r="I13" s="526">
        <f>SUMIF(Цена!$E$7:$E$200,E13,Цена!$G$7:$G$200)</f>
        <v>0</v>
      </c>
      <c r="J13" s="283">
        <f>SUMIF(Расчет_ЭК!$E$16:$E$86,E13,Расчет_ЭК!$F$16:$F$86)</f>
        <v>0</v>
      </c>
      <c r="K13" s="200">
        <f t="shared" si="2"/>
        <v>0</v>
      </c>
      <c r="L13" s="200"/>
      <c r="M13" s="166"/>
      <c r="N13" s="436" t="str">
        <f t="array" ref="N13">IFERROR(INDEX(Общее!$C$3:$C$163,SMALL(IF(0&lt;&gt;Общее!$I$3:$I$163,ROW(Общее!$I$3:$I$163),""),ROW()-ROW(Общее!$I$2))-ROW(Общее!$I$2)),"")</f>
        <v>Клемма PE</v>
      </c>
      <c r="O13" s="54">
        <f t="array" ref="O13">IFERROR(INDEX(Общее!$D$3:$D$163,SMALL(IF(0&lt;&gt;Общее!$I$3:$I$163,ROW(Общее!$I$3:$I$163),""),ROW()-ROW(Общее!$I$2))-ROW(Общее!$I$2)),"")</f>
        <v>6</v>
      </c>
      <c r="P13" s="54" t="str">
        <f t="array" ref="P13">IFERROR(INDEX(Общее!$E$3:$E$163,SMALL(IF(0&lt;&gt;Общее!$I$3:$I$163,ROW(Общее!$I$3:$I$163),""),ROW()-ROW(Общее!$I$2))-ROW(Общее!$I$2)),"")</f>
        <v>Клемма PE6</v>
      </c>
      <c r="Q13" s="54">
        <f t="array" ref="Q13">IFERROR(INDEX(Общее!$I$3:$I$163,SMALL(IF(0&lt;&gt;Общее!$I$3:$I$163,ROW(Общее!$I$3:$I$163),""),ROW()-ROW(Общее!$I$2))-ROW(Общее!$I$2)),"")</f>
        <v>1</v>
      </c>
      <c r="R13" s="105">
        <f t="array" ref="R13">IFERROR(INDEX(Общее!$H$3:$H$163,SMALL(IF(0&lt;&gt;Общее!$I$3:$I$163,ROW(Общее!$I$3:$I$163),""),ROW()-ROW(Общее!$I$2))-ROW(Общее!$I$2)),"")</f>
        <v>3.4</v>
      </c>
      <c r="S13" s="129">
        <f t="shared" si="3"/>
        <v>3.4</v>
      </c>
      <c r="T13" s="109"/>
      <c r="U13" s="109"/>
      <c r="V13" s="109"/>
      <c r="W13">
        <v>11</v>
      </c>
      <c r="X13" s="436" t="str">
        <f t="array" ref="X13">IFERROR(INDEX(Общее!$C$3:$C$152,SMALL(IF(0&lt;&gt;Общее!$J$3:$J$152,ROW(Общее!$J$3:$J$152),""),ROW()-ROW(Общее!$J$2))-ROW(Общее!$J$2)),"")</f>
        <v/>
      </c>
      <c r="Y13" s="54" t="str">
        <f t="array" ref="Y13">IFERROR(INDEX(Общее!$D$3:$D$152,SMALL(IF(0&lt;&gt;Общее!$J$3:$J$152,ROW(Общее!$J$3:$J$152),""),ROW()-ROW(Общее!$J$2))-ROW(Общее!$J$2)),"")</f>
        <v/>
      </c>
      <c r="Z13" s="54" t="str">
        <f t="array" ref="Z13">IFERROR(INDEX(Общее!$E$3:$E$152,SMALL(IF(0&lt;&gt;Общее!$J$3:$J$152,ROW(Общее!$J$3:$J$152),""),ROW()-ROW(Общее!$J$2))-ROW(Общее!$J$2)),"")</f>
        <v/>
      </c>
      <c r="AA13" s="54" t="str">
        <f t="array" ref="AA13">IFERROR(INDEX(Общее!$J$3:$J$152,SMALL(IF(0&lt;&gt;Общее!$J$3:$J$152,ROW(Общее!$J$3:$J$152),""),ROW()-ROW(Общее!$J$2))-ROW(Общее!$J$2)),"")</f>
        <v/>
      </c>
      <c r="AB13" s="105" t="str">
        <f t="array" ref="AB13">IFERROR(INDEX(Общее!$H$3:$H$152,SMALL(IF(0&lt;&gt;Общее!$J$3:$J$152,ROW(Общее!$J$3:$J$152),""),ROW()-ROW(Общее!$J$2))-ROW(Общее!$J$2)),"")</f>
        <v/>
      </c>
      <c r="AC13" s="129">
        <f t="shared" si="4"/>
        <v>0</v>
      </c>
    </row>
    <row r="14" spans="1:29" ht="15.75" x14ac:dyDescent="0.25">
      <c r="A14">
        <v>12</v>
      </c>
      <c r="B14" s="3"/>
      <c r="C14" s="3" t="s">
        <v>44</v>
      </c>
      <c r="D14" s="9" t="s">
        <v>25</v>
      </c>
      <c r="E14" s="9" t="s">
        <v>24</v>
      </c>
      <c r="F14" s="54">
        <v>78.12</v>
      </c>
      <c r="G14" s="98">
        <f t="shared" si="0"/>
        <v>1</v>
      </c>
      <c r="H14" s="149">
        <f t="shared" si="1"/>
        <v>78.12</v>
      </c>
      <c r="I14" s="526">
        <f>SUMIF(Цена!$E$7:$E$200,E14,Цена!$G$7:$G$200)</f>
        <v>0</v>
      </c>
      <c r="J14" s="283">
        <f>SUMIF(Расчет_ЭК!$E$16:$E$86,E14,Расчет_ЭК!$F$16:$F$86)</f>
        <v>0</v>
      </c>
      <c r="K14" s="200">
        <f t="shared" si="2"/>
        <v>0</v>
      </c>
      <c r="L14" s="200"/>
      <c r="M14" s="166"/>
      <c r="N14" s="436" t="str">
        <f t="array" ref="N14">IFERROR(INDEX(Общее!$C$3:$C$163,SMALL(IF(0&lt;&gt;Общее!$I$3:$I$163,ROW(Общее!$I$3:$I$163),""),ROW()-ROW(Общее!$I$2))-ROW(Общее!$I$2)),"")</f>
        <v>Концевой стопор</v>
      </c>
      <c r="O14" s="54" t="str">
        <f t="array" ref="O14">IFERROR(INDEX(Общее!$D$3:$D$163,SMALL(IF(0&lt;&gt;Общее!$I$3:$I$163,ROW(Общее!$I$3:$I$163),""),ROW()-ROW(Общее!$I$2))-ROW(Общее!$I$2)),"")</f>
        <v>КС</v>
      </c>
      <c r="P14" s="54" t="str">
        <f t="array" ref="P14">IFERROR(INDEX(Общее!$E$3:$E$163,SMALL(IF(0&lt;&gt;Общее!$I$3:$I$163,ROW(Общее!$I$3:$I$163),""),ROW()-ROW(Общее!$I$2))-ROW(Общее!$I$2)),"")</f>
        <v>Кон_стопор</v>
      </c>
      <c r="Q14" s="54">
        <f t="array" ref="Q14">IFERROR(INDEX(Общее!$I$3:$I$163,SMALL(IF(0&lt;&gt;Общее!$I$3:$I$163,ROW(Общее!$I$3:$I$163),""),ROW()-ROW(Общее!$I$2))-ROW(Общее!$I$2)),"")</f>
        <v>4</v>
      </c>
      <c r="R14" s="105">
        <f t="array" ref="R14">IFERROR(INDEX(Общее!$H$3:$H$163,SMALL(IF(0&lt;&gt;Общее!$I$3:$I$163,ROW(Общее!$I$3:$I$163),""),ROW()-ROW(Общее!$I$2))-ROW(Общее!$I$2)),"")</f>
        <v>1.04</v>
      </c>
      <c r="S14" s="129">
        <f t="shared" si="3"/>
        <v>4.16</v>
      </c>
      <c r="T14" s="109"/>
      <c r="U14" s="109"/>
      <c r="V14" s="109"/>
      <c r="W14">
        <v>12</v>
      </c>
      <c r="X14" s="436" t="str">
        <f t="array" ref="X14">IFERROR(INDEX(Общее!$C$3:$C$152,SMALL(IF(0&lt;&gt;Общее!$J$3:$J$152,ROW(Общее!$J$3:$J$152),""),ROW()-ROW(Общее!$J$2))-ROW(Общее!$J$2)),"")</f>
        <v/>
      </c>
      <c r="Y14" s="54" t="str">
        <f t="array" ref="Y14">IFERROR(INDEX(Общее!$D$3:$D$152,SMALL(IF(0&lt;&gt;Общее!$J$3:$J$152,ROW(Общее!$J$3:$J$152),""),ROW()-ROW(Общее!$J$2))-ROW(Общее!$J$2)),"")</f>
        <v/>
      </c>
      <c r="Z14" s="54" t="str">
        <f t="array" ref="Z14">IFERROR(INDEX(Общее!$E$3:$E$152,SMALL(IF(0&lt;&gt;Общее!$J$3:$J$152,ROW(Общее!$J$3:$J$152),""),ROW()-ROW(Общее!$J$2))-ROW(Общее!$J$2)),"")</f>
        <v/>
      </c>
      <c r="AA14" s="54" t="str">
        <f t="array" ref="AA14">IFERROR(INDEX(Общее!$J$3:$J$152,SMALL(IF(0&lt;&gt;Общее!$J$3:$J$152,ROW(Общее!$J$3:$J$152),""),ROW()-ROW(Общее!$J$2))-ROW(Общее!$J$2)),"")</f>
        <v/>
      </c>
      <c r="AB14" s="105" t="str">
        <f t="array" ref="AB14">IFERROR(INDEX(Общее!$H$3:$H$152,SMALL(IF(0&lt;&gt;Общее!$J$3:$J$152,ROW(Общее!$J$3:$J$152),""),ROW()-ROW(Общее!$J$2))-ROW(Общее!$J$2)),"")</f>
        <v/>
      </c>
      <c r="AC14" s="129">
        <f t="shared" si="4"/>
        <v>0</v>
      </c>
    </row>
    <row r="15" spans="1:29" ht="15.75" x14ac:dyDescent="0.25">
      <c r="A15">
        <v>13</v>
      </c>
      <c r="B15" s="3"/>
      <c r="C15" s="3" t="s">
        <v>44</v>
      </c>
      <c r="D15" s="9" t="s">
        <v>27</v>
      </c>
      <c r="E15" s="9" t="s">
        <v>26</v>
      </c>
      <c r="F15" s="54">
        <v>112.64</v>
      </c>
      <c r="G15" s="98">
        <f t="shared" si="0"/>
        <v>1</v>
      </c>
      <c r="H15" s="149">
        <f t="shared" si="1"/>
        <v>112.64</v>
      </c>
      <c r="I15" s="526">
        <f>SUMIF(Цена!$E$7:$E$200,E15,Цена!$G$7:$G$200)</f>
        <v>0</v>
      </c>
      <c r="J15" s="283">
        <f>SUMIF(Расчет_ЭК!$E$16:$E$86,E15,Расчет_ЭК!$F$16:$F$86)</f>
        <v>0</v>
      </c>
      <c r="K15" s="200">
        <f t="shared" si="2"/>
        <v>0</v>
      </c>
      <c r="L15" s="200"/>
      <c r="M15" s="166"/>
      <c r="N15" s="436" t="str">
        <f t="array" ref="N15">IFERROR(INDEX(Общее!$C$3:$C$163,SMALL(IF(0&lt;&gt;Общее!$I$3:$I$163,ROW(Общее!$I$3:$I$163),""),ROW()-ROW(Общее!$I$2))-ROW(Общее!$I$2)),"")</f>
        <v>Контроллер программируемый ПР200-220.4.2.0</v>
      </c>
      <c r="O15" s="54" t="str">
        <f t="array" ref="O15">IFERROR(INDEX(Общее!$D$3:$D$163,SMALL(IF(0&lt;&gt;Общее!$I$3:$I$163,ROW(Общее!$I$3:$I$163),""),ROW()-ROW(Общее!$I$2))-ROW(Общее!$I$2)),"")</f>
        <v>ПР200</v>
      </c>
      <c r="P15" s="54" t="str">
        <f t="array" ref="P15">IFERROR(INDEX(Общее!$E$3:$E$163,SMALL(IF(0&lt;&gt;Общее!$I$3:$I$163,ROW(Общее!$I$3:$I$163),""),ROW()-ROW(Общее!$I$2))-ROW(Общее!$I$2)),"")</f>
        <v>ПР200-220.4.2.0</v>
      </c>
      <c r="Q15" s="54">
        <f t="array" ref="Q15">IFERROR(INDEX(Общее!$I$3:$I$163,SMALL(IF(0&lt;&gt;Общее!$I$3:$I$163,ROW(Общее!$I$3:$I$163),""),ROW()-ROW(Общее!$I$2))-ROW(Общее!$I$2)),"")</f>
        <v>1</v>
      </c>
      <c r="R15" s="105">
        <f t="array" ref="R15">IFERROR(INDEX(Общее!$H$3:$H$163,SMALL(IF(0&lt;&gt;Общее!$I$3:$I$163,ROW(Общее!$I$3:$I$163),""),ROW()-ROW(Общее!$I$2))-ROW(Общее!$I$2)),"")</f>
        <v>275.70999999999998</v>
      </c>
      <c r="S15" s="129">
        <f t="shared" si="3"/>
        <v>275.70999999999998</v>
      </c>
      <c r="T15" s="109"/>
      <c r="U15" s="109"/>
      <c r="V15" s="109"/>
      <c r="W15">
        <v>13</v>
      </c>
      <c r="X15" s="436" t="str">
        <f t="array" ref="X15">IFERROR(INDEX(Общее!$C$3:$C$152,SMALL(IF(0&lt;&gt;Общее!$J$3:$J$152,ROW(Общее!$J$3:$J$152),""),ROW()-ROW(Общее!$J$2))-ROW(Общее!$J$2)),"")</f>
        <v/>
      </c>
      <c r="Y15" s="54" t="str">
        <f t="array" ref="Y15">IFERROR(INDEX(Общее!$D$3:$D$152,SMALL(IF(0&lt;&gt;Общее!$J$3:$J$152,ROW(Общее!$J$3:$J$152),""),ROW()-ROW(Общее!$J$2))-ROW(Общее!$J$2)),"")</f>
        <v/>
      </c>
      <c r="Z15" s="54" t="str">
        <f t="array" ref="Z15">IFERROR(INDEX(Общее!$E$3:$E$152,SMALL(IF(0&lt;&gt;Общее!$J$3:$J$152,ROW(Общее!$J$3:$J$152),""),ROW()-ROW(Общее!$J$2))-ROW(Общее!$J$2)),"")</f>
        <v/>
      </c>
      <c r="AA15" s="54" t="str">
        <f t="array" ref="AA15">IFERROR(INDEX(Общее!$J$3:$J$152,SMALL(IF(0&lt;&gt;Общее!$J$3:$J$152,ROW(Общее!$J$3:$J$152),""),ROW()-ROW(Общее!$J$2))-ROW(Общее!$J$2)),"")</f>
        <v/>
      </c>
      <c r="AB15" s="105" t="str">
        <f t="array" ref="AB15">IFERROR(INDEX(Общее!$H$3:$H$152,SMALL(IF(0&lt;&gt;Общее!$J$3:$J$152,ROW(Общее!$J$3:$J$152),""),ROW()-ROW(Общее!$J$2))-ROW(Общее!$J$2)),"")</f>
        <v/>
      </c>
      <c r="AC15" s="129">
        <f t="shared" si="4"/>
        <v>0</v>
      </c>
    </row>
    <row r="16" spans="1:29" ht="15.75" x14ac:dyDescent="0.25">
      <c r="A16">
        <v>14</v>
      </c>
      <c r="B16" s="3"/>
      <c r="C16" s="3" t="s">
        <v>44</v>
      </c>
      <c r="D16" s="9" t="s">
        <v>30</v>
      </c>
      <c r="E16" s="9" t="s">
        <v>29</v>
      </c>
      <c r="F16" s="54">
        <v>232.1</v>
      </c>
      <c r="G16" s="98">
        <f t="shared" si="0"/>
        <v>1</v>
      </c>
      <c r="H16" s="149">
        <f t="shared" si="1"/>
        <v>232.1</v>
      </c>
      <c r="I16" s="526">
        <f>SUMIF(Цена!$E$7:$E$200,E16,Цена!$G$7:$G$200)</f>
        <v>0</v>
      </c>
      <c r="J16" s="283">
        <f>SUMIF(Расчет_ЭК!$E$16:$E$86,E16,Расчет_ЭК!$F$16:$F$86)</f>
        <v>0</v>
      </c>
      <c r="K16" s="200">
        <f t="shared" si="2"/>
        <v>0</v>
      </c>
      <c r="L16" s="200"/>
      <c r="M16" s="166"/>
      <c r="N16" s="436" t="str">
        <f t="array" ref="N16">IFERROR(INDEX(Общее!$C$3:$C$163,SMALL(IF(0&lt;&gt;Общее!$I$3:$I$163,ROW(Общее!$I$3:$I$163),""),ROW()-ROW(Общее!$I$2))-ROW(Общее!$I$2)),"")</f>
        <v>Индикатор РАБОТА (зеленый)</v>
      </c>
      <c r="O16" s="54" t="str">
        <f t="array" ref="O16">IFERROR(INDEX(Общее!$D$3:$D$163,SMALL(IF(0&lt;&gt;Общее!$I$3:$I$163,ROW(Общее!$I$3:$I$163),""),ROW()-ROW(Общее!$I$2))-ROW(Общее!$I$2)),"")</f>
        <v>зеленый</v>
      </c>
      <c r="P16" s="54" t="str">
        <f t="array" ref="P16">IFERROR(INDEX(Общее!$E$3:$E$163,SMALL(IF(0&lt;&gt;Общее!$I$3:$I$163,ROW(Общее!$I$3:$I$163),""),ROW()-ROW(Общее!$I$2))-ROW(Общее!$I$2)),"")</f>
        <v>Ин_з</v>
      </c>
      <c r="Q16" s="54">
        <f t="array" ref="Q16">IFERROR(INDEX(Общее!$I$3:$I$163,SMALL(IF(0&lt;&gt;Общее!$I$3:$I$163,ROW(Общее!$I$3:$I$163),""),ROW()-ROW(Общее!$I$2))-ROW(Общее!$I$2)),"")</f>
        <v>1</v>
      </c>
      <c r="R16" s="105">
        <f t="array" ref="R16">IFERROR(INDEX(Общее!$H$3:$H$163,SMALL(IF(0&lt;&gt;Общее!$I$3:$I$163,ROW(Общее!$I$3:$I$163),""),ROW()-ROW(Общее!$I$2))-ROW(Общее!$I$2)),"")</f>
        <v>1.4</v>
      </c>
      <c r="S16" s="129">
        <f t="shared" si="3"/>
        <v>1.4</v>
      </c>
      <c r="T16" s="109"/>
      <c r="U16" s="109"/>
      <c r="V16" s="109"/>
      <c r="W16">
        <v>14</v>
      </c>
      <c r="X16" s="436" t="str">
        <f t="array" ref="X16">IFERROR(INDEX(Общее!$C$3:$C$152,SMALL(IF(0&lt;&gt;Общее!$J$3:$J$152,ROW(Общее!$J$3:$J$152),""),ROW()-ROW(Общее!$J$2))-ROW(Общее!$J$2)),"")</f>
        <v/>
      </c>
      <c r="Y16" s="54" t="str">
        <f t="array" ref="Y16">IFERROR(INDEX(Общее!$D$3:$D$152,SMALL(IF(0&lt;&gt;Общее!$J$3:$J$152,ROW(Общее!$J$3:$J$152),""),ROW()-ROW(Общее!$J$2))-ROW(Общее!$J$2)),"")</f>
        <v/>
      </c>
      <c r="Z16" s="54" t="str">
        <f t="array" ref="Z16">IFERROR(INDEX(Общее!$E$3:$E$152,SMALL(IF(0&lt;&gt;Общее!$J$3:$J$152,ROW(Общее!$J$3:$J$152),""),ROW()-ROW(Общее!$J$2))-ROW(Общее!$J$2)),"")</f>
        <v/>
      </c>
      <c r="AA16" s="54" t="str">
        <f t="array" ref="AA16">IFERROR(INDEX(Общее!$J$3:$J$152,SMALL(IF(0&lt;&gt;Общее!$J$3:$J$152,ROW(Общее!$J$3:$J$152),""),ROW()-ROW(Общее!$J$2))-ROW(Общее!$J$2)),"")</f>
        <v/>
      </c>
      <c r="AB16" s="105" t="str">
        <f t="array" ref="AB16">IFERROR(INDEX(Общее!$H$3:$H$152,SMALL(IF(0&lt;&gt;Общее!$J$3:$J$152,ROW(Общее!$J$3:$J$152),""),ROW()-ROW(Общее!$J$2))-ROW(Общее!$J$2)),"")</f>
        <v/>
      </c>
      <c r="AC16" s="129">
        <f t="shared" si="4"/>
        <v>0</v>
      </c>
    </row>
    <row r="17" spans="1:29" ht="15.75" x14ac:dyDescent="0.25">
      <c r="A17">
        <v>15</v>
      </c>
      <c r="B17" s="3"/>
      <c r="C17" s="3" t="s">
        <v>44</v>
      </c>
      <c r="D17" s="9" t="s">
        <v>33</v>
      </c>
      <c r="E17" s="9" t="s">
        <v>32</v>
      </c>
      <c r="F17" s="54">
        <v>294.38</v>
      </c>
      <c r="G17" s="98">
        <f t="shared" si="0"/>
        <v>1</v>
      </c>
      <c r="H17" s="149">
        <f t="shared" si="1"/>
        <v>294.38</v>
      </c>
      <c r="I17" s="526">
        <f>SUMIF(Цена!$E$7:$E$200,E17,Цена!$G$7:$G$200)</f>
        <v>0</v>
      </c>
      <c r="J17" s="283">
        <f>SUMIF(Расчет_ЭК!$E$16:$E$86,E17,Расчет_ЭК!$F$16:$F$86)</f>
        <v>0</v>
      </c>
      <c r="K17" s="200">
        <f t="shared" si="2"/>
        <v>0</v>
      </c>
      <c r="L17" s="200"/>
      <c r="M17" s="166"/>
      <c r="N17" s="436" t="str">
        <f t="array" ref="N17">IFERROR(INDEX(Общее!$C$3:$C$163,SMALL(IF(0&lt;&gt;Общее!$I$3:$I$163,ROW(Общее!$I$3:$I$163),""),ROW()-ROW(Общее!$I$2))-ROW(Общее!$I$2)),"")</f>
        <v>Индикатор АВАРИЯ (красный)</v>
      </c>
      <c r="O17" s="54" t="str">
        <f t="array" ref="O17">IFERROR(INDEX(Общее!$D$3:$D$163,SMALL(IF(0&lt;&gt;Общее!$I$3:$I$163,ROW(Общее!$I$3:$I$163),""),ROW()-ROW(Общее!$I$2))-ROW(Общее!$I$2)),"")</f>
        <v>красный</v>
      </c>
      <c r="P17" s="54" t="str">
        <f t="array" ref="P17">IFERROR(INDEX(Общее!$E$3:$E$163,SMALL(IF(0&lt;&gt;Общее!$I$3:$I$163,ROW(Общее!$I$3:$I$163),""),ROW()-ROW(Общее!$I$2))-ROW(Общее!$I$2)),"")</f>
        <v>Ин_кр</v>
      </c>
      <c r="Q17" s="54">
        <f t="array" ref="Q17">IFERROR(INDEX(Общее!$I$3:$I$163,SMALL(IF(0&lt;&gt;Общее!$I$3:$I$163,ROW(Общее!$I$3:$I$163),""),ROW()-ROW(Общее!$I$2))-ROW(Общее!$I$2)),"")</f>
        <v>2</v>
      </c>
      <c r="R17" s="105">
        <f t="array" ref="R17">IFERROR(INDEX(Общее!$H$3:$H$163,SMALL(IF(0&lt;&gt;Общее!$I$3:$I$163,ROW(Общее!$I$3:$I$163),""),ROW()-ROW(Общее!$I$2))-ROW(Общее!$I$2)),"")</f>
        <v>1.4</v>
      </c>
      <c r="S17" s="129">
        <f t="shared" si="3"/>
        <v>2.8</v>
      </c>
      <c r="T17" s="109"/>
      <c r="U17" s="109"/>
      <c r="V17" s="109"/>
      <c r="W17">
        <v>15</v>
      </c>
      <c r="X17" s="436" t="str">
        <f t="array" ref="X17">IFERROR(INDEX(Общее!$C$3:$C$152,SMALL(IF(0&lt;&gt;Общее!$J$3:$J$152,ROW(Общее!$J$3:$J$152),""),ROW()-ROW(Общее!$J$2))-ROW(Общее!$J$2)),"")</f>
        <v/>
      </c>
      <c r="Y17" s="54" t="str">
        <f t="array" ref="Y17">IFERROR(INDEX(Общее!$D$3:$D$152,SMALL(IF(0&lt;&gt;Общее!$J$3:$J$152,ROW(Общее!$J$3:$J$152),""),ROW()-ROW(Общее!$J$2))-ROW(Общее!$J$2)),"")</f>
        <v/>
      </c>
      <c r="Z17" s="54" t="str">
        <f t="array" ref="Z17">IFERROR(INDEX(Общее!$E$3:$E$152,SMALL(IF(0&lt;&gt;Общее!$J$3:$J$152,ROW(Общее!$J$3:$J$152),""),ROW()-ROW(Общее!$J$2))-ROW(Общее!$J$2)),"")</f>
        <v/>
      </c>
      <c r="AA17" s="54" t="str">
        <f t="array" ref="AA17">IFERROR(INDEX(Общее!$J$3:$J$152,SMALL(IF(0&lt;&gt;Общее!$J$3:$J$152,ROW(Общее!$J$3:$J$152),""),ROW()-ROW(Общее!$J$2))-ROW(Общее!$J$2)),"")</f>
        <v/>
      </c>
      <c r="AB17" s="105" t="str">
        <f t="array" ref="AB17">IFERROR(INDEX(Общее!$H$3:$H$152,SMALL(IF(0&lt;&gt;Общее!$J$3:$J$152,ROW(Общее!$J$3:$J$152),""),ROW()-ROW(Общее!$J$2))-ROW(Общее!$J$2)),"")</f>
        <v/>
      </c>
      <c r="AC17" s="129">
        <f t="shared" si="4"/>
        <v>0</v>
      </c>
    </row>
    <row r="18" spans="1:29" ht="15.75" x14ac:dyDescent="0.25">
      <c r="A18">
        <v>16</v>
      </c>
      <c r="B18" s="3"/>
      <c r="C18" s="3" t="s">
        <v>44</v>
      </c>
      <c r="D18" s="9" t="s">
        <v>36</v>
      </c>
      <c r="E18" s="9" t="s">
        <v>35</v>
      </c>
      <c r="F18" s="9">
        <v>405.74</v>
      </c>
      <c r="G18" s="98">
        <f t="shared" si="0"/>
        <v>1</v>
      </c>
      <c r="H18" s="149">
        <f t="shared" si="1"/>
        <v>405.74</v>
      </c>
      <c r="I18" s="526">
        <f>SUMIF(Цена!$E$7:$E$200,E18,Цена!$G$7:$G$200)</f>
        <v>0</v>
      </c>
      <c r="J18" s="283">
        <f>SUMIF(Расчет_ЭК!$E$16:$E$86,E18,Расчет_ЭК!$F$16:$F$86)</f>
        <v>0</v>
      </c>
      <c r="K18" s="200">
        <f t="shared" si="2"/>
        <v>0</v>
      </c>
      <c r="L18" s="200"/>
      <c r="M18" s="166"/>
      <c r="N18" s="436" t="str">
        <f t="array" ref="N18">IFERROR(INDEX(Общее!$C$3:$C$163,SMALL(IF(0&lt;&gt;Общее!$I$3:$I$163,ROW(Общее!$I$3:$I$163),""),ROW()-ROW(Общее!$I$2))-ROW(Общее!$I$2)),"")</f>
        <v>Кнопка ПУСК</v>
      </c>
      <c r="O18" s="54" t="str">
        <f t="array" ref="O18">IFERROR(INDEX(Общее!$D$3:$D$163,SMALL(IF(0&lt;&gt;Общее!$I$3:$I$163,ROW(Общее!$I$3:$I$163),""),ROW()-ROW(Общее!$I$2))-ROW(Общее!$I$2)),"")</f>
        <v>1NO</v>
      </c>
      <c r="P18" s="54" t="str">
        <f t="array" ref="P18">IFERROR(INDEX(Общее!$E$3:$E$163,SMALL(IF(0&lt;&gt;Общее!$I$3:$I$163,ROW(Общее!$I$3:$I$163),""),ROW()-ROW(Общее!$I$2))-ROW(Общее!$I$2)),"")</f>
        <v>ПУСК_1NO</v>
      </c>
      <c r="Q18" s="54">
        <f t="array" ref="Q18">IFERROR(INDEX(Общее!$I$3:$I$163,SMALL(IF(0&lt;&gt;Общее!$I$3:$I$163,ROW(Общее!$I$3:$I$163),""),ROW()-ROW(Общее!$I$2))-ROW(Общее!$I$2)),"")</f>
        <v>1</v>
      </c>
      <c r="R18" s="105">
        <f t="array" ref="R18">IFERROR(INDEX(Общее!$H$3:$H$163,SMALL(IF(0&lt;&gt;Общее!$I$3:$I$163,ROW(Общее!$I$3:$I$163),""),ROW()-ROW(Общее!$I$2))-ROW(Общее!$I$2)),"")</f>
        <v>2.8</v>
      </c>
      <c r="S18" s="129">
        <f t="shared" si="3"/>
        <v>2.8</v>
      </c>
      <c r="T18" s="109"/>
      <c r="U18" s="109"/>
      <c r="V18" s="109"/>
      <c r="W18">
        <v>16</v>
      </c>
      <c r="X18" s="436" t="str">
        <f t="array" ref="X18">IFERROR(INDEX(Общее!$C$3:$C$152,SMALL(IF(0&lt;&gt;Общее!$J$3:$J$152,ROW(Общее!$J$3:$J$152),""),ROW()-ROW(Общее!$J$2))-ROW(Общее!$J$2)),"")</f>
        <v/>
      </c>
      <c r="Y18" s="54" t="str">
        <f t="array" ref="Y18">IFERROR(INDEX(Общее!$D$3:$D$152,SMALL(IF(0&lt;&gt;Общее!$J$3:$J$152,ROW(Общее!$J$3:$J$152),""),ROW()-ROW(Общее!$J$2))-ROW(Общее!$J$2)),"")</f>
        <v/>
      </c>
      <c r="Z18" s="54" t="str">
        <f t="array" ref="Z18">IFERROR(INDEX(Общее!$E$3:$E$152,SMALL(IF(0&lt;&gt;Общее!$J$3:$J$152,ROW(Общее!$J$3:$J$152),""),ROW()-ROW(Общее!$J$2))-ROW(Общее!$J$2)),"")</f>
        <v/>
      </c>
      <c r="AA18" s="54" t="str">
        <f t="array" ref="AA18">IFERROR(INDEX(Общее!$J$3:$J$152,SMALL(IF(0&lt;&gt;Общее!$J$3:$J$152,ROW(Общее!$J$3:$J$152),""),ROW()-ROW(Общее!$J$2))-ROW(Общее!$J$2)),"")</f>
        <v/>
      </c>
      <c r="AB18" s="105" t="str">
        <f t="array" ref="AB18">IFERROR(INDEX(Общее!$H$3:$H$152,SMALL(IF(0&lt;&gt;Общее!$J$3:$J$152,ROW(Общее!$J$3:$J$152),""),ROW()-ROW(Общее!$J$2))-ROW(Общее!$J$2)),"")</f>
        <v/>
      </c>
      <c r="AC18" s="129">
        <f t="shared" si="4"/>
        <v>0</v>
      </c>
    </row>
    <row r="19" spans="1:29" ht="15.75" x14ac:dyDescent="0.25">
      <c r="A19">
        <v>18</v>
      </c>
      <c r="B19" s="3"/>
      <c r="C19" s="3" t="s">
        <v>44</v>
      </c>
      <c r="D19" s="9" t="s">
        <v>39</v>
      </c>
      <c r="E19" s="9" t="s">
        <v>38</v>
      </c>
      <c r="F19" s="54">
        <v>277.29000000000002</v>
      </c>
      <c r="G19" s="98">
        <f t="shared" si="0"/>
        <v>1</v>
      </c>
      <c r="H19" s="149">
        <f t="shared" si="1"/>
        <v>277.29000000000002</v>
      </c>
      <c r="I19" s="526">
        <f>SUMIF(Цена!$E$7:$E$200,E19,Цена!$G$7:$G$200)</f>
        <v>0</v>
      </c>
      <c r="J19" s="283">
        <f>SUMIF(Расчет_ЭК!$E$16:$E$86,E19,Расчет_ЭК!$F$16:$F$86)</f>
        <v>0</v>
      </c>
      <c r="K19" s="200">
        <f t="shared" si="2"/>
        <v>0</v>
      </c>
      <c r="L19" s="200"/>
      <c r="M19" s="166"/>
      <c r="N19" s="436" t="str">
        <f t="array" ref="N19">IFERROR(INDEX(Общее!$C$3:$C$163,SMALL(IF(0&lt;&gt;Общее!$I$3:$I$163,ROW(Общее!$I$3:$I$163),""),ROW()-ROW(Общее!$I$2))-ROW(Общее!$I$2)),"")</f>
        <v>Кнопка СТОП</v>
      </c>
      <c r="O19" s="54" t="str">
        <f t="array" ref="O19">IFERROR(INDEX(Общее!$D$3:$D$163,SMALL(IF(0&lt;&gt;Общее!$I$3:$I$163,ROW(Общее!$I$3:$I$163),""),ROW()-ROW(Общее!$I$2))-ROW(Общее!$I$2)),"")</f>
        <v>1NC</v>
      </c>
      <c r="P19" s="54" t="str">
        <f t="array" ref="P19">IFERROR(INDEX(Общее!$E$3:$E$163,SMALL(IF(0&lt;&gt;Общее!$I$3:$I$163,ROW(Общее!$I$3:$I$163),""),ROW()-ROW(Общее!$I$2))-ROW(Общее!$I$2)),"")</f>
        <v>ПУСК_1NC</v>
      </c>
      <c r="Q19" s="54">
        <f t="array" ref="Q19">IFERROR(INDEX(Общее!$I$3:$I$163,SMALL(IF(0&lt;&gt;Общее!$I$3:$I$163,ROW(Общее!$I$3:$I$163),""),ROW()-ROW(Общее!$I$2))-ROW(Общее!$I$2)),"")</f>
        <v>1</v>
      </c>
      <c r="R19" s="105">
        <f t="array" ref="R19">IFERROR(INDEX(Общее!$H$3:$H$163,SMALL(IF(0&lt;&gt;Общее!$I$3:$I$163,ROW(Общее!$I$3:$I$163),""),ROW()-ROW(Общее!$I$2))-ROW(Общее!$I$2)),"")</f>
        <v>2.8</v>
      </c>
      <c r="S19" s="129">
        <f t="shared" si="3"/>
        <v>2.8</v>
      </c>
      <c r="T19" s="109"/>
      <c r="U19" s="109"/>
      <c r="V19" s="109"/>
      <c r="W19">
        <v>17</v>
      </c>
      <c r="X19" s="436" t="str">
        <f t="array" ref="X19">IFERROR(INDEX(Общее!$C$3:$C$152,SMALL(IF(0&lt;&gt;Общее!$J$3:$J$152,ROW(Общее!$J$3:$J$152),""),ROW()-ROW(Общее!$J$2))-ROW(Общее!$J$2)),"")</f>
        <v/>
      </c>
      <c r="Y19" s="54" t="str">
        <f t="array" ref="Y19">IFERROR(INDEX(Общее!$D$3:$D$152,SMALL(IF(0&lt;&gt;Общее!$J$3:$J$152,ROW(Общее!$J$3:$J$152),""),ROW()-ROW(Общее!$J$2))-ROW(Общее!$J$2)),"")</f>
        <v/>
      </c>
      <c r="Z19" s="54" t="str">
        <f t="array" ref="Z19">IFERROR(INDEX(Общее!$E$3:$E$152,SMALL(IF(0&lt;&gt;Общее!$J$3:$J$152,ROW(Общее!$J$3:$J$152),""),ROW()-ROW(Общее!$J$2))-ROW(Общее!$J$2)),"")</f>
        <v/>
      </c>
      <c r="AA19" s="54" t="str">
        <f t="array" ref="AA19">IFERROR(INDEX(Общее!$J$3:$J$152,SMALL(IF(0&lt;&gt;Общее!$J$3:$J$152,ROW(Общее!$J$3:$J$152),""),ROW()-ROW(Общее!$J$2))-ROW(Общее!$J$2)),"")</f>
        <v/>
      </c>
      <c r="AB19" s="105" t="str">
        <f t="array" ref="AB19">IFERROR(INDEX(Общее!$H$3:$H$152,SMALL(IF(0&lt;&gt;Общее!$J$3:$J$152,ROW(Общее!$J$3:$J$152),""),ROW()-ROW(Общее!$J$2))-ROW(Общее!$J$2)),"")</f>
        <v/>
      </c>
      <c r="AC19" s="129">
        <f t="shared" si="4"/>
        <v>0</v>
      </c>
    </row>
    <row r="20" spans="1:29" ht="15.75" x14ac:dyDescent="0.25">
      <c r="A20">
        <v>19</v>
      </c>
      <c r="B20" s="3"/>
      <c r="C20" s="3" t="s">
        <v>240</v>
      </c>
      <c r="D20" s="9" t="s">
        <v>241</v>
      </c>
      <c r="E20" s="9" t="s">
        <v>241</v>
      </c>
      <c r="F20" s="54">
        <v>21.34</v>
      </c>
      <c r="G20" s="98">
        <f t="shared" si="0"/>
        <v>1</v>
      </c>
      <c r="H20" s="149">
        <f t="shared" si="1"/>
        <v>21.34</v>
      </c>
      <c r="I20" s="526">
        <f>SUMIF(Цена!$E$7:$E$200,E20,Цена!$G$7:$G$200)</f>
        <v>1</v>
      </c>
      <c r="J20" s="283">
        <f>SUMIF(Расчет_ЭК!$E$16:$E$86,E20,Расчет_ЭК!$F$16:$F$86)</f>
        <v>0</v>
      </c>
      <c r="K20" s="200">
        <f t="shared" si="2"/>
        <v>21.34</v>
      </c>
      <c r="L20" s="200"/>
      <c r="M20" s="166"/>
      <c r="N20" s="436" t="str">
        <f t="array" ref="N20">IFERROR(INDEX(Общее!$C$3:$C$163,SMALL(IF(0&lt;&gt;Общее!$I$3:$I$163,ROW(Общее!$I$3:$I$163),""),ROW()-ROW(Общее!$I$2))-ROW(Общее!$I$2)),"")</f>
        <v>Шкаф металл. 700х500х205</v>
      </c>
      <c r="O20" s="54" t="str">
        <f t="array" ref="O20">IFERROR(INDEX(Общее!$D$3:$D$163,SMALL(IF(0&lt;&gt;Общее!$I$3:$I$163,ROW(Общее!$I$3:$I$163),""),ROW()-ROW(Общее!$I$2))-ROW(Общее!$I$2)),"")</f>
        <v>700х500х200</v>
      </c>
      <c r="P20" s="54" t="str">
        <f t="array" ref="P20">IFERROR(INDEX(Общее!$E$3:$E$163,SMALL(IF(0&lt;&gt;Общее!$I$3:$I$163,ROW(Общее!$I$3:$I$163),""),ROW()-ROW(Общее!$I$2))-ROW(Общее!$I$2)),"")</f>
        <v>М_700х500х200</v>
      </c>
      <c r="Q20" s="54">
        <f t="array" ref="Q20">IFERROR(INDEX(Общее!$I$3:$I$163,SMALL(IF(0&lt;&gt;Общее!$I$3:$I$163,ROW(Общее!$I$3:$I$163),""),ROW()-ROW(Общее!$I$2))-ROW(Общее!$I$2)),"")</f>
        <v>1</v>
      </c>
      <c r="R20" s="105">
        <f t="array" ref="R20">IFERROR(INDEX(Общее!$H$3:$H$163,SMALL(IF(0&lt;&gt;Общее!$I$3:$I$163,ROW(Общее!$I$3:$I$163),""),ROW()-ROW(Общее!$I$2))-ROW(Общее!$I$2)),"")</f>
        <v>135.72</v>
      </c>
      <c r="S20" s="129">
        <f t="shared" si="3"/>
        <v>135.72</v>
      </c>
      <c r="T20" s="109"/>
      <c r="U20" s="109"/>
      <c r="V20" s="109"/>
      <c r="W20">
        <v>18</v>
      </c>
      <c r="X20" s="436" t="str">
        <f t="array" ref="X20">IFERROR(INDEX(Общее!$C$3:$C$152,SMALL(IF(0&lt;&gt;Общее!$J$3:$J$152,ROW(Общее!$J$3:$J$152),""),ROW()-ROW(Общее!$J$2))-ROW(Общее!$J$2)),"")</f>
        <v/>
      </c>
      <c r="Y20" s="54" t="str">
        <f t="array" ref="Y20">IFERROR(INDEX(Общее!$D$3:$D$152,SMALL(IF(0&lt;&gt;Общее!$J$3:$J$152,ROW(Общее!$J$3:$J$152),""),ROW()-ROW(Общее!$J$2))-ROW(Общее!$J$2)),"")</f>
        <v/>
      </c>
      <c r="Z20" s="54" t="str">
        <f t="array" ref="Z20">IFERROR(INDEX(Общее!$E$3:$E$152,SMALL(IF(0&lt;&gt;Общее!$J$3:$J$152,ROW(Общее!$J$3:$J$152),""),ROW()-ROW(Общее!$J$2))-ROW(Общее!$J$2)),"")</f>
        <v/>
      </c>
      <c r="AA20" s="54" t="str">
        <f t="array" ref="AA20">IFERROR(INDEX(Общее!$J$3:$J$152,SMALL(IF(0&lt;&gt;Общее!$J$3:$J$152,ROW(Общее!$J$3:$J$152),""),ROW()-ROW(Общее!$J$2))-ROW(Общее!$J$2)),"")</f>
        <v/>
      </c>
      <c r="AB20" s="105" t="str">
        <f t="array" ref="AB20">IFERROR(INDEX(Общее!$H$3:$H$152,SMALL(IF(0&lt;&gt;Общее!$J$3:$J$152,ROW(Общее!$J$3:$J$152),""),ROW()-ROW(Общее!$J$2))-ROW(Общее!$J$2)),"")</f>
        <v/>
      </c>
      <c r="AC20" s="129">
        <f t="shared" si="4"/>
        <v>0</v>
      </c>
    </row>
    <row r="21" spans="1:29" ht="15.75" thickBot="1" x14ac:dyDescent="0.3">
      <c r="A21">
        <v>1</v>
      </c>
      <c r="B21" s="8"/>
      <c r="C21" s="8"/>
      <c r="D21" s="22"/>
      <c r="E21" s="22"/>
      <c r="F21" s="8"/>
      <c r="G21" s="8"/>
      <c r="H21" s="150"/>
      <c r="I21" s="526"/>
      <c r="J21" s="283"/>
      <c r="K21" s="200">
        <f t="shared" si="2"/>
        <v>0</v>
      </c>
      <c r="L21" s="200"/>
      <c r="M21" s="166"/>
      <c r="N21" s="436" t="str">
        <f t="array" ref="N21">IFERROR(INDEX(Общее!$C$3:$C$163,SMALL(IF(0&lt;&gt;Общее!$I$3:$I$163,ROW(Общее!$I$3:$I$163),""),ROW()-ROW(Общее!$I$2))-ROW(Общее!$I$2)),"")</f>
        <v>Предохранитель 5А компл.</v>
      </c>
      <c r="O21" s="54">
        <f t="array" ref="O21">IFERROR(INDEX(Общее!$D$3:$D$163,SMALL(IF(0&lt;&gt;Общее!$I$3:$I$163,ROW(Общее!$I$3:$I$163),""),ROW()-ROW(Общее!$I$2))-ROW(Общее!$I$2)),"")</f>
        <v>0</v>
      </c>
      <c r="P21" s="54" t="str">
        <f t="array" ref="P21">IFERROR(INDEX(Общее!$E$3:$E$163,SMALL(IF(0&lt;&gt;Общее!$I$3:$I$163,ROW(Общее!$I$3:$I$163),""),ROW()-ROW(Общее!$I$2))-ROW(Общее!$I$2)),"")</f>
        <v>5А</v>
      </c>
      <c r="Q21" s="54">
        <f t="array" ref="Q21">IFERROR(INDEX(Общее!$I$3:$I$163,SMALL(IF(0&lt;&gt;Общее!$I$3:$I$163,ROW(Общее!$I$3:$I$163),""),ROW()-ROW(Общее!$I$2))-ROW(Общее!$I$2)),"")</f>
        <v>2</v>
      </c>
      <c r="R21" s="105">
        <f t="array" ref="R21">IFERROR(INDEX(Общее!$H$3:$H$163,SMALL(IF(0&lt;&gt;Общее!$I$3:$I$163,ROW(Общее!$I$3:$I$163),""),ROW()-ROW(Общее!$I$2))-ROW(Общее!$I$2)),"")</f>
        <v>3.56</v>
      </c>
      <c r="S21" s="129">
        <f t="shared" si="3"/>
        <v>7.12</v>
      </c>
      <c r="T21" s="109"/>
      <c r="U21" s="109"/>
      <c r="V21" s="109"/>
      <c r="W21">
        <v>19</v>
      </c>
      <c r="X21" s="436" t="str">
        <f t="array" ref="X21">IFERROR(INDEX(Общее!$C$3:$C$152,SMALL(IF(0&lt;&gt;Общее!$J$3:$J$152,ROW(Общее!$J$3:$J$152),""),ROW()-ROW(Общее!$J$2))-ROW(Общее!$J$2)),"")</f>
        <v/>
      </c>
      <c r="Y21" s="54" t="str">
        <f t="array" ref="Y21">IFERROR(INDEX(Общее!$D$3:$D$152,SMALL(IF(0&lt;&gt;Общее!$J$3:$J$152,ROW(Общее!$J$3:$J$152),""),ROW()-ROW(Общее!$J$2))-ROW(Общее!$J$2)),"")</f>
        <v/>
      </c>
      <c r="Z21" s="54" t="str">
        <f t="array" ref="Z21">IFERROR(INDEX(Общее!$E$3:$E$152,SMALL(IF(0&lt;&gt;Общее!$J$3:$J$152,ROW(Общее!$J$3:$J$152),""),ROW()-ROW(Общее!$J$2))-ROW(Общее!$J$2)),"")</f>
        <v/>
      </c>
      <c r="AA21" s="54" t="str">
        <f t="array" ref="AA21">IFERROR(INDEX(Общее!$J$3:$J$152,SMALL(IF(0&lt;&gt;Общее!$J$3:$J$152,ROW(Общее!$J$3:$J$152),""),ROW()-ROW(Общее!$J$2))-ROW(Общее!$J$2)),"")</f>
        <v/>
      </c>
      <c r="AB21" s="105" t="str">
        <f t="array" ref="AB21">IFERROR(INDEX(Общее!$H$3:$H$152,SMALL(IF(0&lt;&gt;Общее!$J$3:$J$152,ROW(Общее!$J$3:$J$152),""),ROW()-ROW(Общее!$J$2))-ROW(Общее!$J$2)),"")</f>
        <v/>
      </c>
      <c r="AC21" s="129">
        <f t="shared" si="4"/>
        <v>0</v>
      </c>
    </row>
    <row r="22" spans="1:29" ht="16.5" thickBot="1" x14ac:dyDescent="0.3">
      <c r="A22">
        <v>2</v>
      </c>
      <c r="B22" s="66" t="s">
        <v>185</v>
      </c>
      <c r="C22" s="67"/>
      <c r="D22" s="68"/>
      <c r="E22" s="68"/>
      <c r="F22" s="69"/>
      <c r="G22" s="69"/>
      <c r="H22" s="134"/>
      <c r="I22" s="526"/>
      <c r="J22" s="283"/>
      <c r="K22" s="200">
        <f t="shared" si="2"/>
        <v>0</v>
      </c>
      <c r="L22" s="200"/>
      <c r="M22" s="166"/>
      <c r="N22" s="436" t="str">
        <f t="array" ref="N22">IFERROR(INDEX(Общее!$C$3:$C$163,SMALL(IF(0&lt;&gt;Общее!$I$3:$I$163,ROW(Общее!$I$3:$I$163),""),ROW()-ROW(Общее!$I$2))-ROW(Общее!$I$2)),"")</f>
        <v xml:space="preserve">Трансформатор 230VAC / 12, 12, 24VAC </v>
      </c>
      <c r="O22" s="54">
        <f t="array" ref="O22">IFERROR(INDEX(Общее!$D$3:$D$163,SMALL(IF(0&lt;&gt;Общее!$I$3:$I$163,ROW(Общее!$I$3:$I$163),""),ROW()-ROW(Общее!$I$2))-ROW(Общее!$I$2)),"")</f>
        <v>0</v>
      </c>
      <c r="P22" s="54" t="str">
        <f t="array" ref="P22">IFERROR(INDEX(Общее!$E$3:$E$163,SMALL(IF(0&lt;&gt;Общее!$I$3:$I$163,ROW(Общее!$I$3:$I$163),""),ROW()-ROW(Общее!$I$2))-ROW(Общее!$I$2)),"")</f>
        <v xml:space="preserve">230VAC /24VAC </v>
      </c>
      <c r="Q22" s="54">
        <f t="array" ref="Q22">IFERROR(INDEX(Общее!$I$3:$I$163,SMALL(IF(0&lt;&gt;Общее!$I$3:$I$163,ROW(Общее!$I$3:$I$163),""),ROW()-ROW(Общее!$I$2))-ROW(Общее!$I$2)),"")</f>
        <v>1</v>
      </c>
      <c r="R22" s="105">
        <f t="array" ref="R22">IFERROR(INDEX(Общее!$H$3:$H$163,SMALL(IF(0&lt;&gt;Общее!$I$3:$I$163,ROW(Общее!$I$3:$I$163),""),ROW()-ROW(Общее!$I$2))-ROW(Общее!$I$2)),"")</f>
        <v>38.76</v>
      </c>
      <c r="S22" s="129">
        <f t="shared" si="3"/>
        <v>38.76</v>
      </c>
      <c r="T22" s="109"/>
      <c r="U22" s="109"/>
      <c r="V22" s="109"/>
      <c r="W22">
        <v>20</v>
      </c>
      <c r="X22" s="436" t="str">
        <f t="array" ref="X22">IFERROR(INDEX(Общее!$C$3:$C$152,SMALL(IF(0&lt;&gt;Общее!$J$3:$J$152,ROW(Общее!$J$3:$J$152),""),ROW()-ROW(Общее!$J$2))-ROW(Общее!$J$2)),"")</f>
        <v/>
      </c>
      <c r="Y22" s="54" t="str">
        <f t="array" ref="Y22">IFERROR(INDEX(Общее!$D$3:$D$152,SMALL(IF(0&lt;&gt;Общее!$J$3:$J$152,ROW(Общее!$J$3:$J$152),""),ROW()-ROW(Общее!$J$2))-ROW(Общее!$J$2)),"")</f>
        <v/>
      </c>
      <c r="Z22" s="54" t="str">
        <f t="array" ref="Z22">IFERROR(INDEX(Общее!$E$3:$E$152,SMALL(IF(0&lt;&gt;Общее!$J$3:$J$152,ROW(Общее!$J$3:$J$152),""),ROW()-ROW(Общее!$J$2))-ROW(Общее!$J$2)),"")</f>
        <v/>
      </c>
      <c r="AA22" s="54" t="str">
        <f t="array" ref="AA22">IFERROR(INDEX(Общее!$J$3:$J$152,SMALL(IF(0&lt;&gt;Общее!$J$3:$J$152,ROW(Общее!$J$3:$J$152),""),ROW()-ROW(Общее!$J$2))-ROW(Общее!$J$2)),"")</f>
        <v/>
      </c>
      <c r="AB22" s="105" t="str">
        <f t="array" ref="AB22">IFERROR(INDEX(Общее!$H$3:$H$152,SMALL(IF(0&lt;&gt;Общее!$J$3:$J$152,ROW(Общее!$J$3:$J$152),""),ROW()-ROW(Общее!$J$2))-ROW(Общее!$J$2)),"")</f>
        <v/>
      </c>
      <c r="AC22" s="129">
        <f t="shared" si="4"/>
        <v>0</v>
      </c>
    </row>
    <row r="23" spans="1:29" x14ac:dyDescent="0.25">
      <c r="A23">
        <v>3</v>
      </c>
      <c r="B23" s="65"/>
      <c r="C23" s="65" t="s">
        <v>830</v>
      </c>
      <c r="D23" s="54">
        <v>6</v>
      </c>
      <c r="E23" s="54" t="s">
        <v>187</v>
      </c>
      <c r="F23" s="54">
        <v>21.99</v>
      </c>
      <c r="G23" s="54">
        <f>$G$1</f>
        <v>1</v>
      </c>
      <c r="H23" s="149">
        <f>F23/G23</f>
        <v>21.99</v>
      </c>
      <c r="I23" s="526">
        <f>SUMIF(Цена!$E$7:$E$200,E23,Цена!$G$7:$G$200)</f>
        <v>0</v>
      </c>
      <c r="J23" s="283">
        <f>SUMIF(Расчет_ЭК!$E$16:$E$86,E23,Расчет_ЭК!$F$16:$F$86)</f>
        <v>0</v>
      </c>
      <c r="K23" s="200">
        <f t="shared" si="2"/>
        <v>0</v>
      </c>
      <c r="L23" s="200"/>
      <c r="M23" s="166"/>
      <c r="N23" s="436" t="str">
        <f t="array" ref="N23">IFERROR(INDEX(Общее!$C$3:$C$163,SMALL(IF(0&lt;&gt;Общее!$I$3:$I$163,ROW(Общее!$I$3:$I$163),""),ROW()-ROW(Общее!$I$2))-ROW(Общее!$I$2)),"")</f>
        <v>Провод монтажный силовой</v>
      </c>
      <c r="O23" s="54">
        <f t="array" ref="O23">IFERROR(INDEX(Общее!$D$3:$D$163,SMALL(IF(0&lt;&gt;Общее!$I$3:$I$163,ROW(Общее!$I$3:$I$163),""),ROW()-ROW(Общее!$I$2))-ROW(Общее!$I$2)),"")</f>
        <v>0.75</v>
      </c>
      <c r="P23" s="54" t="str">
        <f t="array" ref="P23">IFERROR(INDEX(Общее!$E$3:$E$163,SMALL(IF(0&lt;&gt;Общее!$I$3:$I$163,ROW(Общее!$I$3:$I$163),""),ROW()-ROW(Общее!$I$2))-ROW(Общее!$I$2)),"")</f>
        <v>монт.0,75</v>
      </c>
      <c r="Q23" s="54">
        <f t="array" ref="Q23">IFERROR(INDEX(Общее!$I$3:$I$163,SMALL(IF(0&lt;&gt;Общее!$I$3:$I$163,ROW(Общее!$I$3:$I$163),""),ROW()-ROW(Общее!$I$2))-ROW(Общее!$I$2)),"")</f>
        <v>60</v>
      </c>
      <c r="R23" s="105">
        <f t="array" ref="R23">IFERROR(INDEX(Общее!$H$3:$H$163,SMALL(IF(0&lt;&gt;Общее!$I$3:$I$163,ROW(Общее!$I$3:$I$163),""),ROW()-ROW(Общее!$I$2))-ROW(Общее!$I$2)),"")</f>
        <v>0.28999999999999998</v>
      </c>
      <c r="S23" s="129">
        <f t="shared" si="3"/>
        <v>17.399999999999999</v>
      </c>
      <c r="T23" s="109"/>
      <c r="U23" s="109"/>
      <c r="V23" s="109"/>
      <c r="W23">
        <v>21</v>
      </c>
      <c r="X23" s="436" t="str">
        <f t="array" ref="X23">IFERROR(INDEX(Общее!$C$3:$C$152,SMALL(IF(0&lt;&gt;Общее!$J$3:$J$152,ROW(Общее!$J$3:$J$152),""),ROW()-ROW(Общее!$J$2))-ROW(Общее!$J$2)),"")</f>
        <v/>
      </c>
      <c r="Y23" s="54" t="str">
        <f t="array" ref="Y23">IFERROR(INDEX(Общее!$D$3:$D$152,SMALL(IF(0&lt;&gt;Общее!$J$3:$J$152,ROW(Общее!$J$3:$J$152),""),ROW()-ROW(Общее!$J$2))-ROW(Общее!$J$2)),"")</f>
        <v/>
      </c>
      <c r="Z23" s="54" t="str">
        <f t="array" ref="Z23">IFERROR(INDEX(Общее!$E$3:$E$152,SMALL(IF(0&lt;&gt;Общее!$J$3:$J$152,ROW(Общее!$J$3:$J$152),""),ROW()-ROW(Общее!$J$2))-ROW(Общее!$J$2)),"")</f>
        <v/>
      </c>
      <c r="AA23" s="54" t="str">
        <f t="array" ref="AA23">IFERROR(INDEX(Общее!$J$3:$J$152,SMALL(IF(0&lt;&gt;Общее!$J$3:$J$152,ROW(Общее!$J$3:$J$152),""),ROW()-ROW(Общее!$J$2))-ROW(Общее!$J$2)),"")</f>
        <v/>
      </c>
      <c r="AB23" s="105" t="str">
        <f t="array" ref="AB23">IFERROR(INDEX(Общее!$H$3:$H$152,SMALL(IF(0&lt;&gt;Общее!$J$3:$J$152,ROW(Общее!$J$3:$J$152),""),ROW()-ROW(Общее!$J$2))-ROW(Общее!$J$2)),"")</f>
        <v/>
      </c>
      <c r="AC23" s="129">
        <f t="shared" si="4"/>
        <v>0</v>
      </c>
    </row>
    <row r="24" spans="1:29" x14ac:dyDescent="0.25">
      <c r="A24">
        <v>4</v>
      </c>
      <c r="B24" s="3"/>
      <c r="C24" s="3" t="s">
        <v>186</v>
      </c>
      <c r="D24" s="9">
        <v>10</v>
      </c>
      <c r="E24" s="9" t="s">
        <v>188</v>
      </c>
      <c r="F24" s="9">
        <v>17.190000000000001</v>
      </c>
      <c r="G24" s="54">
        <f t="shared" ref="G24:G38" si="5">$G$1</f>
        <v>1</v>
      </c>
      <c r="H24" s="149">
        <f t="shared" ref="H24:H39" si="6">F24/G24</f>
        <v>17.190000000000001</v>
      </c>
      <c r="I24" s="526">
        <f>SUMIF(Цена!$E$7:$E$200,E24,Цена!$G$7:$G$200)</f>
        <v>0</v>
      </c>
      <c r="J24" s="283">
        <f>SUMIF(Расчет_ЭК!$E$16:$E$86,E24,Расчет_ЭК!$F$16:$F$86)</f>
        <v>0</v>
      </c>
      <c r="K24" s="200">
        <f t="shared" si="2"/>
        <v>0</v>
      </c>
      <c r="L24" s="200"/>
      <c r="M24" s="166"/>
      <c r="N24" s="436" t="str">
        <f t="array" ref="N24">IFERROR(INDEX(Общее!$C$3:$C$163,SMALL(IF(0&lt;&gt;Общее!$I$3:$I$163,ROW(Общее!$I$3:$I$163),""),ROW()-ROW(Общее!$I$2))-ROW(Общее!$I$2)),"")</f>
        <v>Провод монтажный силовой</v>
      </c>
      <c r="O24" s="54">
        <f t="array" ref="O24">IFERROR(INDEX(Общее!$D$3:$D$163,SMALL(IF(0&lt;&gt;Общее!$I$3:$I$163,ROW(Общее!$I$3:$I$163),""),ROW()-ROW(Общее!$I$2))-ROW(Общее!$I$2)),"")</f>
        <v>1.5</v>
      </c>
      <c r="P24" s="54" t="str">
        <f t="array" ref="P24">IFERROR(INDEX(Общее!$E$3:$E$163,SMALL(IF(0&lt;&gt;Общее!$I$3:$I$163,ROW(Общее!$I$3:$I$163),""),ROW()-ROW(Общее!$I$2))-ROW(Общее!$I$2)),"")</f>
        <v>сила1,5</v>
      </c>
      <c r="Q24" s="54">
        <f t="array" ref="Q24">IFERROR(INDEX(Общее!$I$3:$I$163,SMALL(IF(0&lt;&gt;Общее!$I$3:$I$163,ROW(Общее!$I$3:$I$163),""),ROW()-ROW(Общее!$I$2))-ROW(Общее!$I$2)),"")</f>
        <v>4</v>
      </c>
      <c r="R24" s="105">
        <f t="array" ref="R24">IFERROR(INDEX(Общее!$H$3:$H$163,SMALL(IF(0&lt;&gt;Общее!$I$3:$I$163,ROW(Общее!$I$3:$I$163),""),ROW()-ROW(Общее!$I$2))-ROW(Общее!$I$2)),"")</f>
        <v>0.53</v>
      </c>
      <c r="S24" s="129">
        <f t="shared" si="3"/>
        <v>2.12</v>
      </c>
      <c r="T24" s="109"/>
      <c r="U24" s="109"/>
      <c r="V24" s="109"/>
      <c r="W24">
        <v>22</v>
      </c>
      <c r="X24" s="436" t="str">
        <f t="array" ref="X24">IFERROR(INDEX(Общее!$C$3:$C$152,SMALL(IF(0&lt;&gt;Общее!$J$3:$J$152,ROW(Общее!$J$3:$J$152),""),ROW()-ROW(Общее!$J$2))-ROW(Общее!$J$2)),"")</f>
        <v/>
      </c>
      <c r="Y24" s="54" t="str">
        <f t="array" ref="Y24">IFERROR(INDEX(Общее!$D$3:$D$152,SMALL(IF(0&lt;&gt;Общее!$J$3:$J$152,ROW(Общее!$J$3:$J$152),""),ROW()-ROW(Общее!$J$2))-ROW(Общее!$J$2)),"")</f>
        <v/>
      </c>
      <c r="Z24" s="54" t="str">
        <f t="array" ref="Z24">IFERROR(INDEX(Общее!$E$3:$E$152,SMALL(IF(0&lt;&gt;Общее!$J$3:$J$152,ROW(Общее!$J$3:$J$152),""),ROW()-ROW(Общее!$J$2))-ROW(Общее!$J$2)),"")</f>
        <v/>
      </c>
      <c r="AA24" s="54" t="str">
        <f t="array" ref="AA24">IFERROR(INDEX(Общее!$J$3:$J$152,SMALL(IF(0&lt;&gt;Общее!$J$3:$J$152,ROW(Общее!$J$3:$J$152),""),ROW()-ROW(Общее!$J$2))-ROW(Общее!$J$2)),"")</f>
        <v/>
      </c>
      <c r="AB24" s="105" t="str">
        <f t="array" ref="AB24">IFERROR(INDEX(Общее!$H$3:$H$152,SMALL(IF(0&lt;&gt;Общее!$J$3:$J$152,ROW(Общее!$J$3:$J$152),""),ROW()-ROW(Общее!$J$2))-ROW(Общее!$J$2)),"")</f>
        <v/>
      </c>
      <c r="AC24" s="129">
        <f t="shared" si="4"/>
        <v>0</v>
      </c>
    </row>
    <row r="25" spans="1:29" x14ac:dyDescent="0.25">
      <c r="A25">
        <v>5</v>
      </c>
      <c r="B25" s="3"/>
      <c r="C25" s="3" t="s">
        <v>186</v>
      </c>
      <c r="D25" s="9">
        <v>16</v>
      </c>
      <c r="E25" s="9" t="s">
        <v>189</v>
      </c>
      <c r="F25" s="9">
        <v>31.75</v>
      </c>
      <c r="G25" s="54">
        <f t="shared" si="5"/>
        <v>1</v>
      </c>
      <c r="H25" s="149">
        <f t="shared" si="6"/>
        <v>31.75</v>
      </c>
      <c r="I25" s="526">
        <f>SUMIF(Цена!$E$7:$E$200,E25,Цена!$G$7:$G$200)</f>
        <v>0</v>
      </c>
      <c r="J25" s="283">
        <f>SUMIF(Расчет_ЭК!$E$16:$E$86,E25,Расчет_ЭК!$F$16:$F$86)</f>
        <v>0</v>
      </c>
      <c r="K25" s="200">
        <f t="shared" si="2"/>
        <v>0</v>
      </c>
      <c r="L25" s="200"/>
      <c r="M25" s="166"/>
      <c r="N25" s="436" t="str">
        <f t="array" ref="N25">IFERROR(INDEX(Общее!$C$3:$C$163,SMALL(IF(0&lt;&gt;Общее!$I$3:$I$163,ROW(Общее!$I$3:$I$163),""),ROW()-ROW(Общее!$I$2))-ROW(Общее!$I$2)),"")</f>
        <v>Короб 15х30</v>
      </c>
      <c r="O25" s="54" t="str">
        <f t="array" ref="O25">IFERROR(INDEX(Общее!$D$3:$D$163,SMALL(IF(0&lt;&gt;Общее!$I$3:$I$163,ROW(Общее!$I$3:$I$163),""),ROW()-ROW(Общее!$I$2))-ROW(Общее!$I$2)),"")</f>
        <v>К_15х30</v>
      </c>
      <c r="P25" s="54" t="str">
        <f t="array" ref="P25">IFERROR(INDEX(Общее!$E$3:$E$163,SMALL(IF(0&lt;&gt;Общее!$I$3:$I$163,ROW(Общее!$I$3:$I$163),""),ROW()-ROW(Общее!$I$2))-ROW(Общее!$I$2)),"")</f>
        <v>К_15х30</v>
      </c>
      <c r="Q25" s="54">
        <f t="array" ref="Q25">IFERROR(INDEX(Общее!$I$3:$I$163,SMALL(IF(0&lt;&gt;Общее!$I$3:$I$163,ROW(Общее!$I$3:$I$163),""),ROW()-ROW(Общее!$I$2))-ROW(Общее!$I$2)),"")</f>
        <v>0.5</v>
      </c>
      <c r="R25" s="105">
        <f t="array" ref="R25">IFERROR(INDEX(Общее!$H$3:$H$163,SMALL(IF(0&lt;&gt;Общее!$I$3:$I$163,ROW(Общее!$I$3:$I$163),""),ROW()-ROW(Общее!$I$2))-ROW(Общее!$I$2)),"")</f>
        <v>4.33</v>
      </c>
      <c r="S25" s="129">
        <f t="shared" si="3"/>
        <v>2.165</v>
      </c>
      <c r="T25" s="109"/>
      <c r="U25" s="109"/>
      <c r="V25" s="109"/>
      <c r="W25">
        <v>23</v>
      </c>
      <c r="X25" s="436" t="str">
        <f t="array" ref="X25">IFERROR(INDEX(Общее!$C$3:$C$152,SMALL(IF(0&lt;&gt;Общее!$J$3:$J$152,ROW(Общее!$J$3:$J$152),""),ROW()-ROW(Общее!$J$2))-ROW(Общее!$J$2)),"")</f>
        <v/>
      </c>
      <c r="Y25" s="54" t="str">
        <f t="array" ref="Y25">IFERROR(INDEX(Общее!$D$3:$D$152,SMALL(IF(0&lt;&gt;Общее!$J$3:$J$152,ROW(Общее!$J$3:$J$152),""),ROW()-ROW(Общее!$J$2))-ROW(Общее!$J$2)),"")</f>
        <v/>
      </c>
      <c r="Z25" s="54" t="str">
        <f t="array" ref="Z25">IFERROR(INDEX(Общее!$E$3:$E$152,SMALL(IF(0&lt;&gt;Общее!$J$3:$J$152,ROW(Общее!$J$3:$J$152),""),ROW()-ROW(Общее!$J$2))-ROW(Общее!$J$2)),"")</f>
        <v/>
      </c>
      <c r="AA25" s="54" t="str">
        <f t="array" ref="AA25">IFERROR(INDEX(Общее!$J$3:$J$152,SMALL(IF(0&lt;&gt;Общее!$J$3:$J$152,ROW(Общее!$J$3:$J$152),""),ROW()-ROW(Общее!$J$2))-ROW(Общее!$J$2)),"")</f>
        <v/>
      </c>
      <c r="AB25" s="105" t="str">
        <f t="array" ref="AB25">IFERROR(INDEX(Общее!$H$3:$H$152,SMALL(IF(0&lt;&gt;Общее!$J$3:$J$152,ROW(Общее!$J$3:$J$152),""),ROW()-ROW(Общее!$J$2))-ROW(Общее!$J$2)),"")</f>
        <v/>
      </c>
      <c r="AC25" s="129">
        <f t="shared" si="4"/>
        <v>0</v>
      </c>
    </row>
    <row r="26" spans="1:29" x14ac:dyDescent="0.25">
      <c r="A26">
        <v>6</v>
      </c>
      <c r="B26" s="3"/>
      <c r="C26" s="3" t="s">
        <v>186</v>
      </c>
      <c r="D26" s="9">
        <v>20</v>
      </c>
      <c r="E26" s="9" t="s">
        <v>190</v>
      </c>
      <c r="F26" s="9">
        <v>31.57</v>
      </c>
      <c r="G26" s="54">
        <f t="shared" si="5"/>
        <v>1</v>
      </c>
      <c r="H26" s="149">
        <f t="shared" si="6"/>
        <v>31.57</v>
      </c>
      <c r="I26" s="526">
        <f>SUMIF(Цена!$E$7:$E$200,E26,Цена!$G$7:$G$200)</f>
        <v>0</v>
      </c>
      <c r="J26" s="283">
        <f>SUMIF(Расчет_ЭК!$E$16:$E$86,E26,Расчет_ЭК!$F$16:$F$86)</f>
        <v>0</v>
      </c>
      <c r="K26" s="200">
        <f t="shared" si="2"/>
        <v>0</v>
      </c>
      <c r="L26" s="200"/>
      <c r="M26" s="166"/>
      <c r="N26" s="436" t="str">
        <f t="array" ref="N26">IFERROR(INDEX(Общее!$C$3:$C$163,SMALL(IF(0&lt;&gt;Общее!$I$3:$I$163,ROW(Общее!$I$3:$I$163),""),ROW()-ROW(Общее!$I$2))-ROW(Общее!$I$2)),"")</f>
        <v>Короб 40х60</v>
      </c>
      <c r="O26" s="54" t="str">
        <f t="array" ref="O26">IFERROR(INDEX(Общее!$D$3:$D$163,SMALL(IF(0&lt;&gt;Общее!$I$3:$I$163,ROW(Общее!$I$3:$I$163),""),ROW()-ROW(Общее!$I$2))-ROW(Общее!$I$2)),"")</f>
        <v>К_40х60</v>
      </c>
      <c r="P26" s="54" t="str">
        <f t="array" ref="P26">IFERROR(INDEX(Общее!$E$3:$E$163,SMALL(IF(0&lt;&gt;Общее!$I$3:$I$163,ROW(Общее!$I$3:$I$163),""),ROW()-ROW(Общее!$I$2))-ROW(Общее!$I$2)),"")</f>
        <v>К_40х60</v>
      </c>
      <c r="Q26" s="54">
        <f t="array" ref="Q26">IFERROR(INDEX(Общее!$I$3:$I$163,SMALL(IF(0&lt;&gt;Общее!$I$3:$I$163,ROW(Общее!$I$3:$I$163),""),ROW()-ROW(Общее!$I$2))-ROW(Общее!$I$2)),"")</f>
        <v>2</v>
      </c>
      <c r="R26" s="105">
        <f t="array" ref="R26">IFERROR(INDEX(Общее!$H$3:$H$163,SMALL(IF(0&lt;&gt;Общее!$I$3:$I$163,ROW(Общее!$I$3:$I$163),""),ROW()-ROW(Общее!$I$2))-ROW(Общее!$I$2)),"")</f>
        <v>5.15</v>
      </c>
      <c r="S26" s="129">
        <f t="shared" si="3"/>
        <v>10.3</v>
      </c>
      <c r="T26" s="109"/>
      <c r="U26" s="109"/>
      <c r="V26" s="109"/>
      <c r="W26">
        <v>24</v>
      </c>
      <c r="X26" s="436" t="str">
        <f t="array" ref="X26">IFERROR(INDEX(Общее!$C$3:$C$152,SMALL(IF(0&lt;&gt;Общее!$J$3:$J$152,ROW(Общее!$J$3:$J$152),""),ROW()-ROW(Общее!$J$2))-ROW(Общее!$J$2)),"")</f>
        <v/>
      </c>
      <c r="Y26" s="54" t="str">
        <f t="array" ref="Y26">IFERROR(INDEX(Общее!$D$3:$D$152,SMALL(IF(0&lt;&gt;Общее!$J$3:$J$152,ROW(Общее!$J$3:$J$152),""),ROW()-ROW(Общее!$J$2))-ROW(Общее!$J$2)),"")</f>
        <v/>
      </c>
      <c r="Z26" s="54" t="str">
        <f t="array" ref="Z26">IFERROR(INDEX(Общее!$E$3:$E$152,SMALL(IF(0&lt;&gt;Общее!$J$3:$J$152,ROW(Общее!$J$3:$J$152),""),ROW()-ROW(Общее!$J$2))-ROW(Общее!$J$2)),"")</f>
        <v/>
      </c>
      <c r="AA26" s="54" t="str">
        <f t="array" ref="AA26">IFERROR(INDEX(Общее!$J$3:$J$152,SMALL(IF(0&lt;&gt;Общее!$J$3:$J$152,ROW(Общее!$J$3:$J$152),""),ROW()-ROW(Общее!$J$2))-ROW(Общее!$J$2)),"")</f>
        <v/>
      </c>
      <c r="AB26" s="105" t="str">
        <f t="array" ref="AB26">IFERROR(INDEX(Общее!$H$3:$H$152,SMALL(IF(0&lt;&gt;Общее!$J$3:$J$152,ROW(Общее!$J$3:$J$152),""),ROW()-ROW(Общее!$J$2))-ROW(Общее!$J$2)),"")</f>
        <v/>
      </c>
      <c r="AC26" s="129">
        <f t="shared" si="4"/>
        <v>0</v>
      </c>
    </row>
    <row r="27" spans="1:29" x14ac:dyDescent="0.25">
      <c r="A27">
        <v>7</v>
      </c>
      <c r="B27" s="3"/>
      <c r="C27" s="3" t="s">
        <v>186</v>
      </c>
      <c r="D27" s="9">
        <v>32</v>
      </c>
      <c r="E27" s="9" t="s">
        <v>652</v>
      </c>
      <c r="F27" s="9">
        <v>40.01</v>
      </c>
      <c r="G27" s="54">
        <v>1</v>
      </c>
      <c r="H27" s="149">
        <f t="shared" si="6"/>
        <v>40.01</v>
      </c>
      <c r="I27" s="526">
        <f>SUMIF(Цена!$E$7:$E$200,E27,Цена!$G$7:$G$200)</f>
        <v>0</v>
      </c>
      <c r="J27" s="283">
        <f>SUMIF(Расчет_ЭК!$E$16:$E$86,E27,Расчет_ЭК!$F$16:$F$86)</f>
        <v>0</v>
      </c>
      <c r="K27" s="200">
        <f t="shared" si="2"/>
        <v>0</v>
      </c>
      <c r="L27" s="200"/>
      <c r="M27" s="166"/>
      <c r="N27" s="436" t="str">
        <f t="array" ref="N27">IFERROR(INDEX(Общее!$C$3:$C$163,SMALL(IF(0&lt;&gt;Общее!$I$3:$I$163,ROW(Общее!$I$3:$I$163),""),ROW()-ROW(Общее!$I$2))-ROW(Общее!$I$2)),"")</f>
        <v>DIN-рейка 35х7,5</v>
      </c>
      <c r="O27" s="54" t="str">
        <f t="array" ref="O27">IFERROR(INDEX(Общее!$D$3:$D$163,SMALL(IF(0&lt;&gt;Общее!$I$3:$I$163,ROW(Общее!$I$3:$I$163),""),ROW()-ROW(Общее!$I$2))-ROW(Общее!$I$2)),"")</f>
        <v>DIN_р</v>
      </c>
      <c r="P27" s="54" t="str">
        <f t="array" ref="P27">IFERROR(INDEX(Общее!$E$3:$E$163,SMALL(IF(0&lt;&gt;Общее!$I$3:$I$163,ROW(Общее!$I$3:$I$163),""),ROW()-ROW(Общее!$I$2))-ROW(Общее!$I$2)),"")</f>
        <v>DIN_р</v>
      </c>
      <c r="Q27" s="54">
        <f t="array" ref="Q27">IFERROR(INDEX(Общее!$I$3:$I$163,SMALL(IF(0&lt;&gt;Общее!$I$3:$I$163,ROW(Общее!$I$3:$I$163),""),ROW()-ROW(Общее!$I$2))-ROW(Общее!$I$2)),"")</f>
        <v>1.2</v>
      </c>
      <c r="R27" s="105">
        <f t="array" ref="R27">IFERROR(INDEX(Общее!$H$3:$H$163,SMALL(IF(0&lt;&gt;Общее!$I$3:$I$163,ROW(Общее!$I$3:$I$163),""),ROW()-ROW(Общее!$I$2))-ROW(Общее!$I$2)),"")</f>
        <v>2.64</v>
      </c>
      <c r="S27" s="129">
        <f t="shared" si="3"/>
        <v>3.1680000000000001</v>
      </c>
      <c r="T27" s="109"/>
      <c r="U27" s="109"/>
      <c r="V27" s="109"/>
      <c r="W27">
        <v>25</v>
      </c>
      <c r="X27" s="436" t="str">
        <f t="array" ref="X27">IFERROR(INDEX(Общее!$C$3:$C$152,SMALL(IF(0&lt;&gt;Общее!$J$3:$J$152,ROW(Общее!$J$3:$J$152),""),ROW()-ROW(Общее!$J$2))-ROW(Общее!$J$2)),"")</f>
        <v/>
      </c>
      <c r="Y27" s="54" t="str">
        <f t="array" ref="Y27">IFERROR(INDEX(Общее!$D$3:$D$152,SMALL(IF(0&lt;&gt;Общее!$J$3:$J$152,ROW(Общее!$J$3:$J$152),""),ROW()-ROW(Общее!$J$2))-ROW(Общее!$J$2)),"")</f>
        <v/>
      </c>
      <c r="Z27" s="54" t="str">
        <f t="array" ref="Z27">IFERROR(INDEX(Общее!$E$3:$E$152,SMALL(IF(0&lt;&gt;Общее!$J$3:$J$152,ROW(Общее!$J$3:$J$152),""),ROW()-ROW(Общее!$J$2))-ROW(Общее!$J$2)),"")</f>
        <v/>
      </c>
      <c r="AA27" s="54" t="str">
        <f t="array" ref="AA27">IFERROR(INDEX(Общее!$J$3:$J$152,SMALL(IF(0&lt;&gt;Общее!$J$3:$J$152,ROW(Общее!$J$3:$J$152),""),ROW()-ROW(Общее!$J$2))-ROW(Общее!$J$2)),"")</f>
        <v/>
      </c>
      <c r="AB27" s="105" t="str">
        <f t="array" ref="AB27">IFERROR(INDEX(Общее!$H$3:$H$152,SMALL(IF(0&lt;&gt;Общее!$J$3:$J$152,ROW(Общее!$J$3:$J$152),""),ROW()-ROW(Общее!$J$2))-ROW(Общее!$J$2)),"")</f>
        <v/>
      </c>
      <c r="AC27" s="129">
        <f t="shared" si="4"/>
        <v>0</v>
      </c>
    </row>
    <row r="28" spans="1:29" x14ac:dyDescent="0.25">
      <c r="A28">
        <v>8</v>
      </c>
      <c r="B28" s="3"/>
      <c r="C28" s="3" t="s">
        <v>186</v>
      </c>
      <c r="D28" s="9">
        <v>40</v>
      </c>
      <c r="E28" s="9" t="s">
        <v>191</v>
      </c>
      <c r="F28" s="9">
        <v>39.21</v>
      </c>
      <c r="G28" s="54">
        <f t="shared" si="5"/>
        <v>1</v>
      </c>
      <c r="H28" s="149">
        <f t="shared" si="6"/>
        <v>39.21</v>
      </c>
      <c r="I28" s="526">
        <f>SUMIF(Цена!$E$7:$E$200,E28,Цена!$G$7:$G$200)</f>
        <v>0</v>
      </c>
      <c r="J28" s="283">
        <f>SUMIF(Расчет_ЭК!$E$16:$E$86,E28,Расчет_ЭК!$F$16:$F$86)</f>
        <v>0</v>
      </c>
      <c r="K28" s="200">
        <f t="shared" si="2"/>
        <v>0</v>
      </c>
      <c r="L28" s="200"/>
      <c r="M28" s="166"/>
      <c r="N28" s="436" t="str">
        <f t="array" ref="N28">IFERROR(INDEX(Общее!$C$3:$C$163,SMALL(IF(0&lt;&gt;Общее!$I$3:$I$163,ROW(Общее!$I$3:$I$163),""),ROW()-ROW(Общее!$I$2))-ROW(Общее!$I$2)),"")</f>
        <v>Шланг спиральный d-12</v>
      </c>
      <c r="O28" s="54" t="str">
        <f t="array" ref="O28">IFERROR(INDEX(Общее!$D$3:$D$163,SMALL(IF(0&lt;&gt;Общее!$I$3:$I$163,ROW(Общее!$I$3:$I$163),""),ROW()-ROW(Общее!$I$2))-ROW(Общее!$I$2)),"")</f>
        <v>шланг</v>
      </c>
      <c r="P28" s="54" t="str">
        <f t="array" ref="P28">IFERROR(INDEX(Общее!$E$3:$E$163,SMALL(IF(0&lt;&gt;Общее!$I$3:$I$163,ROW(Общее!$I$3:$I$163),""),ROW()-ROW(Общее!$I$2))-ROW(Общее!$I$2)),"")</f>
        <v>шланг</v>
      </c>
      <c r="Q28" s="54">
        <f t="array" ref="Q28">IFERROR(INDEX(Общее!$I$3:$I$163,SMALL(IF(0&lt;&gt;Общее!$I$3:$I$163,ROW(Общее!$I$3:$I$163),""),ROW()-ROW(Общее!$I$2))-ROW(Общее!$I$2)),"")</f>
        <v>0.4</v>
      </c>
      <c r="R28" s="105">
        <f t="array" ref="R28">IFERROR(INDEX(Общее!$H$3:$H$163,SMALL(IF(0&lt;&gt;Общее!$I$3:$I$163,ROW(Общее!$I$3:$I$163),""),ROW()-ROW(Общее!$I$2))-ROW(Общее!$I$2)),"")</f>
        <v>0.4</v>
      </c>
      <c r="S28" s="129">
        <f t="shared" si="3"/>
        <v>0.16000000000000003</v>
      </c>
      <c r="T28" s="109"/>
      <c r="U28" s="109"/>
      <c r="V28" s="109"/>
      <c r="W28">
        <v>26</v>
      </c>
      <c r="X28" s="436" t="str">
        <f t="array" ref="X28">IFERROR(INDEX(Общее!$C$3:$C$152,SMALL(IF(0&lt;&gt;Общее!$J$3:$J$152,ROW(Общее!$J$3:$J$152),""),ROW()-ROW(Общее!$J$2))-ROW(Общее!$J$2)),"")</f>
        <v/>
      </c>
      <c r="Y28" s="54" t="str">
        <f t="array" ref="Y28">IFERROR(INDEX(Общее!$D$3:$D$152,SMALL(IF(0&lt;&gt;Общее!$J$3:$J$152,ROW(Общее!$J$3:$J$152),""),ROW()-ROW(Общее!$J$2))-ROW(Общее!$J$2)),"")</f>
        <v/>
      </c>
      <c r="Z28" s="54" t="str">
        <f t="array" ref="Z28">IFERROR(INDEX(Общее!$E$3:$E$152,SMALL(IF(0&lt;&gt;Общее!$J$3:$J$152,ROW(Общее!$J$3:$J$152),""),ROW()-ROW(Общее!$J$2))-ROW(Общее!$J$2)),"")</f>
        <v/>
      </c>
      <c r="AA28" s="54" t="str">
        <f t="array" ref="AA28">IFERROR(INDEX(Общее!$J$3:$J$152,SMALL(IF(0&lt;&gt;Общее!$J$3:$J$152,ROW(Общее!$J$3:$J$152),""),ROW()-ROW(Общее!$J$2))-ROW(Общее!$J$2)),"")</f>
        <v/>
      </c>
      <c r="AB28" s="105" t="str">
        <f t="array" ref="AB28">IFERROR(INDEX(Общее!$H$3:$H$152,SMALL(IF(0&lt;&gt;Общее!$J$3:$J$152,ROW(Общее!$J$3:$J$152),""),ROW()-ROW(Общее!$J$2))-ROW(Общее!$J$2)),"")</f>
        <v/>
      </c>
      <c r="AC28" s="129">
        <f t="shared" si="4"/>
        <v>0</v>
      </c>
    </row>
    <row r="29" spans="1:29" x14ac:dyDescent="0.25">
      <c r="A29">
        <v>9</v>
      </c>
      <c r="B29" s="3"/>
      <c r="C29" s="3" t="s">
        <v>186</v>
      </c>
      <c r="D29" s="9">
        <v>63</v>
      </c>
      <c r="E29" s="9" t="s">
        <v>192</v>
      </c>
      <c r="F29" s="9">
        <v>63.53</v>
      </c>
      <c r="G29" s="54">
        <f t="shared" si="5"/>
        <v>1</v>
      </c>
      <c r="H29" s="149">
        <f t="shared" si="6"/>
        <v>63.53</v>
      </c>
      <c r="I29" s="526">
        <f>SUMIF(Цена!$E$7:$E$200,E29,Цена!$G$7:$G$200)</f>
        <v>0</v>
      </c>
      <c r="J29" s="283">
        <f>SUMIF(Расчет_ЭК!$E$16:$E$86,E29,Расчет_ЭК!$F$16:$F$86)</f>
        <v>0</v>
      </c>
      <c r="K29" s="200">
        <f t="shared" si="2"/>
        <v>0</v>
      </c>
      <c r="L29" s="200"/>
      <c r="M29" s="166"/>
      <c r="N29" s="436" t="str">
        <f t="array" ref="N29">IFERROR(INDEX(Общее!$C$3:$C$163,SMALL(IF(0&lt;&gt;Общее!$I$3:$I$163,ROW(Общее!$I$3:$I$163),""),ROW()-ROW(Общее!$I$2))-ROW(Общее!$I$2)),"")</f>
        <v/>
      </c>
      <c r="O29" s="54" t="str">
        <f t="array" ref="O29">IFERROR(INDEX(Общее!$D$3:$D$163,SMALL(IF(0&lt;&gt;Общее!$I$3:$I$163,ROW(Общее!$I$3:$I$163),""),ROW()-ROW(Общее!$I$2))-ROW(Общее!$I$2)),"")</f>
        <v/>
      </c>
      <c r="P29" s="54" t="str">
        <f t="array" ref="P29">IFERROR(INDEX(Общее!$E$3:$E$163,SMALL(IF(0&lt;&gt;Общее!$I$3:$I$163,ROW(Общее!$I$3:$I$163),""),ROW()-ROW(Общее!$I$2))-ROW(Общее!$I$2)),"")</f>
        <v/>
      </c>
      <c r="Q29" s="54" t="str">
        <f t="array" ref="Q29">IFERROR(INDEX(Общее!$I$3:$I$163,SMALL(IF(0&lt;&gt;Общее!$I$3:$I$163,ROW(Общее!$I$3:$I$163),""),ROW()-ROW(Общее!$I$2))-ROW(Общее!$I$2)),"")</f>
        <v/>
      </c>
      <c r="R29" s="105" t="str">
        <f t="array" ref="R29">IFERROR(INDEX(Общее!$H$3:$H$163,SMALL(IF(0&lt;&gt;Общее!$I$3:$I$163,ROW(Общее!$I$3:$I$163),""),ROW()-ROW(Общее!$I$2))-ROW(Общее!$I$2)),"")</f>
        <v/>
      </c>
      <c r="S29" s="129">
        <f t="shared" si="3"/>
        <v>0</v>
      </c>
      <c r="T29" s="109"/>
      <c r="U29" s="109"/>
      <c r="V29" s="109"/>
      <c r="W29">
        <v>27</v>
      </c>
      <c r="X29" s="436" t="str">
        <f t="array" ref="X29">IFERROR(INDEX(Общее!$C$3:$C$152,SMALL(IF(0&lt;&gt;Общее!$J$3:$J$152,ROW(Общее!$J$3:$J$152),""),ROW()-ROW(Общее!$J$2))-ROW(Общее!$J$2)),"")</f>
        <v/>
      </c>
      <c r="Y29" s="54" t="str">
        <f t="array" ref="Y29">IFERROR(INDEX(Общее!$D$3:$D$152,SMALL(IF(0&lt;&gt;Общее!$J$3:$J$152,ROW(Общее!$J$3:$J$152),""),ROW()-ROW(Общее!$J$2))-ROW(Общее!$J$2)),"")</f>
        <v/>
      </c>
      <c r="Z29" s="54" t="str">
        <f t="array" ref="Z29">IFERROR(INDEX(Общее!$E$3:$E$152,SMALL(IF(0&lt;&gt;Общее!$J$3:$J$152,ROW(Общее!$J$3:$J$152),""),ROW()-ROW(Общее!$J$2))-ROW(Общее!$J$2)),"")</f>
        <v/>
      </c>
      <c r="AA29" s="54" t="str">
        <f t="array" ref="AA29">IFERROR(INDEX(Общее!$J$3:$J$152,SMALL(IF(0&lt;&gt;Общее!$J$3:$J$152,ROW(Общее!$J$3:$J$152),""),ROW()-ROW(Общее!$J$2))-ROW(Общее!$J$2)),"")</f>
        <v/>
      </c>
      <c r="AB29" s="105" t="str">
        <f t="array" ref="AB29">IFERROR(INDEX(Общее!$H$3:$H$152,SMALL(IF(0&lt;&gt;Общее!$J$3:$J$152,ROW(Общее!$J$3:$J$152),""),ROW()-ROW(Общее!$J$2))-ROW(Общее!$J$2)),"")</f>
        <v/>
      </c>
      <c r="AC29" s="129">
        <f t="shared" si="4"/>
        <v>0</v>
      </c>
    </row>
    <row r="30" spans="1:29" x14ac:dyDescent="0.25">
      <c r="A30">
        <v>10</v>
      </c>
      <c r="B30" s="3"/>
      <c r="C30" s="3" t="s">
        <v>186</v>
      </c>
      <c r="D30" s="9">
        <v>80</v>
      </c>
      <c r="E30" s="9" t="s">
        <v>248</v>
      </c>
      <c r="F30" s="9">
        <v>346.75</v>
      </c>
      <c r="G30" s="54">
        <f t="shared" si="5"/>
        <v>1</v>
      </c>
      <c r="H30" s="149">
        <f t="shared" si="6"/>
        <v>346.75</v>
      </c>
      <c r="I30" s="526">
        <f>SUMIF(Цена!$E$7:$E$200,E30,Цена!$G$7:$G$200)</f>
        <v>0</v>
      </c>
      <c r="J30" s="283">
        <f>SUMIF(Расчет_ЭК!$E$16:$E$86,E30,Расчет_ЭК!$F$16:$F$86)</f>
        <v>0</v>
      </c>
      <c r="K30" s="200">
        <f t="shared" si="2"/>
        <v>0</v>
      </c>
      <c r="L30" s="200"/>
      <c r="M30" s="166"/>
      <c r="N30" s="436" t="str">
        <f t="array" ref="N30">IFERROR(INDEX(Общее!$C$3:$C$163,SMALL(IF(0&lt;&gt;Общее!$I$3:$I$163,ROW(Общее!$I$3:$I$163),""),ROW()-ROW(Общее!$I$2))-ROW(Общее!$I$2)),"")</f>
        <v/>
      </c>
      <c r="O30" s="54" t="str">
        <f t="array" ref="O30">IFERROR(INDEX(Общее!$D$3:$D$163,SMALL(IF(0&lt;&gt;Общее!$I$3:$I$163,ROW(Общее!$I$3:$I$163),""),ROW()-ROW(Общее!$I$2))-ROW(Общее!$I$2)),"")</f>
        <v/>
      </c>
      <c r="P30" s="54" t="str">
        <f t="array" ref="P30">IFERROR(INDEX(Общее!$E$3:$E$163,SMALL(IF(0&lt;&gt;Общее!$I$3:$I$163,ROW(Общее!$I$3:$I$163),""),ROW()-ROW(Общее!$I$2))-ROW(Общее!$I$2)),"")</f>
        <v/>
      </c>
      <c r="Q30" s="54" t="str">
        <f t="array" ref="Q30">IFERROR(INDEX(Общее!$I$3:$I$163,SMALL(IF(0&lt;&gt;Общее!$I$3:$I$163,ROW(Общее!$I$3:$I$163),""),ROW()-ROW(Общее!$I$2))-ROW(Общее!$I$2)),"")</f>
        <v/>
      </c>
      <c r="R30" s="105" t="str">
        <f t="array" ref="R30">IFERROR(INDEX(Общее!$H$3:$H$163,SMALL(IF(0&lt;&gt;Общее!$I$3:$I$163,ROW(Общее!$I$3:$I$163),""),ROW()-ROW(Общее!$I$2))-ROW(Общее!$I$2)),"")</f>
        <v/>
      </c>
      <c r="S30" s="129">
        <f t="shared" si="3"/>
        <v>0</v>
      </c>
      <c r="T30" s="109"/>
      <c r="U30" s="109"/>
      <c r="V30" s="109"/>
      <c r="W30">
        <v>28</v>
      </c>
      <c r="X30" s="436" t="str">
        <f t="array" ref="X30">IFERROR(INDEX(Общее!$C$3:$C$152,SMALL(IF(0&lt;&gt;Общее!$J$3:$J$152,ROW(Общее!$J$3:$J$152),""),ROW()-ROW(Общее!$J$2))-ROW(Общее!$J$2)),"")</f>
        <v/>
      </c>
      <c r="Y30" s="54" t="str">
        <f t="array" ref="Y30">IFERROR(INDEX(Общее!$D$3:$D$152,SMALL(IF(0&lt;&gt;Общее!$J$3:$J$152,ROW(Общее!$J$3:$J$152),""),ROW()-ROW(Общее!$J$2))-ROW(Общее!$J$2)),"")</f>
        <v/>
      </c>
      <c r="Z30" s="54" t="str">
        <f t="array" ref="Z30">IFERROR(INDEX(Общее!$E$3:$E$152,SMALL(IF(0&lt;&gt;Общее!$J$3:$J$152,ROW(Общее!$J$3:$J$152),""),ROW()-ROW(Общее!$J$2))-ROW(Общее!$J$2)),"")</f>
        <v/>
      </c>
      <c r="AA30" s="54" t="str">
        <f t="array" ref="AA30">IFERROR(INDEX(Общее!$J$3:$J$152,SMALL(IF(0&lt;&gt;Общее!$J$3:$J$152,ROW(Общее!$J$3:$J$152),""),ROW()-ROW(Общее!$J$2))-ROW(Общее!$J$2)),"")</f>
        <v/>
      </c>
      <c r="AB30" s="105" t="str">
        <f t="array" ref="AB30">IFERROR(INDEX(Общее!$H$3:$H$152,SMALL(IF(0&lt;&gt;Общее!$J$3:$J$152,ROW(Общее!$J$3:$J$152),""),ROW()-ROW(Общее!$J$2))-ROW(Общее!$J$2)),"")</f>
        <v/>
      </c>
      <c r="AC30" s="129">
        <f t="shared" si="4"/>
        <v>0</v>
      </c>
    </row>
    <row r="31" spans="1:29" x14ac:dyDescent="0.25">
      <c r="A31">
        <v>11</v>
      </c>
      <c r="B31" s="3"/>
      <c r="C31" s="3" t="s">
        <v>186</v>
      </c>
      <c r="D31" s="9">
        <v>100</v>
      </c>
      <c r="E31" s="9" t="s">
        <v>653</v>
      </c>
      <c r="F31" s="9">
        <v>232.85</v>
      </c>
      <c r="G31" s="54">
        <v>1</v>
      </c>
      <c r="H31" s="149">
        <f t="shared" si="6"/>
        <v>232.85</v>
      </c>
      <c r="I31" s="526">
        <f>SUMIF(Цена!$E$7:$E$200,E31,Цена!$G$7:$G$200)</f>
        <v>0</v>
      </c>
      <c r="J31" s="283">
        <f>SUMIF(Расчет_ЭК!$E$16:$E$86,E31,Расчет_ЭК!$F$16:$F$86)</f>
        <v>0</v>
      </c>
      <c r="K31" s="200">
        <f t="shared" si="2"/>
        <v>0</v>
      </c>
      <c r="L31" s="200"/>
      <c r="M31" s="166"/>
      <c r="N31" s="436" t="str">
        <f t="array" ref="N31">IFERROR(INDEX(Общее!$C$3:$C$163,SMALL(IF(0&lt;&gt;Общее!$I$3:$I$163,ROW(Общее!$I$3:$I$163),""),ROW()-ROW(Общее!$I$2))-ROW(Общее!$I$2)),"")</f>
        <v/>
      </c>
      <c r="O31" s="54" t="str">
        <f t="array" ref="O31">IFERROR(INDEX(Общее!$D$3:$D$163,SMALL(IF(0&lt;&gt;Общее!$I$3:$I$163,ROW(Общее!$I$3:$I$163),""),ROW()-ROW(Общее!$I$2))-ROW(Общее!$I$2)),"")</f>
        <v/>
      </c>
      <c r="P31" s="54" t="str">
        <f t="array" ref="P31">IFERROR(INDEX(Общее!$E$3:$E$163,SMALL(IF(0&lt;&gt;Общее!$I$3:$I$163,ROW(Общее!$I$3:$I$163),""),ROW()-ROW(Общее!$I$2))-ROW(Общее!$I$2)),"")</f>
        <v/>
      </c>
      <c r="Q31" s="54" t="str">
        <f t="array" ref="Q31">IFERROR(INDEX(Общее!$I$3:$I$163,SMALL(IF(0&lt;&gt;Общее!$I$3:$I$163,ROW(Общее!$I$3:$I$163),""),ROW()-ROW(Общее!$I$2))-ROW(Общее!$I$2)),"")</f>
        <v/>
      </c>
      <c r="R31" s="105" t="str">
        <f t="array" ref="R31">IFERROR(INDEX(Общее!$H$3:$H$163,SMALL(IF(0&lt;&gt;Общее!$I$3:$I$163,ROW(Общее!$I$3:$I$163),""),ROW()-ROW(Общее!$I$2))-ROW(Общее!$I$2)),"")</f>
        <v/>
      </c>
      <c r="S31" s="129">
        <f t="shared" si="3"/>
        <v>0</v>
      </c>
      <c r="T31" s="109"/>
      <c r="U31" s="109"/>
      <c r="V31" s="109"/>
      <c r="W31">
        <v>29</v>
      </c>
      <c r="X31" s="436" t="str">
        <f t="array" ref="X31">IFERROR(INDEX(Общее!$C$3:$C$152,SMALL(IF(0&lt;&gt;Общее!$J$3:$J$152,ROW(Общее!$J$3:$J$152),""),ROW()-ROW(Общее!$J$2))-ROW(Общее!$J$2)),"")</f>
        <v/>
      </c>
      <c r="Y31" s="54" t="str">
        <f t="array" ref="Y31">IFERROR(INDEX(Общее!$D$3:$D$152,SMALL(IF(0&lt;&gt;Общее!$J$3:$J$152,ROW(Общее!$J$3:$J$152),""),ROW()-ROW(Общее!$J$2))-ROW(Общее!$J$2)),"")</f>
        <v/>
      </c>
      <c r="Z31" s="54" t="str">
        <f t="array" ref="Z31">IFERROR(INDEX(Общее!$E$3:$E$152,SMALL(IF(0&lt;&gt;Общее!$J$3:$J$152,ROW(Общее!$J$3:$J$152),""),ROW()-ROW(Общее!$J$2))-ROW(Общее!$J$2)),"")</f>
        <v/>
      </c>
      <c r="AA31" s="54" t="str">
        <f t="array" ref="AA31">IFERROR(INDEX(Общее!$J$3:$J$152,SMALL(IF(0&lt;&gt;Общее!$J$3:$J$152,ROW(Общее!$J$3:$J$152),""),ROW()-ROW(Общее!$J$2))-ROW(Общее!$J$2)),"")</f>
        <v/>
      </c>
      <c r="AB31" s="105" t="str">
        <f t="array" ref="AB31">IFERROR(INDEX(Общее!$H$3:$H$152,SMALL(IF(0&lt;&gt;Общее!$J$3:$J$152,ROW(Общее!$J$3:$J$152),""),ROW()-ROW(Общее!$J$2))-ROW(Общее!$J$2)),"")</f>
        <v/>
      </c>
      <c r="AC31" s="129">
        <f t="shared" si="4"/>
        <v>0</v>
      </c>
    </row>
    <row r="32" spans="1:29" x14ac:dyDescent="0.25">
      <c r="A32">
        <v>12</v>
      </c>
      <c r="B32" s="3"/>
      <c r="C32" s="3" t="s">
        <v>186</v>
      </c>
      <c r="D32" s="9">
        <v>125</v>
      </c>
      <c r="E32" s="9" t="s">
        <v>654</v>
      </c>
      <c r="F32" s="9">
        <v>232.85</v>
      </c>
      <c r="G32" s="54">
        <v>1</v>
      </c>
      <c r="H32" s="149">
        <f t="shared" si="6"/>
        <v>232.85</v>
      </c>
      <c r="I32" s="526">
        <f>SUMIF(Цена!$E$7:$E$200,E32,Цена!$G$7:$G$200)</f>
        <v>0</v>
      </c>
      <c r="J32" s="283">
        <f>SUMIF(Расчет_ЭК!$E$16:$E$86,E32,Расчет_ЭК!$F$16:$F$86)</f>
        <v>0</v>
      </c>
      <c r="K32" s="200">
        <f t="shared" si="2"/>
        <v>0</v>
      </c>
      <c r="L32" s="200"/>
      <c r="M32" s="166"/>
      <c r="N32" s="436" t="str">
        <f t="array" ref="N32">IFERROR(INDEX(Общее!$C$3:$C$163,SMALL(IF(0&lt;&gt;Общее!$I$3:$I$163,ROW(Общее!$I$3:$I$163),""),ROW()-ROW(Общее!$I$2))-ROW(Общее!$I$2)),"")</f>
        <v/>
      </c>
      <c r="O32" s="54" t="str">
        <f t="array" ref="O32">IFERROR(INDEX(Общее!$D$3:$D$163,SMALL(IF(0&lt;&gt;Общее!$I$3:$I$163,ROW(Общее!$I$3:$I$163),""),ROW()-ROW(Общее!$I$2))-ROW(Общее!$I$2)),"")</f>
        <v/>
      </c>
      <c r="P32" s="54" t="str">
        <f t="array" ref="P32">IFERROR(INDEX(Общее!$E$3:$E$163,SMALL(IF(0&lt;&gt;Общее!$I$3:$I$163,ROW(Общее!$I$3:$I$163),""),ROW()-ROW(Общее!$I$2))-ROW(Общее!$I$2)),"")</f>
        <v/>
      </c>
      <c r="Q32" s="54" t="str">
        <f t="array" ref="Q32">IFERROR(INDEX(Общее!$I$3:$I$163,SMALL(IF(0&lt;&gt;Общее!$I$3:$I$163,ROW(Общее!$I$3:$I$163),""),ROW()-ROW(Общее!$I$2))-ROW(Общее!$I$2)),"")</f>
        <v/>
      </c>
      <c r="R32" s="105" t="str">
        <f t="array" ref="R32">IFERROR(INDEX(Общее!$H$3:$H$163,SMALL(IF(0&lt;&gt;Общее!$I$3:$I$163,ROW(Общее!$I$3:$I$163),""),ROW()-ROW(Общее!$I$2))-ROW(Общее!$I$2)),"")</f>
        <v/>
      </c>
      <c r="S32" s="129">
        <f t="shared" si="3"/>
        <v>0</v>
      </c>
      <c r="T32" s="109"/>
      <c r="U32" s="109"/>
      <c r="V32" s="109"/>
      <c r="W32">
        <v>30</v>
      </c>
      <c r="X32" s="436" t="str">
        <f t="array" ref="X32">IFERROR(INDEX(Общее!$C$3:$C$152,SMALL(IF(0&lt;&gt;Общее!$J$3:$J$152,ROW(Общее!$J$3:$J$152),""),ROW()-ROW(Общее!$J$2))-ROW(Общее!$J$2)),"")</f>
        <v/>
      </c>
      <c r="Y32" s="54" t="str">
        <f t="array" ref="Y32">IFERROR(INDEX(Общее!$D$3:$D$152,SMALL(IF(0&lt;&gt;Общее!$J$3:$J$152,ROW(Общее!$J$3:$J$152),""),ROW()-ROW(Общее!$J$2))-ROW(Общее!$J$2)),"")</f>
        <v/>
      </c>
      <c r="Z32" s="54" t="str">
        <f t="array" ref="Z32">IFERROR(INDEX(Общее!$E$3:$E$152,SMALL(IF(0&lt;&gt;Общее!$J$3:$J$152,ROW(Общее!$J$3:$J$152),""),ROW()-ROW(Общее!$J$2))-ROW(Общее!$J$2)),"")</f>
        <v/>
      </c>
      <c r="AA32" s="54" t="str">
        <f t="array" ref="AA32">IFERROR(INDEX(Общее!$J$3:$J$152,SMALL(IF(0&lt;&gt;Общее!$J$3:$J$152,ROW(Общее!$J$3:$J$152),""),ROW()-ROW(Общее!$J$2))-ROW(Общее!$J$2)),"")</f>
        <v/>
      </c>
      <c r="AB32" s="105" t="str">
        <f t="array" ref="AB32">IFERROR(INDEX(Общее!$H$3:$H$152,SMALL(IF(0&lt;&gt;Общее!$J$3:$J$152,ROW(Общее!$J$3:$J$152),""),ROW()-ROW(Общее!$J$2))-ROW(Общее!$J$2)),"")</f>
        <v/>
      </c>
      <c r="AC32" s="129">
        <f t="shared" si="4"/>
        <v>0</v>
      </c>
    </row>
    <row r="33" spans="1:29" x14ac:dyDescent="0.25">
      <c r="A33">
        <v>13</v>
      </c>
      <c r="B33" s="3"/>
      <c r="C33" s="3" t="s">
        <v>236</v>
      </c>
      <c r="D33" s="9" t="s">
        <v>242</v>
      </c>
      <c r="E33" s="9" t="s">
        <v>242</v>
      </c>
      <c r="F33" s="9">
        <v>24.55</v>
      </c>
      <c r="G33" s="54">
        <f t="shared" si="5"/>
        <v>1</v>
      </c>
      <c r="H33" s="149">
        <f t="shared" si="6"/>
        <v>24.55</v>
      </c>
      <c r="I33" s="526">
        <f>SUMIF(Цена!$E$7:$E$200,E33,Цена!$G$7:$G$200)</f>
        <v>0</v>
      </c>
      <c r="J33" s="283">
        <f>SUMIF(Расчет_ЭК!$E$16:$E$86,E33,Расчет_ЭК!$F$16:$F$86)</f>
        <v>3</v>
      </c>
      <c r="K33" s="200">
        <f t="shared" si="2"/>
        <v>0</v>
      </c>
      <c r="L33" s="200"/>
      <c r="M33" s="166"/>
      <c r="N33" s="436" t="str">
        <f t="array" ref="N33">IFERROR(INDEX(Общее!$C$3:$C$163,SMALL(IF(0&lt;&gt;Общее!$I$3:$I$163,ROW(Общее!$I$3:$I$163),""),ROW()-ROW(Общее!$I$2))-ROW(Общее!$I$2)),"")</f>
        <v/>
      </c>
      <c r="O33" s="54" t="str">
        <f t="array" ref="O33">IFERROR(INDEX(Общее!$D$3:$D$163,SMALL(IF(0&lt;&gt;Общее!$I$3:$I$163,ROW(Общее!$I$3:$I$163),""),ROW()-ROW(Общее!$I$2))-ROW(Общее!$I$2)),"")</f>
        <v/>
      </c>
      <c r="P33" s="54" t="str">
        <f t="array" ref="P33">IFERROR(INDEX(Общее!$E$3:$E$163,SMALL(IF(0&lt;&gt;Общее!$I$3:$I$163,ROW(Общее!$I$3:$I$163),""),ROW()-ROW(Общее!$I$2))-ROW(Общее!$I$2)),"")</f>
        <v/>
      </c>
      <c r="Q33" s="54" t="str">
        <f t="array" ref="Q33">IFERROR(INDEX(Общее!$I$3:$I$163,SMALL(IF(0&lt;&gt;Общее!$I$3:$I$163,ROW(Общее!$I$3:$I$163),""),ROW()-ROW(Общее!$I$2))-ROW(Общее!$I$2)),"")</f>
        <v/>
      </c>
      <c r="R33" s="105" t="str">
        <f t="array" ref="R33">IFERROR(INDEX(Общее!$H$3:$H$163,SMALL(IF(0&lt;&gt;Общее!$I$3:$I$163,ROW(Общее!$I$3:$I$163),""),ROW()-ROW(Общее!$I$2))-ROW(Общее!$I$2)),"")</f>
        <v/>
      </c>
      <c r="S33" s="129">
        <f t="shared" si="3"/>
        <v>0</v>
      </c>
      <c r="T33" s="109"/>
      <c r="U33" s="109"/>
      <c r="V33" s="109"/>
      <c r="W33">
        <v>31</v>
      </c>
      <c r="X33" s="436" t="str">
        <f t="array" ref="X33">IFERROR(INDEX(Общее!$C$3:$C$152,SMALL(IF(0&lt;&gt;Общее!$J$3:$J$152,ROW(Общее!$J$3:$J$152),""),ROW()-ROW(Общее!$J$2))-ROW(Общее!$J$2)),"")</f>
        <v/>
      </c>
      <c r="Y33" s="54" t="str">
        <f t="array" ref="Y33">IFERROR(INDEX(Общее!$D$3:$D$152,SMALL(IF(0&lt;&gt;Общее!$J$3:$J$152,ROW(Общее!$J$3:$J$152),""),ROW()-ROW(Общее!$J$2))-ROW(Общее!$J$2)),"")</f>
        <v/>
      </c>
      <c r="Z33" s="54" t="str">
        <f t="array" ref="Z33">IFERROR(INDEX(Общее!$E$3:$E$152,SMALL(IF(0&lt;&gt;Общее!$J$3:$J$152,ROW(Общее!$J$3:$J$152),""),ROW()-ROW(Общее!$J$2))-ROW(Общее!$J$2)),"")</f>
        <v/>
      </c>
      <c r="AA33" s="54" t="str">
        <f t="array" ref="AA33">IFERROR(INDEX(Общее!$J$3:$J$152,SMALL(IF(0&lt;&gt;Общее!$J$3:$J$152,ROW(Общее!$J$3:$J$152),""),ROW()-ROW(Общее!$J$2))-ROW(Общее!$J$2)),"")</f>
        <v/>
      </c>
      <c r="AB33" s="105" t="str">
        <f t="array" ref="AB33">IFERROR(INDEX(Общее!$H$3:$H$152,SMALL(IF(0&lt;&gt;Общее!$J$3:$J$152,ROW(Общее!$J$3:$J$152),""),ROW()-ROW(Общее!$J$2))-ROW(Общее!$J$2)),"")</f>
        <v/>
      </c>
      <c r="AC33" s="129">
        <f t="shared" si="4"/>
        <v>0</v>
      </c>
    </row>
    <row r="34" spans="1:29" x14ac:dyDescent="0.25">
      <c r="A34">
        <v>14</v>
      </c>
      <c r="B34" s="3" t="s">
        <v>48</v>
      </c>
      <c r="C34" s="3" t="s">
        <v>50</v>
      </c>
      <c r="D34" s="9">
        <v>6</v>
      </c>
      <c r="E34" s="9" t="s">
        <v>193</v>
      </c>
      <c r="F34" s="9">
        <v>11.2</v>
      </c>
      <c r="G34" s="54">
        <f t="shared" si="5"/>
        <v>1</v>
      </c>
      <c r="H34" s="149">
        <f t="shared" si="6"/>
        <v>11.2</v>
      </c>
      <c r="I34" s="526">
        <f>SUMIF(Цена!$E$7:$E$200,E34,Цена!$G$7:$G$200)</f>
        <v>0</v>
      </c>
      <c r="J34" s="283">
        <f>SUMIF(Расчет_ЭК!$E$16:$E$86,E34,Расчет_ЭК!$F$16:$F$86)</f>
        <v>0</v>
      </c>
      <c r="K34" s="200">
        <f t="shared" si="2"/>
        <v>0</v>
      </c>
      <c r="L34" s="200"/>
      <c r="M34" s="166"/>
      <c r="N34" s="436" t="str">
        <f t="array" ref="N34">IFERROR(INDEX(Общее!$C$3:$C$163,SMALL(IF(0&lt;&gt;Общее!$I$3:$I$163,ROW(Общее!$I$3:$I$163),""),ROW()-ROW(Общее!$I$2))-ROW(Общее!$I$2)),"")</f>
        <v/>
      </c>
      <c r="O34" s="54" t="str">
        <f t="array" ref="O34">IFERROR(INDEX(Общее!$D$3:$D$163,SMALL(IF(0&lt;&gt;Общее!$I$3:$I$163,ROW(Общее!$I$3:$I$163),""),ROW()-ROW(Общее!$I$2))-ROW(Общее!$I$2)),"")</f>
        <v/>
      </c>
      <c r="P34" s="54" t="str">
        <f t="array" ref="P34">IFERROR(INDEX(Общее!$E$3:$E$163,SMALL(IF(0&lt;&gt;Общее!$I$3:$I$163,ROW(Общее!$I$3:$I$163),""),ROW()-ROW(Общее!$I$2))-ROW(Общее!$I$2)),"")</f>
        <v/>
      </c>
      <c r="Q34" s="54" t="str">
        <f t="array" ref="Q34">IFERROR(INDEX(Общее!$I$3:$I$163,SMALL(IF(0&lt;&gt;Общее!$I$3:$I$163,ROW(Общее!$I$3:$I$163),""),ROW()-ROW(Общее!$I$2))-ROW(Общее!$I$2)),"")</f>
        <v/>
      </c>
      <c r="R34" s="105" t="str">
        <f t="array" ref="R34">IFERROR(INDEX(Общее!$H$3:$H$163,SMALL(IF(0&lt;&gt;Общее!$I$3:$I$163,ROW(Общее!$I$3:$I$163),""),ROW()-ROW(Общее!$I$2))-ROW(Общее!$I$2)),"")</f>
        <v/>
      </c>
      <c r="S34" s="129">
        <f t="shared" si="3"/>
        <v>0</v>
      </c>
      <c r="T34" s="109"/>
      <c r="U34" s="109"/>
      <c r="V34" s="109"/>
      <c r="W34">
        <v>32</v>
      </c>
      <c r="X34" s="436" t="str">
        <f t="array" ref="X34">IFERROR(INDEX(Общее!$C$3:$C$152,SMALL(IF(0&lt;&gt;Общее!$J$3:$J$152,ROW(Общее!$J$3:$J$152),""),ROW()-ROW(Общее!$J$2))-ROW(Общее!$J$2)),"")</f>
        <v/>
      </c>
      <c r="Y34" s="54" t="str">
        <f t="array" ref="Y34">IFERROR(INDEX(Общее!$D$3:$D$152,SMALL(IF(0&lt;&gt;Общее!$J$3:$J$152,ROW(Общее!$J$3:$J$152),""),ROW()-ROW(Общее!$J$2))-ROW(Общее!$J$2)),"")</f>
        <v/>
      </c>
      <c r="Z34" s="54" t="str">
        <f t="array" ref="Z34">IFERROR(INDEX(Общее!$E$3:$E$152,SMALL(IF(0&lt;&gt;Общее!$J$3:$J$152,ROW(Общее!$J$3:$J$152),""),ROW()-ROW(Общее!$J$2))-ROW(Общее!$J$2)),"")</f>
        <v/>
      </c>
      <c r="AA34" s="54" t="str">
        <f t="array" ref="AA34">IFERROR(INDEX(Общее!$J$3:$J$152,SMALL(IF(0&lt;&gt;Общее!$J$3:$J$152,ROW(Общее!$J$3:$J$152),""),ROW()-ROW(Общее!$J$2))-ROW(Общее!$J$2)),"")</f>
        <v/>
      </c>
      <c r="AB34" s="105" t="str">
        <f t="array" ref="AB34">IFERROR(INDEX(Общее!$H$3:$H$152,SMALL(IF(0&lt;&gt;Общее!$J$3:$J$152,ROW(Общее!$J$3:$J$152),""),ROW()-ROW(Общее!$J$2))-ROW(Общее!$J$2)),"")</f>
        <v/>
      </c>
      <c r="AC34" s="129">
        <f t="shared" si="4"/>
        <v>0</v>
      </c>
    </row>
    <row r="35" spans="1:29" x14ac:dyDescent="0.25">
      <c r="A35">
        <v>15</v>
      </c>
      <c r="B35" s="3" t="s">
        <v>49</v>
      </c>
      <c r="C35" s="3" t="s">
        <v>50</v>
      </c>
      <c r="D35" s="9">
        <v>16</v>
      </c>
      <c r="E35" s="9" t="s">
        <v>194</v>
      </c>
      <c r="F35" s="9">
        <v>9.0299999999999994</v>
      </c>
      <c r="G35" s="54">
        <f t="shared" si="5"/>
        <v>1</v>
      </c>
      <c r="H35" s="149">
        <f t="shared" si="6"/>
        <v>9.0299999999999994</v>
      </c>
      <c r="I35" s="526">
        <f>SUMIF(Цена!$E$7:$E$200,E35,Цена!$G$7:$G$200)</f>
        <v>2</v>
      </c>
      <c r="J35" s="283">
        <f>SUMIF(Расчет_ЭК!$E$16:$E$86,E35,Расчет_ЭК!$F$16:$F$86)</f>
        <v>0</v>
      </c>
      <c r="K35" s="200">
        <f t="shared" si="2"/>
        <v>18.059999999999999</v>
      </c>
      <c r="L35" s="200"/>
      <c r="M35" s="166"/>
      <c r="N35" s="436" t="str">
        <f t="array" ref="N35">IFERROR(INDEX(Общее!$C$3:$C$163,SMALL(IF(0&lt;&gt;Общее!$I$3:$I$163,ROW(Общее!$I$3:$I$163),""),ROW()-ROW(Общее!$I$2))-ROW(Общее!$I$2)),"")</f>
        <v/>
      </c>
      <c r="O35" s="54" t="str">
        <f t="array" ref="O35">IFERROR(INDEX(Общее!$D$3:$D$163,SMALL(IF(0&lt;&gt;Общее!$I$3:$I$163,ROW(Общее!$I$3:$I$163),""),ROW()-ROW(Общее!$I$2))-ROW(Общее!$I$2)),"")</f>
        <v/>
      </c>
      <c r="P35" s="54" t="str">
        <f t="array" ref="P35">IFERROR(INDEX(Общее!$E$3:$E$163,SMALL(IF(0&lt;&gt;Общее!$I$3:$I$163,ROW(Общее!$I$3:$I$163),""),ROW()-ROW(Общее!$I$2))-ROW(Общее!$I$2)),"")</f>
        <v/>
      </c>
      <c r="Q35" s="54" t="str">
        <f t="array" ref="Q35">IFERROR(INDEX(Общее!$I$3:$I$163,SMALL(IF(0&lt;&gt;Общее!$I$3:$I$163,ROW(Общее!$I$3:$I$163),""),ROW()-ROW(Общее!$I$2))-ROW(Общее!$I$2)),"")</f>
        <v/>
      </c>
      <c r="R35" s="105" t="str">
        <f t="array" ref="R35">IFERROR(INDEX(Общее!$H$3:$H$163,SMALL(IF(0&lt;&gt;Общее!$I$3:$I$163,ROW(Общее!$I$3:$I$163),""),ROW()-ROW(Общее!$I$2))-ROW(Общее!$I$2)),"")</f>
        <v/>
      </c>
      <c r="S35" s="129">
        <f t="shared" si="3"/>
        <v>0</v>
      </c>
      <c r="T35" s="109"/>
      <c r="U35" s="109"/>
      <c r="V35" s="109"/>
      <c r="W35">
        <v>33</v>
      </c>
      <c r="X35" s="436" t="str">
        <f t="array" ref="X35">IFERROR(INDEX(Общее!$C$3:$C$152,SMALL(IF(0&lt;&gt;Общее!$J$3:$J$152,ROW(Общее!$J$3:$J$152),""),ROW()-ROW(Общее!$J$2))-ROW(Общее!$J$2)),"")</f>
        <v/>
      </c>
      <c r="Y35" s="54" t="str">
        <f t="array" ref="Y35">IFERROR(INDEX(Общее!$D$3:$D$152,SMALL(IF(0&lt;&gt;Общее!$J$3:$J$152,ROW(Общее!$J$3:$J$152),""),ROW()-ROW(Общее!$J$2))-ROW(Общее!$J$2)),"")</f>
        <v/>
      </c>
      <c r="Z35" s="54" t="str">
        <f t="array" ref="Z35">IFERROR(INDEX(Общее!$E$3:$E$152,SMALL(IF(0&lt;&gt;Общее!$J$3:$J$152,ROW(Общее!$J$3:$J$152),""),ROW()-ROW(Общее!$J$2))-ROW(Общее!$J$2)),"")</f>
        <v/>
      </c>
      <c r="AA35" s="54" t="str">
        <f t="array" ref="AA35">IFERROR(INDEX(Общее!$J$3:$J$152,SMALL(IF(0&lt;&gt;Общее!$J$3:$J$152,ROW(Общее!$J$3:$J$152),""),ROW()-ROW(Общее!$J$2))-ROW(Общее!$J$2)),"")</f>
        <v/>
      </c>
      <c r="AB35" s="105" t="str">
        <f t="array" ref="AB35">IFERROR(INDEX(Общее!$H$3:$H$152,SMALL(IF(0&lt;&gt;Общее!$J$3:$J$152,ROW(Общее!$J$3:$J$152),""),ROW()-ROW(Общее!$J$2))-ROW(Общее!$J$2)),"")</f>
        <v/>
      </c>
      <c r="AC35" s="129">
        <f t="shared" si="4"/>
        <v>0</v>
      </c>
    </row>
    <row r="36" spans="1:29" x14ac:dyDescent="0.25">
      <c r="A36">
        <v>16</v>
      </c>
      <c r="B36" s="8"/>
      <c r="C36" s="3" t="s">
        <v>50</v>
      </c>
      <c r="D36" s="22">
        <v>1</v>
      </c>
      <c r="E36" s="9" t="s">
        <v>345</v>
      </c>
      <c r="F36" s="22">
        <v>11.02</v>
      </c>
      <c r="G36" s="54">
        <f t="shared" si="5"/>
        <v>1</v>
      </c>
      <c r="H36" s="149">
        <f t="shared" si="6"/>
        <v>11.02</v>
      </c>
      <c r="I36" s="526">
        <f>SUMIF(Цена!$E$7:$E$200,E36,Цена!$G$7:$G$200)</f>
        <v>0</v>
      </c>
      <c r="J36" s="283">
        <f>SUMIF(Расчет_ЭК!$E$16:$E$86,E36,Расчет_ЭК!$F$16:$F$86)</f>
        <v>0</v>
      </c>
      <c r="K36" s="200">
        <f t="shared" si="2"/>
        <v>0</v>
      </c>
      <c r="L36" s="200"/>
      <c r="M36" s="166"/>
      <c r="N36" s="436" t="str">
        <f t="array" ref="N36">IFERROR(INDEX(Общее!$C$3:$C$163,SMALL(IF(0&lt;&gt;Общее!$I$3:$I$163,ROW(Общее!$I$3:$I$163),""),ROW()-ROW(Общее!$I$2))-ROW(Общее!$I$2)),"")</f>
        <v/>
      </c>
      <c r="O36" s="54" t="str">
        <f t="array" ref="O36">IFERROR(INDEX(Общее!$D$3:$D$163,SMALL(IF(0&lt;&gt;Общее!$I$3:$I$163,ROW(Общее!$I$3:$I$163),""),ROW()-ROW(Общее!$I$2))-ROW(Общее!$I$2)),"")</f>
        <v/>
      </c>
      <c r="P36" s="54" t="str">
        <f t="array" ref="P36">IFERROR(INDEX(Общее!$E$3:$E$163,SMALL(IF(0&lt;&gt;Общее!$I$3:$I$163,ROW(Общее!$I$3:$I$163),""),ROW()-ROW(Общее!$I$2))-ROW(Общее!$I$2)),"")</f>
        <v/>
      </c>
      <c r="Q36" s="54" t="str">
        <f t="array" ref="Q36">IFERROR(INDEX(Общее!$I$3:$I$163,SMALL(IF(0&lt;&gt;Общее!$I$3:$I$163,ROW(Общее!$I$3:$I$163),""),ROW()-ROW(Общее!$I$2))-ROW(Общее!$I$2)),"")</f>
        <v/>
      </c>
      <c r="R36" s="105" t="str">
        <f t="array" ref="R36">IFERROR(INDEX(Общее!$H$3:$H$163,SMALL(IF(0&lt;&gt;Общее!$I$3:$I$163,ROW(Общее!$I$3:$I$163),""),ROW()-ROW(Общее!$I$2))-ROW(Общее!$I$2)),"")</f>
        <v/>
      </c>
      <c r="S36" s="129">
        <f t="shared" si="3"/>
        <v>0</v>
      </c>
      <c r="T36" s="109"/>
      <c r="U36" s="109"/>
      <c r="V36" s="109"/>
      <c r="W36">
        <v>34</v>
      </c>
      <c r="X36" s="436" t="str">
        <f t="array" ref="X36">IFERROR(INDEX(Общее!$C$3:$C$152,SMALL(IF(0&lt;&gt;Общее!$J$3:$J$152,ROW(Общее!$J$3:$J$152),""),ROW()-ROW(Общее!$J$2))-ROW(Общее!$J$2)),"")</f>
        <v/>
      </c>
      <c r="Y36" s="54" t="str">
        <f t="array" ref="Y36">IFERROR(INDEX(Общее!$D$3:$D$152,SMALL(IF(0&lt;&gt;Общее!$J$3:$J$152,ROW(Общее!$J$3:$J$152),""),ROW()-ROW(Общее!$J$2))-ROW(Общее!$J$2)),"")</f>
        <v/>
      </c>
      <c r="Z36" s="54" t="str">
        <f t="array" ref="Z36">IFERROR(INDEX(Общее!$E$3:$E$152,SMALL(IF(0&lt;&gt;Общее!$J$3:$J$152,ROW(Общее!$J$3:$J$152),""),ROW()-ROW(Общее!$J$2))-ROW(Общее!$J$2)),"")</f>
        <v/>
      </c>
      <c r="AA36" s="54" t="str">
        <f t="array" ref="AA36">IFERROR(INDEX(Общее!$J$3:$J$152,SMALL(IF(0&lt;&gt;Общее!$J$3:$J$152,ROW(Общее!$J$3:$J$152),""),ROW()-ROW(Общее!$J$2))-ROW(Общее!$J$2)),"")</f>
        <v/>
      </c>
      <c r="AB36" s="105" t="str">
        <f t="array" ref="AB36">IFERROR(INDEX(Общее!$H$3:$H$152,SMALL(IF(0&lt;&gt;Общее!$J$3:$J$152,ROW(Общее!$J$3:$J$152),""),ROW()-ROW(Общее!$J$2))-ROW(Общее!$J$2)),"")</f>
        <v/>
      </c>
      <c r="AC36" s="129">
        <f t="shared" si="4"/>
        <v>0</v>
      </c>
    </row>
    <row r="37" spans="1:29" x14ac:dyDescent="0.25">
      <c r="B37" s="8"/>
      <c r="C37" s="3" t="s">
        <v>50</v>
      </c>
      <c r="D37" s="22">
        <v>2</v>
      </c>
      <c r="E37" s="9" t="s">
        <v>346</v>
      </c>
      <c r="F37" s="22">
        <v>15.06</v>
      </c>
      <c r="G37" s="54">
        <f t="shared" si="5"/>
        <v>1</v>
      </c>
      <c r="H37" s="149">
        <f t="shared" si="6"/>
        <v>15.06</v>
      </c>
      <c r="I37" s="526">
        <f>SUMIF(Цена!$E$7:$E$200,E37,Цена!$G$7:$G$200)</f>
        <v>0</v>
      </c>
      <c r="J37" s="283">
        <f>SUMIF(Расчет_ЭК!$E$16:$E$86,E37,Расчет_ЭК!$F$16:$F$86)</f>
        <v>0</v>
      </c>
      <c r="K37" s="200">
        <f t="shared" si="2"/>
        <v>0</v>
      </c>
      <c r="L37" s="200"/>
      <c r="M37" s="166"/>
      <c r="N37" s="436" t="str">
        <f t="array" ref="N37">IFERROR(INDEX(Общее!$C$3:$C$163,SMALL(IF(0&lt;&gt;Общее!$I$3:$I$163,ROW(Общее!$I$3:$I$163),""),ROW()-ROW(Общее!$I$2))-ROW(Общее!$I$2)),"")</f>
        <v/>
      </c>
      <c r="O37" s="54" t="str">
        <f t="array" ref="O37">IFERROR(INDEX(Общее!$D$3:$D$163,SMALL(IF(0&lt;&gt;Общее!$I$3:$I$163,ROW(Общее!$I$3:$I$163),""),ROW()-ROW(Общее!$I$2))-ROW(Общее!$I$2)),"")</f>
        <v/>
      </c>
      <c r="P37" s="54" t="str">
        <f t="array" ref="P37">IFERROR(INDEX(Общее!$E$3:$E$163,SMALL(IF(0&lt;&gt;Общее!$I$3:$I$163,ROW(Общее!$I$3:$I$163),""),ROW()-ROW(Общее!$I$2))-ROW(Общее!$I$2)),"")</f>
        <v/>
      </c>
      <c r="Q37" s="54" t="str">
        <f t="array" ref="Q37">IFERROR(INDEX(Общее!$I$3:$I$163,SMALL(IF(0&lt;&gt;Общее!$I$3:$I$163,ROW(Общее!$I$3:$I$163),""),ROW()-ROW(Общее!$I$2))-ROW(Общее!$I$2)),"")</f>
        <v/>
      </c>
      <c r="R37" s="105" t="str">
        <f t="array" ref="R37">IFERROR(INDEX(Общее!$H$3:$H$163,SMALL(IF(0&lt;&gt;Общее!$I$3:$I$163,ROW(Общее!$I$3:$I$163),""),ROW()-ROW(Общее!$I$2))-ROW(Общее!$I$2)),"")</f>
        <v/>
      </c>
      <c r="S37" s="129">
        <f t="shared" si="3"/>
        <v>0</v>
      </c>
      <c r="T37" s="109"/>
      <c r="U37" s="109"/>
      <c r="V37" s="109"/>
      <c r="W37">
        <v>35</v>
      </c>
      <c r="X37" s="436" t="str">
        <f t="array" ref="X37">IFERROR(INDEX(Общее!$C$3:$C$152,SMALL(IF(0&lt;&gt;Общее!$J$3:$J$152,ROW(Общее!$J$3:$J$152),""),ROW()-ROW(Общее!$J$2))-ROW(Общее!$J$2)),"")</f>
        <v/>
      </c>
      <c r="Y37" s="54" t="str">
        <f t="array" ref="Y37">IFERROR(INDEX(Общее!$D$3:$D$152,SMALL(IF(0&lt;&gt;Общее!$J$3:$J$152,ROW(Общее!$J$3:$J$152),""),ROW()-ROW(Общее!$J$2))-ROW(Общее!$J$2)),"")</f>
        <v/>
      </c>
      <c r="Z37" s="54" t="str">
        <f t="array" ref="Z37">IFERROR(INDEX(Общее!$E$3:$E$152,SMALL(IF(0&lt;&gt;Общее!$J$3:$J$152,ROW(Общее!$J$3:$J$152),""),ROW()-ROW(Общее!$J$2))-ROW(Общее!$J$2)),"")</f>
        <v/>
      </c>
      <c r="AA37" s="54" t="str">
        <f t="array" ref="AA37">IFERROR(INDEX(Общее!$J$3:$J$152,SMALL(IF(0&lt;&gt;Общее!$J$3:$J$152,ROW(Общее!$J$3:$J$152),""),ROW()-ROW(Общее!$J$2))-ROW(Общее!$J$2)),"")</f>
        <v/>
      </c>
      <c r="AB37" s="105" t="str">
        <f t="array" ref="AB37">IFERROR(INDEX(Общее!$H$3:$H$152,SMALL(IF(0&lt;&gt;Общее!$J$3:$J$152,ROW(Общее!$J$3:$J$152),""),ROW()-ROW(Общее!$J$2))-ROW(Общее!$J$2)),"")</f>
        <v/>
      </c>
      <c r="AC37" s="129">
        <f t="shared" si="4"/>
        <v>0</v>
      </c>
    </row>
    <row r="38" spans="1:29" x14ac:dyDescent="0.25">
      <c r="A38">
        <v>1</v>
      </c>
      <c r="B38" s="8"/>
      <c r="C38" s="3" t="s">
        <v>50</v>
      </c>
      <c r="D38" s="22">
        <v>4</v>
      </c>
      <c r="E38" s="9" t="s">
        <v>347</v>
      </c>
      <c r="F38" s="22">
        <v>15.08</v>
      </c>
      <c r="G38" s="54">
        <f t="shared" si="5"/>
        <v>1</v>
      </c>
      <c r="H38" s="149">
        <f t="shared" si="6"/>
        <v>15.08</v>
      </c>
      <c r="I38" s="526">
        <f>SUMIF(Цена!$E$7:$E$200,E38,Цена!$G$7:$G$200)</f>
        <v>0</v>
      </c>
      <c r="J38" s="283">
        <f>SUMIF(Расчет_ЭК!$E$16:$E$86,E38,Расчет_ЭК!$F$16:$F$86)</f>
        <v>0</v>
      </c>
      <c r="K38" s="200">
        <f t="shared" si="2"/>
        <v>0</v>
      </c>
      <c r="L38" s="200"/>
      <c r="M38" s="166"/>
      <c r="N38" s="436" t="str">
        <f t="array" ref="N38">IFERROR(INDEX(Общее!$C$3:$C$163,SMALL(IF(0&lt;&gt;Общее!$I$3:$I$163,ROW(Общее!$I$3:$I$163),""),ROW()-ROW(Общее!$I$2))-ROW(Общее!$I$2)),"")</f>
        <v/>
      </c>
      <c r="O38" s="54" t="str">
        <f t="array" ref="O38">IFERROR(INDEX(Общее!$D$3:$D$163,SMALL(IF(0&lt;&gt;Общее!$I$3:$I$163,ROW(Общее!$I$3:$I$163),""),ROW()-ROW(Общее!$I$2))-ROW(Общее!$I$2)),"")</f>
        <v/>
      </c>
      <c r="P38" s="54" t="str">
        <f t="array" ref="P38">IFERROR(INDEX(Общее!$E$3:$E$163,SMALL(IF(0&lt;&gt;Общее!$I$3:$I$163,ROW(Общее!$I$3:$I$163),""),ROW()-ROW(Общее!$I$2))-ROW(Общее!$I$2)),"")</f>
        <v/>
      </c>
      <c r="Q38" s="54" t="str">
        <f t="array" ref="Q38">IFERROR(INDEX(Общее!$I$3:$I$163,SMALL(IF(0&lt;&gt;Общее!$I$3:$I$163,ROW(Общее!$I$3:$I$163),""),ROW()-ROW(Общее!$I$2))-ROW(Общее!$I$2)),"")</f>
        <v/>
      </c>
      <c r="R38" s="105" t="str">
        <f t="array" ref="R38">IFERROR(INDEX(Общее!$H$3:$H$163,SMALL(IF(0&lt;&gt;Общее!$I$3:$I$163,ROW(Общее!$I$3:$I$163),""),ROW()-ROW(Общее!$I$2))-ROW(Общее!$I$2)),"")</f>
        <v/>
      </c>
      <c r="S38" s="129">
        <f t="shared" si="3"/>
        <v>0</v>
      </c>
      <c r="T38" s="109"/>
      <c r="U38" s="109"/>
      <c r="V38" s="109"/>
      <c r="W38">
        <v>36</v>
      </c>
      <c r="X38" s="436" t="str">
        <f t="array" ref="X38">IFERROR(INDEX(Общее!$C$3:$C$152,SMALL(IF(0&lt;&gt;Общее!$J$3:$J$152,ROW(Общее!$J$3:$J$152),""),ROW()-ROW(Общее!$J$2))-ROW(Общее!$J$2)),"")</f>
        <v/>
      </c>
      <c r="Y38" s="54" t="str">
        <f t="array" ref="Y38">IFERROR(INDEX(Общее!$D$3:$D$152,SMALL(IF(0&lt;&gt;Общее!$J$3:$J$152,ROW(Общее!$J$3:$J$152),""),ROW()-ROW(Общее!$J$2))-ROW(Общее!$J$2)),"")</f>
        <v/>
      </c>
      <c r="Z38" s="54" t="str">
        <f t="array" ref="Z38">IFERROR(INDEX(Общее!$E$3:$E$152,SMALL(IF(0&lt;&gt;Общее!$J$3:$J$152,ROW(Общее!$J$3:$J$152),""),ROW()-ROW(Общее!$J$2))-ROW(Общее!$J$2)),"")</f>
        <v/>
      </c>
      <c r="AA38" s="54" t="str">
        <f t="array" ref="AA38">IFERROR(INDEX(Общее!$J$3:$J$152,SMALL(IF(0&lt;&gt;Общее!$J$3:$J$152,ROW(Общее!$J$3:$J$152),""),ROW()-ROW(Общее!$J$2))-ROW(Общее!$J$2)),"")</f>
        <v/>
      </c>
      <c r="AB38" s="105" t="str">
        <f t="array" ref="AB38">IFERROR(INDEX(Общее!$H$3:$H$152,SMALL(IF(0&lt;&gt;Общее!$J$3:$J$152,ROW(Общее!$J$3:$J$152),""),ROW()-ROW(Общее!$J$2))-ROW(Общее!$J$2)),"")</f>
        <v/>
      </c>
      <c r="AC38" s="129">
        <f t="shared" si="4"/>
        <v>0</v>
      </c>
    </row>
    <row r="39" spans="1:29" x14ac:dyDescent="0.25">
      <c r="A39">
        <v>2</v>
      </c>
      <c r="B39" s="8"/>
      <c r="C39" s="3" t="s">
        <v>50</v>
      </c>
      <c r="D39" s="22">
        <v>10</v>
      </c>
      <c r="E39" s="9" t="s">
        <v>445</v>
      </c>
      <c r="F39" s="22">
        <v>8.08</v>
      </c>
      <c r="G39" s="146">
        <v>1</v>
      </c>
      <c r="H39" s="149">
        <f t="shared" si="6"/>
        <v>8.08</v>
      </c>
      <c r="I39" s="526">
        <f>SUMIF(Цена!$E$7:$E$200,E39,Цена!$G$7:$G$200)</f>
        <v>0</v>
      </c>
      <c r="J39" s="283">
        <f>SUMIF(Расчет_ЭК!$E$16:$E$86,E39,Расчет_ЭК!$F$16:$F$86)</f>
        <v>0</v>
      </c>
      <c r="K39" s="200">
        <f t="shared" si="2"/>
        <v>0</v>
      </c>
      <c r="L39" s="200"/>
      <c r="M39" s="166"/>
      <c r="N39" s="436" t="str">
        <f t="array" ref="N39">IFERROR(INDEX(Общее!$C$3:$C$163,SMALL(IF(0&lt;&gt;Общее!$I$3:$I$163,ROW(Общее!$I$3:$I$163),""),ROW()-ROW(Общее!$I$2))-ROW(Общее!$I$2)),"")</f>
        <v/>
      </c>
      <c r="O39" s="54" t="str">
        <f t="array" ref="O39">IFERROR(INDEX(Общее!$D$3:$D$163,SMALL(IF(0&lt;&gt;Общее!$I$3:$I$163,ROW(Общее!$I$3:$I$163),""),ROW()-ROW(Общее!$I$2))-ROW(Общее!$I$2)),"")</f>
        <v/>
      </c>
      <c r="P39" s="54" t="str">
        <f t="array" ref="P39">IFERROR(INDEX(Общее!$E$3:$E$163,SMALL(IF(0&lt;&gt;Общее!$I$3:$I$163,ROW(Общее!$I$3:$I$163),""),ROW()-ROW(Общее!$I$2))-ROW(Общее!$I$2)),"")</f>
        <v/>
      </c>
      <c r="Q39" s="54" t="str">
        <f t="array" ref="Q39">IFERROR(INDEX(Общее!$I$3:$I$163,SMALL(IF(0&lt;&gt;Общее!$I$3:$I$163,ROW(Общее!$I$3:$I$163),""),ROW()-ROW(Общее!$I$2))-ROW(Общее!$I$2)),"")</f>
        <v/>
      </c>
      <c r="R39" s="105" t="str">
        <f t="array" ref="R39">IFERROR(INDEX(Общее!$H$3:$H$163,SMALL(IF(0&lt;&gt;Общее!$I$3:$I$163,ROW(Общее!$I$3:$I$163),""),ROW()-ROW(Общее!$I$2))-ROW(Общее!$I$2)),"")</f>
        <v/>
      </c>
      <c r="S39" s="129">
        <f t="shared" si="3"/>
        <v>0</v>
      </c>
      <c r="T39" s="109"/>
      <c r="U39" s="109"/>
      <c r="V39" s="109"/>
      <c r="W39">
        <v>37</v>
      </c>
      <c r="X39" s="436" t="str">
        <f t="array" ref="X39">IFERROR(INDEX(Общее!$C$3:$C$152,SMALL(IF(0&lt;&gt;Общее!$J$3:$J$152,ROW(Общее!$J$3:$J$152),""),ROW()-ROW(Общее!$J$2))-ROW(Общее!$J$2)),"")</f>
        <v/>
      </c>
      <c r="Y39" s="54" t="str">
        <f t="array" ref="Y39">IFERROR(INDEX(Общее!$D$3:$D$152,SMALL(IF(0&lt;&gt;Общее!$J$3:$J$152,ROW(Общее!$J$3:$J$152),""),ROW()-ROW(Общее!$J$2))-ROW(Общее!$J$2)),"")</f>
        <v/>
      </c>
      <c r="Z39" s="54" t="str">
        <f t="array" ref="Z39">IFERROR(INDEX(Общее!$E$3:$E$152,SMALL(IF(0&lt;&gt;Общее!$J$3:$J$152,ROW(Общее!$J$3:$J$152),""),ROW()-ROW(Общее!$J$2))-ROW(Общее!$J$2)),"")</f>
        <v/>
      </c>
      <c r="AA39" s="54" t="str">
        <f t="array" ref="AA39">IFERROR(INDEX(Общее!$J$3:$J$152,SMALL(IF(0&lt;&gt;Общее!$J$3:$J$152,ROW(Общее!$J$3:$J$152),""),ROW()-ROW(Общее!$J$2))-ROW(Общее!$J$2)),"")</f>
        <v/>
      </c>
      <c r="AB39" s="105" t="str">
        <f t="array" ref="AB39">IFERROR(INDEX(Общее!$H$3:$H$152,SMALL(IF(0&lt;&gt;Общее!$J$3:$J$152,ROW(Общее!$J$3:$J$152),""),ROW()-ROW(Общее!$J$2))-ROW(Общее!$J$2)),"")</f>
        <v/>
      </c>
      <c r="AC39" s="129">
        <f t="shared" si="4"/>
        <v>0</v>
      </c>
    </row>
    <row r="40" spans="1:29" ht="15.75" thickBot="1" x14ac:dyDescent="0.3">
      <c r="A40">
        <v>3</v>
      </c>
      <c r="B40" s="8"/>
      <c r="C40" s="8"/>
      <c r="D40" s="22"/>
      <c r="E40" s="22"/>
      <c r="F40" s="8"/>
      <c r="G40" s="8"/>
      <c r="H40" s="150"/>
      <c r="I40" s="526"/>
      <c r="J40" s="283"/>
      <c r="K40" s="200">
        <f t="shared" si="2"/>
        <v>0</v>
      </c>
      <c r="L40" s="200"/>
      <c r="M40" s="166"/>
      <c r="N40" s="436" t="str">
        <f t="array" ref="N40">IFERROR(INDEX(Общее!$C$3:$C$163,SMALL(IF(0&lt;&gt;Общее!$I$3:$I$163,ROW(Общее!$I$3:$I$163),""),ROW()-ROW(Общее!$I$2))-ROW(Общее!$I$2)),"")</f>
        <v/>
      </c>
      <c r="O40" s="54" t="str">
        <f t="array" ref="O40">IFERROR(INDEX(Общее!$D$3:$D$163,SMALL(IF(0&lt;&gt;Общее!$I$3:$I$163,ROW(Общее!$I$3:$I$163),""),ROW()-ROW(Общее!$I$2))-ROW(Общее!$I$2)),"")</f>
        <v/>
      </c>
      <c r="P40" s="54" t="str">
        <f t="array" ref="P40">IFERROR(INDEX(Общее!$E$3:$E$163,SMALL(IF(0&lt;&gt;Общее!$I$3:$I$163,ROW(Общее!$I$3:$I$163),""),ROW()-ROW(Общее!$I$2))-ROW(Общее!$I$2)),"")</f>
        <v/>
      </c>
      <c r="Q40" s="54" t="str">
        <f t="array" ref="Q40">IFERROR(INDEX(Общее!$I$3:$I$163,SMALL(IF(0&lt;&gt;Общее!$I$3:$I$163,ROW(Общее!$I$3:$I$163),""),ROW()-ROW(Общее!$I$2))-ROW(Общее!$I$2)),"")</f>
        <v/>
      </c>
      <c r="R40" s="105" t="str">
        <f t="array" ref="R40">IFERROR(INDEX(Общее!$H$3:$H$163,SMALL(IF(0&lt;&gt;Общее!$I$3:$I$163,ROW(Общее!$I$3:$I$163),""),ROW()-ROW(Общее!$I$2))-ROW(Общее!$I$2)),"")</f>
        <v/>
      </c>
      <c r="S40" s="129">
        <f t="shared" si="3"/>
        <v>0</v>
      </c>
      <c r="T40" s="109"/>
      <c r="U40" s="109"/>
      <c r="V40" s="109"/>
      <c r="W40">
        <v>38</v>
      </c>
      <c r="X40" s="436" t="str">
        <f t="array" ref="X40">IFERROR(INDEX(Общее!$C$3:$C$152,SMALL(IF(0&lt;&gt;Общее!$J$3:$J$152,ROW(Общее!$J$3:$J$152),""),ROW()-ROW(Общее!$J$2))-ROW(Общее!$J$2)),"")</f>
        <v/>
      </c>
      <c r="Y40" s="54" t="str">
        <f t="array" ref="Y40">IFERROR(INDEX(Общее!$D$3:$D$152,SMALL(IF(0&lt;&gt;Общее!$J$3:$J$152,ROW(Общее!$J$3:$J$152),""),ROW()-ROW(Общее!$J$2))-ROW(Общее!$J$2)),"")</f>
        <v/>
      </c>
      <c r="Z40" s="54" t="str">
        <f t="array" ref="Z40">IFERROR(INDEX(Общее!$E$3:$E$152,SMALL(IF(0&lt;&gt;Общее!$J$3:$J$152,ROW(Общее!$J$3:$J$152),""),ROW()-ROW(Общее!$J$2))-ROW(Общее!$J$2)),"")</f>
        <v/>
      </c>
      <c r="AA40" s="54" t="str">
        <f t="array" ref="AA40">IFERROR(INDEX(Общее!$J$3:$J$152,SMALL(IF(0&lt;&gt;Общее!$J$3:$J$152,ROW(Общее!$J$3:$J$152),""),ROW()-ROW(Общее!$J$2))-ROW(Общее!$J$2)),"")</f>
        <v/>
      </c>
      <c r="AB40" s="105" t="str">
        <f t="array" ref="AB40">IFERROR(INDEX(Общее!$H$3:$H$152,SMALL(IF(0&lt;&gt;Общее!$J$3:$J$152,ROW(Общее!$J$3:$J$152),""),ROW()-ROW(Общее!$J$2))-ROW(Общее!$J$2)),"")</f>
        <v/>
      </c>
      <c r="AC40" s="129">
        <f t="shared" si="4"/>
        <v>0</v>
      </c>
    </row>
    <row r="41" spans="1:29" ht="16.5" thickBot="1" x14ac:dyDescent="0.3">
      <c r="A41">
        <v>4</v>
      </c>
      <c r="B41" s="66" t="s">
        <v>164</v>
      </c>
      <c r="C41" s="67"/>
      <c r="D41" s="68"/>
      <c r="E41" s="68"/>
      <c r="F41" s="68"/>
      <c r="G41" s="68"/>
      <c r="H41" s="68"/>
      <c r="I41" s="526"/>
      <c r="J41" s="283"/>
      <c r="K41" s="200">
        <f t="shared" si="2"/>
        <v>0</v>
      </c>
      <c r="L41" s="200"/>
      <c r="M41" s="166"/>
      <c r="N41" s="436" t="str">
        <f t="array" ref="N41">IFERROR(INDEX(Общее!$C$3:$C$163,SMALL(IF(0&lt;&gt;Общее!$I$3:$I$163,ROW(Общее!$I$3:$I$163),""),ROW()-ROW(Общее!$I$2))-ROW(Общее!$I$2)),"")</f>
        <v/>
      </c>
      <c r="O41" s="54" t="str">
        <f t="array" ref="O41">IFERROR(INDEX(Общее!$D$3:$D$163,SMALL(IF(0&lt;&gt;Общее!$I$3:$I$163,ROW(Общее!$I$3:$I$163),""),ROW()-ROW(Общее!$I$2))-ROW(Общее!$I$2)),"")</f>
        <v/>
      </c>
      <c r="P41" s="54" t="str">
        <f t="array" ref="P41">IFERROR(INDEX(Общее!$E$3:$E$163,SMALL(IF(0&lt;&gt;Общее!$I$3:$I$163,ROW(Общее!$I$3:$I$163),""),ROW()-ROW(Общее!$I$2))-ROW(Общее!$I$2)),"")</f>
        <v/>
      </c>
      <c r="Q41" s="54" t="str">
        <f t="array" ref="Q41">IFERROR(INDEX(Общее!$I$3:$I$163,SMALL(IF(0&lt;&gt;Общее!$I$3:$I$163,ROW(Общее!$I$3:$I$163),""),ROW()-ROW(Общее!$I$2))-ROW(Общее!$I$2)),"")</f>
        <v/>
      </c>
      <c r="R41" s="105" t="str">
        <f t="array" ref="R41">IFERROR(INDEX(Общее!$H$3:$H$163,SMALL(IF(0&lt;&gt;Общее!$I$3:$I$163,ROW(Общее!$I$3:$I$163),""),ROW()-ROW(Общее!$I$2))-ROW(Общее!$I$2)),"")</f>
        <v/>
      </c>
      <c r="S41" s="129">
        <f t="shared" si="3"/>
        <v>0</v>
      </c>
      <c r="T41" s="109"/>
      <c r="U41" s="109"/>
      <c r="V41" s="109"/>
      <c r="W41">
        <v>39</v>
      </c>
      <c r="X41" s="436" t="str">
        <f t="array" ref="X41">IFERROR(INDEX(Общее!$C$3:$C$152,SMALL(IF(0&lt;&gt;Общее!$J$3:$J$152,ROW(Общее!$J$3:$J$152),""),ROW()-ROW(Общее!$J$2))-ROW(Общее!$J$2)),"")</f>
        <v/>
      </c>
      <c r="Y41" s="54" t="str">
        <f t="array" ref="Y41">IFERROR(INDEX(Общее!$D$3:$D$152,SMALL(IF(0&lt;&gt;Общее!$J$3:$J$152,ROW(Общее!$J$3:$J$152),""),ROW()-ROW(Общее!$J$2))-ROW(Общее!$J$2)),"")</f>
        <v/>
      </c>
      <c r="Z41" s="54" t="str">
        <f t="array" ref="Z41">IFERROR(INDEX(Общее!$E$3:$E$152,SMALL(IF(0&lt;&gt;Общее!$J$3:$J$152,ROW(Общее!$J$3:$J$152),""),ROW()-ROW(Общее!$J$2))-ROW(Общее!$J$2)),"")</f>
        <v/>
      </c>
      <c r="AA41" s="54" t="str">
        <f t="array" ref="AA41">IFERROR(INDEX(Общее!$J$3:$J$152,SMALL(IF(0&lt;&gt;Общее!$J$3:$J$152,ROW(Общее!$J$3:$J$152),""),ROW()-ROW(Общее!$J$2))-ROW(Общее!$J$2)),"")</f>
        <v/>
      </c>
      <c r="AB41" s="105" t="str">
        <f t="array" ref="AB41">IFERROR(INDEX(Общее!$H$3:$H$152,SMALL(IF(0&lt;&gt;Общее!$J$3:$J$152,ROW(Общее!$J$3:$J$152),""),ROW()-ROW(Общее!$J$2))-ROW(Общее!$J$2)),"")</f>
        <v/>
      </c>
      <c r="AC41" s="129">
        <f t="shared" si="4"/>
        <v>0</v>
      </c>
    </row>
    <row r="42" spans="1:29" x14ac:dyDescent="0.25">
      <c r="A42">
        <v>5</v>
      </c>
      <c r="B42" s="65" t="s">
        <v>46</v>
      </c>
      <c r="C42" s="65" t="s">
        <v>47</v>
      </c>
      <c r="D42" s="54">
        <v>9</v>
      </c>
      <c r="E42" s="54" t="s">
        <v>4</v>
      </c>
      <c r="F42" s="54">
        <v>23.74</v>
      </c>
      <c r="G42" s="54">
        <f>$G$1</f>
        <v>1</v>
      </c>
      <c r="H42" s="149">
        <f>F42/G42</f>
        <v>23.74</v>
      </c>
      <c r="I42" s="526">
        <f>SUMIF(Цена!$E$7:$E$200,E42,Цена!$G$7:$G$200)</f>
        <v>1</v>
      </c>
      <c r="J42" s="283">
        <f>SUMIF(Расчет_ЭК!$E$16:$E$86,E42,Расчет_ЭК!$F$16:$F$86)</f>
        <v>0</v>
      </c>
      <c r="K42" s="200">
        <f t="shared" si="2"/>
        <v>23.74</v>
      </c>
      <c r="L42" s="200"/>
      <c r="M42" s="166"/>
      <c r="N42" s="436" t="str">
        <f t="array" ref="N42">IFERROR(INDEX(Общее!$C$3:$C$163,SMALL(IF(0&lt;&gt;Общее!$I$3:$I$163,ROW(Общее!$I$3:$I$163),""),ROW()-ROW(Общее!$I$2))-ROW(Общее!$I$2)),"")</f>
        <v/>
      </c>
      <c r="O42" s="54" t="str">
        <f t="array" ref="O42">IFERROR(INDEX(Общее!$D$3:$D$163,SMALL(IF(0&lt;&gt;Общее!$I$3:$I$163,ROW(Общее!$I$3:$I$163),""),ROW()-ROW(Общее!$I$2))-ROW(Общее!$I$2)),"")</f>
        <v/>
      </c>
      <c r="P42" s="54" t="str">
        <f t="array" ref="P42">IFERROR(INDEX(Общее!$E$3:$E$163,SMALL(IF(0&lt;&gt;Общее!$I$3:$I$163,ROW(Общее!$I$3:$I$163),""),ROW()-ROW(Общее!$I$2))-ROW(Общее!$I$2)),"")</f>
        <v/>
      </c>
      <c r="Q42" s="54" t="str">
        <f t="array" ref="Q42">IFERROR(INDEX(Общее!$I$3:$I$163,SMALL(IF(0&lt;&gt;Общее!$I$3:$I$163,ROW(Общее!$I$3:$I$163),""),ROW()-ROW(Общее!$I$2))-ROW(Общее!$I$2)),"")</f>
        <v/>
      </c>
      <c r="R42" s="105" t="str">
        <f t="array" ref="R42">IFERROR(INDEX(Общее!$H$3:$H$163,SMALL(IF(0&lt;&gt;Общее!$I$3:$I$163,ROW(Общее!$I$3:$I$163),""),ROW()-ROW(Общее!$I$2))-ROW(Общее!$I$2)),"")</f>
        <v/>
      </c>
      <c r="S42" s="129">
        <f t="shared" si="3"/>
        <v>0</v>
      </c>
      <c r="T42" s="109"/>
      <c r="U42" s="109"/>
      <c r="V42" s="109"/>
      <c r="W42">
        <v>40</v>
      </c>
      <c r="X42" s="436" t="str">
        <f t="array" ref="X42">IFERROR(INDEX(Общее!$C$3:$C$152,SMALL(IF(0&lt;&gt;Общее!$J$3:$J$152,ROW(Общее!$J$3:$J$152),""),ROW()-ROW(Общее!$J$2))-ROW(Общее!$J$2)),"")</f>
        <v/>
      </c>
      <c r="Y42" s="54" t="str">
        <f t="array" ref="Y42">IFERROR(INDEX(Общее!$D$3:$D$152,SMALL(IF(0&lt;&gt;Общее!$J$3:$J$152,ROW(Общее!$J$3:$J$152),""),ROW()-ROW(Общее!$J$2))-ROW(Общее!$J$2)),"")</f>
        <v/>
      </c>
      <c r="Z42" s="54" t="str">
        <f t="array" ref="Z42">IFERROR(INDEX(Общее!$E$3:$E$152,SMALL(IF(0&lt;&gt;Общее!$J$3:$J$152,ROW(Общее!$J$3:$J$152),""),ROW()-ROW(Общее!$J$2))-ROW(Общее!$J$2)),"")</f>
        <v/>
      </c>
      <c r="AA42" s="54" t="str">
        <f t="array" ref="AA42">IFERROR(INDEX(Общее!$J$3:$J$152,SMALL(IF(0&lt;&gt;Общее!$J$3:$J$152,ROW(Общее!$J$3:$J$152),""),ROW()-ROW(Общее!$J$2))-ROW(Общее!$J$2)),"")</f>
        <v/>
      </c>
      <c r="AB42" s="105" t="str">
        <f t="array" ref="AB42">IFERROR(INDEX(Общее!$H$3:$H$152,SMALL(IF(0&lt;&gt;Общее!$J$3:$J$152,ROW(Общее!$J$3:$J$152),""),ROW()-ROW(Общее!$J$2))-ROW(Общее!$J$2)),"")</f>
        <v/>
      </c>
      <c r="AC42" s="129">
        <f t="shared" si="4"/>
        <v>0</v>
      </c>
    </row>
    <row r="43" spans="1:29" x14ac:dyDescent="0.25">
      <c r="A43">
        <v>6</v>
      </c>
      <c r="B43" s="3"/>
      <c r="C43" s="3" t="s">
        <v>47</v>
      </c>
      <c r="D43" s="9">
        <v>12</v>
      </c>
      <c r="E43" s="9" t="s">
        <v>15</v>
      </c>
      <c r="F43" s="9">
        <v>39.89</v>
      </c>
      <c r="G43" s="54">
        <f t="shared" ref="G43:G50" si="7">$G$1</f>
        <v>1</v>
      </c>
      <c r="H43" s="149">
        <f t="shared" ref="H43:H50" si="8">F43/G43</f>
        <v>39.89</v>
      </c>
      <c r="I43" s="526">
        <f>SUMIF(Цена!$E$7:$E$200,E43,Цена!$G$7:$G$200)</f>
        <v>0</v>
      </c>
      <c r="J43" s="283">
        <f>SUMIF(Расчет_ЭК!$E$16:$E$86,E43,Расчет_ЭК!$F$16:$F$86)</f>
        <v>0</v>
      </c>
      <c r="K43" s="200">
        <f t="shared" si="2"/>
        <v>0</v>
      </c>
      <c r="L43" s="200"/>
      <c r="M43" s="166"/>
    </row>
    <row r="44" spans="1:29" x14ac:dyDescent="0.25">
      <c r="A44">
        <v>7</v>
      </c>
      <c r="B44" s="3"/>
      <c r="C44" s="3" t="s">
        <v>47</v>
      </c>
      <c r="D44" s="9">
        <v>18</v>
      </c>
      <c r="E44" s="9" t="s">
        <v>18</v>
      </c>
      <c r="F44" s="9">
        <v>37.42</v>
      </c>
      <c r="G44" s="54">
        <f t="shared" si="7"/>
        <v>1</v>
      </c>
      <c r="H44" s="149">
        <f t="shared" si="8"/>
        <v>37.42</v>
      </c>
      <c r="I44" s="526">
        <f>SUMIF(Цена!$E$7:$E$200,E44,Цена!$G$7:$G$200)</f>
        <v>0</v>
      </c>
      <c r="J44" s="283">
        <f>SUMIF(Расчет_ЭК!$E$16:$E$86,E44,Расчет_ЭК!$F$16:$F$86)</f>
        <v>0</v>
      </c>
      <c r="K44" s="200">
        <f t="shared" si="2"/>
        <v>0</v>
      </c>
      <c r="L44" s="200"/>
      <c r="M44" s="166"/>
    </row>
    <row r="45" spans="1:29" x14ac:dyDescent="0.25">
      <c r="A45">
        <v>8</v>
      </c>
      <c r="B45" s="3"/>
      <c r="C45" s="3" t="s">
        <v>47</v>
      </c>
      <c r="D45" s="9">
        <v>25</v>
      </c>
      <c r="E45" s="9" t="s">
        <v>23</v>
      </c>
      <c r="F45" s="9">
        <v>43.39</v>
      </c>
      <c r="G45" s="54">
        <f t="shared" si="7"/>
        <v>1</v>
      </c>
      <c r="H45" s="149">
        <f t="shared" si="8"/>
        <v>43.39</v>
      </c>
      <c r="I45" s="526">
        <f>SUMIF(Цена!$E$7:$E$200,E45,Цена!$G$7:$G$200)</f>
        <v>0</v>
      </c>
      <c r="J45" s="283">
        <f>SUMIF(Расчет_ЭК!$E$16:$E$86,E45,Расчет_ЭК!$F$16:$F$86)</f>
        <v>0</v>
      </c>
      <c r="K45" s="200">
        <f t="shared" si="2"/>
        <v>0</v>
      </c>
      <c r="L45" s="200"/>
      <c r="M45" s="166"/>
      <c r="S45" s="166">
        <f>SUM(S3:S38)</f>
        <v>706.21299999999985</v>
      </c>
      <c r="T45" s="166"/>
      <c r="U45" s="166"/>
      <c r="V45" s="166"/>
      <c r="AC45" s="166">
        <f>SUM(AC3:AC44)</f>
        <v>0</v>
      </c>
    </row>
    <row r="46" spans="1:29" x14ac:dyDescent="0.25">
      <c r="A46">
        <v>9</v>
      </c>
      <c r="B46" s="3"/>
      <c r="C46" s="3" t="s">
        <v>47</v>
      </c>
      <c r="D46" s="9">
        <v>32</v>
      </c>
      <c r="E46" s="9" t="s">
        <v>28</v>
      </c>
      <c r="F46" s="9">
        <v>61.29</v>
      </c>
      <c r="G46" s="54">
        <f t="shared" si="7"/>
        <v>1</v>
      </c>
      <c r="H46" s="149">
        <f t="shared" si="8"/>
        <v>61.29</v>
      </c>
      <c r="I46" s="526">
        <f>SUMIF(Цена!$E$7:$E$200,E46,Цена!$G$7:$G$200)</f>
        <v>0</v>
      </c>
      <c r="J46" s="283">
        <f>SUMIF(Расчет_ЭК!$E$16:$E$86,E46,Расчет_ЭК!$F$16:$F$86)</f>
        <v>0</v>
      </c>
      <c r="K46" s="200">
        <f t="shared" si="2"/>
        <v>0</v>
      </c>
      <c r="L46" s="200"/>
      <c r="M46" s="166"/>
    </row>
    <row r="47" spans="1:29" x14ac:dyDescent="0.25">
      <c r="B47" s="3"/>
      <c r="C47" s="3" t="s">
        <v>47</v>
      </c>
      <c r="D47" s="9">
        <v>40</v>
      </c>
      <c r="E47" s="9" t="s">
        <v>31</v>
      </c>
      <c r="F47" s="9">
        <v>79.36</v>
      </c>
      <c r="G47" s="54">
        <f t="shared" si="7"/>
        <v>1</v>
      </c>
      <c r="H47" s="149">
        <f t="shared" si="8"/>
        <v>79.36</v>
      </c>
      <c r="I47" s="526">
        <f>SUMIF(Цена!$E$7:$E$200,E47,Цена!$G$7:$G$200)</f>
        <v>0</v>
      </c>
      <c r="J47" s="283">
        <f>SUMIF(Расчет_ЭК!$E$16:$E$86,E47,Расчет_ЭК!$F$16:$F$86)</f>
        <v>0</v>
      </c>
      <c r="K47" s="200">
        <f t="shared" si="2"/>
        <v>0</v>
      </c>
      <c r="L47" s="200"/>
      <c r="M47" s="166"/>
    </row>
    <row r="48" spans="1:29" x14ac:dyDescent="0.25">
      <c r="B48" s="3"/>
      <c r="C48" s="3" t="s">
        <v>47</v>
      </c>
      <c r="D48" s="9">
        <v>50</v>
      </c>
      <c r="E48" s="9" t="s">
        <v>34</v>
      </c>
      <c r="F48" s="9">
        <v>141.91999999999999</v>
      </c>
      <c r="G48" s="54">
        <f t="shared" si="7"/>
        <v>1</v>
      </c>
      <c r="H48" s="149">
        <f t="shared" si="8"/>
        <v>141.91999999999999</v>
      </c>
      <c r="I48" s="526">
        <f>SUMIF(Цена!$E$7:$E$200,E48,Цена!$G$7:$G$200)</f>
        <v>0</v>
      </c>
      <c r="J48" s="283">
        <f>SUMIF(Расчет_ЭК!$E$16:$E$86,E48,Расчет_ЭК!$F$16:$F$86)</f>
        <v>0</v>
      </c>
      <c r="K48" s="200">
        <f t="shared" si="2"/>
        <v>0</v>
      </c>
      <c r="L48" s="200"/>
      <c r="M48" s="166"/>
    </row>
    <row r="49" spans="2:13" x14ac:dyDescent="0.25">
      <c r="B49" s="3"/>
      <c r="C49" s="3" t="s">
        <v>47</v>
      </c>
      <c r="D49" s="9">
        <v>65</v>
      </c>
      <c r="E49" s="9" t="s">
        <v>37</v>
      </c>
      <c r="F49" s="9">
        <v>201.79</v>
      </c>
      <c r="G49" s="54">
        <f t="shared" si="7"/>
        <v>1</v>
      </c>
      <c r="H49" s="149">
        <f t="shared" si="8"/>
        <v>201.79</v>
      </c>
      <c r="I49" s="526">
        <f>SUMIF(Цена!$E$7:$E$200,E49,Цена!$G$7:$G$200)</f>
        <v>0</v>
      </c>
      <c r="J49" s="283">
        <f>SUMIF(Расчет_ЭК!$E$16:$E$86,E49,Расчет_ЭК!$F$16:$F$86)</f>
        <v>0</v>
      </c>
      <c r="K49" s="200">
        <f t="shared" si="2"/>
        <v>0</v>
      </c>
      <c r="L49" s="200"/>
      <c r="M49" s="166"/>
    </row>
    <row r="50" spans="2:13" x14ac:dyDescent="0.25">
      <c r="B50" s="3"/>
      <c r="C50" s="3" t="s">
        <v>47</v>
      </c>
      <c r="D50" s="9">
        <v>80</v>
      </c>
      <c r="E50" s="9" t="s">
        <v>40</v>
      </c>
      <c r="F50" s="9">
        <v>197.18</v>
      </c>
      <c r="G50" s="54">
        <f t="shared" si="7"/>
        <v>1</v>
      </c>
      <c r="H50" s="149">
        <f t="shared" si="8"/>
        <v>197.18</v>
      </c>
      <c r="I50" s="526">
        <f>SUMIF(Цена!$E$7:$E$200,E50,Цена!$G$7:$G$200)</f>
        <v>0</v>
      </c>
      <c r="J50" s="283">
        <f>SUMIF(Расчет_ЭК!$E$16:$E$86,E50,Расчет_ЭК!$F$16:$F$86)</f>
        <v>0</v>
      </c>
      <c r="K50" s="200">
        <f t="shared" si="2"/>
        <v>0</v>
      </c>
      <c r="L50" s="200"/>
      <c r="M50" s="166"/>
    </row>
    <row r="51" spans="2:13" ht="15.75" thickBot="1" x14ac:dyDescent="0.3">
      <c r="B51" s="8"/>
      <c r="C51" s="8"/>
      <c r="D51" s="22"/>
      <c r="E51" s="22"/>
      <c r="F51" s="8"/>
      <c r="G51" s="8"/>
      <c r="H51" s="150"/>
      <c r="I51" s="526"/>
      <c r="J51" s="283"/>
      <c r="K51" s="200">
        <f t="shared" si="2"/>
        <v>0</v>
      </c>
      <c r="L51" s="200"/>
      <c r="M51" s="166"/>
    </row>
    <row r="52" spans="2:13" ht="16.5" thickBot="1" x14ac:dyDescent="0.3">
      <c r="B52" s="66" t="s">
        <v>168</v>
      </c>
      <c r="C52" s="67"/>
      <c r="D52" s="68"/>
      <c r="E52" s="68"/>
      <c r="F52" s="68"/>
      <c r="G52" s="68"/>
      <c r="H52" s="68"/>
      <c r="I52" s="526"/>
      <c r="J52" s="283"/>
      <c r="K52" s="200">
        <f t="shared" si="2"/>
        <v>0</v>
      </c>
      <c r="L52" s="200"/>
      <c r="M52" s="166"/>
    </row>
    <row r="53" spans="2:13" x14ac:dyDescent="0.25">
      <c r="B53" s="65"/>
      <c r="C53" s="65" t="s">
        <v>51</v>
      </c>
      <c r="D53" s="54" t="s">
        <v>200</v>
      </c>
      <c r="E53" s="54" t="s">
        <v>199</v>
      </c>
      <c r="F53" s="54">
        <v>13.21</v>
      </c>
      <c r="G53" s="54">
        <f>$G$1</f>
        <v>1</v>
      </c>
      <c r="H53" s="149">
        <f>F53/G53</f>
        <v>13.21</v>
      </c>
      <c r="I53" s="526">
        <f>SUMIF(Цена!$E$7:$E$200,E53,Цена!$G$7:$G$200)</f>
        <v>0</v>
      </c>
      <c r="J53" s="283">
        <f>SUMIF(Расчет_ЭК!$E$16:$E$86,E53,Расчет_ЭК!$F$16:$F$86)</f>
        <v>0</v>
      </c>
      <c r="K53" s="200">
        <f t="shared" si="2"/>
        <v>0</v>
      </c>
      <c r="L53" s="200"/>
      <c r="M53" s="166"/>
    </row>
    <row r="54" spans="2:13" x14ac:dyDescent="0.25">
      <c r="B54" s="3"/>
      <c r="C54" s="3" t="s">
        <v>52</v>
      </c>
      <c r="D54" s="9" t="s">
        <v>201</v>
      </c>
      <c r="E54" s="9" t="s">
        <v>202</v>
      </c>
      <c r="F54" s="9">
        <v>14.63</v>
      </c>
      <c r="G54" s="54">
        <f t="shared" ref="G54:G55" si="9">$G$1</f>
        <v>1</v>
      </c>
      <c r="H54" s="149">
        <f t="shared" ref="H54:H55" si="10">F54/G54</f>
        <v>14.63</v>
      </c>
      <c r="I54" s="526">
        <f>SUMIF(Цена!$E$7:$E$200,E54,Цена!$G$7:$G$200)</f>
        <v>3</v>
      </c>
      <c r="J54" s="283">
        <f>SUMIF(Расчет_ЭК!$E$16:$E$86,E54,Расчет_ЭК!$F$16:$F$86)</f>
        <v>0</v>
      </c>
      <c r="K54" s="200">
        <f t="shared" si="2"/>
        <v>43.89</v>
      </c>
      <c r="L54" s="200"/>
      <c r="M54" s="166"/>
    </row>
    <row r="55" spans="2:13" x14ac:dyDescent="0.25">
      <c r="B55" s="3"/>
      <c r="C55" s="3" t="s">
        <v>53</v>
      </c>
      <c r="D55" s="9" t="s">
        <v>180</v>
      </c>
      <c r="E55" s="9" t="s">
        <v>180</v>
      </c>
      <c r="F55" s="9">
        <v>51.2</v>
      </c>
      <c r="G55" s="54">
        <f t="shared" si="9"/>
        <v>1</v>
      </c>
      <c r="H55" s="149">
        <f t="shared" si="10"/>
        <v>51.2</v>
      </c>
      <c r="I55" s="526">
        <f>SUMIF(Цена!$E$7:$E$200,E55,Цена!$G$7:$G$200)</f>
        <v>0</v>
      </c>
      <c r="J55" s="283">
        <f>SUMIF(Расчет_ЭК!$E$16:$E$86,E55,Расчет_ЭК!$F$16:$F$86)</f>
        <v>0</v>
      </c>
      <c r="K55" s="200">
        <f t="shared" si="2"/>
        <v>0</v>
      </c>
      <c r="L55" s="200"/>
      <c r="M55" s="166"/>
    </row>
    <row r="56" spans="2:13" ht="15.75" thickBot="1" x14ac:dyDescent="0.3">
      <c r="B56" s="8"/>
      <c r="C56" s="8"/>
      <c r="D56" s="22"/>
      <c r="E56" s="22"/>
      <c r="F56" s="8"/>
      <c r="G56" s="8"/>
      <c r="H56" s="150"/>
      <c r="I56" s="526"/>
      <c r="J56" s="283"/>
      <c r="K56" s="200">
        <f t="shared" si="2"/>
        <v>0</v>
      </c>
      <c r="L56" s="200"/>
      <c r="M56" s="166"/>
    </row>
    <row r="57" spans="2:13" ht="16.5" thickBot="1" x14ac:dyDescent="0.3">
      <c r="B57" s="66" t="s">
        <v>165</v>
      </c>
      <c r="C57" s="67"/>
      <c r="D57" s="68"/>
      <c r="E57" s="68"/>
      <c r="F57" s="68"/>
      <c r="G57" s="68"/>
      <c r="H57" s="68"/>
      <c r="I57" s="526"/>
      <c r="J57" s="283"/>
      <c r="K57" s="200">
        <f t="shared" si="2"/>
        <v>0</v>
      </c>
      <c r="L57" s="200"/>
      <c r="M57" s="166"/>
    </row>
    <row r="58" spans="2:13" x14ac:dyDescent="0.25">
      <c r="B58" s="65"/>
      <c r="C58" s="65" t="s">
        <v>54</v>
      </c>
      <c r="D58" s="54">
        <v>2.5</v>
      </c>
      <c r="E58" s="54" t="str">
        <f t="shared" ref="E58:E77" si="11">CONCATENATE(C58,D58)</f>
        <v>Клемма2,5</v>
      </c>
      <c r="F58" s="54">
        <v>0.63</v>
      </c>
      <c r="G58" s="54">
        <f>$G$1</f>
        <v>1</v>
      </c>
      <c r="H58" s="149">
        <f>F58/G58</f>
        <v>0.63</v>
      </c>
      <c r="I58" s="526">
        <f>SUMIF(Цена!$E$7:$E$200,E58,Цена!$G$7:$G$200)</f>
        <v>41</v>
      </c>
      <c r="J58" s="283">
        <f>SUMIF(Расчет_ЭК!$E$16:$E$86,E58,Расчет_ЭК!$F$16:$F$86)</f>
        <v>0</v>
      </c>
      <c r="K58" s="200">
        <f t="shared" si="2"/>
        <v>25.830000000000002</v>
      </c>
      <c r="L58" s="200"/>
      <c r="M58" s="166"/>
    </row>
    <row r="59" spans="2:13" x14ac:dyDescent="0.25">
      <c r="B59" s="3"/>
      <c r="C59" s="3" t="s">
        <v>54</v>
      </c>
      <c r="D59" s="9">
        <v>4</v>
      </c>
      <c r="E59" s="9" t="str">
        <f t="shared" si="11"/>
        <v>Клемма4</v>
      </c>
      <c r="F59" s="9">
        <v>0.83</v>
      </c>
      <c r="G59" s="54">
        <f t="shared" ref="G59:G78" si="12">$G$1</f>
        <v>1</v>
      </c>
      <c r="H59" s="149">
        <f t="shared" ref="H59:H79" si="13">F59/G59</f>
        <v>0.83</v>
      </c>
      <c r="I59" s="526">
        <f>SUMIF(Цена!$E$7:$E$200,E59,Цена!$G$7:$G$200)</f>
        <v>0</v>
      </c>
      <c r="J59" s="283">
        <f>SUMIF(Расчет_ЭК!$E$16:$E$86,E59,Расчет_ЭК!$F$16:$F$86)</f>
        <v>0</v>
      </c>
      <c r="K59" s="200">
        <f t="shared" si="2"/>
        <v>0</v>
      </c>
      <c r="L59" s="200"/>
      <c r="M59" s="166"/>
    </row>
    <row r="60" spans="2:13" x14ac:dyDescent="0.25">
      <c r="B60" s="3"/>
      <c r="C60" s="3" t="s">
        <v>54</v>
      </c>
      <c r="D60" s="9">
        <v>6</v>
      </c>
      <c r="E60" s="9" t="str">
        <f t="shared" si="11"/>
        <v>Клемма6</v>
      </c>
      <c r="F60" s="9">
        <v>1.22</v>
      </c>
      <c r="G60" s="54">
        <f t="shared" si="12"/>
        <v>1</v>
      </c>
      <c r="H60" s="149">
        <f t="shared" si="13"/>
        <v>1.22</v>
      </c>
      <c r="I60" s="526">
        <f>SUMIF(Цена!$E$7:$E$200,E60,Цена!$G$7:$G$200)</f>
        <v>3</v>
      </c>
      <c r="J60" s="283">
        <f>SUMIF(Расчет_ЭК!$E$16:$E$86,E60,Расчет_ЭК!$F$16:$F$86)</f>
        <v>0</v>
      </c>
      <c r="K60" s="200">
        <f t="shared" si="2"/>
        <v>3.66</v>
      </c>
      <c r="L60" s="200"/>
      <c r="M60" s="166"/>
    </row>
    <row r="61" spans="2:13" x14ac:dyDescent="0.25">
      <c r="B61" s="3"/>
      <c r="C61" s="3" t="s">
        <v>54</v>
      </c>
      <c r="D61" s="9">
        <v>10</v>
      </c>
      <c r="E61" s="9" t="s">
        <v>212</v>
      </c>
      <c r="F61" s="9">
        <v>1.79</v>
      </c>
      <c r="G61" s="54">
        <f t="shared" si="12"/>
        <v>1</v>
      </c>
      <c r="H61" s="149">
        <f t="shared" si="13"/>
        <v>1.79</v>
      </c>
      <c r="I61" s="526">
        <f>SUMIF(Цена!$E$7:$E$200,E61,Цена!$G$7:$G$200)</f>
        <v>0</v>
      </c>
      <c r="J61" s="283">
        <f>SUMIF(Расчет_ЭК!$E$16:$E$86,E61,Расчет_ЭК!$F$16:$F$86)</f>
        <v>0</v>
      </c>
      <c r="K61" s="200">
        <f t="shared" si="2"/>
        <v>0</v>
      </c>
      <c r="L61" s="200"/>
      <c r="M61" s="166"/>
    </row>
    <row r="62" spans="2:13" x14ac:dyDescent="0.25">
      <c r="B62" s="3"/>
      <c r="C62" s="3" t="s">
        <v>54</v>
      </c>
      <c r="D62" s="9">
        <v>16</v>
      </c>
      <c r="E62" s="9" t="str">
        <f t="shared" si="11"/>
        <v>Клемма16</v>
      </c>
      <c r="F62" s="9">
        <v>3.02</v>
      </c>
      <c r="G62" s="54">
        <f t="shared" si="12"/>
        <v>1</v>
      </c>
      <c r="H62" s="149">
        <f t="shared" si="13"/>
        <v>3.02</v>
      </c>
      <c r="I62" s="526">
        <f>SUMIF(Цена!$E$7:$E$200,E62,Цена!$G$7:$G$200)</f>
        <v>0</v>
      </c>
      <c r="J62" s="283">
        <f>SUMIF(Расчет_ЭК!$E$16:$E$86,E62,Расчет_ЭК!$F$16:$F$86)</f>
        <v>0</v>
      </c>
      <c r="K62" s="200">
        <f t="shared" si="2"/>
        <v>0</v>
      </c>
      <c r="L62" s="200"/>
      <c r="M62" s="166"/>
    </row>
    <row r="63" spans="2:13" x14ac:dyDescent="0.25">
      <c r="B63" s="3"/>
      <c r="C63" s="3" t="s">
        <v>54</v>
      </c>
      <c r="D63" s="9">
        <v>35</v>
      </c>
      <c r="E63" s="9" t="str">
        <f t="shared" si="11"/>
        <v>Клемма35</v>
      </c>
      <c r="F63" s="9">
        <v>2.79</v>
      </c>
      <c r="G63" s="54">
        <f t="shared" si="12"/>
        <v>1</v>
      </c>
      <c r="H63" s="149">
        <f t="shared" si="13"/>
        <v>2.79</v>
      </c>
      <c r="I63" s="526">
        <f>SUMIF(Цена!$E$7:$E$200,E63,Цена!$G$7:$G$200)</f>
        <v>0</v>
      </c>
      <c r="J63" s="283">
        <f>SUMIF(Расчет_ЭК!$E$16:$E$86,E63,Расчет_ЭК!$F$16:$F$86)</f>
        <v>0</v>
      </c>
      <c r="K63" s="200">
        <f t="shared" si="2"/>
        <v>0</v>
      </c>
      <c r="L63" s="200"/>
      <c r="M63" s="166"/>
    </row>
    <row r="64" spans="2:13" x14ac:dyDescent="0.25">
      <c r="B64" s="3"/>
      <c r="C64" s="3" t="s">
        <v>54</v>
      </c>
      <c r="D64" s="9">
        <v>70</v>
      </c>
      <c r="E64" s="9" t="str">
        <f t="shared" si="11"/>
        <v>Клемма70</v>
      </c>
      <c r="F64" s="9">
        <v>15.79</v>
      </c>
      <c r="G64" s="54">
        <v>1</v>
      </c>
      <c r="H64" s="149">
        <f t="shared" si="13"/>
        <v>15.79</v>
      </c>
      <c r="I64" s="526">
        <f>SUMIF(Цена!$E$7:$E$200,E64,Цена!$G$7:$G$200)</f>
        <v>0</v>
      </c>
      <c r="J64" s="283">
        <f>SUMIF(Расчет_ЭК!$E$16:$E$86,E64,Расчет_ЭК!$F$16:$F$86)</f>
        <v>0</v>
      </c>
      <c r="K64" s="200">
        <f t="shared" si="2"/>
        <v>0</v>
      </c>
      <c r="L64" s="200"/>
      <c r="M64" s="166"/>
    </row>
    <row r="65" spans="1:13" x14ac:dyDescent="0.25">
      <c r="B65" s="3"/>
      <c r="C65" s="3" t="s">
        <v>54</v>
      </c>
      <c r="D65" s="9">
        <v>150</v>
      </c>
      <c r="E65" s="9" t="str">
        <f t="shared" si="11"/>
        <v>Клемма150</v>
      </c>
      <c r="F65" s="9">
        <v>39.700000000000003</v>
      </c>
      <c r="G65" s="54">
        <v>1</v>
      </c>
      <c r="H65" s="149">
        <f t="shared" si="13"/>
        <v>39.700000000000003</v>
      </c>
      <c r="I65" s="526">
        <f>SUMIF(Цена!$E$7:$E$200,E65,Цена!$G$7:$G$200)</f>
        <v>0</v>
      </c>
      <c r="J65" s="283">
        <f>SUMIF(Расчет_ЭК!$E$16:$E$86,E65,Расчет_ЭК!$F$16:$F$86)</f>
        <v>0</v>
      </c>
      <c r="K65" s="200">
        <f t="shared" si="2"/>
        <v>0</v>
      </c>
      <c r="L65" s="200"/>
      <c r="M65" s="166"/>
    </row>
    <row r="66" spans="1:13" x14ac:dyDescent="0.25">
      <c r="B66" s="3"/>
      <c r="C66" s="3" t="s">
        <v>55</v>
      </c>
      <c r="D66" s="9">
        <v>2.5</v>
      </c>
      <c r="E66" s="9" t="str">
        <f t="shared" si="11"/>
        <v>Клемма N2,5</v>
      </c>
      <c r="F66" s="9">
        <v>0.62</v>
      </c>
      <c r="G66" s="54">
        <f t="shared" si="12"/>
        <v>1</v>
      </c>
      <c r="H66" s="149">
        <f t="shared" si="13"/>
        <v>0.62</v>
      </c>
      <c r="I66" s="526">
        <f>SUMIF(Цена!$E$7:$E$200,E66,Цена!$G$7:$G$200)</f>
        <v>4</v>
      </c>
      <c r="J66" s="283">
        <f>SUMIF(Расчет_ЭК!$E$16:$E$86,E66,Расчет_ЭК!$F$16:$F$86)</f>
        <v>0</v>
      </c>
      <c r="K66" s="200">
        <f t="shared" si="2"/>
        <v>2.48</v>
      </c>
      <c r="L66" s="200"/>
      <c r="M66" s="166"/>
    </row>
    <row r="67" spans="1:13" x14ac:dyDescent="0.25">
      <c r="B67" s="3"/>
      <c r="C67" s="3" t="s">
        <v>55</v>
      </c>
      <c r="D67" s="9">
        <v>4</v>
      </c>
      <c r="E67" s="9" t="str">
        <f t="shared" si="11"/>
        <v>Клемма N4</v>
      </c>
      <c r="F67" s="9">
        <v>1.1200000000000001</v>
      </c>
      <c r="G67" s="54">
        <f t="shared" si="12"/>
        <v>1</v>
      </c>
      <c r="H67" s="149">
        <f t="shared" si="13"/>
        <v>1.1200000000000001</v>
      </c>
      <c r="I67" s="526">
        <f>SUMIF(Цена!$E$7:$E$200,E67,Цена!$G$7:$G$200)</f>
        <v>0</v>
      </c>
      <c r="J67" s="283">
        <f>SUMIF(Расчет_ЭК!$E$16:$E$86,E67,Расчет_ЭК!$F$16:$F$86)</f>
        <v>0</v>
      </c>
      <c r="K67" s="200">
        <f t="shared" ref="K67:K130" si="14">H67*I67</f>
        <v>0</v>
      </c>
      <c r="L67" s="200"/>
      <c r="M67" s="166"/>
    </row>
    <row r="68" spans="1:13" x14ac:dyDescent="0.25">
      <c r="B68" s="3"/>
      <c r="C68" s="3" t="s">
        <v>55</v>
      </c>
      <c r="D68" s="9">
        <v>6</v>
      </c>
      <c r="E68" s="9" t="str">
        <f t="shared" si="11"/>
        <v>Клемма N6</v>
      </c>
      <c r="F68" s="9">
        <v>1.23</v>
      </c>
      <c r="G68" s="54">
        <f t="shared" si="12"/>
        <v>1</v>
      </c>
      <c r="H68" s="149">
        <f t="shared" si="13"/>
        <v>1.23</v>
      </c>
      <c r="I68" s="526">
        <f>SUMIF(Цена!$E$7:$E$200,E68,Цена!$G$7:$G$200)</f>
        <v>1</v>
      </c>
      <c r="J68" s="283">
        <f>SUMIF(Расчет_ЭК!$E$16:$E$86,E68,Расчет_ЭК!$F$16:$F$86)</f>
        <v>0</v>
      </c>
      <c r="K68" s="200">
        <f t="shared" si="14"/>
        <v>1.23</v>
      </c>
      <c r="L68" s="200"/>
      <c r="M68" s="166"/>
    </row>
    <row r="69" spans="1:13" x14ac:dyDescent="0.25">
      <c r="B69" s="3"/>
      <c r="C69" s="3" t="s">
        <v>55</v>
      </c>
      <c r="D69" s="9">
        <v>10</v>
      </c>
      <c r="E69" s="9" t="str">
        <f t="shared" si="11"/>
        <v>Клемма N10</v>
      </c>
      <c r="F69" s="9">
        <v>1.6</v>
      </c>
      <c r="G69" s="54">
        <f t="shared" si="12"/>
        <v>1</v>
      </c>
      <c r="H69" s="149">
        <f t="shared" si="13"/>
        <v>1.6</v>
      </c>
      <c r="I69" s="526">
        <f>SUMIF(Цена!$E$7:$E$200,E69,Цена!$G$7:$G$200)</f>
        <v>0</v>
      </c>
      <c r="J69" s="283">
        <f>SUMIF(Расчет_ЭК!$E$16:$E$86,E69,Расчет_ЭК!$F$16:$F$86)</f>
        <v>0</v>
      </c>
      <c r="K69" s="200">
        <f t="shared" si="14"/>
        <v>0</v>
      </c>
      <c r="L69" s="200"/>
      <c r="M69" s="166"/>
    </row>
    <row r="70" spans="1:13" x14ac:dyDescent="0.25">
      <c r="B70" s="3"/>
      <c r="C70" s="3" t="s">
        <v>55</v>
      </c>
      <c r="D70" s="9">
        <v>16</v>
      </c>
      <c r="E70" s="9" t="str">
        <f t="shared" si="11"/>
        <v>Клемма N16</v>
      </c>
      <c r="F70" s="9">
        <v>2.83</v>
      </c>
      <c r="G70" s="54">
        <f t="shared" si="12"/>
        <v>1</v>
      </c>
      <c r="H70" s="149">
        <f t="shared" si="13"/>
        <v>2.83</v>
      </c>
      <c r="I70" s="526">
        <f>SUMIF(Цена!$E$7:$E$200,E70,Цена!$G$7:$G$200)</f>
        <v>0</v>
      </c>
      <c r="J70" s="283">
        <f>SUMIF(Расчет_ЭК!$E$16:$E$86,E70,Расчет_ЭК!$F$16:$F$86)</f>
        <v>0</v>
      </c>
      <c r="K70" s="200">
        <f t="shared" si="14"/>
        <v>0</v>
      </c>
      <c r="L70" s="200"/>
      <c r="M70" s="166"/>
    </row>
    <row r="71" spans="1:13" x14ac:dyDescent="0.25">
      <c r="A71">
        <v>1</v>
      </c>
      <c r="B71" s="3"/>
      <c r="C71" s="3" t="s">
        <v>55</v>
      </c>
      <c r="D71" s="9">
        <v>35</v>
      </c>
      <c r="E71" s="9" t="str">
        <f t="shared" si="11"/>
        <v>Клемма N35</v>
      </c>
      <c r="F71" s="9">
        <v>3.23</v>
      </c>
      <c r="G71" s="54">
        <f t="shared" si="12"/>
        <v>1</v>
      </c>
      <c r="H71" s="149">
        <f t="shared" si="13"/>
        <v>3.23</v>
      </c>
      <c r="I71" s="526">
        <f>SUMIF(Цена!$E$7:$E$200,E71,Цена!$G$7:$G$200)</f>
        <v>0</v>
      </c>
      <c r="J71" s="283">
        <f>SUMIF(Расчет_ЭК!$E$16:$E$86,E71,Расчет_ЭК!$F$16:$F$86)</f>
        <v>0</v>
      </c>
      <c r="K71" s="200">
        <f t="shared" si="14"/>
        <v>0</v>
      </c>
      <c r="L71" s="200"/>
      <c r="M71" s="166"/>
    </row>
    <row r="72" spans="1:13" x14ac:dyDescent="0.25">
      <c r="A72">
        <v>2</v>
      </c>
      <c r="B72" s="3"/>
      <c r="C72" s="3" t="s">
        <v>56</v>
      </c>
      <c r="D72" s="9">
        <v>2.5</v>
      </c>
      <c r="E72" s="9" t="str">
        <f t="shared" si="11"/>
        <v>Клемма PE2,5</v>
      </c>
      <c r="F72" s="9">
        <v>1.87</v>
      </c>
      <c r="G72" s="54">
        <f t="shared" si="12"/>
        <v>1</v>
      </c>
      <c r="H72" s="149">
        <f t="shared" si="13"/>
        <v>1.87</v>
      </c>
      <c r="I72" s="526">
        <f>SUMIF(Цена!$E$7:$E$200,E72,Цена!$G$7:$G$200)</f>
        <v>8</v>
      </c>
      <c r="J72" s="283">
        <f>SUMIF(Расчет_ЭК!$E$16:$E$86,E72,Расчет_ЭК!$F$16:$F$86)</f>
        <v>0</v>
      </c>
      <c r="K72" s="200">
        <f t="shared" si="14"/>
        <v>14.96</v>
      </c>
      <c r="L72" s="200"/>
      <c r="M72" s="166"/>
    </row>
    <row r="73" spans="1:13" x14ac:dyDescent="0.25">
      <c r="A73">
        <v>3</v>
      </c>
      <c r="B73" s="3"/>
      <c r="C73" s="3" t="s">
        <v>56</v>
      </c>
      <c r="D73" s="9">
        <v>4</v>
      </c>
      <c r="E73" s="9" t="str">
        <f t="shared" si="11"/>
        <v>Клемма PE4</v>
      </c>
      <c r="F73" s="9">
        <v>2.83</v>
      </c>
      <c r="G73" s="54">
        <f t="shared" si="12"/>
        <v>1</v>
      </c>
      <c r="H73" s="149">
        <f t="shared" si="13"/>
        <v>2.83</v>
      </c>
      <c r="I73" s="526">
        <f>SUMIF(Цена!$E$7:$E$200,E73,Цена!$G$7:$G$200)</f>
        <v>0</v>
      </c>
      <c r="J73" s="283">
        <f>SUMIF(Расчет_ЭК!$E$16:$E$86,E73,Расчет_ЭК!$F$16:$F$86)</f>
        <v>0</v>
      </c>
      <c r="K73" s="200">
        <f t="shared" si="14"/>
        <v>0</v>
      </c>
      <c r="L73" s="200"/>
      <c r="M73" s="166"/>
    </row>
    <row r="74" spans="1:13" x14ac:dyDescent="0.25">
      <c r="A74">
        <v>4</v>
      </c>
      <c r="B74" s="3"/>
      <c r="C74" s="3" t="s">
        <v>56</v>
      </c>
      <c r="D74" s="9">
        <v>6</v>
      </c>
      <c r="E74" s="9" t="str">
        <f t="shared" si="11"/>
        <v>Клемма PE6</v>
      </c>
      <c r="F74" s="9">
        <v>3.4</v>
      </c>
      <c r="G74" s="54">
        <f t="shared" si="12"/>
        <v>1</v>
      </c>
      <c r="H74" s="149">
        <f t="shared" si="13"/>
        <v>3.4</v>
      </c>
      <c r="I74" s="526">
        <f>SUMIF(Цена!$E$7:$E$200,E74,Цена!$G$7:$G$200)</f>
        <v>1</v>
      </c>
      <c r="J74" s="283">
        <f>SUMIF(Расчет_ЭК!$E$16:$E$86,E74,Расчет_ЭК!$F$16:$F$86)</f>
        <v>0</v>
      </c>
      <c r="K74" s="200">
        <f t="shared" si="14"/>
        <v>3.4</v>
      </c>
      <c r="L74" s="200"/>
      <c r="M74" s="166"/>
    </row>
    <row r="75" spans="1:13" x14ac:dyDescent="0.25">
      <c r="A75">
        <v>5</v>
      </c>
      <c r="B75" s="3"/>
      <c r="C75" s="3" t="s">
        <v>56</v>
      </c>
      <c r="D75" s="9">
        <v>10</v>
      </c>
      <c r="E75" s="9" t="str">
        <f t="shared" si="11"/>
        <v>Клемма PE10</v>
      </c>
      <c r="F75" s="9">
        <v>3.87</v>
      </c>
      <c r="G75" s="54">
        <f t="shared" si="12"/>
        <v>1</v>
      </c>
      <c r="H75" s="149">
        <f t="shared" si="13"/>
        <v>3.87</v>
      </c>
      <c r="I75" s="526">
        <f>SUMIF(Цена!$E$7:$E$200,E75,Цена!$G$7:$G$200)</f>
        <v>0</v>
      </c>
      <c r="J75" s="283">
        <f>SUMIF(Расчет_ЭК!$E$16:$E$86,E75,Расчет_ЭК!$F$16:$F$86)</f>
        <v>0</v>
      </c>
      <c r="K75" s="200">
        <f t="shared" si="14"/>
        <v>0</v>
      </c>
      <c r="L75" s="200"/>
      <c r="M75" s="166"/>
    </row>
    <row r="76" spans="1:13" x14ac:dyDescent="0.25">
      <c r="A76">
        <v>6</v>
      </c>
      <c r="B76" s="3"/>
      <c r="C76" s="3" t="s">
        <v>56</v>
      </c>
      <c r="D76" s="9">
        <v>16</v>
      </c>
      <c r="E76" s="9" t="str">
        <f t="shared" si="11"/>
        <v>Клемма PE16</v>
      </c>
      <c r="F76" s="9">
        <v>5.97</v>
      </c>
      <c r="G76" s="54">
        <f t="shared" si="12"/>
        <v>1</v>
      </c>
      <c r="H76" s="149">
        <f t="shared" si="13"/>
        <v>5.97</v>
      </c>
      <c r="I76" s="526">
        <f>SUMIF(Цена!$E$7:$E$200,E76,Цена!$G$7:$G$200)</f>
        <v>0</v>
      </c>
      <c r="J76" s="283">
        <f>SUMIF(Расчет_ЭК!$E$16:$E$86,E76,Расчет_ЭК!$F$16:$F$86)</f>
        <v>0</v>
      </c>
      <c r="K76" s="200">
        <f t="shared" si="14"/>
        <v>0</v>
      </c>
      <c r="L76" s="200"/>
      <c r="M76" s="166"/>
    </row>
    <row r="77" spans="1:13" x14ac:dyDescent="0.25">
      <c r="A77">
        <v>7</v>
      </c>
      <c r="B77" s="3"/>
      <c r="C77" s="3" t="s">
        <v>56</v>
      </c>
      <c r="D77" s="9">
        <v>35</v>
      </c>
      <c r="E77" s="9" t="str">
        <f t="shared" si="11"/>
        <v>Клемма PE35</v>
      </c>
      <c r="F77" s="9">
        <v>7.53</v>
      </c>
      <c r="G77" s="54">
        <f t="shared" si="12"/>
        <v>1</v>
      </c>
      <c r="H77" s="149">
        <f t="shared" si="13"/>
        <v>7.53</v>
      </c>
      <c r="I77" s="526">
        <f>SUMIF(Цена!$E$7:$E$200,E77,Цена!$G$7:$G$200)</f>
        <v>0</v>
      </c>
      <c r="J77" s="283">
        <f>SUMIF(Расчет_ЭК!$E$16:$E$86,E77,Расчет_ЭК!$F$16:$F$86)</f>
        <v>0</v>
      </c>
      <c r="K77" s="200">
        <f t="shared" si="14"/>
        <v>0</v>
      </c>
      <c r="L77" s="200"/>
      <c r="M77" s="166"/>
    </row>
    <row r="78" spans="1:13" x14ac:dyDescent="0.25">
      <c r="A78">
        <v>8</v>
      </c>
      <c r="B78" s="3"/>
      <c r="C78" s="3" t="s">
        <v>230</v>
      </c>
      <c r="D78" s="9" t="s">
        <v>232</v>
      </c>
      <c r="E78" s="9" t="s">
        <v>231</v>
      </c>
      <c r="F78" s="9">
        <v>1.04</v>
      </c>
      <c r="G78" s="54">
        <f t="shared" si="12"/>
        <v>1</v>
      </c>
      <c r="H78" s="149">
        <f t="shared" si="13"/>
        <v>1.04</v>
      </c>
      <c r="I78" s="526">
        <f>SUMIF(Цена!$E$7:$E$200,E78,Цена!$G$7:$G$200)</f>
        <v>4</v>
      </c>
      <c r="J78" s="283">
        <f>SUMIF(Расчет_ЭК!$E$16:$E$86,E78,Расчет_ЭК!$F$16:$F$86)</f>
        <v>0</v>
      </c>
      <c r="K78" s="200">
        <f t="shared" si="14"/>
        <v>4.16</v>
      </c>
      <c r="L78" s="200"/>
      <c r="M78" s="166"/>
    </row>
    <row r="79" spans="1:13" x14ac:dyDescent="0.25">
      <c r="A79">
        <v>9</v>
      </c>
      <c r="B79" s="3"/>
      <c r="C79" s="3" t="s">
        <v>775</v>
      </c>
      <c r="D79" s="9" t="s">
        <v>777</v>
      </c>
      <c r="E79" s="9" t="s">
        <v>776</v>
      </c>
      <c r="F79" s="9">
        <v>49.2</v>
      </c>
      <c r="G79" s="54">
        <v>1</v>
      </c>
      <c r="H79" s="149">
        <f t="shared" si="13"/>
        <v>49.2</v>
      </c>
      <c r="I79" s="526">
        <f>SUMIF(Цена!$E$7:$E$200,E79,Цена!$G$7:$G$200)</f>
        <v>0</v>
      </c>
      <c r="J79" s="283">
        <f>SUMIF(Расчет_ЭК!$E$16:$E$86,E79,Расчет_ЭК!$F$16:$F$86)</f>
        <v>0</v>
      </c>
      <c r="K79" s="200">
        <f t="shared" si="14"/>
        <v>0</v>
      </c>
      <c r="L79" s="200"/>
      <c r="M79" s="166"/>
    </row>
    <row r="80" spans="1:13" ht="15.75" thickBot="1" x14ac:dyDescent="0.3">
      <c r="B80" s="8"/>
      <c r="C80" s="8"/>
      <c r="D80" s="22"/>
      <c r="E80" s="22"/>
      <c r="F80" s="22"/>
      <c r="G80" s="146"/>
      <c r="H80" s="364"/>
      <c r="I80" s="526"/>
      <c r="J80" s="283"/>
      <c r="K80" s="200">
        <f t="shared" si="14"/>
        <v>0</v>
      </c>
      <c r="L80" s="200"/>
      <c r="M80" s="166"/>
    </row>
    <row r="81" spans="2:13" ht="16.5" thickBot="1" x14ac:dyDescent="0.3">
      <c r="B81" s="66" t="s">
        <v>586</v>
      </c>
      <c r="C81" s="379"/>
      <c r="D81" s="380"/>
      <c r="E81" s="380"/>
      <c r="F81" s="380"/>
      <c r="G81" s="380"/>
      <c r="H81" s="381"/>
      <c r="I81" s="526"/>
      <c r="J81" s="283"/>
      <c r="K81" s="200">
        <f t="shared" si="14"/>
        <v>0</v>
      </c>
      <c r="L81" s="200"/>
      <c r="M81" s="166"/>
    </row>
    <row r="82" spans="2:13" x14ac:dyDescent="0.25">
      <c r="B82" s="65"/>
      <c r="C82" s="65" t="s">
        <v>587</v>
      </c>
      <c r="D82" s="54" t="s">
        <v>589</v>
      </c>
      <c r="E82" s="54" t="s">
        <v>588</v>
      </c>
      <c r="F82" s="54">
        <v>275.70999999999998</v>
      </c>
      <c r="G82" s="54">
        <v>1</v>
      </c>
      <c r="H82" s="149">
        <f>F82/G82</f>
        <v>275.70999999999998</v>
      </c>
      <c r="I82" s="526">
        <f>SUMIF(Цена!$E$7:$E$200,E82,Цена!$G$7:$G$200)</f>
        <v>1</v>
      </c>
      <c r="J82" s="283">
        <f>SUMIF(Расчет_ЭК!$E$16:$E$86,E82,Расчет_ЭК!$F$16:$F$86)</f>
        <v>0</v>
      </c>
      <c r="K82" s="200">
        <f t="shared" si="14"/>
        <v>275.70999999999998</v>
      </c>
      <c r="L82" s="200"/>
      <c r="M82" s="166"/>
    </row>
    <row r="83" spans="2:13" ht="15.75" thickBot="1" x14ac:dyDescent="0.3">
      <c r="B83" s="3"/>
      <c r="C83" s="3"/>
      <c r="D83" s="9"/>
      <c r="E83" s="9"/>
      <c r="F83" s="9"/>
      <c r="G83" s="54"/>
      <c r="H83" s="149"/>
      <c r="I83" s="526"/>
      <c r="J83" s="283"/>
      <c r="K83" s="200">
        <f t="shared" si="14"/>
        <v>0</v>
      </c>
      <c r="L83" s="200"/>
      <c r="M83" s="166"/>
    </row>
    <row r="84" spans="2:13" ht="16.5" thickBot="1" x14ac:dyDescent="0.3">
      <c r="B84" s="66" t="s">
        <v>166</v>
      </c>
      <c r="C84" s="67"/>
      <c r="D84" s="68"/>
      <c r="E84" s="68"/>
      <c r="F84" s="68"/>
      <c r="G84" s="68"/>
      <c r="H84" s="68"/>
      <c r="I84" s="526"/>
      <c r="J84" s="283"/>
      <c r="K84" s="200">
        <f t="shared" si="14"/>
        <v>0</v>
      </c>
      <c r="L84" s="200"/>
      <c r="M84" s="166"/>
    </row>
    <row r="85" spans="2:13" x14ac:dyDescent="0.25">
      <c r="B85" s="65"/>
      <c r="C85" s="65" t="s">
        <v>60</v>
      </c>
      <c r="D85" s="54" t="s">
        <v>57</v>
      </c>
      <c r="E85" s="54" t="s">
        <v>196</v>
      </c>
      <c r="F85" s="9">
        <v>1.4</v>
      </c>
      <c r="G85" s="54">
        <f>$G$1</f>
        <v>1</v>
      </c>
      <c r="H85" s="149">
        <f>F85/G85</f>
        <v>1.4</v>
      </c>
      <c r="I85" s="526">
        <f>SUMIF(Цена!$E$7:$E$200,E85,Цена!$G$7:$G$200)</f>
        <v>0</v>
      </c>
      <c r="J85" s="283">
        <f>SUMIF(Расчет_ЭК!$E$16:$E$86,E85,Расчет_ЭК!$F$16:$F$86)</f>
        <v>0</v>
      </c>
      <c r="K85" s="200">
        <f t="shared" si="14"/>
        <v>0</v>
      </c>
      <c r="L85" s="200"/>
      <c r="M85" s="166"/>
    </row>
    <row r="86" spans="2:13" x14ac:dyDescent="0.25">
      <c r="B86" s="3"/>
      <c r="C86" s="3" t="s">
        <v>61</v>
      </c>
      <c r="D86" s="9" t="s">
        <v>58</v>
      </c>
      <c r="E86" s="9" t="s">
        <v>197</v>
      </c>
      <c r="F86" s="9">
        <v>1.4</v>
      </c>
      <c r="G86" s="54">
        <f t="shared" ref="G86:G90" si="15">$G$1</f>
        <v>1</v>
      </c>
      <c r="H86" s="149">
        <f t="shared" ref="H86:H92" si="16">F86/G86</f>
        <v>1.4</v>
      </c>
      <c r="I86" s="526">
        <f>SUMIF(Цена!$E$7:$E$200,E86,Цена!$G$7:$G$200)</f>
        <v>1</v>
      </c>
      <c r="J86" s="283">
        <f>SUMIF(Расчет_ЭК!$E$16:$E$86,E86,Расчет_ЭК!$F$16:$F$86)</f>
        <v>0</v>
      </c>
      <c r="K86" s="200">
        <f t="shared" si="14"/>
        <v>1.4</v>
      </c>
      <c r="L86" s="200"/>
      <c r="M86" s="166"/>
    </row>
    <row r="87" spans="2:13" x14ac:dyDescent="0.25">
      <c r="B87" s="3"/>
      <c r="C87" s="3" t="s">
        <v>62</v>
      </c>
      <c r="D87" s="9" t="s">
        <v>59</v>
      </c>
      <c r="E87" s="9" t="s">
        <v>198</v>
      </c>
      <c r="F87" s="9">
        <v>1.4</v>
      </c>
      <c r="G87" s="54">
        <f t="shared" si="15"/>
        <v>1</v>
      </c>
      <c r="H87" s="149">
        <f t="shared" si="16"/>
        <v>1.4</v>
      </c>
      <c r="I87" s="526">
        <f>SUMIF(Цена!$E$7:$E$200,E87,Цена!$G$7:$G$200)</f>
        <v>2</v>
      </c>
      <c r="J87" s="283">
        <f>SUMIF(Расчет_ЭК!$E$16:$E$86,E87,Расчет_ЭК!$F$16:$F$86)</f>
        <v>0</v>
      </c>
      <c r="K87" s="200">
        <f t="shared" si="14"/>
        <v>2.8</v>
      </c>
      <c r="L87" s="200"/>
      <c r="M87" s="166"/>
    </row>
    <row r="88" spans="2:13" x14ac:dyDescent="0.25">
      <c r="B88" s="3"/>
      <c r="C88" s="3" t="s">
        <v>64</v>
      </c>
      <c r="D88" s="9" t="s">
        <v>66</v>
      </c>
      <c r="E88" s="9" t="s">
        <v>234</v>
      </c>
      <c r="F88" s="9">
        <v>2.8</v>
      </c>
      <c r="G88" s="54">
        <f t="shared" si="15"/>
        <v>1</v>
      </c>
      <c r="H88" s="149">
        <f t="shared" si="16"/>
        <v>2.8</v>
      </c>
      <c r="I88" s="526">
        <f>SUMIF(Цена!$E$7:$E$200,E88,Цена!$G$7:$G$200)</f>
        <v>1</v>
      </c>
      <c r="J88" s="283">
        <f>SUMIF(Расчет_ЭК!$E$16:$E$86,E88,Расчет_ЭК!$F$16:$F$86)</f>
        <v>0</v>
      </c>
      <c r="K88" s="200">
        <f t="shared" si="14"/>
        <v>2.8</v>
      </c>
      <c r="L88" s="200"/>
      <c r="M88" s="166"/>
    </row>
    <row r="89" spans="2:13" x14ac:dyDescent="0.25">
      <c r="B89" s="3"/>
      <c r="C89" s="3" t="s">
        <v>65</v>
      </c>
      <c r="D89" s="9" t="s">
        <v>67</v>
      </c>
      <c r="E89" s="9" t="s">
        <v>235</v>
      </c>
      <c r="F89" s="9">
        <v>2.8</v>
      </c>
      <c r="G89" s="54">
        <f t="shared" si="15"/>
        <v>1</v>
      </c>
      <c r="H89" s="149">
        <f t="shared" si="16"/>
        <v>2.8</v>
      </c>
      <c r="I89" s="526">
        <f>SUMIF(Цена!$E$7:$E$200,E89,Цена!$G$7:$G$200)</f>
        <v>1</v>
      </c>
      <c r="J89" s="283">
        <f>SUMIF(Расчет_ЭК!$E$16:$E$86,E89,Расчет_ЭК!$F$16:$F$86)</f>
        <v>0</v>
      </c>
      <c r="K89" s="200">
        <f t="shared" si="14"/>
        <v>2.8</v>
      </c>
      <c r="L89" s="200"/>
      <c r="M89" s="166"/>
    </row>
    <row r="90" spans="2:13" x14ac:dyDescent="0.25">
      <c r="B90" s="3"/>
      <c r="C90" s="3" t="s">
        <v>383</v>
      </c>
      <c r="D90" s="9" t="s">
        <v>385</v>
      </c>
      <c r="E90" s="9" t="s">
        <v>384</v>
      </c>
      <c r="F90" s="9">
        <v>2.84</v>
      </c>
      <c r="G90" s="54">
        <f t="shared" si="15"/>
        <v>1</v>
      </c>
      <c r="H90" s="149">
        <f t="shared" si="16"/>
        <v>2.84</v>
      </c>
      <c r="I90" s="526">
        <f>SUMIF(Цена!$E$7:$E$200,E90,Цена!$G$7:$G$200)</f>
        <v>0</v>
      </c>
      <c r="J90" s="283">
        <f>SUMIF(Расчет_ЭК!$E$16:$E$86,E90,Расчет_ЭК!$F$16:$F$86)</f>
        <v>0</v>
      </c>
      <c r="K90" s="200">
        <f t="shared" si="14"/>
        <v>0</v>
      </c>
      <c r="L90" s="200"/>
      <c r="M90" s="166"/>
    </row>
    <row r="91" spans="2:13" x14ac:dyDescent="0.25">
      <c r="B91" s="8"/>
      <c r="C91" s="8" t="s">
        <v>262</v>
      </c>
      <c r="D91" s="9" t="s">
        <v>237</v>
      </c>
      <c r="E91" s="9" t="s">
        <v>263</v>
      </c>
      <c r="F91" s="22">
        <v>11.64</v>
      </c>
      <c r="G91" s="9">
        <f>$G$1</f>
        <v>1</v>
      </c>
      <c r="H91" s="149">
        <f t="shared" si="16"/>
        <v>11.64</v>
      </c>
      <c r="I91" s="526">
        <f>SUMIF(Цена!$E$7:$E$200,E91,Цена!$G$7:$G$200)</f>
        <v>0</v>
      </c>
      <c r="J91" s="283">
        <f>SUMIF(Расчет_ЭК!$E$16:$E$86,E91,Расчет_ЭК!$F$16:$F$86)</f>
        <v>0</v>
      </c>
      <c r="K91" s="200">
        <f t="shared" si="14"/>
        <v>0</v>
      </c>
      <c r="L91" s="200"/>
      <c r="M91" s="166"/>
    </row>
    <row r="92" spans="2:13" x14ac:dyDescent="0.25">
      <c r="B92" s="8"/>
      <c r="C92" s="8" t="s">
        <v>264</v>
      </c>
      <c r="D92" s="146" t="s">
        <v>265</v>
      </c>
      <c r="E92" s="22" t="s">
        <v>822</v>
      </c>
      <c r="F92" s="22">
        <v>11.64</v>
      </c>
      <c r="G92" s="146">
        <f>$G$1</f>
        <v>1</v>
      </c>
      <c r="H92" s="149">
        <f t="shared" si="16"/>
        <v>11.64</v>
      </c>
      <c r="I92" s="526">
        <f>SUMIF(Цена!$E$7:$E$200,E92,Цена!$G$7:$G$200)</f>
        <v>0</v>
      </c>
      <c r="J92" s="283">
        <f>SUMIF(Расчет_ЭК!$E$16:$E$86,E92,Расчет_ЭК!$F$16:$F$86)</f>
        <v>0</v>
      </c>
      <c r="K92" s="200">
        <f t="shared" si="14"/>
        <v>0</v>
      </c>
      <c r="L92" s="200"/>
      <c r="M92" s="166"/>
    </row>
    <row r="93" spans="2:13" ht="15.75" thickBot="1" x14ac:dyDescent="0.3">
      <c r="B93" s="8"/>
      <c r="C93" s="8"/>
      <c r="D93" s="22"/>
      <c r="E93" s="22"/>
      <c r="F93" s="22"/>
      <c r="G93" s="22"/>
      <c r="H93" s="165"/>
      <c r="I93" s="526"/>
      <c r="J93" s="283"/>
      <c r="K93" s="200">
        <f t="shared" si="14"/>
        <v>0</v>
      </c>
      <c r="L93" s="200"/>
      <c r="M93" s="166"/>
    </row>
    <row r="94" spans="2:13" ht="16.5" thickBot="1" x14ac:dyDescent="0.3">
      <c r="B94" s="66" t="s">
        <v>525</v>
      </c>
      <c r="C94" s="69"/>
      <c r="D94" s="134"/>
      <c r="E94" s="134"/>
      <c r="F94" s="134"/>
      <c r="G94" s="134"/>
      <c r="H94" s="365"/>
      <c r="I94" s="526"/>
      <c r="J94" s="283"/>
      <c r="K94" s="200">
        <f t="shared" si="14"/>
        <v>0</v>
      </c>
      <c r="L94" s="200"/>
      <c r="M94" s="166"/>
    </row>
    <row r="95" spans="2:13" x14ac:dyDescent="0.25">
      <c r="B95" s="65"/>
      <c r="C95" s="65" t="s">
        <v>526</v>
      </c>
      <c r="D95" s="54" t="s">
        <v>538</v>
      </c>
      <c r="E95" s="54" t="s">
        <v>532</v>
      </c>
      <c r="F95" s="54">
        <v>20.82</v>
      </c>
      <c r="G95" s="54">
        <v>1</v>
      </c>
      <c r="H95" s="105">
        <f>F95/G95</f>
        <v>20.82</v>
      </c>
      <c r="I95" s="526">
        <f>SUMIF(Цена!$E$7:$E$200,E95,Цена!$G$7:$G$200)</f>
        <v>0</v>
      </c>
      <c r="J95" s="283">
        <f>SUMIF(Расчет_ЭК!$E$16:$E$86,E95,Расчет_ЭК!$F$16:$F$86)</f>
        <v>0</v>
      </c>
      <c r="K95" s="200">
        <f t="shared" si="14"/>
        <v>0</v>
      </c>
      <c r="L95" s="200"/>
      <c r="M95" s="166"/>
    </row>
    <row r="96" spans="2:13" x14ac:dyDescent="0.25">
      <c r="B96" s="3"/>
      <c r="C96" s="3" t="s">
        <v>527</v>
      </c>
      <c r="D96" s="9" t="s">
        <v>539</v>
      </c>
      <c r="E96" s="9" t="s">
        <v>533</v>
      </c>
      <c r="F96" s="9">
        <v>28.41</v>
      </c>
      <c r="G96" s="9">
        <v>1</v>
      </c>
      <c r="H96" s="105">
        <f t="shared" ref="H96:H103" si="17">F96/G96</f>
        <v>28.41</v>
      </c>
      <c r="I96" s="526">
        <f>SUMIF(Цена!$E$7:$E$200,E96,Цена!$G$7:$G$200)</f>
        <v>0</v>
      </c>
      <c r="J96" s="283">
        <f>SUMIF(Расчет_ЭК!$E$16:$E$86,E96,Расчет_ЭК!$F$16:$F$86)</f>
        <v>0</v>
      </c>
      <c r="K96" s="200">
        <f t="shared" si="14"/>
        <v>0</v>
      </c>
      <c r="L96" s="200"/>
      <c r="M96" s="166"/>
    </row>
    <row r="97" spans="2:13" x14ac:dyDescent="0.25">
      <c r="B97" s="3"/>
      <c r="C97" s="3" t="s">
        <v>528</v>
      </c>
      <c r="D97" s="9" t="s">
        <v>540</v>
      </c>
      <c r="E97" s="9" t="s">
        <v>534</v>
      </c>
      <c r="F97" s="9">
        <v>54.64</v>
      </c>
      <c r="G97" s="9">
        <v>1</v>
      </c>
      <c r="H97" s="105">
        <f t="shared" si="17"/>
        <v>54.64</v>
      </c>
      <c r="I97" s="526">
        <f>SUMIF(Цена!$E$7:$E$200,E97,Цена!$G$7:$G$200)</f>
        <v>0</v>
      </c>
      <c r="J97" s="283">
        <f>SUMIF(Расчет_ЭК!$E$16:$E$86,E97,Расчет_ЭК!$F$16:$F$86)</f>
        <v>0</v>
      </c>
      <c r="K97" s="200">
        <f t="shared" si="14"/>
        <v>0</v>
      </c>
      <c r="L97" s="200"/>
      <c r="M97" s="166"/>
    </row>
    <row r="98" spans="2:13" x14ac:dyDescent="0.25">
      <c r="B98" s="3"/>
      <c r="C98" s="3" t="s">
        <v>529</v>
      </c>
      <c r="D98" s="9" t="s">
        <v>541</v>
      </c>
      <c r="E98" s="9" t="s">
        <v>535</v>
      </c>
      <c r="F98" s="9">
        <v>47.09</v>
      </c>
      <c r="G98" s="9">
        <v>1</v>
      </c>
      <c r="H98" s="105">
        <f t="shared" si="17"/>
        <v>47.09</v>
      </c>
      <c r="I98" s="526">
        <f>SUMIF(Цена!$E$7:$E$200,E98,Цена!$G$7:$G$200)</f>
        <v>0</v>
      </c>
      <c r="J98" s="283">
        <f>SUMIF(Расчет_ЭК!$E$16:$E$86,E98,Расчет_ЭК!$F$16:$F$86)</f>
        <v>0</v>
      </c>
      <c r="K98" s="200">
        <f t="shared" si="14"/>
        <v>0</v>
      </c>
      <c r="L98" s="200"/>
      <c r="M98" s="166"/>
    </row>
    <row r="99" spans="2:13" x14ac:dyDescent="0.25">
      <c r="B99" s="3"/>
      <c r="C99" s="3" t="s">
        <v>530</v>
      </c>
      <c r="D99" s="9" t="s">
        <v>542</v>
      </c>
      <c r="E99" s="9" t="s">
        <v>536</v>
      </c>
      <c r="F99" s="9">
        <v>65.69</v>
      </c>
      <c r="G99" s="9">
        <v>1</v>
      </c>
      <c r="H99" s="105">
        <f t="shared" si="17"/>
        <v>65.69</v>
      </c>
      <c r="I99" s="526">
        <f>SUMIF(Цена!$E$7:$E$200,E99,Цена!$G$7:$G$200)</f>
        <v>0</v>
      </c>
      <c r="J99" s="283">
        <f>SUMIF(Расчет_ЭК!$E$16:$E$86,E99,Расчет_ЭК!$F$16:$F$86)</f>
        <v>0</v>
      </c>
      <c r="K99" s="200">
        <f t="shared" si="14"/>
        <v>0</v>
      </c>
      <c r="L99" s="200"/>
      <c r="M99" s="166"/>
    </row>
    <row r="100" spans="2:13" x14ac:dyDescent="0.25">
      <c r="B100" s="3"/>
      <c r="C100" s="3" t="s">
        <v>531</v>
      </c>
      <c r="D100" s="9" t="s">
        <v>543</v>
      </c>
      <c r="E100" s="9" t="s">
        <v>537</v>
      </c>
      <c r="F100" s="9">
        <v>97.01</v>
      </c>
      <c r="G100" s="9">
        <v>1</v>
      </c>
      <c r="H100" s="105">
        <f t="shared" si="17"/>
        <v>97.01</v>
      </c>
      <c r="I100" s="526">
        <f>SUMIF(Цена!$E$7:$E$200,E100,Цена!$G$7:$G$200)</f>
        <v>0</v>
      </c>
      <c r="J100" s="283">
        <f>SUMIF(Расчет_ЭК!$E$16:$E$86,E100,Расчет_ЭК!$F$16:$F$86)</f>
        <v>0</v>
      </c>
      <c r="K100" s="200">
        <f t="shared" si="14"/>
        <v>0</v>
      </c>
      <c r="L100" s="200"/>
      <c r="M100" s="166"/>
    </row>
    <row r="101" spans="2:13" x14ac:dyDescent="0.25">
      <c r="B101" s="3"/>
      <c r="C101" s="3" t="s">
        <v>655</v>
      </c>
      <c r="D101" s="9" t="s">
        <v>656</v>
      </c>
      <c r="E101" s="9" t="s">
        <v>657</v>
      </c>
      <c r="F101" s="9">
        <v>229.22</v>
      </c>
      <c r="G101" s="9">
        <v>1</v>
      </c>
      <c r="H101" s="105">
        <f t="shared" si="17"/>
        <v>229.22</v>
      </c>
      <c r="I101" s="526">
        <f>SUMIF(Цена!$E$7:$E$200,E101,Цена!$G$7:$G$200)</f>
        <v>0</v>
      </c>
      <c r="J101" s="283">
        <f>SUMIF(Расчет_ЭК!$E$16:$E$86,E101,Расчет_ЭК!$F$16:$F$86)</f>
        <v>0</v>
      </c>
      <c r="K101" s="200">
        <f t="shared" si="14"/>
        <v>0</v>
      </c>
      <c r="L101" s="200"/>
      <c r="M101" s="166"/>
    </row>
    <row r="102" spans="2:13" x14ac:dyDescent="0.25">
      <c r="B102" s="8"/>
      <c r="C102" s="3" t="s">
        <v>713</v>
      </c>
      <c r="D102" s="9" t="s">
        <v>714</v>
      </c>
      <c r="E102" s="9" t="s">
        <v>715</v>
      </c>
      <c r="F102" s="9">
        <v>284.48</v>
      </c>
      <c r="G102" s="9">
        <v>1</v>
      </c>
      <c r="H102" s="105">
        <f t="shared" si="17"/>
        <v>284.48</v>
      </c>
      <c r="I102" s="526">
        <f>SUMIF(Цена!$E$7:$E$200,E102,Цена!$G$7:$G$200)</f>
        <v>0</v>
      </c>
      <c r="J102" s="283">
        <f>SUMIF(Расчет_ЭК!$E$16:$E$86,E102,Расчет_ЭК!$F$16:$F$86)</f>
        <v>0</v>
      </c>
      <c r="K102" s="200">
        <f t="shared" si="14"/>
        <v>0</v>
      </c>
      <c r="L102" s="200"/>
      <c r="M102" s="166"/>
    </row>
    <row r="103" spans="2:13" x14ac:dyDescent="0.25">
      <c r="B103" s="8"/>
      <c r="C103" s="8" t="s">
        <v>854</v>
      </c>
      <c r="D103" s="22" t="s">
        <v>854</v>
      </c>
      <c r="E103" s="22" t="s">
        <v>854</v>
      </c>
      <c r="F103" s="22">
        <v>13.75</v>
      </c>
      <c r="G103" s="22">
        <v>1</v>
      </c>
      <c r="H103" s="364">
        <f t="shared" si="17"/>
        <v>13.75</v>
      </c>
      <c r="I103" s="526">
        <f>SUMIF(Цена!$E$7:$E$200,E103,Цена!$G$7:$G$200)</f>
        <v>0</v>
      </c>
      <c r="J103" s="283">
        <f>SUMIF(Расчет_ЭК!$E$16:$E$86,E103,Расчет_ЭК!$F$16:$F$86)</f>
        <v>0</v>
      </c>
      <c r="K103" s="200">
        <f t="shared" si="14"/>
        <v>0</v>
      </c>
      <c r="L103" s="200"/>
      <c r="M103" s="166"/>
    </row>
    <row r="104" spans="2:13" ht="15.75" thickBot="1" x14ac:dyDescent="0.3">
      <c r="B104" s="8"/>
      <c r="C104" s="8"/>
      <c r="D104" s="22"/>
      <c r="E104" s="22"/>
      <c r="F104" s="8"/>
      <c r="G104" s="8"/>
      <c r="H104" s="150"/>
      <c r="I104" s="526"/>
      <c r="J104" s="283"/>
      <c r="K104" s="200">
        <f t="shared" si="14"/>
        <v>0</v>
      </c>
      <c r="L104" s="200"/>
      <c r="M104" s="166"/>
    </row>
    <row r="105" spans="2:13" ht="16.5" thickBot="1" x14ac:dyDescent="0.3">
      <c r="B105" s="66" t="s">
        <v>167</v>
      </c>
      <c r="C105" s="67"/>
      <c r="D105" s="68"/>
      <c r="E105" s="68"/>
      <c r="F105" s="68"/>
      <c r="G105" s="68"/>
      <c r="H105" s="68"/>
      <c r="I105" s="526"/>
      <c r="J105" s="283"/>
      <c r="K105" s="200">
        <f t="shared" si="14"/>
        <v>0</v>
      </c>
      <c r="L105" s="200"/>
      <c r="M105" s="166"/>
    </row>
    <row r="106" spans="2:13" x14ac:dyDescent="0.25">
      <c r="B106" s="65"/>
      <c r="C106" s="65" t="s">
        <v>68</v>
      </c>
      <c r="D106" s="54" t="s">
        <v>203</v>
      </c>
      <c r="E106" s="54" t="s">
        <v>208</v>
      </c>
      <c r="F106" s="54">
        <v>79.56</v>
      </c>
      <c r="G106" s="54">
        <f>$G$1</f>
        <v>1</v>
      </c>
      <c r="H106" s="149">
        <f>F106/G106</f>
        <v>79.56</v>
      </c>
      <c r="I106" s="526">
        <f>SUMIF(Цена!$E$7:$E$200,E106,Цена!$G$7:$G$200)</f>
        <v>0</v>
      </c>
      <c r="J106" s="283">
        <f>SUMIF(Расчет_ЭК!$E$16:$E$86,E106,Расчет_ЭК!$F$16:$F$86)</f>
        <v>0</v>
      </c>
      <c r="K106" s="200">
        <f t="shared" si="14"/>
        <v>0</v>
      </c>
      <c r="L106" s="200"/>
      <c r="M106" s="166"/>
    </row>
    <row r="107" spans="2:13" x14ac:dyDescent="0.25">
      <c r="B107" s="3"/>
      <c r="C107" s="3" t="s">
        <v>261</v>
      </c>
      <c r="D107" s="9" t="s">
        <v>259</v>
      </c>
      <c r="E107" s="9" t="s">
        <v>260</v>
      </c>
      <c r="F107" s="9">
        <v>113.32</v>
      </c>
      <c r="G107" s="54">
        <f t="shared" ref="G107:G110" si="18">$G$1</f>
        <v>1</v>
      </c>
      <c r="H107" s="149">
        <f t="shared" ref="H107:H108" si="19">F107/G107</f>
        <v>113.32</v>
      </c>
      <c r="I107" s="526">
        <f>SUMIF(Цена!$E$7:$E$200,E107,Цена!$G$7:$G$200)</f>
        <v>0</v>
      </c>
      <c r="J107" s="283">
        <f>SUMIF(Расчет_ЭК!$E$16:$E$86,E107,Расчет_ЭК!$F$16:$F$86)</f>
        <v>0</v>
      </c>
      <c r="K107" s="200">
        <f t="shared" si="14"/>
        <v>0</v>
      </c>
      <c r="L107" s="200"/>
      <c r="M107" s="166"/>
    </row>
    <row r="108" spans="2:13" x14ac:dyDescent="0.25">
      <c r="B108" s="3"/>
      <c r="C108" s="140" t="s">
        <v>254</v>
      </c>
      <c r="D108" s="141" t="s">
        <v>356</v>
      </c>
      <c r="E108" s="141" t="s">
        <v>255</v>
      </c>
      <c r="F108" s="141">
        <v>120.74</v>
      </c>
      <c r="G108" s="142">
        <f t="shared" si="18"/>
        <v>1</v>
      </c>
      <c r="H108" s="151">
        <f t="shared" si="19"/>
        <v>120.74</v>
      </c>
      <c r="I108" s="526">
        <f>SUMIF(Цена!$E$7:$E$200,E108,Цена!$G$7:$G$200)</f>
        <v>0</v>
      </c>
      <c r="J108" s="283">
        <f>SUMIF(Расчет_ЭК!$E$16:$E$86,E108,Расчет_ЭК!$F$16:$F$86)</f>
        <v>0</v>
      </c>
      <c r="K108" s="200">
        <f t="shared" si="14"/>
        <v>0</v>
      </c>
      <c r="L108" s="200"/>
      <c r="M108" s="166"/>
    </row>
    <row r="109" spans="2:13" x14ac:dyDescent="0.25">
      <c r="B109" s="3"/>
      <c r="C109" s="3" t="s">
        <v>766</v>
      </c>
      <c r="D109" s="9" t="s">
        <v>767</v>
      </c>
      <c r="E109" s="9" t="s">
        <v>768</v>
      </c>
      <c r="F109" s="9">
        <v>206</v>
      </c>
      <c r="G109" s="54">
        <f>$G$1</f>
        <v>1</v>
      </c>
      <c r="H109" s="149">
        <f>F109/G109</f>
        <v>206</v>
      </c>
      <c r="I109" s="526">
        <f>SUMIF(Цена!$E$7:$E$200,E109,Цена!$G$7:$G$200)</f>
        <v>0</v>
      </c>
      <c r="J109" s="283">
        <f>SUMIF(Расчет_ЭК!$E$16:$E$86,E109,Расчет_ЭК!$F$16:$F$86)</f>
        <v>0</v>
      </c>
      <c r="K109" s="200">
        <f t="shared" si="14"/>
        <v>0</v>
      </c>
      <c r="L109" s="200"/>
      <c r="M109" s="166"/>
    </row>
    <row r="110" spans="2:13" x14ac:dyDescent="0.25">
      <c r="B110" s="3"/>
      <c r="C110" s="3" t="s">
        <v>238</v>
      </c>
      <c r="D110" s="9" t="s">
        <v>209</v>
      </c>
      <c r="E110" s="9" t="s">
        <v>216</v>
      </c>
      <c r="F110" s="9">
        <v>0</v>
      </c>
      <c r="G110" s="54">
        <f t="shared" si="18"/>
        <v>1</v>
      </c>
      <c r="H110" s="40">
        <v>0</v>
      </c>
      <c r="I110" s="526">
        <f>SUMIF(Цена!$E$7:$E$200,E110,Цена!$G$7:$G$200)</f>
        <v>0</v>
      </c>
      <c r="J110" s="283">
        <f>SUMIF(Расчет_ЭК!$E$16:$E$86,E110,Расчет_ЭК!$F$16:$F$86)</f>
        <v>0</v>
      </c>
      <c r="K110" s="200">
        <f t="shared" si="14"/>
        <v>0</v>
      </c>
      <c r="L110" s="200"/>
      <c r="M110" s="166"/>
    </row>
    <row r="111" spans="2:13" x14ac:dyDescent="0.25">
      <c r="B111" s="3"/>
      <c r="C111" s="3" t="s">
        <v>763</v>
      </c>
      <c r="D111" s="54" t="s">
        <v>769</v>
      </c>
      <c r="E111" s="54" t="s">
        <v>772</v>
      </c>
      <c r="F111" s="9">
        <v>135.72</v>
      </c>
      <c r="G111" s="9">
        <f>$G$1</f>
        <v>1</v>
      </c>
      <c r="H111" s="9">
        <f>F111/G111</f>
        <v>135.72</v>
      </c>
      <c r="I111" s="526">
        <f>SUMIF(Цена!$E$7:$E$200,E111,Цена!$G$7:$G$200)</f>
        <v>1</v>
      </c>
      <c r="J111" s="283">
        <f>SUMIF(Расчет_ЭК!$E$16:$E$86,E111,Расчет_ЭК!$F$16:$F$86)</f>
        <v>0</v>
      </c>
      <c r="K111" s="200">
        <f t="shared" si="14"/>
        <v>135.72</v>
      </c>
      <c r="L111" s="200"/>
      <c r="M111" s="166"/>
    </row>
    <row r="112" spans="2:13" x14ac:dyDescent="0.25">
      <c r="B112" s="3"/>
      <c r="C112" s="3" t="s">
        <v>764</v>
      </c>
      <c r="D112" s="54" t="s">
        <v>770</v>
      </c>
      <c r="E112" s="54" t="s">
        <v>774</v>
      </c>
      <c r="F112" s="9">
        <v>174.48</v>
      </c>
      <c r="G112" s="9">
        <f>$G$1</f>
        <v>1</v>
      </c>
      <c r="H112" s="9">
        <f t="shared" ref="H112:H113" si="20">F112/G112</f>
        <v>174.48</v>
      </c>
      <c r="I112" s="526">
        <f>SUMIF(Цена!$E$7:$E$200,E112,Цена!$G$7:$G$200)</f>
        <v>0</v>
      </c>
      <c r="J112" s="283">
        <f>SUMIF(Расчет_ЭК!$E$16:$E$86,E112,Расчет_ЭК!$F$16:$F$86)</f>
        <v>0</v>
      </c>
      <c r="K112" s="200">
        <f t="shared" si="14"/>
        <v>0</v>
      </c>
      <c r="L112" s="200"/>
      <c r="M112" s="166"/>
    </row>
    <row r="113" spans="2:13" x14ac:dyDescent="0.25">
      <c r="B113" s="3"/>
      <c r="C113" s="3" t="s">
        <v>765</v>
      </c>
      <c r="D113" s="54" t="s">
        <v>771</v>
      </c>
      <c r="E113" s="54" t="s">
        <v>773</v>
      </c>
      <c r="F113" s="9">
        <v>244.85</v>
      </c>
      <c r="G113" s="9">
        <f>$G$1</f>
        <v>1</v>
      </c>
      <c r="H113" s="9">
        <f t="shared" si="20"/>
        <v>244.85</v>
      </c>
      <c r="I113" s="526">
        <f>SUMIF(Цена!$E$7:$E$200,E113,Цена!$G$7:$G$200)</f>
        <v>0</v>
      </c>
      <c r="J113" s="283">
        <f>SUMIF(Расчет_ЭК!$E$16:$E$86,E113,Расчет_ЭК!$F$16:$F$86)</f>
        <v>0</v>
      </c>
      <c r="K113" s="200">
        <f t="shared" si="14"/>
        <v>0</v>
      </c>
      <c r="L113" s="200"/>
      <c r="M113" s="166"/>
    </row>
    <row r="114" spans="2:13" x14ac:dyDescent="0.25">
      <c r="F114"/>
      <c r="H114" s="1"/>
      <c r="I114" s="526"/>
      <c r="J114" s="283"/>
      <c r="K114" s="200">
        <f t="shared" si="14"/>
        <v>0</v>
      </c>
      <c r="L114" s="200"/>
      <c r="M114" s="166"/>
    </row>
    <row r="115" spans="2:13" ht="15.75" thickBot="1" x14ac:dyDescent="0.3">
      <c r="F115"/>
      <c r="H115" s="1"/>
      <c r="I115" s="526"/>
      <c r="J115" s="283"/>
      <c r="K115" s="200">
        <f t="shared" si="14"/>
        <v>0</v>
      </c>
      <c r="L115" s="200"/>
      <c r="M115" s="166"/>
    </row>
    <row r="116" spans="2:13" ht="16.5" thickBot="1" x14ac:dyDescent="0.3">
      <c r="B116" s="66" t="s">
        <v>686</v>
      </c>
      <c r="C116" s="67"/>
      <c r="D116" s="67"/>
      <c r="E116" s="67"/>
      <c r="F116" s="67"/>
      <c r="G116" s="67"/>
      <c r="H116" s="67"/>
      <c r="I116" s="526"/>
      <c r="J116" s="283"/>
      <c r="K116" s="200">
        <f t="shared" si="14"/>
        <v>0</v>
      </c>
      <c r="L116" s="200"/>
      <c r="M116" s="166"/>
    </row>
    <row r="117" spans="2:13" ht="28.5" x14ac:dyDescent="0.25">
      <c r="C117" s="441" t="s">
        <v>687</v>
      </c>
      <c r="D117" s="442" t="s">
        <v>815</v>
      </c>
      <c r="E117" s="442" t="s">
        <v>815</v>
      </c>
      <c r="F117" s="452">
        <v>35.950000000000003</v>
      </c>
      <c r="G117" s="452">
        <f t="shared" ref="G117:G123" si="21">$G$1</f>
        <v>1</v>
      </c>
      <c r="H117" s="452">
        <f>F117/G117</f>
        <v>35.950000000000003</v>
      </c>
      <c r="I117" s="526">
        <f>SUMIF(Цена!$E$7:$E$200,E117,Цена!$G$7:$G$200)</f>
        <v>0</v>
      </c>
      <c r="J117" s="283">
        <f>SUMIF(Расчет_ЭК!$E$16:$E$86,E117,Расчет_ЭК!$F$16:$F$86)</f>
        <v>0</v>
      </c>
      <c r="K117" s="200">
        <f t="shared" si="14"/>
        <v>0</v>
      </c>
      <c r="L117" s="200"/>
      <c r="M117" s="166"/>
    </row>
    <row r="118" spans="2:13" ht="28.5" x14ac:dyDescent="0.25">
      <c r="C118" s="443" t="s">
        <v>688</v>
      </c>
      <c r="D118" s="444" t="s">
        <v>816</v>
      </c>
      <c r="E118" s="444" t="s">
        <v>816</v>
      </c>
      <c r="F118" s="71">
        <v>68.650000000000006</v>
      </c>
      <c r="G118" s="71">
        <f t="shared" si="21"/>
        <v>1</v>
      </c>
      <c r="H118" s="71">
        <f t="shared" ref="H118:H123" si="22">F118/G118</f>
        <v>68.650000000000006</v>
      </c>
      <c r="I118" s="526">
        <f>SUMIF(Цена!$E$7:$E$200,E118,Цена!$G$7:$G$200)</f>
        <v>0</v>
      </c>
      <c r="J118" s="283">
        <f>SUMIF(Расчет_ЭК!$E$16:$E$86,E118,Расчет_ЭК!$F$16:$F$86)</f>
        <v>2</v>
      </c>
      <c r="K118" s="200">
        <f t="shared" si="14"/>
        <v>0</v>
      </c>
      <c r="L118" s="200"/>
      <c r="M118" s="166"/>
    </row>
    <row r="119" spans="2:13" ht="28.5" x14ac:dyDescent="0.25">
      <c r="C119" s="441" t="s">
        <v>689</v>
      </c>
      <c r="D119" s="442" t="s">
        <v>817</v>
      </c>
      <c r="E119" s="442" t="s">
        <v>817</v>
      </c>
      <c r="F119" s="452">
        <v>38.22</v>
      </c>
      <c r="G119" s="452">
        <f t="shared" si="21"/>
        <v>1</v>
      </c>
      <c r="H119" s="452">
        <f t="shared" si="22"/>
        <v>38.22</v>
      </c>
      <c r="I119" s="526">
        <f>SUMIF(Цена!$E$7:$E$200,E119,Цена!$G$7:$G$200)</f>
        <v>0</v>
      </c>
      <c r="J119" s="283">
        <f>SUMIF(Расчет_ЭК!$E$16:$E$86,E119,Расчет_ЭК!$F$16:$F$86)</f>
        <v>0</v>
      </c>
      <c r="K119" s="200">
        <f t="shared" si="14"/>
        <v>0</v>
      </c>
      <c r="L119" s="200"/>
      <c r="M119" s="166"/>
    </row>
    <row r="120" spans="2:13" ht="28.5" x14ac:dyDescent="0.25">
      <c r="C120" s="445" t="s">
        <v>690</v>
      </c>
      <c r="D120" s="446" t="s">
        <v>818</v>
      </c>
      <c r="E120" s="446" t="s">
        <v>818</v>
      </c>
      <c r="F120" s="449">
        <v>54.57</v>
      </c>
      <c r="G120" s="449">
        <f t="shared" si="21"/>
        <v>1</v>
      </c>
      <c r="H120" s="449">
        <f t="shared" si="22"/>
        <v>54.57</v>
      </c>
      <c r="I120" s="526">
        <f>SUMIF(Цена!$E$7:$E$200,E120,Цена!$G$7:$G$200)</f>
        <v>0</v>
      </c>
      <c r="J120" s="283">
        <f>SUMIF(Расчет_ЭК!$E$16:$E$86,E120,Расчет_ЭК!$F$16:$F$86)</f>
        <v>2</v>
      </c>
      <c r="K120" s="200">
        <f t="shared" si="14"/>
        <v>0</v>
      </c>
      <c r="L120" s="200"/>
      <c r="M120" s="166"/>
    </row>
    <row r="121" spans="2:13" ht="28.5" x14ac:dyDescent="0.25">
      <c r="C121" s="441" t="s">
        <v>691</v>
      </c>
      <c r="D121" s="442" t="s">
        <v>692</v>
      </c>
      <c r="E121" s="442" t="s">
        <v>692</v>
      </c>
      <c r="F121" s="452"/>
      <c r="G121" s="452">
        <f t="shared" si="21"/>
        <v>1</v>
      </c>
      <c r="H121" s="452">
        <f t="shared" si="22"/>
        <v>0</v>
      </c>
      <c r="I121" s="526">
        <f>SUMIF(Цена!$E$7:$E$200,E121,Цена!$G$7:$G$200)</f>
        <v>0</v>
      </c>
      <c r="J121" s="283">
        <f>SUMIF(Расчет_ЭК!$E$16:$E$86,E121,Расчет_ЭК!$F$16:$F$86)</f>
        <v>0</v>
      </c>
      <c r="K121" s="200">
        <f t="shared" si="14"/>
        <v>0</v>
      </c>
      <c r="L121" s="200"/>
      <c r="M121" s="166"/>
    </row>
    <row r="122" spans="2:13" ht="28.5" x14ac:dyDescent="0.25">
      <c r="C122" s="441" t="s">
        <v>693</v>
      </c>
      <c r="D122" s="442" t="s">
        <v>694</v>
      </c>
      <c r="E122" s="442" t="s">
        <v>694</v>
      </c>
      <c r="F122" s="452"/>
      <c r="G122" s="452">
        <f t="shared" si="21"/>
        <v>1</v>
      </c>
      <c r="H122" s="452">
        <f t="shared" si="22"/>
        <v>0</v>
      </c>
      <c r="I122" s="526">
        <f>SUMIF(Цена!$E$7:$E$200,E122,Цена!$G$7:$G$200)</f>
        <v>0</v>
      </c>
      <c r="J122" s="283">
        <f>SUMIF(Расчет_ЭК!$E$16:$E$86,E122,Расчет_ЭК!$F$16:$F$86)</f>
        <v>0</v>
      </c>
      <c r="K122" s="200">
        <f t="shared" si="14"/>
        <v>0</v>
      </c>
      <c r="L122" s="200"/>
      <c r="M122" s="166"/>
    </row>
    <row r="123" spans="2:13" ht="29.25" thickBot="1" x14ac:dyDescent="0.3">
      <c r="C123" s="441" t="s">
        <v>695</v>
      </c>
      <c r="D123" s="442" t="s">
        <v>696</v>
      </c>
      <c r="E123" s="442" t="s">
        <v>696</v>
      </c>
      <c r="F123" s="452"/>
      <c r="G123" s="452">
        <f t="shared" si="21"/>
        <v>1</v>
      </c>
      <c r="H123" s="452">
        <f t="shared" si="22"/>
        <v>0</v>
      </c>
      <c r="I123" s="526">
        <f>SUMIF(Цена!$E$7:$E$200,E123,Цена!$G$7:$G$200)</f>
        <v>0</v>
      </c>
      <c r="J123" s="283">
        <f>SUMIF(Расчет_ЭК!$E$16:$E$86,E123,Расчет_ЭК!$F$16:$F$86)</f>
        <v>0</v>
      </c>
      <c r="K123" s="200">
        <f t="shared" si="14"/>
        <v>0</v>
      </c>
      <c r="L123" s="200"/>
      <c r="M123" s="166"/>
    </row>
    <row r="124" spans="2:13" ht="16.5" thickBot="1" x14ac:dyDescent="0.3">
      <c r="B124" s="66" t="s">
        <v>697</v>
      </c>
      <c r="C124" s="67"/>
      <c r="D124" s="67"/>
      <c r="E124" s="67"/>
      <c r="F124" s="67"/>
      <c r="G124" s="440"/>
      <c r="H124" s="67"/>
      <c r="I124" s="526"/>
      <c r="J124" s="283"/>
      <c r="K124" s="200">
        <f t="shared" si="14"/>
        <v>0</v>
      </c>
      <c r="L124" s="200"/>
      <c r="M124" s="166"/>
    </row>
    <row r="125" spans="2:13" x14ac:dyDescent="0.25">
      <c r="C125" s="441" t="s">
        <v>698</v>
      </c>
      <c r="D125" s="442" t="s">
        <v>699</v>
      </c>
      <c r="E125" s="442" t="s">
        <v>699</v>
      </c>
      <c r="F125" s="452">
        <v>9.25</v>
      </c>
      <c r="G125" s="453">
        <f t="shared" ref="G125:G131" si="23">$G$1</f>
        <v>1</v>
      </c>
      <c r="H125" s="452">
        <f>F125/G125</f>
        <v>9.25</v>
      </c>
      <c r="I125" s="526">
        <f>SUMIF(Цена!$E$7:$E$200,E125,Цена!$G$7:$G$200)</f>
        <v>0</v>
      </c>
      <c r="J125" s="283">
        <f>SUMIF(Расчет_ЭК!$E$16:$E$86,E125,Расчет_ЭК!$F$16:$F$86)</f>
        <v>0</v>
      </c>
      <c r="K125" s="200">
        <f t="shared" si="14"/>
        <v>0</v>
      </c>
      <c r="L125" s="200"/>
      <c r="M125" s="166"/>
    </row>
    <row r="126" spans="2:13" x14ac:dyDescent="0.25">
      <c r="C126" s="443" t="s">
        <v>700</v>
      </c>
      <c r="D126" s="444" t="s">
        <v>701</v>
      </c>
      <c r="E126" s="444" t="s">
        <v>701</v>
      </c>
      <c r="F126" s="71">
        <v>20.65</v>
      </c>
      <c r="G126" s="197">
        <f t="shared" si="23"/>
        <v>1</v>
      </c>
      <c r="H126" s="71">
        <f t="shared" ref="H126:H131" si="24">F126/G126</f>
        <v>20.65</v>
      </c>
      <c r="I126" s="526">
        <f>SUMIF(Цена!$E$7:$E$200,E126,Цена!$G$7:$G$200)</f>
        <v>0</v>
      </c>
      <c r="J126" s="283">
        <f>SUMIF(Расчет_ЭК!$E$16:$E$86,E126,Расчет_ЭК!$F$16:$F$86)</f>
        <v>2</v>
      </c>
      <c r="K126" s="200">
        <f t="shared" si="14"/>
        <v>0</v>
      </c>
      <c r="L126" s="200"/>
      <c r="M126" s="166"/>
    </row>
    <row r="127" spans="2:13" x14ac:dyDescent="0.25">
      <c r="C127" s="441" t="s">
        <v>702</v>
      </c>
      <c r="D127" s="442" t="s">
        <v>703</v>
      </c>
      <c r="E127" s="442" t="s">
        <v>703</v>
      </c>
      <c r="F127" s="452">
        <v>22.67</v>
      </c>
      <c r="G127" s="453">
        <f t="shared" si="23"/>
        <v>1</v>
      </c>
      <c r="H127" s="452">
        <f t="shared" si="24"/>
        <v>22.67</v>
      </c>
      <c r="I127" s="526">
        <f>SUMIF(Цена!$E$7:$E$200,E127,Цена!$G$7:$G$200)</f>
        <v>0</v>
      </c>
      <c r="J127" s="283">
        <f>SUMIF(Расчет_ЭК!$E$16:$E$86,E127,Расчет_ЭК!$F$16:$F$86)</f>
        <v>0</v>
      </c>
      <c r="K127" s="200">
        <f t="shared" si="14"/>
        <v>0</v>
      </c>
      <c r="L127" s="200"/>
      <c r="M127" s="166"/>
    </row>
    <row r="128" spans="2:13" x14ac:dyDescent="0.25">
      <c r="C128" s="445" t="s">
        <v>704</v>
      </c>
      <c r="D128" s="446" t="s">
        <v>705</v>
      </c>
      <c r="E128" s="446" t="s">
        <v>705</v>
      </c>
      <c r="F128" s="449">
        <v>21.84</v>
      </c>
      <c r="G128" s="450">
        <f t="shared" si="23"/>
        <v>1</v>
      </c>
      <c r="H128" s="449">
        <f t="shared" si="24"/>
        <v>21.84</v>
      </c>
      <c r="I128" s="526">
        <f>SUMIF(Цена!$E$7:$E$200,E128,Цена!$G$7:$G$200)</f>
        <v>0</v>
      </c>
      <c r="J128" s="283">
        <f>SUMIF(Расчет_ЭК!$E$16:$E$86,E128,Расчет_ЭК!$F$16:$F$86)</f>
        <v>2</v>
      </c>
      <c r="K128" s="200">
        <f t="shared" si="14"/>
        <v>0</v>
      </c>
      <c r="L128" s="200"/>
      <c r="M128" s="166"/>
    </row>
    <row r="129" spans="2:13" x14ac:dyDescent="0.25">
      <c r="C129" s="441" t="s">
        <v>706</v>
      </c>
      <c r="D129" s="442" t="s">
        <v>707</v>
      </c>
      <c r="E129" s="442" t="s">
        <v>707</v>
      </c>
      <c r="F129" s="452">
        <v>63.25</v>
      </c>
      <c r="G129" s="453">
        <f t="shared" si="23"/>
        <v>1</v>
      </c>
      <c r="H129" s="452">
        <f t="shared" si="24"/>
        <v>63.25</v>
      </c>
      <c r="I129" s="526">
        <f>SUMIF(Цена!$E$7:$E$200,E129,Цена!$G$7:$G$200)</f>
        <v>0</v>
      </c>
      <c r="J129" s="283">
        <f>SUMIF(Расчет_ЭК!$E$16:$E$86,E129,Расчет_ЭК!$F$16:$F$86)</f>
        <v>0</v>
      </c>
      <c r="K129" s="200">
        <f t="shared" si="14"/>
        <v>0</v>
      </c>
      <c r="L129" s="200"/>
      <c r="M129" s="166"/>
    </row>
    <row r="130" spans="2:13" x14ac:dyDescent="0.25">
      <c r="C130" s="441" t="s">
        <v>708</v>
      </c>
      <c r="D130" s="442" t="s">
        <v>709</v>
      </c>
      <c r="E130" s="442" t="s">
        <v>709</v>
      </c>
      <c r="F130" s="452">
        <v>113.34</v>
      </c>
      <c r="G130" s="453">
        <f t="shared" si="23"/>
        <v>1</v>
      </c>
      <c r="H130" s="452">
        <f t="shared" si="24"/>
        <v>113.34</v>
      </c>
      <c r="I130" s="526">
        <f>SUMIF(Цена!$E$7:$E$200,E130,Цена!$G$7:$G$200)</f>
        <v>0</v>
      </c>
      <c r="J130" s="283">
        <f>SUMIF(Расчет_ЭК!$E$16:$E$86,E130,Расчет_ЭК!$F$16:$F$86)</f>
        <v>0</v>
      </c>
      <c r="K130" s="200">
        <f t="shared" si="14"/>
        <v>0</v>
      </c>
      <c r="L130" s="200"/>
      <c r="M130" s="166"/>
    </row>
    <row r="131" spans="2:13" ht="15.75" thickBot="1" x14ac:dyDescent="0.3">
      <c r="C131" s="454" t="s">
        <v>708</v>
      </c>
      <c r="D131" s="455" t="s">
        <v>709</v>
      </c>
      <c r="E131" s="455" t="s">
        <v>709</v>
      </c>
      <c r="F131" s="456">
        <v>113.34</v>
      </c>
      <c r="G131" s="457">
        <f t="shared" si="23"/>
        <v>1</v>
      </c>
      <c r="H131" s="456">
        <f t="shared" si="24"/>
        <v>113.34</v>
      </c>
      <c r="I131" s="526">
        <f>SUMIF(Цена!$E$7:$E$200,E131,Цена!$G$7:$G$200)</f>
        <v>0</v>
      </c>
      <c r="J131" s="283">
        <f>SUMIF(Расчет_ЭК!$E$16:$E$86,E131,Расчет_ЭК!$F$16:$F$86)</f>
        <v>0</v>
      </c>
      <c r="K131" s="200">
        <f t="shared" ref="K131:K161" si="25">H131*I131</f>
        <v>0</v>
      </c>
      <c r="L131" s="200"/>
      <c r="M131" s="166"/>
    </row>
    <row r="132" spans="2:13" ht="16.5" thickBot="1" x14ac:dyDescent="0.3">
      <c r="B132" s="66" t="s">
        <v>413</v>
      </c>
      <c r="C132" s="67"/>
      <c r="D132" s="67"/>
      <c r="E132" s="67"/>
      <c r="F132" s="67"/>
      <c r="G132" s="439"/>
      <c r="H132" s="67"/>
      <c r="I132" s="526"/>
      <c r="J132" s="283"/>
      <c r="K132" s="200">
        <f t="shared" si="25"/>
        <v>0</v>
      </c>
      <c r="L132" s="200"/>
      <c r="M132" s="166"/>
    </row>
    <row r="133" spans="2:13" ht="28.5" x14ac:dyDescent="0.25">
      <c r="C133" s="447" t="s">
        <v>710</v>
      </c>
      <c r="D133" s="448" t="s">
        <v>711</v>
      </c>
      <c r="E133" s="448" t="s">
        <v>711</v>
      </c>
      <c r="F133" s="448">
        <v>13.86</v>
      </c>
      <c r="G133" s="451">
        <f>$G$1</f>
        <v>1</v>
      </c>
      <c r="H133" s="448">
        <f>F133/G133</f>
        <v>13.86</v>
      </c>
      <c r="I133" s="526">
        <f>SUMIF(Цена!$E$7:$E$200,E133,Цена!$G$7:$G$200)</f>
        <v>0</v>
      </c>
      <c r="J133" s="283">
        <f>SUMIF(Расчет_ЭК!$E$16:$E$86,E133,Расчет_ЭК!$F$16:$F$86)</f>
        <v>2</v>
      </c>
      <c r="K133" s="200">
        <f t="shared" si="25"/>
        <v>0</v>
      </c>
      <c r="L133" s="200"/>
      <c r="M133" s="166"/>
    </row>
    <row r="134" spans="2:13" ht="15.75" thickBot="1" x14ac:dyDescent="0.3">
      <c r="C134" s="482"/>
      <c r="G134" s="204"/>
      <c r="H134" s="1"/>
      <c r="I134" s="526"/>
      <c r="J134" s="283"/>
      <c r="K134" s="200">
        <f t="shared" si="25"/>
        <v>0</v>
      </c>
      <c r="L134" s="200"/>
      <c r="M134" s="166"/>
    </row>
    <row r="135" spans="2:13" ht="15.75" x14ac:dyDescent="0.25">
      <c r="B135" s="477" t="s">
        <v>712</v>
      </c>
      <c r="C135" s="440"/>
      <c r="D135" s="440"/>
      <c r="E135" s="440"/>
      <c r="F135" s="440"/>
      <c r="G135" s="440"/>
      <c r="H135" s="440"/>
      <c r="I135" s="526"/>
      <c r="J135" s="283"/>
      <c r="K135" s="200">
        <f t="shared" si="25"/>
        <v>0</v>
      </c>
      <c r="L135" s="200"/>
      <c r="M135" s="166"/>
    </row>
    <row r="136" spans="2:13" x14ac:dyDescent="0.25">
      <c r="B136" s="3"/>
      <c r="C136" s="3" t="s">
        <v>744</v>
      </c>
      <c r="D136" s="9"/>
      <c r="E136" s="3" t="s">
        <v>746</v>
      </c>
      <c r="F136" s="110">
        <v>146.36000000000001</v>
      </c>
      <c r="G136" s="9">
        <f>$G$1</f>
        <v>1</v>
      </c>
      <c r="H136" s="110">
        <f t="shared" ref="H136:H138" si="26">F136/G136</f>
        <v>146.36000000000001</v>
      </c>
      <c r="I136" s="526">
        <f>SUMIF(Цена!$E$7:$E$200,E136,Цена!$G$7:$G$200)</f>
        <v>0</v>
      </c>
      <c r="J136" s="283">
        <f>SUMIF(Расчет_ЭК!$E$16:$E$86,E136,Расчет_ЭК!$F$16:$F$86)</f>
        <v>1</v>
      </c>
      <c r="K136" s="200">
        <f t="shared" si="25"/>
        <v>0</v>
      </c>
      <c r="L136" s="200"/>
      <c r="M136" s="166"/>
    </row>
    <row r="137" spans="2:13" x14ac:dyDescent="0.25">
      <c r="B137" s="3"/>
      <c r="C137" s="3" t="s">
        <v>745</v>
      </c>
      <c r="D137" s="9"/>
      <c r="E137" s="3" t="s">
        <v>747</v>
      </c>
      <c r="F137" s="110">
        <v>61.12</v>
      </c>
      <c r="G137" s="9">
        <f>$G$1</f>
        <v>1</v>
      </c>
      <c r="H137" s="110">
        <f t="shared" si="26"/>
        <v>61.12</v>
      </c>
      <c r="I137" s="526">
        <f>SUMIF(Цена!$E$7:$E$200,E137,Цена!$G$7:$G$200)</f>
        <v>0</v>
      </c>
      <c r="J137" s="283">
        <f>SUMIF(Расчет_ЭК!$E$16:$E$86,E137,Расчет_ЭК!$F$16:$F$86)</f>
        <v>1</v>
      </c>
      <c r="K137" s="200">
        <f t="shared" si="25"/>
        <v>0</v>
      </c>
      <c r="L137" s="200"/>
      <c r="M137" s="166"/>
    </row>
    <row r="138" spans="2:13" x14ac:dyDescent="0.25">
      <c r="B138" s="3"/>
      <c r="C138" s="3" t="s">
        <v>748</v>
      </c>
      <c r="D138" s="9"/>
      <c r="E138" s="3" t="s">
        <v>749</v>
      </c>
      <c r="F138" s="110">
        <v>19.98</v>
      </c>
      <c r="G138" s="9">
        <f>$G$1</f>
        <v>1</v>
      </c>
      <c r="H138" s="110">
        <f t="shared" si="26"/>
        <v>19.98</v>
      </c>
      <c r="I138" s="526">
        <f>SUMIF(Цена!$E$7:$E$200,E138,Цена!$G$7:$G$200)</f>
        <v>0</v>
      </c>
      <c r="J138" s="283">
        <f>SUMIF(Расчет_ЭК!$E$16:$E$86,E138,Расчет_ЭК!$F$16:$F$86)</f>
        <v>1</v>
      </c>
      <c r="K138" s="200">
        <f t="shared" si="25"/>
        <v>0</v>
      </c>
      <c r="L138" s="200"/>
      <c r="M138" s="166"/>
    </row>
    <row r="139" spans="2:13" x14ac:dyDescent="0.25">
      <c r="B139" s="3"/>
      <c r="C139" s="3"/>
      <c r="D139" s="9"/>
      <c r="E139" s="3"/>
      <c r="F139" s="110"/>
      <c r="G139" s="9"/>
      <c r="H139" s="110"/>
      <c r="I139" s="526"/>
      <c r="J139" s="283"/>
      <c r="K139" s="200">
        <f t="shared" si="25"/>
        <v>0</v>
      </c>
      <c r="L139" s="200"/>
      <c r="M139" s="166"/>
    </row>
    <row r="140" spans="2:13" ht="15.75" thickBot="1" x14ac:dyDescent="0.3">
      <c r="C140" s="53"/>
      <c r="D140" s="34"/>
      <c r="E140" s="34"/>
      <c r="F140" s="53"/>
      <c r="G140" s="53"/>
      <c r="H140" s="473"/>
      <c r="I140" s="526"/>
      <c r="J140" s="283"/>
      <c r="K140" s="200">
        <f t="shared" si="25"/>
        <v>0</v>
      </c>
      <c r="L140" s="200"/>
      <c r="M140" s="166"/>
    </row>
    <row r="141" spans="2:13" ht="15.75" x14ac:dyDescent="0.25">
      <c r="B141" s="440" t="s">
        <v>750</v>
      </c>
      <c r="C141" s="440"/>
      <c r="D141" s="440"/>
      <c r="E141" s="440"/>
      <c r="F141" s="440"/>
      <c r="G141" s="440"/>
      <c r="H141" s="440"/>
      <c r="I141" s="526"/>
      <c r="J141" s="283"/>
      <c r="K141" s="200">
        <f t="shared" si="25"/>
        <v>0</v>
      </c>
      <c r="L141" s="200"/>
      <c r="M141" s="166"/>
    </row>
    <row r="142" spans="2:13" x14ac:dyDescent="0.25">
      <c r="B142" s="3"/>
      <c r="C142" s="3" t="s">
        <v>751</v>
      </c>
      <c r="D142" s="9"/>
      <c r="E142" s="9" t="s">
        <v>752</v>
      </c>
      <c r="F142" s="9">
        <v>3.56</v>
      </c>
      <c r="G142" s="9">
        <v>1</v>
      </c>
      <c r="H142" s="110">
        <f>F142*G142</f>
        <v>3.56</v>
      </c>
      <c r="I142" s="526">
        <f>SUMIF(Цена!$E$7:$E$200,E142,Цена!$G$7:$G$200)</f>
        <v>2</v>
      </c>
      <c r="J142" s="283">
        <f>SUMIF(Расчет_ЭК!$E$16:$E$86,E142,Расчет_ЭК!$F$16:$F$86)</f>
        <v>0</v>
      </c>
      <c r="K142" s="200">
        <f t="shared" si="25"/>
        <v>7.12</v>
      </c>
      <c r="L142" s="200"/>
      <c r="M142" s="166"/>
    </row>
    <row r="143" spans="2:13" x14ac:dyDescent="0.25">
      <c r="B143" s="3"/>
      <c r="C143" s="384" t="s">
        <v>820</v>
      </c>
      <c r="D143" s="9"/>
      <c r="E143" s="9" t="s">
        <v>821</v>
      </c>
      <c r="F143" s="9">
        <v>38.76</v>
      </c>
      <c r="G143" s="9">
        <v>1</v>
      </c>
      <c r="H143" s="110">
        <f>F143*G143</f>
        <v>38.76</v>
      </c>
      <c r="I143" s="105">
        <f>SUMIF(Цена!$E$7:$E$200,E143,Цена!$G$7:$G$200)</f>
        <v>1</v>
      </c>
      <c r="J143" s="283">
        <f>SUMIF(Расчет_ЭК!$E$16:$E$86,E143,Расчет_ЭК!$F$16:$F$86)</f>
        <v>0</v>
      </c>
      <c r="K143" s="200">
        <f t="shared" si="25"/>
        <v>38.76</v>
      </c>
      <c r="L143" s="200"/>
      <c r="M143" s="166"/>
    </row>
    <row r="144" spans="2:13" x14ac:dyDescent="0.25">
      <c r="B144" s="3"/>
      <c r="C144" s="3"/>
      <c r="D144" s="9"/>
      <c r="E144" s="9"/>
      <c r="F144" s="3"/>
      <c r="G144" s="3"/>
      <c r="H144" s="9"/>
      <c r="I144" s="105"/>
      <c r="J144" s="283"/>
      <c r="K144" s="200">
        <f t="shared" si="25"/>
        <v>0</v>
      </c>
      <c r="L144" s="200"/>
      <c r="M144" s="166"/>
    </row>
    <row r="145" spans="2:13" ht="16.5" thickBot="1" x14ac:dyDescent="0.3">
      <c r="B145" s="474" t="s">
        <v>155</v>
      </c>
      <c r="C145" s="475"/>
      <c r="D145" s="522"/>
      <c r="E145" s="522"/>
      <c r="F145" s="522"/>
      <c r="G145" s="522"/>
      <c r="H145" s="522"/>
      <c r="I145" s="105"/>
      <c r="J145" s="283"/>
      <c r="K145" s="200">
        <f t="shared" si="25"/>
        <v>0</v>
      </c>
      <c r="L145" s="200"/>
      <c r="M145" s="166"/>
    </row>
    <row r="146" spans="2:13" ht="15.75" x14ac:dyDescent="0.25">
      <c r="B146" s="523"/>
      <c r="C146" s="65" t="s">
        <v>169</v>
      </c>
      <c r="D146" s="248">
        <v>0.75</v>
      </c>
      <c r="E146" s="9" t="s">
        <v>811</v>
      </c>
      <c r="F146" s="9">
        <v>0.28999999999999998</v>
      </c>
      <c r="G146" s="9">
        <v>1</v>
      </c>
      <c r="H146" s="9">
        <f>F146*G146</f>
        <v>0.28999999999999998</v>
      </c>
      <c r="I146" s="105">
        <f>SUMIF(Цена!$E$7:$E$200,E146,Цена!$G$7:$G$200)</f>
        <v>60</v>
      </c>
      <c r="J146" s="283">
        <f>SUMIF(Расчет_ЭК!$E$16:$E$86,E146,Расчет_ЭК!$F$16:$F$86)</f>
        <v>0</v>
      </c>
      <c r="K146" s="200">
        <f t="shared" si="25"/>
        <v>17.399999999999999</v>
      </c>
      <c r="L146" s="200"/>
      <c r="M146" s="166"/>
    </row>
    <row r="147" spans="2:13" x14ac:dyDescent="0.25">
      <c r="B147" s="65"/>
      <c r="C147" s="65" t="s">
        <v>169</v>
      </c>
      <c r="D147" s="9">
        <v>1.5</v>
      </c>
      <c r="E147" s="9" t="s">
        <v>171</v>
      </c>
      <c r="F147" s="9">
        <v>0.53</v>
      </c>
      <c r="G147" s="9">
        <f>$G$1</f>
        <v>1</v>
      </c>
      <c r="H147" s="9">
        <f t="shared" ref="H147:H154" si="27">F147*G147</f>
        <v>0.53</v>
      </c>
      <c r="I147" s="105">
        <f>SUMIF(Цена!$E$7:$E$200,E147,Цена!$G$7:$G$200)</f>
        <v>4</v>
      </c>
      <c r="J147" s="283">
        <f>SUMIF(Расчет_ЭК!$E$16:$E$86,E147,Расчет_ЭК!$F$16:$F$86)</f>
        <v>0</v>
      </c>
      <c r="K147" s="200">
        <f t="shared" si="25"/>
        <v>2.12</v>
      </c>
      <c r="L147" s="200"/>
      <c r="M147" s="166"/>
    </row>
    <row r="148" spans="2:13" x14ac:dyDescent="0.25">
      <c r="B148" s="3"/>
      <c r="C148" s="3" t="s">
        <v>169</v>
      </c>
      <c r="D148" s="9">
        <v>2.5</v>
      </c>
      <c r="E148" s="9" t="s">
        <v>172</v>
      </c>
      <c r="F148" s="9">
        <v>0.61</v>
      </c>
      <c r="G148" s="9">
        <f t="shared" ref="G148:G155" si="28">$G$1</f>
        <v>1</v>
      </c>
      <c r="H148" s="9">
        <f t="shared" si="27"/>
        <v>0.61</v>
      </c>
      <c r="I148" s="105">
        <f>SUMIF(Цена!$E$7:$E$200,E148,Цена!$G$7:$G$200)</f>
        <v>0</v>
      </c>
      <c r="J148" s="283">
        <f>SUMIF(Расчет_ЭК!$E$16:$E$86,E148,Расчет_ЭК!$F$16:$F$86)</f>
        <v>0</v>
      </c>
      <c r="K148" s="200">
        <f t="shared" si="25"/>
        <v>0</v>
      </c>
      <c r="L148" s="200"/>
      <c r="M148" s="166"/>
    </row>
    <row r="149" spans="2:13" x14ac:dyDescent="0.25">
      <c r="B149" s="3"/>
      <c r="C149" s="3" t="s">
        <v>169</v>
      </c>
      <c r="D149" s="9">
        <v>4</v>
      </c>
      <c r="E149" s="9" t="s">
        <v>173</v>
      </c>
      <c r="F149" s="9">
        <v>1.3</v>
      </c>
      <c r="G149" s="9">
        <f t="shared" si="28"/>
        <v>1</v>
      </c>
      <c r="H149" s="9">
        <f t="shared" si="27"/>
        <v>1.3</v>
      </c>
      <c r="I149" s="105">
        <f>SUMIF(Цена!$E$7:$E$200,E149,Цена!$G$7:$G$200)</f>
        <v>0</v>
      </c>
      <c r="J149" s="283">
        <f>SUMIF(Расчет_ЭК!$E$16:$E$86,E149,Расчет_ЭК!$F$16:$F$86)</f>
        <v>0</v>
      </c>
      <c r="K149" s="200">
        <f t="shared" si="25"/>
        <v>0</v>
      </c>
      <c r="L149" s="200"/>
      <c r="M149" s="166"/>
    </row>
    <row r="150" spans="2:13" x14ac:dyDescent="0.25">
      <c r="B150" s="3"/>
      <c r="C150" s="3" t="s">
        <v>169</v>
      </c>
      <c r="D150" s="9">
        <v>6</v>
      </c>
      <c r="E150" s="9" t="s">
        <v>174</v>
      </c>
      <c r="F150" s="9">
        <v>1.72</v>
      </c>
      <c r="G150" s="9">
        <f t="shared" si="28"/>
        <v>1</v>
      </c>
      <c r="H150" s="9">
        <f t="shared" si="27"/>
        <v>1.72</v>
      </c>
      <c r="I150" s="105">
        <f>SUMIF(Цена!$E$7:$E$200,E150,Цена!$G$7:$G$200)</f>
        <v>0</v>
      </c>
      <c r="J150" s="283">
        <f>SUMIF(Расчет_ЭК!$E$16:$E$86,E150,Расчет_ЭК!$F$16:$F$86)</f>
        <v>0</v>
      </c>
      <c r="K150" s="200">
        <f t="shared" si="25"/>
        <v>0</v>
      </c>
      <c r="L150" s="200"/>
      <c r="M150" s="166"/>
    </row>
    <row r="151" spans="2:13" x14ac:dyDescent="0.25">
      <c r="B151" s="3"/>
      <c r="C151" s="3" t="s">
        <v>169</v>
      </c>
      <c r="D151" s="9">
        <v>10</v>
      </c>
      <c r="E151" s="9" t="s">
        <v>175</v>
      </c>
      <c r="F151" s="9">
        <v>3.14</v>
      </c>
      <c r="G151" s="9">
        <f t="shared" si="28"/>
        <v>1</v>
      </c>
      <c r="H151" s="9">
        <f t="shared" si="27"/>
        <v>3.14</v>
      </c>
      <c r="I151" s="105">
        <f>SUMIF(Цена!$E$7:$E$200,E151,Цена!$G$7:$G$200)</f>
        <v>0</v>
      </c>
      <c r="J151" s="283">
        <f>SUMIF(Расчет_ЭК!$E$16:$E$86,E151,Расчет_ЭК!$F$16:$F$86)</f>
        <v>0</v>
      </c>
      <c r="K151" s="200">
        <f t="shared" si="25"/>
        <v>0</v>
      </c>
      <c r="L151" s="200"/>
      <c r="M151" s="166"/>
    </row>
    <row r="152" spans="2:13" x14ac:dyDescent="0.25">
      <c r="B152" s="3"/>
      <c r="C152" s="3" t="s">
        <v>169</v>
      </c>
      <c r="D152" s="9">
        <v>16</v>
      </c>
      <c r="E152" s="9" t="s">
        <v>176</v>
      </c>
      <c r="F152" s="9">
        <v>4.42</v>
      </c>
      <c r="G152" s="9">
        <f t="shared" si="28"/>
        <v>1</v>
      </c>
      <c r="H152" s="9">
        <f t="shared" si="27"/>
        <v>4.42</v>
      </c>
      <c r="I152" s="105">
        <f>SUMIF(Цена!$E$7:$E$200,E152,Цена!$G$7:$G$200)</f>
        <v>0</v>
      </c>
      <c r="J152" s="283">
        <f>SUMIF(Расчет_ЭК!$E$16:$E$86,E152,Расчет_ЭК!$F$16:$F$86)</f>
        <v>0</v>
      </c>
      <c r="K152" s="200">
        <f t="shared" si="25"/>
        <v>0</v>
      </c>
      <c r="L152" s="200"/>
      <c r="M152" s="166"/>
    </row>
    <row r="153" spans="2:13" x14ac:dyDescent="0.25">
      <c r="B153" s="3"/>
      <c r="C153" s="3" t="s">
        <v>169</v>
      </c>
      <c r="D153" s="9">
        <v>25</v>
      </c>
      <c r="E153" s="9" t="s">
        <v>819</v>
      </c>
      <c r="F153" s="9">
        <v>6.74</v>
      </c>
      <c r="G153" s="9">
        <v>1</v>
      </c>
      <c r="H153" s="9">
        <f t="shared" si="27"/>
        <v>6.74</v>
      </c>
      <c r="I153" s="105">
        <f>SUMIF(Цена!$E$7:$E$200,E153,Цена!$G$7:$G$200)</f>
        <v>0</v>
      </c>
      <c r="J153" s="283">
        <f>SUMIF(Расчет_ЭК!$E$16:$E$86,E153,Расчет_ЭК!$F$16:$F$86)</f>
        <v>0</v>
      </c>
      <c r="K153" s="200">
        <f t="shared" si="25"/>
        <v>0</v>
      </c>
      <c r="L153" s="200"/>
      <c r="M153" s="166"/>
    </row>
    <row r="154" spans="2:13" x14ac:dyDescent="0.25">
      <c r="B154" s="3"/>
      <c r="C154" s="3" t="s">
        <v>169</v>
      </c>
      <c r="D154" s="9">
        <v>35</v>
      </c>
      <c r="E154" s="9" t="s">
        <v>177</v>
      </c>
      <c r="F154" s="9">
        <v>11.46</v>
      </c>
      <c r="G154" s="9">
        <f t="shared" si="28"/>
        <v>1</v>
      </c>
      <c r="H154" s="9">
        <f t="shared" si="27"/>
        <v>11.46</v>
      </c>
      <c r="I154" s="105">
        <f>SUMIF(Цена!$E$7:$E$200,E154,Цена!$G$7:$G$200)</f>
        <v>0</v>
      </c>
      <c r="J154" s="283">
        <f>SUMIF(Расчет_ЭК!$E$16:$E$86,E154,Расчет_ЭК!$F$16:$F$86)</f>
        <v>0</v>
      </c>
      <c r="K154" s="200">
        <f t="shared" si="25"/>
        <v>0</v>
      </c>
      <c r="L154" s="200"/>
    </row>
    <row r="155" spans="2:13" ht="15.75" thickBot="1" x14ac:dyDescent="0.3">
      <c r="B155" s="8"/>
      <c r="C155" s="8" t="s">
        <v>170</v>
      </c>
      <c r="D155" s="22" t="s">
        <v>239</v>
      </c>
      <c r="E155" s="22" t="s">
        <v>239</v>
      </c>
      <c r="F155" s="8"/>
      <c r="G155" s="146">
        <f t="shared" si="28"/>
        <v>1</v>
      </c>
      <c r="H155" s="150"/>
      <c r="I155" s="105">
        <f>SUMIF(Цена!$E$7:$E$200,E155,Цена!$G$7:$G$200)</f>
        <v>0</v>
      </c>
      <c r="J155" s="283">
        <f>SUMIF(Расчет_ЭК!$E$16:$E$86,E155,Расчет_ЭК!$F$16:$F$86)</f>
        <v>0</v>
      </c>
      <c r="K155" s="200">
        <f t="shared" si="25"/>
        <v>0</v>
      </c>
      <c r="L155" s="200"/>
    </row>
    <row r="156" spans="2:13" ht="15.75" x14ac:dyDescent="0.25">
      <c r="B156" s="477" t="s">
        <v>835</v>
      </c>
      <c r="C156" s="440"/>
      <c r="D156" s="440"/>
      <c r="E156" s="440"/>
      <c r="F156" s="440"/>
      <c r="G156" s="440"/>
      <c r="H156" s="440"/>
      <c r="I156" s="105"/>
      <c r="J156" s="283"/>
      <c r="K156" s="200">
        <f t="shared" si="25"/>
        <v>0</v>
      </c>
      <c r="L156" s="200"/>
    </row>
    <row r="157" spans="2:13" ht="15.75" x14ac:dyDescent="0.25">
      <c r="B157" s="523"/>
      <c r="C157" s="534" t="s">
        <v>836</v>
      </c>
      <c r="D157" s="535" t="s">
        <v>837</v>
      </c>
      <c r="E157" s="535" t="s">
        <v>837</v>
      </c>
      <c r="F157" s="536">
        <v>4.33</v>
      </c>
      <c r="G157" s="537">
        <v>1</v>
      </c>
      <c r="H157" s="535">
        <f>F157/G157</f>
        <v>4.33</v>
      </c>
      <c r="I157" s="105">
        <f>SUMIF(Цена!$E$7:$E$200,E157,Цена!$G$7:$G$200)</f>
        <v>0.5</v>
      </c>
      <c r="J157" s="283">
        <f>SUMIF(Расчет_ЭК!$E$16:$E$86,E157,Расчет_ЭК!$F$16:$F$86)</f>
        <v>0</v>
      </c>
      <c r="K157" s="200">
        <f t="shared" si="25"/>
        <v>2.165</v>
      </c>
      <c r="L157" s="200"/>
    </row>
    <row r="158" spans="2:13" ht="15.75" x14ac:dyDescent="0.25">
      <c r="B158" s="523"/>
      <c r="C158" s="534" t="s">
        <v>838</v>
      </c>
      <c r="D158" s="535" t="s">
        <v>839</v>
      </c>
      <c r="E158" s="535" t="s">
        <v>839</v>
      </c>
      <c r="F158" s="536">
        <v>3.28</v>
      </c>
      <c r="G158" s="537">
        <v>1</v>
      </c>
      <c r="H158" s="535">
        <f t="shared" ref="H158:H161" si="29">F158/G158</f>
        <v>3.28</v>
      </c>
      <c r="I158" s="105">
        <f>SUMIF(Цена!$E$7:$E$200,E158,Цена!$G$7:$G$200)</f>
        <v>0</v>
      </c>
      <c r="J158" s="283">
        <f>SUMIF(Расчет_ЭК!$E$16:$E$86,E158,Расчет_ЭК!$F$16:$F$86)</f>
        <v>0</v>
      </c>
      <c r="K158" s="200">
        <f t="shared" si="25"/>
        <v>0</v>
      </c>
      <c r="L158" s="200"/>
    </row>
    <row r="159" spans="2:13" ht="15.75" x14ac:dyDescent="0.25">
      <c r="B159" s="523"/>
      <c r="C159" s="534" t="s">
        <v>844</v>
      </c>
      <c r="D159" s="535" t="s">
        <v>845</v>
      </c>
      <c r="E159" s="535" t="s">
        <v>845</v>
      </c>
      <c r="F159" s="536">
        <v>5.15</v>
      </c>
      <c r="G159" s="537">
        <v>1</v>
      </c>
      <c r="H159" s="535">
        <f t="shared" si="29"/>
        <v>5.15</v>
      </c>
      <c r="I159" s="105">
        <f>SUMIF(Цена!$E$7:$E$200,E159,Цена!$G$7:$G$200)</f>
        <v>2</v>
      </c>
      <c r="J159" s="283">
        <f>SUMIF(Расчет_ЭК!$E$16:$E$86,E159,Расчет_ЭК!$F$16:$F$86)</f>
        <v>0</v>
      </c>
      <c r="K159" s="200">
        <f t="shared" si="25"/>
        <v>10.3</v>
      </c>
      <c r="L159" s="200"/>
    </row>
    <row r="160" spans="2:13" ht="15.75" x14ac:dyDescent="0.25">
      <c r="B160" s="523"/>
      <c r="C160" s="534" t="s">
        <v>840</v>
      </c>
      <c r="D160" s="535" t="s">
        <v>841</v>
      </c>
      <c r="E160" s="535" t="s">
        <v>841</v>
      </c>
      <c r="F160" s="537">
        <v>2.64</v>
      </c>
      <c r="G160" s="537">
        <v>1</v>
      </c>
      <c r="H160" s="535">
        <f t="shared" si="29"/>
        <v>2.64</v>
      </c>
      <c r="I160" s="105">
        <f>SUMIF(Цена!$E$7:$E$200,E160,Цена!$G$7:$G$200)</f>
        <v>1.2</v>
      </c>
      <c r="J160" s="283">
        <f>SUMIF(Расчет_ЭК!$E$16:$E$86,E160,Расчет_ЭК!$F$16:$F$86)</f>
        <v>0</v>
      </c>
      <c r="K160" s="200">
        <f t="shared" si="25"/>
        <v>3.1680000000000001</v>
      </c>
    </row>
    <row r="161" spans="2:11" ht="15.75" x14ac:dyDescent="0.25">
      <c r="B161" s="523"/>
      <c r="C161" s="534" t="s">
        <v>842</v>
      </c>
      <c r="D161" s="535" t="s">
        <v>843</v>
      </c>
      <c r="E161" s="535" t="s">
        <v>843</v>
      </c>
      <c r="F161" s="537">
        <v>0.4</v>
      </c>
      <c r="G161" s="537">
        <v>1</v>
      </c>
      <c r="H161" s="535">
        <f t="shared" si="29"/>
        <v>0.4</v>
      </c>
      <c r="I161" s="105">
        <f>SUMIF(Цена!$E$7:$E$200,E161,Цена!$G$7:$G$200)</f>
        <v>0.4</v>
      </c>
      <c r="J161" s="283">
        <f>SUMIF(Расчет_ЭК!$E$16:$E$86,E161,Расчет_ЭК!$F$16:$F$86)</f>
        <v>0</v>
      </c>
      <c r="K161" s="200">
        <f t="shared" si="25"/>
        <v>0.16000000000000003</v>
      </c>
    </row>
    <row r="163" spans="2:11" x14ac:dyDescent="0.25">
      <c r="K163" s="200">
        <f>SUM(K3:K162)</f>
        <v>706.21299999999985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5"/>
  <dimension ref="A1:G47"/>
  <sheetViews>
    <sheetView zoomScale="70" zoomScaleNormal="70" workbookViewId="0">
      <selection activeCell="B36" sqref="B36"/>
    </sheetView>
  </sheetViews>
  <sheetFormatPr defaultRowHeight="15" x14ac:dyDescent="0.25"/>
  <cols>
    <col min="2" max="2" width="32" bestFit="1" customWidth="1"/>
    <col min="3" max="3" width="17.85546875" style="1" bestFit="1" customWidth="1"/>
    <col min="4" max="4" width="17.28515625" bestFit="1" customWidth="1"/>
    <col min="5" max="5" width="12.5703125" bestFit="1" customWidth="1"/>
    <col min="6" max="6" width="12.140625" bestFit="1" customWidth="1"/>
    <col min="7" max="7" width="16.7109375" style="1" bestFit="1" customWidth="1"/>
    <col min="8" max="8" width="17.140625" customWidth="1"/>
    <col min="9" max="9" width="17.28515625" customWidth="1"/>
  </cols>
  <sheetData>
    <row r="1" spans="1:7" ht="16.5" thickBot="1" x14ac:dyDescent="0.3">
      <c r="B1" s="531" t="s">
        <v>823</v>
      </c>
    </row>
    <row r="2" spans="1:7" ht="16.5" thickBot="1" x14ac:dyDescent="0.3">
      <c r="B2" s="90" t="s">
        <v>41</v>
      </c>
      <c r="C2" s="90" t="s">
        <v>1</v>
      </c>
      <c r="D2" s="90" t="s">
        <v>45</v>
      </c>
      <c r="E2" s="90" t="s">
        <v>233</v>
      </c>
      <c r="F2" s="90" t="s">
        <v>159</v>
      </c>
      <c r="G2" s="90" t="s">
        <v>243</v>
      </c>
    </row>
    <row r="3" spans="1:7" x14ac:dyDescent="0.25">
      <c r="A3">
        <v>1</v>
      </c>
      <c r="B3" s="91" t="str">
        <f t="array" ref="B3">IFERROR(INDEX(Общее!$C$3:$C$163,SMALL(IF(0&lt;&gt;Общее!$I$3:$I$163,ROW(Общее!$I$3:$I$163),""),ROW()-ROW(Общее!$I$2))-ROW(Общее!$I$2)),"")</f>
        <v>Автомат защиты эл/дв</v>
      </c>
      <c r="C3" s="54" t="str">
        <f t="array" ref="C3">IFERROR(INDEX(Общее!$E$3:$E$163,SMALL(IF(0&lt;&gt;Общее!$I$3:$I$163,ROW(Общее!$I$3:$I$163),""),ROW()-ROW(Общее!$I$2))-ROW(Общее!$I$2)),"")</f>
        <v>GV2ME07</v>
      </c>
      <c r="D3" s="54" t="str">
        <f t="array" ref="D3">IFERROR(INDEX(Общее!$D$3:$D$163,SMALL(IF(0&lt;&gt;Общее!$I$3:$I$163,ROW(Общее!$I$3:$I$163),""),ROW()-ROW(Общее!$I$2))-ROW(Общее!$I$2)),"")</f>
        <v>1,6…2,5</v>
      </c>
      <c r="E3" s="54">
        <f t="array" ref="E3">IFERROR(INDEX(Общее!$I$3:$I$163,SMALL(IF(0&lt;&gt;Общее!$I$3:$I$163,ROW(Общее!$I$3:$I$163),""),ROW()-ROW(Общее!$I$2))-ROW(Общее!$I$2)),"")</f>
        <v>1</v>
      </c>
      <c r="F3" s="105">
        <f t="array" ref="F3">IFERROR(INDEX(Общее!$H$3:$H$163,SMALL(IF(0&lt;&gt;Общее!$I$3:$I$163,ROW(Общее!$I$3:$I$163),""),ROW()-ROW(Общее!$I$2))-ROW(Общее!$I$2)),"")</f>
        <v>41.04</v>
      </c>
      <c r="G3" s="129">
        <f>IFERROR(E3*F3,"")</f>
        <v>41.04</v>
      </c>
    </row>
    <row r="4" spans="1:7" x14ac:dyDescent="0.25">
      <c r="A4">
        <v>2</v>
      </c>
      <c r="B4" s="91" t="str">
        <f t="array" ref="B4">IFERROR(INDEX(Общее!$C$3:$C$163,SMALL(IF(0&lt;&gt;Общее!$I$3:$I$163,ROW(Общее!$I$3:$I$163),""),ROW()-ROW(Общее!$I$2))-ROW(Общее!$I$2)),"")</f>
        <v>Доп. контакт для автомата мотор</v>
      </c>
      <c r="C4" s="54" t="str">
        <f t="array" ref="C4">IFERROR(INDEX(Общее!$E$3:$E$163,SMALL(IF(0&lt;&gt;Общее!$I$3:$I$163,ROW(Общее!$I$3:$I$163),""),ROW()-ROW(Общее!$I$2))-ROW(Общее!$I$2)),"")</f>
        <v>ДП_к_мотор</v>
      </c>
      <c r="D4" s="54" t="str">
        <f t="array" ref="D4">IFERROR(INDEX(Общее!$D$3:$D$163,SMALL(IF(0&lt;&gt;Общее!$I$3:$I$163,ROW(Общее!$I$3:$I$163),""),ROW()-ROW(Общее!$I$2))-ROW(Общее!$I$2)),"")</f>
        <v>ДП_к_мотор</v>
      </c>
      <c r="E4" s="54">
        <f t="array" ref="E4">IFERROR(INDEX(Общее!$I$3:$I$163,SMALL(IF(0&lt;&gt;Общее!$I$3:$I$163,ROW(Общее!$I$3:$I$163),""),ROW()-ROW(Общее!$I$2))-ROW(Общее!$I$2)),"")</f>
        <v>1</v>
      </c>
      <c r="F4" s="105">
        <f t="array" ref="F4">IFERROR(INDEX(Общее!$H$3:$H$163,SMALL(IF(0&lt;&gt;Общее!$I$3:$I$163,ROW(Общее!$I$3:$I$163),""),ROW()-ROW(Общее!$I$2))-ROW(Общее!$I$2)),"")</f>
        <v>21.34</v>
      </c>
      <c r="G4" s="129">
        <f t="shared" ref="G4:G42" si="0">IFERROR(E4*F4,"")</f>
        <v>21.34</v>
      </c>
    </row>
    <row r="5" spans="1:7" x14ac:dyDescent="0.25">
      <c r="A5">
        <v>3</v>
      </c>
      <c r="B5" s="91" t="str">
        <f t="array" ref="B5">IFERROR(INDEX(Общее!$C$3:$C$163,SMALL(IF(0&lt;&gt;Общее!$I$3:$I$163,ROW(Общее!$I$3:$I$163),""),ROW()-ROW(Общее!$I$2))-ROW(Общее!$I$2)),"")</f>
        <v>Автомат. Выключатель 1п</v>
      </c>
      <c r="C5" s="54" t="str">
        <f t="array" ref="C5">IFERROR(INDEX(Общее!$E$3:$E$163,SMALL(IF(0&lt;&gt;Общее!$I$3:$I$163,ROW(Общее!$I$3:$I$163),""),ROW()-ROW(Общее!$I$2))-ROW(Общее!$I$2)),"")</f>
        <v>16А 1п.</v>
      </c>
      <c r="D5" s="54">
        <f t="array" ref="D5">IFERROR(INDEX(Общее!$D$3:$D$163,SMALL(IF(0&lt;&gt;Общее!$I$3:$I$163,ROW(Общее!$I$3:$I$163),""),ROW()-ROW(Общее!$I$2))-ROW(Общее!$I$2)),"")</f>
        <v>16</v>
      </c>
      <c r="E5" s="54">
        <f t="array" ref="E5">IFERROR(INDEX(Общее!$I$3:$I$163,SMALL(IF(0&lt;&gt;Общее!$I$3:$I$163,ROW(Общее!$I$3:$I$163),""),ROW()-ROW(Общее!$I$2))-ROW(Общее!$I$2)),"")</f>
        <v>2</v>
      </c>
      <c r="F5" s="105">
        <f t="array" ref="F5">IFERROR(INDEX(Общее!$H$3:$H$163,SMALL(IF(0&lt;&gt;Общее!$I$3:$I$163,ROW(Общее!$I$3:$I$163),""),ROW()-ROW(Общее!$I$2))-ROW(Общее!$I$2)),"")</f>
        <v>9.0299999999999994</v>
      </c>
      <c r="G5" s="129">
        <f t="shared" si="0"/>
        <v>18.059999999999999</v>
      </c>
    </row>
    <row r="6" spans="1:7" x14ac:dyDescent="0.25">
      <c r="A6">
        <v>4</v>
      </c>
      <c r="B6" s="91" t="str">
        <f t="array" ref="B6">IFERROR(INDEX(Общее!$C$3:$C$163,SMALL(IF(0&lt;&gt;Общее!$I$3:$I$163,ROW(Общее!$I$3:$I$163),""),ROW()-ROW(Общее!$I$2))-ROW(Общее!$I$2)),"")</f>
        <v>Контактор</v>
      </c>
      <c r="C6" s="54" t="str">
        <f t="array" ref="C6">IFERROR(INDEX(Общее!$E$3:$E$163,SMALL(IF(0&lt;&gt;Общее!$I$3:$I$163,ROW(Общее!$I$3:$I$163),""),ROW()-ROW(Общее!$I$2))-ROW(Общее!$I$2)),"")</f>
        <v>LC1D09P7</v>
      </c>
      <c r="D6" s="54">
        <f t="array" ref="D6">IFERROR(INDEX(Общее!$D$3:$D$163,SMALL(IF(0&lt;&gt;Общее!$I$3:$I$163,ROW(Общее!$I$3:$I$163),""),ROW()-ROW(Общее!$I$2))-ROW(Общее!$I$2)),"")</f>
        <v>9</v>
      </c>
      <c r="E6" s="54">
        <f t="array" ref="E6">IFERROR(INDEX(Общее!$I$3:$I$163,SMALL(IF(0&lt;&gt;Общее!$I$3:$I$163,ROW(Общее!$I$3:$I$163),""),ROW()-ROW(Общее!$I$2))-ROW(Общее!$I$2)),"")</f>
        <v>1</v>
      </c>
      <c r="F6" s="105">
        <f t="array" ref="F6">IFERROR(INDEX(Общее!$H$3:$H$163,SMALL(IF(0&lt;&gt;Общее!$I$3:$I$163,ROW(Общее!$I$3:$I$163),""),ROW()-ROW(Общее!$I$2))-ROW(Общее!$I$2)),"")</f>
        <v>23.74</v>
      </c>
      <c r="G6" s="129">
        <f t="shared" si="0"/>
        <v>23.74</v>
      </c>
    </row>
    <row r="7" spans="1:7" x14ac:dyDescent="0.25">
      <c r="A7">
        <v>5</v>
      </c>
      <c r="B7" s="91" t="str">
        <f t="array" ref="B7">IFERROR(INDEX(Общее!$C$3:$C$163,SMALL(IF(0&lt;&gt;Общее!$I$3:$I$163,ROW(Общее!$I$3:$I$163),""),ROW()-ROW(Общее!$I$2))-ROW(Общее!$I$2)),"")</f>
        <v>Реле промеж., 2пер.конт</v>
      </c>
      <c r="C7" s="54" t="str">
        <f t="array" ref="C7">IFERROR(INDEX(Общее!$E$3:$E$163,SMALL(IF(0&lt;&gt;Общее!$I$3:$I$163,ROW(Общее!$I$3:$I$163),""),ROW()-ROW(Общее!$I$2))-ROW(Общее!$I$2)),"")</f>
        <v>Р_2_230</v>
      </c>
      <c r="D7" s="54" t="str">
        <f t="array" ref="D7">IFERROR(INDEX(Общее!$D$3:$D$163,SMALL(IF(0&lt;&gt;Общее!$I$3:$I$163,ROW(Общее!$I$3:$I$163),""),ROW()-ROW(Общее!$I$2))-ROW(Общее!$I$2)),"")</f>
        <v>2СО, 230В</v>
      </c>
      <c r="E7" s="54">
        <f t="array" ref="E7">IFERROR(INDEX(Общее!$I$3:$I$163,SMALL(IF(0&lt;&gt;Общее!$I$3:$I$163,ROW(Общее!$I$3:$I$163),""),ROW()-ROW(Общее!$I$2))-ROW(Общее!$I$2)),"")</f>
        <v>3</v>
      </c>
      <c r="F7" s="105">
        <f t="array" ref="F7">IFERROR(INDEX(Общее!$H$3:$H$163,SMALL(IF(0&lt;&gt;Общее!$I$3:$I$163,ROW(Общее!$I$3:$I$163),""),ROW()-ROW(Общее!$I$2))-ROW(Общее!$I$2)),"")</f>
        <v>14.63</v>
      </c>
      <c r="G7" s="129">
        <f t="shared" si="0"/>
        <v>43.89</v>
      </c>
    </row>
    <row r="8" spans="1:7" x14ac:dyDescent="0.25">
      <c r="A8">
        <v>6</v>
      </c>
      <c r="B8" s="91" t="str">
        <f t="array" ref="B8">IFERROR(INDEX(Общее!$C$3:$C$163,SMALL(IF(0&lt;&gt;Общее!$I$3:$I$163,ROW(Общее!$I$3:$I$163),""),ROW()-ROW(Общее!$I$2))-ROW(Общее!$I$2)),"")</f>
        <v>Клемма</v>
      </c>
      <c r="C8" s="54" t="str">
        <f t="array" ref="C8">IFERROR(INDEX(Общее!$E$3:$E$163,SMALL(IF(0&lt;&gt;Общее!$I$3:$I$163,ROW(Общее!$I$3:$I$163),""),ROW()-ROW(Общее!$I$2))-ROW(Общее!$I$2)),"")</f>
        <v>Клемма2,5</v>
      </c>
      <c r="D8" s="54">
        <f t="array" ref="D8">IFERROR(INDEX(Общее!$D$3:$D$163,SMALL(IF(0&lt;&gt;Общее!$I$3:$I$163,ROW(Общее!$I$3:$I$163),""),ROW()-ROW(Общее!$I$2))-ROW(Общее!$I$2)),"")</f>
        <v>2.5</v>
      </c>
      <c r="E8" s="54">
        <f t="array" ref="E8">IFERROR(INDEX(Общее!$I$3:$I$163,SMALL(IF(0&lt;&gt;Общее!$I$3:$I$163,ROW(Общее!$I$3:$I$163),""),ROW()-ROW(Общее!$I$2))-ROW(Общее!$I$2)),"")</f>
        <v>41</v>
      </c>
      <c r="F8" s="105">
        <f t="array" ref="F8">IFERROR(INDEX(Общее!$H$3:$H$163,SMALL(IF(0&lt;&gt;Общее!$I$3:$I$163,ROW(Общее!$I$3:$I$163),""),ROW()-ROW(Общее!$I$2))-ROW(Общее!$I$2)),"")</f>
        <v>0.63</v>
      </c>
      <c r="G8" s="129">
        <f t="shared" si="0"/>
        <v>25.830000000000002</v>
      </c>
    </row>
    <row r="9" spans="1:7" x14ac:dyDescent="0.25">
      <c r="A9">
        <v>7</v>
      </c>
      <c r="B9" s="91" t="str">
        <f t="array" ref="B9">IFERROR(INDEX(Общее!$C$3:$C$163,SMALL(IF(0&lt;&gt;Общее!$I$3:$I$163,ROW(Общее!$I$3:$I$163),""),ROW()-ROW(Общее!$I$2))-ROW(Общее!$I$2)),"")</f>
        <v>Клемма</v>
      </c>
      <c r="C9" s="54" t="str">
        <f t="array" ref="C9">IFERROR(INDEX(Общее!$E$3:$E$163,SMALL(IF(0&lt;&gt;Общее!$I$3:$I$163,ROW(Общее!$I$3:$I$163),""),ROW()-ROW(Общее!$I$2))-ROW(Общее!$I$2)),"")</f>
        <v>Клемма6</v>
      </c>
      <c r="D9" s="54">
        <f t="array" ref="D9">IFERROR(INDEX(Общее!$D$3:$D$163,SMALL(IF(0&lt;&gt;Общее!$I$3:$I$163,ROW(Общее!$I$3:$I$163),""),ROW()-ROW(Общее!$I$2))-ROW(Общее!$I$2)),"")</f>
        <v>6</v>
      </c>
      <c r="E9" s="54">
        <f t="array" ref="E9">IFERROR(INDEX(Общее!$I$3:$I$163,SMALL(IF(0&lt;&gt;Общее!$I$3:$I$163,ROW(Общее!$I$3:$I$163),""),ROW()-ROW(Общее!$I$2))-ROW(Общее!$I$2)),"")</f>
        <v>3</v>
      </c>
      <c r="F9" s="105">
        <f t="array" ref="F9">IFERROR(INDEX(Общее!$H$3:$H$163,SMALL(IF(0&lt;&gt;Общее!$I$3:$I$163,ROW(Общее!$I$3:$I$163),""),ROW()-ROW(Общее!$I$2))-ROW(Общее!$I$2)),"")</f>
        <v>1.22</v>
      </c>
      <c r="G9" s="129">
        <f t="shared" si="0"/>
        <v>3.66</v>
      </c>
    </row>
    <row r="10" spans="1:7" x14ac:dyDescent="0.25">
      <c r="A10">
        <v>8</v>
      </c>
      <c r="B10" s="91" t="str">
        <f t="array" ref="B10">IFERROR(INDEX(Общее!$C$3:$C$163,SMALL(IF(0&lt;&gt;Общее!$I$3:$I$163,ROW(Общее!$I$3:$I$163),""),ROW()-ROW(Общее!$I$2))-ROW(Общее!$I$2)),"")</f>
        <v>Клемма N</v>
      </c>
      <c r="C10" s="54" t="str">
        <f t="array" ref="C10">IFERROR(INDEX(Общее!$E$3:$E$163,SMALL(IF(0&lt;&gt;Общее!$I$3:$I$163,ROW(Общее!$I$3:$I$163),""),ROW()-ROW(Общее!$I$2))-ROW(Общее!$I$2)),"")</f>
        <v>Клемма N2,5</v>
      </c>
      <c r="D10" s="54">
        <f t="array" ref="D10">IFERROR(INDEX(Общее!$D$3:$D$163,SMALL(IF(0&lt;&gt;Общее!$I$3:$I$163,ROW(Общее!$I$3:$I$163),""),ROW()-ROW(Общее!$I$2))-ROW(Общее!$I$2)),"")</f>
        <v>2.5</v>
      </c>
      <c r="E10" s="54">
        <f t="array" ref="E10">IFERROR(INDEX(Общее!$I$3:$I$163,SMALL(IF(0&lt;&gt;Общее!$I$3:$I$163,ROW(Общее!$I$3:$I$163),""),ROW()-ROW(Общее!$I$2))-ROW(Общее!$I$2)),"")</f>
        <v>4</v>
      </c>
      <c r="F10" s="105">
        <f t="array" ref="F10">IFERROR(INDEX(Общее!$H$3:$H$163,SMALL(IF(0&lt;&gt;Общее!$I$3:$I$163,ROW(Общее!$I$3:$I$163),""),ROW()-ROW(Общее!$I$2))-ROW(Общее!$I$2)),"")</f>
        <v>0.62</v>
      </c>
      <c r="G10" s="129">
        <f t="shared" si="0"/>
        <v>2.48</v>
      </c>
    </row>
    <row r="11" spans="1:7" x14ac:dyDescent="0.25">
      <c r="A11">
        <v>9</v>
      </c>
      <c r="B11" s="91" t="str">
        <f t="array" ref="B11">IFERROR(INDEX(Общее!$C$3:$C$163,SMALL(IF(0&lt;&gt;Общее!$I$3:$I$163,ROW(Общее!$I$3:$I$163),""),ROW()-ROW(Общее!$I$2))-ROW(Общее!$I$2)),"")</f>
        <v>Клемма N</v>
      </c>
      <c r="C11" s="54" t="str">
        <f t="array" ref="C11">IFERROR(INDEX(Общее!$E$3:$E$163,SMALL(IF(0&lt;&gt;Общее!$I$3:$I$163,ROW(Общее!$I$3:$I$163),""),ROW()-ROW(Общее!$I$2))-ROW(Общее!$I$2)),"")</f>
        <v>Клемма N6</v>
      </c>
      <c r="D11" s="54">
        <f t="array" ref="D11">IFERROR(INDEX(Общее!$D$3:$D$163,SMALL(IF(0&lt;&gt;Общее!$I$3:$I$163,ROW(Общее!$I$3:$I$163),""),ROW()-ROW(Общее!$I$2))-ROW(Общее!$I$2)),"")</f>
        <v>6</v>
      </c>
      <c r="E11" s="54">
        <f t="array" ref="E11">IFERROR(INDEX(Общее!$I$3:$I$163,SMALL(IF(0&lt;&gt;Общее!$I$3:$I$163,ROW(Общее!$I$3:$I$163),""),ROW()-ROW(Общее!$I$2))-ROW(Общее!$I$2)),"")</f>
        <v>1</v>
      </c>
      <c r="F11" s="105">
        <f t="array" ref="F11">IFERROR(INDEX(Общее!$H$3:$H$163,SMALL(IF(0&lt;&gt;Общее!$I$3:$I$163,ROW(Общее!$I$3:$I$163),""),ROW()-ROW(Общее!$I$2))-ROW(Общее!$I$2)),"")</f>
        <v>1.23</v>
      </c>
      <c r="G11" s="129">
        <f t="shared" si="0"/>
        <v>1.23</v>
      </c>
    </row>
    <row r="12" spans="1:7" x14ac:dyDescent="0.25">
      <c r="A12">
        <v>10</v>
      </c>
      <c r="B12" s="91" t="str">
        <f t="array" ref="B12">IFERROR(INDEX(Общее!$C$3:$C$163,SMALL(IF(0&lt;&gt;Общее!$I$3:$I$163,ROW(Общее!$I$3:$I$163),""),ROW()-ROW(Общее!$I$2))-ROW(Общее!$I$2)),"")</f>
        <v>Клемма PE</v>
      </c>
      <c r="C12" s="54" t="str">
        <f t="array" ref="C12">IFERROR(INDEX(Общее!$E$3:$E$163,SMALL(IF(0&lt;&gt;Общее!$I$3:$I$163,ROW(Общее!$I$3:$I$163),""),ROW()-ROW(Общее!$I$2))-ROW(Общее!$I$2)),"")</f>
        <v>Клемма PE2,5</v>
      </c>
      <c r="D12" s="54">
        <f t="array" ref="D12">IFERROR(INDEX(Общее!$D$3:$D$163,SMALL(IF(0&lt;&gt;Общее!$I$3:$I$163,ROW(Общее!$I$3:$I$163),""),ROW()-ROW(Общее!$I$2))-ROW(Общее!$I$2)),"")</f>
        <v>2.5</v>
      </c>
      <c r="E12" s="54">
        <f t="array" ref="E12">IFERROR(INDEX(Общее!$I$3:$I$163,SMALL(IF(0&lt;&gt;Общее!$I$3:$I$163,ROW(Общее!$I$3:$I$163),""),ROW()-ROW(Общее!$I$2))-ROW(Общее!$I$2)),"")</f>
        <v>8</v>
      </c>
      <c r="F12" s="105">
        <f t="array" ref="F12">IFERROR(INDEX(Общее!$H$3:$H$163,SMALL(IF(0&lt;&gt;Общее!$I$3:$I$163,ROW(Общее!$I$3:$I$163),""),ROW()-ROW(Общее!$I$2))-ROW(Общее!$I$2)),"")</f>
        <v>1.87</v>
      </c>
      <c r="G12" s="129">
        <f t="shared" si="0"/>
        <v>14.96</v>
      </c>
    </row>
    <row r="13" spans="1:7" x14ac:dyDescent="0.25">
      <c r="A13">
        <v>11</v>
      </c>
      <c r="B13" s="91" t="str">
        <f t="array" ref="B13">IFERROR(INDEX(Общее!$C$3:$C$163,SMALL(IF(0&lt;&gt;Общее!$I$3:$I$163,ROW(Общее!$I$3:$I$163),""),ROW()-ROW(Общее!$I$2))-ROW(Общее!$I$2)),"")</f>
        <v>Клемма PE</v>
      </c>
      <c r="C13" s="54" t="str">
        <f t="array" ref="C13">IFERROR(INDEX(Общее!$E$3:$E$163,SMALL(IF(0&lt;&gt;Общее!$I$3:$I$163,ROW(Общее!$I$3:$I$163),""),ROW()-ROW(Общее!$I$2))-ROW(Общее!$I$2)),"")</f>
        <v>Клемма PE6</v>
      </c>
      <c r="D13" s="54">
        <f t="array" ref="D13">IFERROR(INDEX(Общее!$D$3:$D$163,SMALL(IF(0&lt;&gt;Общее!$I$3:$I$163,ROW(Общее!$I$3:$I$163),""),ROW()-ROW(Общее!$I$2))-ROW(Общее!$I$2)),"")</f>
        <v>6</v>
      </c>
      <c r="E13" s="54">
        <f t="array" ref="E13">IFERROR(INDEX(Общее!$I$3:$I$163,SMALL(IF(0&lt;&gt;Общее!$I$3:$I$163,ROW(Общее!$I$3:$I$163),""),ROW()-ROW(Общее!$I$2))-ROW(Общее!$I$2)),"")</f>
        <v>1</v>
      </c>
      <c r="F13" s="105">
        <f t="array" ref="F13">IFERROR(INDEX(Общее!$H$3:$H$163,SMALL(IF(0&lt;&gt;Общее!$I$3:$I$163,ROW(Общее!$I$3:$I$163),""),ROW()-ROW(Общее!$I$2))-ROW(Общее!$I$2)),"")</f>
        <v>3.4</v>
      </c>
      <c r="G13" s="129">
        <f t="shared" si="0"/>
        <v>3.4</v>
      </c>
    </row>
    <row r="14" spans="1:7" x14ac:dyDescent="0.25">
      <c r="A14">
        <v>12</v>
      </c>
      <c r="B14" s="91" t="str">
        <f t="array" ref="B14">IFERROR(INDEX(Общее!$C$3:$C$163,SMALL(IF(0&lt;&gt;Общее!$I$3:$I$163,ROW(Общее!$I$3:$I$163),""),ROW()-ROW(Общее!$I$2))-ROW(Общее!$I$2)),"")</f>
        <v>Концевой стопор</v>
      </c>
      <c r="C14" s="54" t="str">
        <f t="array" ref="C14">IFERROR(INDEX(Общее!$E$3:$E$163,SMALL(IF(0&lt;&gt;Общее!$I$3:$I$163,ROW(Общее!$I$3:$I$163),""),ROW()-ROW(Общее!$I$2))-ROW(Общее!$I$2)),"")</f>
        <v>Кон_стопор</v>
      </c>
      <c r="D14" s="54" t="str">
        <f t="array" ref="D14">IFERROR(INDEX(Общее!$D$3:$D$163,SMALL(IF(0&lt;&gt;Общее!$I$3:$I$163,ROW(Общее!$I$3:$I$163),""),ROW()-ROW(Общее!$I$2))-ROW(Общее!$I$2)),"")</f>
        <v>КС</v>
      </c>
      <c r="E14" s="54">
        <f t="array" ref="E14">IFERROR(INDEX(Общее!$I$3:$I$163,SMALL(IF(0&lt;&gt;Общее!$I$3:$I$163,ROW(Общее!$I$3:$I$163),""),ROW()-ROW(Общее!$I$2))-ROW(Общее!$I$2)),"")</f>
        <v>4</v>
      </c>
      <c r="F14" s="105">
        <f t="array" ref="F14">IFERROR(INDEX(Общее!$H$3:$H$163,SMALL(IF(0&lt;&gt;Общее!$I$3:$I$163,ROW(Общее!$I$3:$I$163),""),ROW()-ROW(Общее!$I$2))-ROW(Общее!$I$2)),"")</f>
        <v>1.04</v>
      </c>
      <c r="G14" s="129">
        <f t="shared" si="0"/>
        <v>4.16</v>
      </c>
    </row>
    <row r="15" spans="1:7" x14ac:dyDescent="0.25">
      <c r="A15">
        <v>13</v>
      </c>
      <c r="B15" s="91" t="str">
        <f t="array" ref="B15">IFERROR(INDEX(Общее!$C$3:$C$163,SMALL(IF(0&lt;&gt;Общее!$I$3:$I$163,ROW(Общее!$I$3:$I$163),""),ROW()-ROW(Общее!$I$2))-ROW(Общее!$I$2)),"")</f>
        <v>Контроллер программируемый ПР200-220.4.2.0</v>
      </c>
      <c r="C15" s="54" t="str">
        <f t="array" ref="C15">IFERROR(INDEX(Общее!$E$3:$E$163,SMALL(IF(0&lt;&gt;Общее!$I$3:$I$163,ROW(Общее!$I$3:$I$163),""),ROW()-ROW(Общее!$I$2))-ROW(Общее!$I$2)),"")</f>
        <v>ПР200-220.4.2.0</v>
      </c>
      <c r="D15" s="54" t="str">
        <f t="array" ref="D15">IFERROR(INDEX(Общее!$D$3:$D$163,SMALL(IF(0&lt;&gt;Общее!$I$3:$I$163,ROW(Общее!$I$3:$I$163),""),ROW()-ROW(Общее!$I$2))-ROW(Общее!$I$2)),"")</f>
        <v>ПР200</v>
      </c>
      <c r="E15" s="54">
        <f t="array" ref="E15">IFERROR(INDEX(Общее!$I$3:$I$163,SMALL(IF(0&lt;&gt;Общее!$I$3:$I$163,ROW(Общее!$I$3:$I$163),""),ROW()-ROW(Общее!$I$2))-ROW(Общее!$I$2)),"")</f>
        <v>1</v>
      </c>
      <c r="F15" s="105">
        <f t="array" ref="F15">IFERROR(INDEX(Общее!$H$3:$H$163,SMALL(IF(0&lt;&gt;Общее!$I$3:$I$163,ROW(Общее!$I$3:$I$163),""),ROW()-ROW(Общее!$I$2))-ROW(Общее!$I$2)),"")</f>
        <v>275.70999999999998</v>
      </c>
      <c r="G15" s="129">
        <f t="shared" si="0"/>
        <v>275.70999999999998</v>
      </c>
    </row>
    <row r="16" spans="1:7" x14ac:dyDescent="0.25">
      <c r="A16">
        <v>14</v>
      </c>
      <c r="B16" s="91" t="str">
        <f t="array" ref="B16">IFERROR(INDEX(Общее!$C$3:$C$163,SMALL(IF(0&lt;&gt;Общее!$I$3:$I$163,ROW(Общее!$I$3:$I$163),""),ROW()-ROW(Общее!$I$2))-ROW(Общее!$I$2)),"")</f>
        <v>Индикатор РАБОТА (зеленый)</v>
      </c>
      <c r="C16" s="54" t="str">
        <f t="array" ref="C16">IFERROR(INDEX(Общее!$E$3:$E$163,SMALL(IF(0&lt;&gt;Общее!$I$3:$I$163,ROW(Общее!$I$3:$I$163),""),ROW()-ROW(Общее!$I$2))-ROW(Общее!$I$2)),"")</f>
        <v>Ин_з</v>
      </c>
      <c r="D16" s="54" t="str">
        <f t="array" ref="D16">IFERROR(INDEX(Общее!$D$3:$D$163,SMALL(IF(0&lt;&gt;Общее!$I$3:$I$163,ROW(Общее!$I$3:$I$163),""),ROW()-ROW(Общее!$I$2))-ROW(Общее!$I$2)),"")</f>
        <v>зеленый</v>
      </c>
      <c r="E16" s="54">
        <f t="array" ref="E16">IFERROR(INDEX(Общее!$I$3:$I$163,SMALL(IF(0&lt;&gt;Общее!$I$3:$I$163,ROW(Общее!$I$3:$I$163),""),ROW()-ROW(Общее!$I$2))-ROW(Общее!$I$2)),"")</f>
        <v>1</v>
      </c>
      <c r="F16" s="105">
        <f t="array" ref="F16">IFERROR(INDEX(Общее!$H$3:$H$163,SMALL(IF(0&lt;&gt;Общее!$I$3:$I$163,ROW(Общее!$I$3:$I$163),""),ROW()-ROW(Общее!$I$2))-ROW(Общее!$I$2)),"")</f>
        <v>1.4</v>
      </c>
      <c r="G16" s="129">
        <f t="shared" si="0"/>
        <v>1.4</v>
      </c>
    </row>
    <row r="17" spans="1:7" x14ac:dyDescent="0.25">
      <c r="A17">
        <v>15</v>
      </c>
      <c r="B17" s="91" t="str">
        <f t="array" ref="B17">IFERROR(INDEX(Общее!$C$3:$C$163,SMALL(IF(0&lt;&gt;Общее!$I$3:$I$163,ROW(Общее!$I$3:$I$163),""),ROW()-ROW(Общее!$I$2))-ROW(Общее!$I$2)),"")</f>
        <v>Индикатор АВАРИЯ (красный)</v>
      </c>
      <c r="C17" s="54" t="str">
        <f t="array" ref="C17">IFERROR(INDEX(Общее!$E$3:$E$163,SMALL(IF(0&lt;&gt;Общее!$I$3:$I$163,ROW(Общее!$I$3:$I$163),""),ROW()-ROW(Общее!$I$2))-ROW(Общее!$I$2)),"")</f>
        <v>Ин_кр</v>
      </c>
      <c r="D17" s="54" t="str">
        <f t="array" ref="D17">IFERROR(INDEX(Общее!$D$3:$D$163,SMALL(IF(0&lt;&gt;Общее!$I$3:$I$163,ROW(Общее!$I$3:$I$163),""),ROW()-ROW(Общее!$I$2))-ROW(Общее!$I$2)),"")</f>
        <v>красный</v>
      </c>
      <c r="E17" s="54">
        <f t="array" ref="E17">IFERROR(INDEX(Общее!$I$3:$I$163,SMALL(IF(0&lt;&gt;Общее!$I$3:$I$163,ROW(Общее!$I$3:$I$163),""),ROW()-ROW(Общее!$I$2))-ROW(Общее!$I$2)),"")</f>
        <v>2</v>
      </c>
      <c r="F17" s="105">
        <f t="array" ref="F17">IFERROR(INDEX(Общее!$H$3:$H$163,SMALL(IF(0&lt;&gt;Общее!$I$3:$I$163,ROW(Общее!$I$3:$I$163),""),ROW()-ROW(Общее!$I$2))-ROW(Общее!$I$2)),"")</f>
        <v>1.4</v>
      </c>
      <c r="G17" s="129">
        <f t="shared" si="0"/>
        <v>2.8</v>
      </c>
    </row>
    <row r="18" spans="1:7" x14ac:dyDescent="0.25">
      <c r="A18">
        <v>16</v>
      </c>
      <c r="B18" s="91" t="str">
        <f t="array" ref="B18">IFERROR(INDEX(Общее!$C$3:$C$163,SMALL(IF(0&lt;&gt;Общее!$I$3:$I$163,ROW(Общее!$I$3:$I$163),""),ROW()-ROW(Общее!$I$2))-ROW(Общее!$I$2)),"")</f>
        <v>Кнопка ПУСК</v>
      </c>
      <c r="C18" s="54" t="str">
        <f t="array" ref="C18">IFERROR(INDEX(Общее!$E$3:$E$163,SMALL(IF(0&lt;&gt;Общее!$I$3:$I$163,ROW(Общее!$I$3:$I$163),""),ROW()-ROW(Общее!$I$2))-ROW(Общее!$I$2)),"")</f>
        <v>ПУСК_1NO</v>
      </c>
      <c r="D18" s="54" t="str">
        <f t="array" ref="D18">IFERROR(INDEX(Общее!$D$3:$D$163,SMALL(IF(0&lt;&gt;Общее!$I$3:$I$163,ROW(Общее!$I$3:$I$163),""),ROW()-ROW(Общее!$I$2))-ROW(Общее!$I$2)),"")</f>
        <v>1NO</v>
      </c>
      <c r="E18" s="54">
        <f t="array" ref="E18">IFERROR(INDEX(Общее!$I$3:$I$163,SMALL(IF(0&lt;&gt;Общее!$I$3:$I$163,ROW(Общее!$I$3:$I$163),""),ROW()-ROW(Общее!$I$2))-ROW(Общее!$I$2)),"")</f>
        <v>1</v>
      </c>
      <c r="F18" s="105">
        <f t="array" ref="F18">IFERROR(INDEX(Общее!$H$3:$H$163,SMALL(IF(0&lt;&gt;Общее!$I$3:$I$163,ROW(Общее!$I$3:$I$163),""),ROW()-ROW(Общее!$I$2))-ROW(Общее!$I$2)),"")</f>
        <v>2.8</v>
      </c>
      <c r="G18" s="129">
        <f t="shared" si="0"/>
        <v>2.8</v>
      </c>
    </row>
    <row r="19" spans="1:7" x14ac:dyDescent="0.25">
      <c r="A19">
        <v>17</v>
      </c>
      <c r="B19" s="91" t="str">
        <f t="array" ref="B19">IFERROR(INDEX(Общее!$C$3:$C$163,SMALL(IF(0&lt;&gt;Общее!$I$3:$I$163,ROW(Общее!$I$3:$I$163),""),ROW()-ROW(Общее!$I$2))-ROW(Общее!$I$2)),"")</f>
        <v>Кнопка СТОП</v>
      </c>
      <c r="C19" s="54" t="str">
        <f t="array" ref="C19">IFERROR(INDEX(Общее!$E$3:$E$163,SMALL(IF(0&lt;&gt;Общее!$I$3:$I$163,ROW(Общее!$I$3:$I$163),""),ROW()-ROW(Общее!$I$2))-ROW(Общее!$I$2)),"")</f>
        <v>ПУСК_1NC</v>
      </c>
      <c r="D19" s="54" t="str">
        <f t="array" ref="D19">IFERROR(INDEX(Общее!$D$3:$D$163,SMALL(IF(0&lt;&gt;Общее!$I$3:$I$163,ROW(Общее!$I$3:$I$163),""),ROW()-ROW(Общее!$I$2))-ROW(Общее!$I$2)),"")</f>
        <v>1NC</v>
      </c>
      <c r="E19" s="54">
        <f t="array" ref="E19">IFERROR(INDEX(Общее!$I$3:$I$163,SMALL(IF(0&lt;&gt;Общее!$I$3:$I$163,ROW(Общее!$I$3:$I$163),""),ROW()-ROW(Общее!$I$2))-ROW(Общее!$I$2)),"")</f>
        <v>1</v>
      </c>
      <c r="F19" s="105">
        <f t="array" ref="F19">IFERROR(INDEX(Общее!$H$3:$H$163,SMALL(IF(0&lt;&gt;Общее!$I$3:$I$163,ROW(Общее!$I$3:$I$163),""),ROW()-ROW(Общее!$I$2))-ROW(Общее!$I$2)),"")</f>
        <v>2.8</v>
      </c>
      <c r="G19" s="129">
        <f t="shared" si="0"/>
        <v>2.8</v>
      </c>
    </row>
    <row r="20" spans="1:7" x14ac:dyDescent="0.25">
      <c r="A20">
        <v>18</v>
      </c>
      <c r="B20" s="91" t="str">
        <f t="array" ref="B20">IFERROR(INDEX(Общее!$C$3:$C$163,SMALL(IF(0&lt;&gt;Общее!$I$3:$I$163,ROW(Общее!$I$3:$I$163),""),ROW()-ROW(Общее!$I$2))-ROW(Общее!$I$2)),"")</f>
        <v>Шкаф металл. 700х500х205</v>
      </c>
      <c r="C20" s="54" t="str">
        <f t="array" ref="C20">IFERROR(INDEX(Общее!$E$3:$E$163,SMALL(IF(0&lt;&gt;Общее!$I$3:$I$163,ROW(Общее!$I$3:$I$163),""),ROW()-ROW(Общее!$I$2))-ROW(Общее!$I$2)),"")</f>
        <v>М_700х500х200</v>
      </c>
      <c r="D20" s="54" t="str">
        <f t="array" ref="D20">IFERROR(INDEX(Общее!$D$3:$D$163,SMALL(IF(0&lt;&gt;Общее!$I$3:$I$163,ROW(Общее!$I$3:$I$163),""),ROW()-ROW(Общее!$I$2))-ROW(Общее!$I$2)),"")</f>
        <v>700х500х200</v>
      </c>
      <c r="E20" s="54">
        <f t="array" ref="E20">IFERROR(INDEX(Общее!$I$3:$I$163,SMALL(IF(0&lt;&gt;Общее!$I$3:$I$163,ROW(Общее!$I$3:$I$163),""),ROW()-ROW(Общее!$I$2))-ROW(Общее!$I$2)),"")</f>
        <v>1</v>
      </c>
      <c r="F20" s="105">
        <f t="array" ref="F20">IFERROR(INDEX(Общее!$H$3:$H$163,SMALL(IF(0&lt;&gt;Общее!$I$3:$I$163,ROW(Общее!$I$3:$I$163),""),ROW()-ROW(Общее!$I$2))-ROW(Общее!$I$2)),"")</f>
        <v>135.72</v>
      </c>
      <c r="G20" s="129">
        <f t="shared" si="0"/>
        <v>135.72</v>
      </c>
    </row>
    <row r="21" spans="1:7" x14ac:dyDescent="0.25">
      <c r="A21">
        <v>19</v>
      </c>
      <c r="B21" s="91" t="str">
        <f t="array" ref="B21">IFERROR(INDEX(Общее!$C$3:$C$163,SMALL(IF(0&lt;&gt;Общее!$I$3:$I$163,ROW(Общее!$I$3:$I$163),""),ROW()-ROW(Общее!$I$2))-ROW(Общее!$I$2)),"")</f>
        <v>Предохранитель 5А компл.</v>
      </c>
      <c r="C21" s="54" t="str">
        <f t="array" ref="C21">IFERROR(INDEX(Общее!$E$3:$E$163,SMALL(IF(0&lt;&gt;Общее!$I$3:$I$163,ROW(Общее!$I$3:$I$163),""),ROW()-ROW(Общее!$I$2))-ROW(Общее!$I$2)),"")</f>
        <v>5А</v>
      </c>
      <c r="D21" s="54">
        <f t="array" ref="D21">IFERROR(INDEX(Общее!$D$3:$D$163,SMALL(IF(0&lt;&gt;Общее!$I$3:$I$163,ROW(Общее!$I$3:$I$163),""),ROW()-ROW(Общее!$I$2))-ROW(Общее!$I$2)),"")</f>
        <v>0</v>
      </c>
      <c r="E21" s="54">
        <f t="array" ref="E21">IFERROR(INDEX(Общее!$I$3:$I$163,SMALL(IF(0&lt;&gt;Общее!$I$3:$I$163,ROW(Общее!$I$3:$I$163),""),ROW()-ROW(Общее!$I$2))-ROW(Общее!$I$2)),"")</f>
        <v>2</v>
      </c>
      <c r="F21" s="105">
        <f t="array" ref="F21">IFERROR(INDEX(Общее!$H$3:$H$163,SMALL(IF(0&lt;&gt;Общее!$I$3:$I$163,ROW(Общее!$I$3:$I$163),""),ROW()-ROW(Общее!$I$2))-ROW(Общее!$I$2)),"")</f>
        <v>3.56</v>
      </c>
      <c r="G21" s="129">
        <f t="shared" si="0"/>
        <v>7.12</v>
      </c>
    </row>
    <row r="22" spans="1:7" x14ac:dyDescent="0.25">
      <c r="A22">
        <v>20</v>
      </c>
      <c r="B22" s="91" t="str">
        <f t="array" ref="B22">IFERROR(INDEX(Общее!$C$3:$C$163,SMALL(IF(0&lt;&gt;Общее!$I$3:$I$163,ROW(Общее!$I$3:$I$163),""),ROW()-ROW(Общее!$I$2))-ROW(Общее!$I$2)),"")</f>
        <v xml:space="preserve">Трансформатор 230VAC / 12, 12, 24VAC </v>
      </c>
      <c r="C22" s="54" t="str">
        <f t="array" ref="C22">IFERROR(INDEX(Общее!$E$3:$E$163,SMALL(IF(0&lt;&gt;Общее!$I$3:$I$163,ROW(Общее!$I$3:$I$163),""),ROW()-ROW(Общее!$I$2))-ROW(Общее!$I$2)),"")</f>
        <v xml:space="preserve">230VAC /24VAC </v>
      </c>
      <c r="D22" s="54">
        <f t="array" ref="D22">IFERROR(INDEX(Общее!$D$3:$D$163,SMALL(IF(0&lt;&gt;Общее!$I$3:$I$163,ROW(Общее!$I$3:$I$163),""),ROW()-ROW(Общее!$I$2))-ROW(Общее!$I$2)),"")</f>
        <v>0</v>
      </c>
      <c r="E22" s="54">
        <f t="array" ref="E22">IFERROR(INDEX(Общее!$I$3:$I$163,SMALL(IF(0&lt;&gt;Общее!$I$3:$I$163,ROW(Общее!$I$3:$I$163),""),ROW()-ROW(Общее!$I$2))-ROW(Общее!$I$2)),"")</f>
        <v>1</v>
      </c>
      <c r="F22" s="105">
        <f t="array" ref="F22">IFERROR(INDEX(Общее!$H$3:$H$163,SMALL(IF(0&lt;&gt;Общее!$I$3:$I$163,ROW(Общее!$I$3:$I$163),""),ROW()-ROW(Общее!$I$2))-ROW(Общее!$I$2)),"")</f>
        <v>38.76</v>
      </c>
      <c r="G22" s="129">
        <f t="shared" si="0"/>
        <v>38.76</v>
      </c>
    </row>
    <row r="23" spans="1:7" x14ac:dyDescent="0.25">
      <c r="A23">
        <v>21</v>
      </c>
      <c r="B23" s="91" t="str">
        <f t="array" ref="B23">IFERROR(INDEX(Общее!$C$3:$C$163,SMALL(IF(0&lt;&gt;Общее!$I$3:$I$163,ROW(Общее!$I$3:$I$163),""),ROW()-ROW(Общее!$I$2))-ROW(Общее!$I$2)),"")</f>
        <v>Провод монтажный силовой</v>
      </c>
      <c r="C23" s="54" t="str">
        <f t="array" ref="C23">IFERROR(INDEX(Общее!$E$3:$E$163,SMALL(IF(0&lt;&gt;Общее!$I$3:$I$163,ROW(Общее!$I$3:$I$163),""),ROW()-ROW(Общее!$I$2))-ROW(Общее!$I$2)),"")</f>
        <v>монт.0,75</v>
      </c>
      <c r="D23" s="54">
        <f t="array" ref="D23">IFERROR(INDEX(Общее!$D$3:$D$163,SMALL(IF(0&lt;&gt;Общее!$I$3:$I$163,ROW(Общее!$I$3:$I$163),""),ROW()-ROW(Общее!$I$2))-ROW(Общее!$I$2)),"")</f>
        <v>0.75</v>
      </c>
      <c r="E23" s="54">
        <f t="array" ref="E23">IFERROR(INDEX(Общее!$I$3:$I$163,SMALL(IF(0&lt;&gt;Общее!$I$3:$I$163,ROW(Общее!$I$3:$I$163),""),ROW()-ROW(Общее!$I$2))-ROW(Общее!$I$2)),"")</f>
        <v>60</v>
      </c>
      <c r="F23" s="105">
        <f t="array" ref="F23">IFERROR(INDEX(Общее!$H$3:$H$163,SMALL(IF(0&lt;&gt;Общее!$I$3:$I$163,ROW(Общее!$I$3:$I$163),""),ROW()-ROW(Общее!$I$2))-ROW(Общее!$I$2)),"")</f>
        <v>0.28999999999999998</v>
      </c>
      <c r="G23" s="129">
        <f t="shared" si="0"/>
        <v>17.399999999999999</v>
      </c>
    </row>
    <row r="24" spans="1:7" x14ac:dyDescent="0.25">
      <c r="A24">
        <v>22</v>
      </c>
      <c r="B24" s="91" t="str">
        <f t="array" ref="B24">IFERROR(INDEX(Общее!$C$3:$C$163,SMALL(IF(0&lt;&gt;Общее!$I$3:$I$163,ROW(Общее!$I$3:$I$163),""),ROW()-ROW(Общее!$I$2))-ROW(Общее!$I$2)),"")</f>
        <v>Провод монтажный силовой</v>
      </c>
      <c r="C24" s="54" t="str">
        <f t="array" ref="C24">IFERROR(INDEX(Общее!$E$3:$E$163,SMALL(IF(0&lt;&gt;Общее!$I$3:$I$163,ROW(Общее!$I$3:$I$163),""),ROW()-ROW(Общее!$I$2))-ROW(Общее!$I$2)),"")</f>
        <v>сила1,5</v>
      </c>
      <c r="D24" s="54">
        <f t="array" ref="D24">IFERROR(INDEX(Общее!$D$3:$D$163,SMALL(IF(0&lt;&gt;Общее!$I$3:$I$163,ROW(Общее!$I$3:$I$163),""),ROW()-ROW(Общее!$I$2))-ROW(Общее!$I$2)),"")</f>
        <v>1.5</v>
      </c>
      <c r="E24" s="54">
        <f t="array" ref="E24">IFERROR(INDEX(Общее!$I$3:$I$163,SMALL(IF(0&lt;&gt;Общее!$I$3:$I$163,ROW(Общее!$I$3:$I$163),""),ROW()-ROW(Общее!$I$2))-ROW(Общее!$I$2)),"")</f>
        <v>4</v>
      </c>
      <c r="F24" s="105">
        <f t="array" ref="F24">IFERROR(INDEX(Общее!$H$3:$H$163,SMALL(IF(0&lt;&gt;Общее!$I$3:$I$163,ROW(Общее!$I$3:$I$163),""),ROW()-ROW(Общее!$I$2))-ROW(Общее!$I$2)),"")</f>
        <v>0.53</v>
      </c>
      <c r="G24" s="129">
        <f t="shared" si="0"/>
        <v>2.12</v>
      </c>
    </row>
    <row r="25" spans="1:7" x14ac:dyDescent="0.25">
      <c r="A25">
        <v>23</v>
      </c>
      <c r="B25" s="91" t="str">
        <f t="array" ref="B25">IFERROR(INDEX(Общее!$C$3:$C$163,SMALL(IF(0&lt;&gt;Общее!$I$3:$I$163,ROW(Общее!$I$3:$I$163),""),ROW()-ROW(Общее!$I$2))-ROW(Общее!$I$2)),"")</f>
        <v>Короб 15х30</v>
      </c>
      <c r="C25" s="54" t="str">
        <f t="array" ref="C25">IFERROR(INDEX(Общее!$E$3:$E$163,SMALL(IF(0&lt;&gt;Общее!$I$3:$I$163,ROW(Общее!$I$3:$I$163),""),ROW()-ROW(Общее!$I$2))-ROW(Общее!$I$2)),"")</f>
        <v>К_15х30</v>
      </c>
      <c r="D25" s="54" t="str">
        <f t="array" ref="D25">IFERROR(INDEX(Общее!$D$3:$D$163,SMALL(IF(0&lt;&gt;Общее!$I$3:$I$163,ROW(Общее!$I$3:$I$163),""),ROW()-ROW(Общее!$I$2))-ROW(Общее!$I$2)),"")</f>
        <v>К_15х30</v>
      </c>
      <c r="E25" s="54">
        <f t="array" ref="E25">IFERROR(INDEX(Общее!$I$3:$I$163,SMALL(IF(0&lt;&gt;Общее!$I$3:$I$163,ROW(Общее!$I$3:$I$163),""),ROW()-ROW(Общее!$I$2))-ROW(Общее!$I$2)),"")</f>
        <v>0.5</v>
      </c>
      <c r="F25" s="105">
        <f t="array" ref="F25">IFERROR(INDEX(Общее!$H$3:$H$163,SMALL(IF(0&lt;&gt;Общее!$I$3:$I$163,ROW(Общее!$I$3:$I$163),""),ROW()-ROW(Общее!$I$2))-ROW(Общее!$I$2)),"")</f>
        <v>4.33</v>
      </c>
      <c r="G25" s="129">
        <f t="shared" si="0"/>
        <v>2.165</v>
      </c>
    </row>
    <row r="26" spans="1:7" x14ac:dyDescent="0.25">
      <c r="A26">
        <v>24</v>
      </c>
      <c r="B26" s="91" t="str">
        <f t="array" ref="B26">IFERROR(INDEX(Общее!$C$3:$C$163,SMALL(IF(0&lt;&gt;Общее!$I$3:$I$163,ROW(Общее!$I$3:$I$163),""),ROW()-ROW(Общее!$I$2))-ROW(Общее!$I$2)),"")</f>
        <v>Короб 40х60</v>
      </c>
      <c r="C26" s="54" t="str">
        <f t="array" ref="C26">IFERROR(INDEX(Общее!$E$3:$E$163,SMALL(IF(0&lt;&gt;Общее!$I$3:$I$163,ROW(Общее!$I$3:$I$163),""),ROW()-ROW(Общее!$I$2))-ROW(Общее!$I$2)),"")</f>
        <v>К_40х60</v>
      </c>
      <c r="D26" s="54" t="str">
        <f t="array" ref="D26">IFERROR(INDEX(Общее!$D$3:$D$163,SMALL(IF(0&lt;&gt;Общее!$I$3:$I$163,ROW(Общее!$I$3:$I$163),""),ROW()-ROW(Общее!$I$2))-ROW(Общее!$I$2)),"")</f>
        <v>К_40х60</v>
      </c>
      <c r="E26" s="54">
        <f t="array" ref="E26">IFERROR(INDEX(Общее!$I$3:$I$163,SMALL(IF(0&lt;&gt;Общее!$I$3:$I$163,ROW(Общее!$I$3:$I$163),""),ROW()-ROW(Общее!$I$2))-ROW(Общее!$I$2)),"")</f>
        <v>2</v>
      </c>
      <c r="F26" s="105">
        <f t="array" ref="F26">IFERROR(INDEX(Общее!$H$3:$H$163,SMALL(IF(0&lt;&gt;Общее!$I$3:$I$163,ROW(Общее!$I$3:$I$163),""),ROW()-ROW(Общее!$I$2))-ROW(Общее!$I$2)),"")</f>
        <v>5.15</v>
      </c>
      <c r="G26" s="129">
        <f t="shared" si="0"/>
        <v>10.3</v>
      </c>
    </row>
    <row r="27" spans="1:7" x14ac:dyDescent="0.25">
      <c r="A27">
        <v>25</v>
      </c>
      <c r="B27" s="91" t="str">
        <f t="array" ref="B27">IFERROR(INDEX(Общее!$C$3:$C$163,SMALL(IF(0&lt;&gt;Общее!$I$3:$I$163,ROW(Общее!$I$3:$I$163),""),ROW()-ROW(Общее!$I$2))-ROW(Общее!$I$2)),"")</f>
        <v>DIN-рейка 35х7,5</v>
      </c>
      <c r="C27" s="54" t="str">
        <f t="array" ref="C27">IFERROR(INDEX(Общее!$E$3:$E$163,SMALL(IF(0&lt;&gt;Общее!$I$3:$I$163,ROW(Общее!$I$3:$I$163),""),ROW()-ROW(Общее!$I$2))-ROW(Общее!$I$2)),"")</f>
        <v>DIN_р</v>
      </c>
      <c r="D27" s="54" t="str">
        <f t="array" ref="D27">IFERROR(INDEX(Общее!$D$3:$D$163,SMALL(IF(0&lt;&gt;Общее!$I$3:$I$163,ROW(Общее!$I$3:$I$163),""),ROW()-ROW(Общее!$I$2))-ROW(Общее!$I$2)),"")</f>
        <v>DIN_р</v>
      </c>
      <c r="E27" s="54">
        <f t="array" ref="E27">IFERROR(INDEX(Общее!$I$3:$I$163,SMALL(IF(0&lt;&gt;Общее!$I$3:$I$163,ROW(Общее!$I$3:$I$163),""),ROW()-ROW(Общее!$I$2))-ROW(Общее!$I$2)),"")</f>
        <v>1.2</v>
      </c>
      <c r="F27" s="105">
        <f t="array" ref="F27">IFERROR(INDEX(Общее!$H$3:$H$163,SMALL(IF(0&lt;&gt;Общее!$I$3:$I$163,ROW(Общее!$I$3:$I$163),""),ROW()-ROW(Общее!$I$2))-ROW(Общее!$I$2)),"")</f>
        <v>2.64</v>
      </c>
      <c r="G27" s="129">
        <f t="shared" si="0"/>
        <v>3.1680000000000001</v>
      </c>
    </row>
    <row r="28" spans="1:7" x14ac:dyDescent="0.25">
      <c r="A28">
        <v>26</v>
      </c>
      <c r="B28" s="91" t="str">
        <f t="array" ref="B28">IFERROR(INDEX(Общее!$C$3:$C$163,SMALL(IF(0&lt;&gt;Общее!$I$3:$I$163,ROW(Общее!$I$3:$I$163),""),ROW()-ROW(Общее!$I$2))-ROW(Общее!$I$2)),"")</f>
        <v>Шланг спиральный d-12</v>
      </c>
      <c r="C28" s="54" t="str">
        <f t="array" ref="C28">IFERROR(INDEX(Общее!$E$3:$E$163,SMALL(IF(0&lt;&gt;Общее!$I$3:$I$163,ROW(Общее!$I$3:$I$163),""),ROW()-ROW(Общее!$I$2))-ROW(Общее!$I$2)),"")</f>
        <v>шланг</v>
      </c>
      <c r="D28" s="54" t="str">
        <f t="array" ref="D28">IFERROR(INDEX(Общее!$D$3:$D$163,SMALL(IF(0&lt;&gt;Общее!$I$3:$I$163,ROW(Общее!$I$3:$I$163),""),ROW()-ROW(Общее!$I$2))-ROW(Общее!$I$2)),"")</f>
        <v>шланг</v>
      </c>
      <c r="E28" s="54">
        <f t="array" ref="E28">IFERROR(INDEX(Общее!$I$3:$I$163,SMALL(IF(0&lt;&gt;Общее!$I$3:$I$163,ROW(Общее!$I$3:$I$163),""),ROW()-ROW(Общее!$I$2))-ROW(Общее!$I$2)),"")</f>
        <v>0.4</v>
      </c>
      <c r="F28" s="105">
        <f t="array" ref="F28">IFERROR(INDEX(Общее!$H$3:$H$163,SMALL(IF(0&lt;&gt;Общее!$I$3:$I$163,ROW(Общее!$I$3:$I$163),""),ROW()-ROW(Общее!$I$2))-ROW(Общее!$I$2)),"")</f>
        <v>0.4</v>
      </c>
      <c r="G28" s="129">
        <f t="shared" si="0"/>
        <v>0.16000000000000003</v>
      </c>
    </row>
    <row r="29" spans="1:7" x14ac:dyDescent="0.25">
      <c r="A29">
        <v>27</v>
      </c>
      <c r="B29" s="91" t="str">
        <f t="array" ref="B29">IFERROR(INDEX(Общее!$C$3:$C$163,SMALL(IF(0&lt;&gt;Общее!$I$3:$I$163,ROW(Общее!$I$3:$I$163),""),ROW()-ROW(Общее!$I$2))-ROW(Общее!$I$2)),"")</f>
        <v/>
      </c>
      <c r="C29" s="54" t="str">
        <f t="array" ref="C29">IFERROR(INDEX(Общее!$E$3:$E$163,SMALL(IF(0&lt;&gt;Общее!$I$3:$I$163,ROW(Общее!$I$3:$I$163),""),ROW()-ROW(Общее!$I$2))-ROW(Общее!$I$2)),"")</f>
        <v/>
      </c>
      <c r="D29" s="54" t="str">
        <f t="array" ref="D29">IFERROR(INDEX(Общее!$D$3:$D$163,SMALL(IF(0&lt;&gt;Общее!$I$3:$I$163,ROW(Общее!$I$3:$I$163),""),ROW()-ROW(Общее!$I$2))-ROW(Общее!$I$2)),"")</f>
        <v/>
      </c>
      <c r="E29" s="54" t="str">
        <f t="array" ref="E29">IFERROR(INDEX(Общее!$I$3:$I$163,SMALL(IF(0&lt;&gt;Общее!$I$3:$I$163,ROW(Общее!$I$3:$I$163),""),ROW()-ROW(Общее!$I$2))-ROW(Общее!$I$2)),"")</f>
        <v/>
      </c>
      <c r="F29" s="105" t="str">
        <f t="array" ref="F29">IFERROR(INDEX(Общее!$H$3:$H$163,SMALL(IF(0&lt;&gt;Общее!$I$3:$I$163,ROW(Общее!$I$3:$I$163),""),ROW()-ROW(Общее!$I$2))-ROW(Общее!$I$2)),"")</f>
        <v/>
      </c>
      <c r="G29" s="129" t="str">
        <f t="shared" si="0"/>
        <v/>
      </c>
    </row>
    <row r="30" spans="1:7" x14ac:dyDescent="0.25">
      <c r="A30">
        <v>28</v>
      </c>
      <c r="B30" s="91" t="str">
        <f t="array" ref="B30">IFERROR(INDEX(Общее!$C$3:$C$163,SMALL(IF(0&lt;&gt;Общее!$I$3:$I$163,ROW(Общее!$I$3:$I$163),""),ROW()-ROW(Общее!$I$2))-ROW(Общее!$I$2)),"")</f>
        <v/>
      </c>
      <c r="C30" s="54" t="str">
        <f t="array" ref="C30">IFERROR(INDEX(Общее!$E$3:$E$163,SMALL(IF(0&lt;&gt;Общее!$I$3:$I$163,ROW(Общее!$I$3:$I$163),""),ROW()-ROW(Общее!$I$2))-ROW(Общее!$I$2)),"")</f>
        <v/>
      </c>
      <c r="D30" s="54" t="str">
        <f t="array" ref="D30">IFERROR(INDEX(Общее!$D$3:$D$163,SMALL(IF(0&lt;&gt;Общее!$I$3:$I$163,ROW(Общее!$I$3:$I$163),""),ROW()-ROW(Общее!$I$2))-ROW(Общее!$I$2)),"")</f>
        <v/>
      </c>
      <c r="E30" s="54" t="str">
        <f t="array" ref="E30">IFERROR(INDEX(Общее!$I$3:$I$163,SMALL(IF(0&lt;&gt;Общее!$I$3:$I$163,ROW(Общее!$I$3:$I$163),""),ROW()-ROW(Общее!$I$2))-ROW(Общее!$I$2)),"")</f>
        <v/>
      </c>
      <c r="F30" s="105" t="str">
        <f t="array" ref="F30">IFERROR(INDEX(Общее!$H$3:$H$163,SMALL(IF(0&lt;&gt;Общее!$I$3:$I$163,ROW(Общее!$I$3:$I$163),""),ROW()-ROW(Общее!$I$2))-ROW(Общее!$I$2)),"")</f>
        <v/>
      </c>
      <c r="G30" s="129" t="str">
        <f t="shared" si="0"/>
        <v/>
      </c>
    </row>
    <row r="31" spans="1:7" x14ac:dyDescent="0.25">
      <c r="A31">
        <v>29</v>
      </c>
      <c r="B31" s="91" t="str">
        <f t="array" ref="B31">IFERROR(INDEX(Общее!$C$3:$C$163,SMALL(IF(0&lt;&gt;Общее!$I$3:$I$163,ROW(Общее!$I$3:$I$163),""),ROW()-ROW(Общее!$I$2))-ROW(Общее!$I$2)),"")</f>
        <v/>
      </c>
      <c r="C31" s="54" t="str">
        <f t="array" ref="C31">IFERROR(INDEX(Общее!$E$3:$E$163,SMALL(IF(0&lt;&gt;Общее!$I$3:$I$163,ROW(Общее!$I$3:$I$163),""),ROW()-ROW(Общее!$I$2))-ROW(Общее!$I$2)),"")</f>
        <v/>
      </c>
      <c r="D31" s="54" t="str">
        <f t="array" ref="D31">IFERROR(INDEX(Общее!$D$3:$D$163,SMALL(IF(0&lt;&gt;Общее!$I$3:$I$163,ROW(Общее!$I$3:$I$163),""),ROW()-ROW(Общее!$I$2))-ROW(Общее!$I$2)),"")</f>
        <v/>
      </c>
      <c r="E31" s="54" t="str">
        <f t="array" ref="E31">IFERROR(INDEX(Общее!$I$3:$I$163,SMALL(IF(0&lt;&gt;Общее!$I$3:$I$163,ROW(Общее!$I$3:$I$163),""),ROW()-ROW(Общее!$I$2))-ROW(Общее!$I$2)),"")</f>
        <v/>
      </c>
      <c r="F31" s="105" t="str">
        <f t="array" ref="F31">IFERROR(INDEX(Общее!$H$3:$H$163,SMALL(IF(0&lt;&gt;Общее!$I$3:$I$163,ROW(Общее!$I$3:$I$163),""),ROW()-ROW(Общее!$I$2))-ROW(Общее!$I$2)),"")</f>
        <v/>
      </c>
      <c r="G31" s="129" t="str">
        <f t="shared" si="0"/>
        <v/>
      </c>
    </row>
    <row r="32" spans="1:7" x14ac:dyDescent="0.25">
      <c r="A32">
        <v>30</v>
      </c>
      <c r="B32" s="91" t="str">
        <f t="array" ref="B32">IFERROR(INDEX(Общее!$C$3:$C$163,SMALL(IF(0&lt;&gt;Общее!$I$3:$I$163,ROW(Общее!$I$3:$I$163),""),ROW()-ROW(Общее!$I$2))-ROW(Общее!$I$2)),"")</f>
        <v/>
      </c>
      <c r="C32" s="54" t="str">
        <f t="array" ref="C32">IFERROR(INDEX(Общее!$E$3:$E$163,SMALL(IF(0&lt;&gt;Общее!$I$3:$I$163,ROW(Общее!$I$3:$I$163),""),ROW()-ROW(Общее!$I$2))-ROW(Общее!$I$2)),"")</f>
        <v/>
      </c>
      <c r="D32" s="54" t="str">
        <f t="array" ref="D32">IFERROR(INDEX(Общее!$D$3:$D$163,SMALL(IF(0&lt;&gt;Общее!$I$3:$I$163,ROW(Общее!$I$3:$I$163),""),ROW()-ROW(Общее!$I$2))-ROW(Общее!$I$2)),"")</f>
        <v/>
      </c>
      <c r="E32" s="54" t="str">
        <f t="array" ref="E32">IFERROR(INDEX(Общее!$I$3:$I$163,SMALL(IF(0&lt;&gt;Общее!$I$3:$I$163,ROW(Общее!$I$3:$I$163),""),ROW()-ROW(Общее!$I$2))-ROW(Общее!$I$2)),"")</f>
        <v/>
      </c>
      <c r="F32" s="105" t="str">
        <f t="array" ref="F32">IFERROR(INDEX(Общее!$H$3:$H$163,SMALL(IF(0&lt;&gt;Общее!$I$3:$I$163,ROW(Общее!$I$3:$I$163),""),ROW()-ROW(Общее!$I$2))-ROW(Общее!$I$2)),"")</f>
        <v/>
      </c>
      <c r="G32" s="129" t="str">
        <f t="shared" si="0"/>
        <v/>
      </c>
    </row>
    <row r="33" spans="1:7" x14ac:dyDescent="0.25">
      <c r="A33">
        <v>31</v>
      </c>
      <c r="B33" s="91" t="str">
        <f t="array" ref="B33">IFERROR(INDEX(Общее!$C$3:$C$163,SMALL(IF(0&lt;&gt;Общее!$I$3:$I$163,ROW(Общее!$I$3:$I$163),""),ROW()-ROW(Общее!$I$2))-ROW(Общее!$I$2)),"")</f>
        <v/>
      </c>
      <c r="C33" s="54" t="str">
        <f t="array" ref="C33">IFERROR(INDEX(Общее!$E$3:$E$163,SMALL(IF(0&lt;&gt;Общее!$I$3:$I$163,ROW(Общее!$I$3:$I$163),""),ROW()-ROW(Общее!$I$2))-ROW(Общее!$I$2)),"")</f>
        <v/>
      </c>
      <c r="D33" s="54" t="str">
        <f t="array" ref="D33">IFERROR(INDEX(Общее!$D$3:$D$163,SMALL(IF(0&lt;&gt;Общее!$I$3:$I$163,ROW(Общее!$I$3:$I$163),""),ROW()-ROW(Общее!$I$2))-ROW(Общее!$I$2)),"")</f>
        <v/>
      </c>
      <c r="E33" s="54" t="str">
        <f t="array" ref="E33">IFERROR(INDEX(Общее!$I$3:$I$163,SMALL(IF(0&lt;&gt;Общее!$I$3:$I$163,ROW(Общее!$I$3:$I$163),""),ROW()-ROW(Общее!$I$2))-ROW(Общее!$I$2)),"")</f>
        <v/>
      </c>
      <c r="F33" s="105" t="str">
        <f t="array" ref="F33">IFERROR(INDEX(Общее!$H$3:$H$163,SMALL(IF(0&lt;&gt;Общее!$I$3:$I$163,ROW(Общее!$I$3:$I$163),""),ROW()-ROW(Общее!$I$2))-ROW(Общее!$I$2)),"")</f>
        <v/>
      </c>
      <c r="G33" s="129" t="str">
        <f t="shared" si="0"/>
        <v/>
      </c>
    </row>
    <row r="34" spans="1:7" x14ac:dyDescent="0.25">
      <c r="A34">
        <v>32</v>
      </c>
      <c r="B34" s="91" t="str">
        <f t="array" ref="B34">IFERROR(INDEX(Общее!$C$3:$C$163,SMALL(IF(0&lt;&gt;Общее!$I$3:$I$163,ROW(Общее!$I$3:$I$163),""),ROW()-ROW(Общее!$I$2))-ROW(Общее!$I$2)),"")</f>
        <v/>
      </c>
      <c r="C34" s="54" t="str">
        <f t="array" ref="C34">IFERROR(INDEX(Общее!$E$3:$E$163,SMALL(IF(0&lt;&gt;Общее!$I$3:$I$163,ROW(Общее!$I$3:$I$163),""),ROW()-ROW(Общее!$I$2))-ROW(Общее!$I$2)),"")</f>
        <v/>
      </c>
      <c r="D34" s="54" t="str">
        <f t="array" ref="D34">IFERROR(INDEX(Общее!$D$3:$D$163,SMALL(IF(0&lt;&gt;Общее!$I$3:$I$163,ROW(Общее!$I$3:$I$163),""),ROW()-ROW(Общее!$I$2))-ROW(Общее!$I$2)),"")</f>
        <v/>
      </c>
      <c r="E34" s="54" t="str">
        <f t="array" ref="E34">IFERROR(INDEX(Общее!$I$3:$I$163,SMALL(IF(0&lt;&gt;Общее!$I$3:$I$163,ROW(Общее!$I$3:$I$163),""),ROW()-ROW(Общее!$I$2))-ROW(Общее!$I$2)),"")</f>
        <v/>
      </c>
      <c r="F34" s="105" t="str">
        <f t="array" ref="F34">IFERROR(INDEX(Общее!$H$3:$H$163,SMALL(IF(0&lt;&gt;Общее!$I$3:$I$163,ROW(Общее!$I$3:$I$163),""),ROW()-ROW(Общее!$I$2))-ROW(Общее!$I$2)),"")</f>
        <v/>
      </c>
      <c r="G34" s="129" t="str">
        <f t="shared" si="0"/>
        <v/>
      </c>
    </row>
    <row r="35" spans="1:7" x14ac:dyDescent="0.25">
      <c r="A35">
        <v>33</v>
      </c>
      <c r="B35" s="91" t="str">
        <f t="array" ref="B35">IFERROR(INDEX(Общее!$C$3:$C$163,SMALL(IF(0&lt;&gt;Общее!$I$3:$I$163,ROW(Общее!$I$3:$I$163),""),ROW()-ROW(Общее!$I$2))-ROW(Общее!$I$2)),"")</f>
        <v/>
      </c>
      <c r="C35" s="54" t="str">
        <f t="array" ref="C35">IFERROR(INDEX(Общее!$E$3:$E$163,SMALL(IF(0&lt;&gt;Общее!$I$3:$I$163,ROW(Общее!$I$3:$I$163),""),ROW()-ROW(Общее!$I$2))-ROW(Общее!$I$2)),"")</f>
        <v/>
      </c>
      <c r="D35" s="54" t="str">
        <f t="array" ref="D35">IFERROR(INDEX(Общее!$D$3:$D$163,SMALL(IF(0&lt;&gt;Общее!$I$3:$I$163,ROW(Общее!$I$3:$I$163),""),ROW()-ROW(Общее!$I$2))-ROW(Общее!$I$2)),"")</f>
        <v/>
      </c>
      <c r="E35" s="54" t="str">
        <f t="array" ref="E35">IFERROR(INDEX(Общее!$I$3:$I$163,SMALL(IF(0&lt;&gt;Общее!$I$3:$I$163,ROW(Общее!$I$3:$I$163),""),ROW()-ROW(Общее!$I$2))-ROW(Общее!$I$2)),"")</f>
        <v/>
      </c>
      <c r="F35" s="105" t="str">
        <f t="array" ref="F35">IFERROR(INDEX(Общее!$H$3:$H$163,SMALL(IF(0&lt;&gt;Общее!$I$3:$I$163,ROW(Общее!$I$3:$I$163),""),ROW()-ROW(Общее!$I$2))-ROW(Общее!$I$2)),"")</f>
        <v/>
      </c>
      <c r="G35" s="129" t="str">
        <f t="shared" si="0"/>
        <v/>
      </c>
    </row>
    <row r="36" spans="1:7" x14ac:dyDescent="0.25">
      <c r="A36">
        <v>34</v>
      </c>
      <c r="B36" s="91" t="str">
        <f t="array" ref="B36">IFERROR(INDEX(Общее!$C$3:$C$163,SMALL(IF(0&lt;&gt;Общее!$I$3:$I$163,ROW(Общее!$I$3:$I$163),""),ROW()-ROW(Общее!$I$2))-ROW(Общее!$I$2)),"")</f>
        <v/>
      </c>
      <c r="C36" s="54" t="str">
        <f t="array" ref="C36">IFERROR(INDEX(Общее!$E$3:$E$163,SMALL(IF(0&lt;&gt;Общее!$I$3:$I$163,ROW(Общее!$I$3:$I$163),""),ROW()-ROW(Общее!$I$2))-ROW(Общее!$I$2)),"")</f>
        <v/>
      </c>
      <c r="D36" s="54" t="str">
        <f t="array" ref="D36">IFERROR(INDEX(Общее!$D$3:$D$163,SMALL(IF(0&lt;&gt;Общее!$I$3:$I$163,ROW(Общее!$I$3:$I$163),""),ROW()-ROW(Общее!$I$2))-ROW(Общее!$I$2)),"")</f>
        <v/>
      </c>
      <c r="E36" s="54" t="str">
        <f t="array" ref="E36">IFERROR(INDEX(Общее!$I$3:$I$163,SMALL(IF(0&lt;&gt;Общее!$I$3:$I$163,ROW(Общее!$I$3:$I$163),""),ROW()-ROW(Общее!$I$2))-ROW(Общее!$I$2)),"")</f>
        <v/>
      </c>
      <c r="F36" s="105" t="str">
        <f t="array" ref="F36">IFERROR(INDEX(Общее!$H$3:$H$163,SMALL(IF(0&lt;&gt;Общее!$I$3:$I$163,ROW(Общее!$I$3:$I$163),""),ROW()-ROW(Общее!$I$2))-ROW(Общее!$I$2)),"")</f>
        <v/>
      </c>
      <c r="G36" s="129" t="str">
        <f t="shared" si="0"/>
        <v/>
      </c>
    </row>
    <row r="37" spans="1:7" x14ac:dyDescent="0.25">
      <c r="A37">
        <v>35</v>
      </c>
      <c r="B37" s="91" t="str">
        <f t="array" ref="B37">IFERROR(INDEX(Общее!$C$3:$C$163,SMALL(IF(0&lt;&gt;Общее!$I$3:$I$163,ROW(Общее!$I$3:$I$163),""),ROW()-ROW(Общее!$I$2))-ROW(Общее!$I$2)),"")</f>
        <v/>
      </c>
      <c r="C37" s="54" t="str">
        <f t="array" ref="C37">IFERROR(INDEX(Общее!$E$3:$E$163,SMALL(IF(0&lt;&gt;Общее!$I$3:$I$163,ROW(Общее!$I$3:$I$163),""),ROW()-ROW(Общее!$I$2))-ROW(Общее!$I$2)),"")</f>
        <v/>
      </c>
      <c r="D37" s="54" t="str">
        <f t="array" ref="D37">IFERROR(INDEX(Общее!$D$3:$D$163,SMALL(IF(0&lt;&gt;Общее!$I$3:$I$163,ROW(Общее!$I$3:$I$163),""),ROW()-ROW(Общее!$I$2))-ROW(Общее!$I$2)),"")</f>
        <v/>
      </c>
      <c r="E37" s="54" t="str">
        <f t="array" ref="E37">IFERROR(INDEX(Общее!$I$3:$I$163,SMALL(IF(0&lt;&gt;Общее!$I$3:$I$163,ROW(Общее!$I$3:$I$163),""),ROW()-ROW(Общее!$I$2))-ROW(Общее!$I$2)),"")</f>
        <v/>
      </c>
      <c r="F37" s="105" t="str">
        <f t="array" ref="F37">IFERROR(INDEX(Общее!$H$3:$H$163,SMALL(IF(0&lt;&gt;Общее!$I$3:$I$163,ROW(Общее!$I$3:$I$163),""),ROW()-ROW(Общее!$I$2))-ROW(Общее!$I$2)),"")</f>
        <v/>
      </c>
      <c r="G37" s="129" t="str">
        <f t="shared" si="0"/>
        <v/>
      </c>
    </row>
    <row r="38" spans="1:7" x14ac:dyDescent="0.25">
      <c r="A38">
        <v>36</v>
      </c>
      <c r="B38" s="91" t="str">
        <f t="array" ref="B38">IFERROR(INDEX(Общее!$C$3:$C$163,SMALL(IF(0&lt;&gt;Общее!$I$3:$I$163,ROW(Общее!$I$3:$I$163),""),ROW()-ROW(Общее!$I$2))-ROW(Общее!$I$2)),"")</f>
        <v/>
      </c>
      <c r="C38" s="54" t="str">
        <f t="array" ref="C38">IFERROR(INDEX(Общее!$E$3:$E$163,SMALL(IF(0&lt;&gt;Общее!$I$3:$I$163,ROW(Общее!$I$3:$I$163),""),ROW()-ROW(Общее!$I$2))-ROW(Общее!$I$2)),"")</f>
        <v/>
      </c>
      <c r="D38" s="54" t="str">
        <f t="array" ref="D38">IFERROR(INDEX(Общее!$D$3:$D$163,SMALL(IF(0&lt;&gt;Общее!$I$3:$I$163,ROW(Общее!$I$3:$I$163),""),ROW()-ROW(Общее!$I$2))-ROW(Общее!$I$2)),"")</f>
        <v/>
      </c>
      <c r="E38" s="54" t="str">
        <f t="array" ref="E38">IFERROR(INDEX(Общее!$I$3:$I$163,SMALL(IF(0&lt;&gt;Общее!$I$3:$I$163,ROW(Общее!$I$3:$I$163),""),ROW()-ROW(Общее!$I$2))-ROW(Общее!$I$2)),"")</f>
        <v/>
      </c>
      <c r="F38" s="105" t="str">
        <f t="array" ref="F38">IFERROR(INDEX(Общее!$H$3:$H$163,SMALL(IF(0&lt;&gt;Общее!$I$3:$I$163,ROW(Общее!$I$3:$I$163),""),ROW()-ROW(Общее!$I$2))-ROW(Общее!$I$2)),"")</f>
        <v/>
      </c>
      <c r="G38" s="129" t="str">
        <f t="shared" si="0"/>
        <v/>
      </c>
    </row>
    <row r="39" spans="1:7" x14ac:dyDescent="0.25">
      <c r="A39">
        <v>37</v>
      </c>
      <c r="B39" s="91" t="str">
        <f t="array" ref="B39">IFERROR(INDEX(Общее!$C$3:$C$163,SMALL(IF(0&lt;&gt;Общее!$I$3:$I$163,ROW(Общее!$I$3:$I$163),""),ROW()-ROW(Общее!$I$2))-ROW(Общее!$I$2)),"")</f>
        <v/>
      </c>
      <c r="C39" s="54" t="str">
        <f t="array" ref="C39">IFERROR(INDEX(Общее!$E$3:$E$163,SMALL(IF(0&lt;&gt;Общее!$I$3:$I$163,ROW(Общее!$I$3:$I$163),""),ROW()-ROW(Общее!$I$2))-ROW(Общее!$I$2)),"")</f>
        <v/>
      </c>
      <c r="D39" s="54" t="str">
        <f t="array" ref="D39">IFERROR(INDEX(Общее!$D$3:$D$163,SMALL(IF(0&lt;&gt;Общее!$I$3:$I$163,ROW(Общее!$I$3:$I$163),""),ROW()-ROW(Общее!$I$2))-ROW(Общее!$I$2)),"")</f>
        <v/>
      </c>
      <c r="E39" s="54" t="str">
        <f t="array" ref="E39">IFERROR(INDEX(Общее!$I$3:$I$163,SMALL(IF(0&lt;&gt;Общее!$I$3:$I$163,ROW(Общее!$I$3:$I$163),""),ROW()-ROW(Общее!$I$2))-ROW(Общее!$I$2)),"")</f>
        <v/>
      </c>
      <c r="F39" s="105" t="str">
        <f t="array" ref="F39">IFERROR(INDEX(Общее!$H$3:$H$163,SMALL(IF(0&lt;&gt;Общее!$I$3:$I$163,ROW(Общее!$I$3:$I$163),""),ROW()-ROW(Общее!$I$2))-ROW(Общее!$I$2)),"")</f>
        <v/>
      </c>
      <c r="G39" s="129" t="str">
        <f t="shared" si="0"/>
        <v/>
      </c>
    </row>
    <row r="40" spans="1:7" x14ac:dyDescent="0.25">
      <c r="A40">
        <v>38</v>
      </c>
      <c r="B40" s="91" t="str">
        <f t="array" ref="B40">IFERROR(INDEX(Общее!$C$3:$C$163,SMALL(IF(0&lt;&gt;Общее!$I$3:$I$163,ROW(Общее!$I$3:$I$163),""),ROW()-ROW(Общее!$I$2))-ROW(Общее!$I$2)),"")</f>
        <v/>
      </c>
      <c r="C40" s="54" t="str">
        <f t="array" ref="C40">IFERROR(INDEX(Общее!$E$3:$E$163,SMALL(IF(0&lt;&gt;Общее!$I$3:$I$163,ROW(Общее!$I$3:$I$163),""),ROW()-ROW(Общее!$I$2))-ROW(Общее!$I$2)),"")</f>
        <v/>
      </c>
      <c r="D40" s="54" t="str">
        <f t="array" ref="D40">IFERROR(INDEX(Общее!$D$3:$D$163,SMALL(IF(0&lt;&gt;Общее!$I$3:$I$163,ROW(Общее!$I$3:$I$163),""),ROW()-ROW(Общее!$I$2))-ROW(Общее!$I$2)),"")</f>
        <v/>
      </c>
      <c r="E40" s="54" t="str">
        <f t="array" ref="E40">IFERROR(INDEX(Общее!$I$3:$I$163,SMALL(IF(0&lt;&gt;Общее!$I$3:$I$163,ROW(Общее!$I$3:$I$163),""),ROW()-ROW(Общее!$I$2))-ROW(Общее!$I$2)),"")</f>
        <v/>
      </c>
      <c r="F40" s="105" t="str">
        <f t="array" ref="F40">IFERROR(INDEX(Общее!$H$3:$H$163,SMALL(IF(0&lt;&gt;Общее!$I$3:$I$163,ROW(Общее!$I$3:$I$163),""),ROW()-ROW(Общее!$I$2))-ROW(Общее!$I$2)),"")</f>
        <v/>
      </c>
      <c r="G40" s="129" t="str">
        <f t="shared" si="0"/>
        <v/>
      </c>
    </row>
    <row r="41" spans="1:7" s="527" customFormat="1" x14ac:dyDescent="0.25">
      <c r="A41">
        <v>39</v>
      </c>
      <c r="B41" s="91" t="str">
        <f t="array" ref="B41">IFERROR(INDEX(Общее!$C$3:$C$163,SMALL(IF(0&lt;&gt;Общее!$I$3:$I$163,ROW(Общее!$I$3:$I$163),""),ROW()-ROW(Общее!$I$2))-ROW(Общее!$I$2)),"")</f>
        <v/>
      </c>
      <c r="C41" s="54" t="str">
        <f t="array" ref="C41">IFERROR(INDEX(Общее!$E$3:$E$163,SMALL(IF(0&lt;&gt;Общее!$I$3:$I$163,ROW(Общее!$I$3:$I$163),""),ROW()-ROW(Общее!$I$2))-ROW(Общее!$I$2)),"")</f>
        <v/>
      </c>
      <c r="D41" s="54" t="str">
        <f t="array" ref="D41">IFERROR(INDEX(Общее!$D$3:$D$163,SMALL(IF(0&lt;&gt;Общее!$I$3:$I$163,ROW(Общее!$I$3:$I$163),""),ROW()-ROW(Общее!$I$2))-ROW(Общее!$I$2)),"")</f>
        <v/>
      </c>
      <c r="E41" s="54" t="str">
        <f t="array" ref="E41">IFERROR(INDEX(Общее!$I$3:$I$163,SMALL(IF(0&lt;&gt;Общее!$I$3:$I$163,ROW(Общее!$I$3:$I$163),""),ROW()-ROW(Общее!$I$2))-ROW(Общее!$I$2)),"")</f>
        <v/>
      </c>
      <c r="F41" s="105" t="str">
        <f t="array" ref="F41">IFERROR(INDEX(Общее!$H$3:$H$163,SMALL(IF(0&lt;&gt;Общее!$I$3:$I$163,ROW(Общее!$I$3:$I$163),""),ROW()-ROW(Общее!$I$2))-ROW(Общее!$I$2)),"")</f>
        <v/>
      </c>
      <c r="G41" s="129" t="str">
        <f t="shared" si="0"/>
        <v/>
      </c>
    </row>
    <row r="42" spans="1:7" s="527" customFormat="1" x14ac:dyDescent="0.25">
      <c r="A42">
        <v>40</v>
      </c>
      <c r="B42" s="91" t="str">
        <f t="array" ref="B42">IFERROR(INDEX(Общее!$C$3:$C$163,SMALL(IF(0&lt;&gt;Общее!$I$3:$I$163,ROW(Общее!$I$3:$I$163),""),ROW()-ROW(Общее!$I$2))-ROW(Общее!$I$2)),"")</f>
        <v/>
      </c>
      <c r="C42" s="54" t="str">
        <f t="array" ref="C42">IFERROR(INDEX(Общее!$E$3:$E$163,SMALL(IF(0&lt;&gt;Общее!$I$3:$I$163,ROW(Общее!$I$3:$I$163),""),ROW()-ROW(Общее!$I$2))-ROW(Общее!$I$2)),"")</f>
        <v/>
      </c>
      <c r="D42" s="54" t="str">
        <f t="array" ref="D42">IFERROR(INDEX(Общее!$D$3:$D$163,SMALL(IF(0&lt;&gt;Общее!$I$3:$I$163,ROW(Общее!$I$3:$I$163),""),ROW()-ROW(Общее!$I$2))-ROW(Общее!$I$2)),"")</f>
        <v/>
      </c>
      <c r="E42" s="54" t="str">
        <f t="array" ref="E42">IFERROR(INDEX(Общее!$I$3:$I$163,SMALL(IF(0&lt;&gt;Общее!$I$3:$I$163,ROW(Общее!$I$3:$I$163),""),ROW()-ROW(Общее!$I$2))-ROW(Общее!$I$2)),"")</f>
        <v/>
      </c>
      <c r="F42" s="105" t="str">
        <f t="array" ref="F42">IFERROR(INDEX(Общее!$H$3:$H$163,SMALL(IF(0&lt;&gt;Общее!$I$3:$I$163,ROW(Общее!$I$3:$I$163),""),ROW()-ROW(Общее!$I$2))-ROW(Общее!$I$2)),"")</f>
        <v/>
      </c>
      <c r="G42" s="129" t="str">
        <f t="shared" si="0"/>
        <v/>
      </c>
    </row>
    <row r="43" spans="1:7" s="527" customFormat="1" x14ac:dyDescent="0.25">
      <c r="A43"/>
      <c r="B43" s="528"/>
      <c r="C43" s="529"/>
      <c r="D43" s="529"/>
      <c r="E43" s="529"/>
      <c r="F43" s="530"/>
      <c r="G43" s="530"/>
    </row>
    <row r="44" spans="1:7" ht="15.75" thickBot="1" x14ac:dyDescent="0.3">
      <c r="B44" s="88"/>
      <c r="D44" s="1"/>
      <c r="E44" s="1"/>
      <c r="F44" s="1"/>
    </row>
    <row r="45" spans="1:7" ht="19.5" thickBot="1" x14ac:dyDescent="0.35">
      <c r="B45" s="130" t="s">
        <v>244</v>
      </c>
      <c r="C45" s="131"/>
      <c r="D45" s="131"/>
      <c r="E45" s="131"/>
      <c r="F45" s="131"/>
      <c r="G45" s="132">
        <f>SUM(G3:G42)</f>
        <v>706.21299999999985</v>
      </c>
    </row>
    <row r="46" spans="1:7" ht="19.5" thickBot="1" x14ac:dyDescent="0.35">
      <c r="B46" s="133" t="s">
        <v>249</v>
      </c>
      <c r="C46" s="134"/>
      <c r="D46" s="69"/>
      <c r="E46" s="69"/>
      <c r="F46" s="69"/>
      <c r="G46" s="135">
        <v>2.9</v>
      </c>
    </row>
    <row r="47" spans="1:7" ht="19.5" thickBot="1" x14ac:dyDescent="0.35">
      <c r="B47" s="136" t="s">
        <v>250</v>
      </c>
      <c r="C47" s="137"/>
      <c r="D47" s="138"/>
      <c r="E47" s="138"/>
      <c r="F47" s="138"/>
      <c r="G47" s="139">
        <f>G45*G46</f>
        <v>2048.0176999999994</v>
      </c>
    </row>
  </sheetData>
  <dataConsolidate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G42"/>
  <sheetViews>
    <sheetView workbookViewId="0">
      <selection activeCell="B36" sqref="B36"/>
    </sheetView>
  </sheetViews>
  <sheetFormatPr defaultRowHeight="15" x14ac:dyDescent="0.25"/>
  <cols>
    <col min="2" max="2" width="21.140625" bestFit="1" customWidth="1"/>
    <col min="6" max="8" width="12" bestFit="1" customWidth="1"/>
  </cols>
  <sheetData>
    <row r="3" spans="1:7" x14ac:dyDescent="0.25">
      <c r="B3" t="s">
        <v>167</v>
      </c>
    </row>
    <row r="4" spans="1:7" x14ac:dyDescent="0.25">
      <c r="B4" t="s">
        <v>659</v>
      </c>
    </row>
    <row r="6" spans="1:7" x14ac:dyDescent="0.25">
      <c r="F6" s="437" t="s">
        <v>204</v>
      </c>
      <c r="G6" s="437" t="s">
        <v>205</v>
      </c>
    </row>
    <row r="7" spans="1:7" x14ac:dyDescent="0.25">
      <c r="A7" s="347">
        <v>210</v>
      </c>
      <c r="B7" s="508" t="s">
        <v>660</v>
      </c>
      <c r="C7" s="347"/>
      <c r="D7" s="288" t="s">
        <v>81</v>
      </c>
      <c r="E7" s="347"/>
      <c r="F7" s="508" t="s">
        <v>783</v>
      </c>
      <c r="G7" s="347"/>
    </row>
    <row r="8" spans="1:7" x14ac:dyDescent="0.25">
      <c r="B8" s="437" t="s">
        <v>784</v>
      </c>
      <c r="D8" s="181" t="s">
        <v>82</v>
      </c>
      <c r="F8" s="437" t="s">
        <v>770</v>
      </c>
    </row>
    <row r="9" spans="1:7" x14ac:dyDescent="0.25">
      <c r="B9" s="437" t="s">
        <v>785</v>
      </c>
      <c r="D9" s="181" t="s">
        <v>83</v>
      </c>
      <c r="G9" s="437" t="s">
        <v>767</v>
      </c>
    </row>
    <row r="10" spans="1:7" x14ac:dyDescent="0.25">
      <c r="A10">
        <v>211</v>
      </c>
      <c r="B10" s="437" t="s">
        <v>786</v>
      </c>
      <c r="D10" s="181" t="s">
        <v>84</v>
      </c>
      <c r="F10" s="437" t="s">
        <v>783</v>
      </c>
      <c r="G10" s="437" t="s">
        <v>767</v>
      </c>
    </row>
    <row r="11" spans="1:7" x14ac:dyDescent="0.25">
      <c r="D11" s="181" t="s">
        <v>404</v>
      </c>
    </row>
    <row r="12" spans="1:7" x14ac:dyDescent="0.25">
      <c r="A12" s="347">
        <v>210</v>
      </c>
      <c r="B12" s="508" t="s">
        <v>787</v>
      </c>
      <c r="C12" s="347"/>
      <c r="D12" s="288" t="s">
        <v>86</v>
      </c>
      <c r="E12" s="347"/>
      <c r="F12" s="508" t="s">
        <v>783</v>
      </c>
      <c r="G12" s="347"/>
    </row>
    <row r="13" spans="1:7" x14ac:dyDescent="0.25">
      <c r="B13" s="437" t="s">
        <v>788</v>
      </c>
      <c r="D13" s="181" t="s">
        <v>87</v>
      </c>
      <c r="G13" s="437" t="s">
        <v>767</v>
      </c>
    </row>
    <row r="14" spans="1:7" x14ac:dyDescent="0.25">
      <c r="A14">
        <v>211</v>
      </c>
      <c r="B14" s="437" t="s">
        <v>786</v>
      </c>
      <c r="D14" s="181" t="s">
        <v>88</v>
      </c>
      <c r="F14" s="437" t="s">
        <v>783</v>
      </c>
      <c r="G14" s="437" t="s">
        <v>767</v>
      </c>
    </row>
    <row r="15" spans="1:7" x14ac:dyDescent="0.25">
      <c r="D15" s="181" t="s">
        <v>89</v>
      </c>
    </row>
    <row r="16" spans="1:7" x14ac:dyDescent="0.25">
      <c r="D16" s="181" t="s">
        <v>90</v>
      </c>
    </row>
    <row r="17" spans="1:7" x14ac:dyDescent="0.25">
      <c r="A17" s="347">
        <v>210</v>
      </c>
      <c r="B17" s="508" t="s">
        <v>660</v>
      </c>
      <c r="C17" s="347"/>
      <c r="D17" s="288" t="s">
        <v>91</v>
      </c>
      <c r="E17" s="347"/>
      <c r="F17" s="508" t="s">
        <v>783</v>
      </c>
      <c r="G17" s="347"/>
    </row>
    <row r="18" spans="1:7" x14ac:dyDescent="0.25">
      <c r="B18" s="437" t="s">
        <v>784</v>
      </c>
      <c r="D18" s="181" t="s">
        <v>92</v>
      </c>
      <c r="F18" s="437" t="s">
        <v>770</v>
      </c>
    </row>
    <row r="19" spans="1:7" x14ac:dyDescent="0.25">
      <c r="B19" s="437" t="s">
        <v>785</v>
      </c>
      <c r="D19" s="181" t="s">
        <v>405</v>
      </c>
      <c r="G19" s="437" t="s">
        <v>767</v>
      </c>
    </row>
    <row r="20" spans="1:7" x14ac:dyDescent="0.25">
      <c r="A20">
        <v>211</v>
      </c>
      <c r="B20" s="437" t="s">
        <v>786</v>
      </c>
      <c r="D20" s="181" t="s">
        <v>406</v>
      </c>
      <c r="F20" s="437" t="s">
        <v>783</v>
      </c>
      <c r="G20" s="437" t="s">
        <v>767</v>
      </c>
    </row>
    <row r="21" spans="1:7" x14ac:dyDescent="0.25">
      <c r="D21" s="181" t="s">
        <v>407</v>
      </c>
    </row>
    <row r="22" spans="1:7" x14ac:dyDescent="0.25">
      <c r="A22" s="347">
        <v>210</v>
      </c>
      <c r="B22" s="508" t="s">
        <v>787</v>
      </c>
      <c r="C22" s="347"/>
      <c r="D22" s="288" t="s">
        <v>93</v>
      </c>
      <c r="E22" s="347"/>
      <c r="F22" s="508" t="s">
        <v>783</v>
      </c>
      <c r="G22" s="347"/>
    </row>
    <row r="23" spans="1:7" x14ac:dyDescent="0.25">
      <c r="B23" s="437" t="s">
        <v>788</v>
      </c>
      <c r="D23" s="181" t="s">
        <v>94</v>
      </c>
      <c r="G23" s="437" t="s">
        <v>767</v>
      </c>
    </row>
    <row r="24" spans="1:7" x14ac:dyDescent="0.25">
      <c r="A24">
        <v>211</v>
      </c>
      <c r="B24" s="437" t="s">
        <v>786</v>
      </c>
      <c r="D24" s="181" t="s">
        <v>95</v>
      </c>
      <c r="F24" s="437" t="s">
        <v>783</v>
      </c>
      <c r="G24" s="437" t="s">
        <v>767</v>
      </c>
    </row>
    <row r="25" spans="1:7" x14ac:dyDescent="0.25">
      <c r="D25" s="181" t="s">
        <v>96</v>
      </c>
    </row>
    <row r="26" spans="1:7" x14ac:dyDescent="0.25">
      <c r="D26" s="181" t="s">
        <v>408</v>
      </c>
    </row>
    <row r="27" spans="1:7" x14ac:dyDescent="0.25">
      <c r="A27" s="347">
        <v>210</v>
      </c>
      <c r="B27" s="508" t="s">
        <v>660</v>
      </c>
      <c r="C27" s="347"/>
      <c r="D27" s="288" t="s">
        <v>97</v>
      </c>
      <c r="E27" s="347"/>
      <c r="F27" s="508" t="s">
        <v>783</v>
      </c>
      <c r="G27" s="347"/>
    </row>
    <row r="28" spans="1:7" x14ac:dyDescent="0.25">
      <c r="B28" s="437" t="s">
        <v>784</v>
      </c>
      <c r="D28" s="181" t="s">
        <v>98</v>
      </c>
      <c r="F28" s="437" t="s">
        <v>770</v>
      </c>
    </row>
    <row r="29" spans="1:7" x14ac:dyDescent="0.25">
      <c r="B29" s="437" t="s">
        <v>785</v>
      </c>
      <c r="D29" s="181" t="s">
        <v>99</v>
      </c>
      <c r="G29" s="437" t="s">
        <v>767</v>
      </c>
    </row>
    <row r="30" spans="1:7" x14ac:dyDescent="0.25">
      <c r="A30">
        <v>211</v>
      </c>
      <c r="B30" s="437" t="s">
        <v>786</v>
      </c>
      <c r="D30" s="181" t="s">
        <v>100</v>
      </c>
      <c r="F30" s="437" t="s">
        <v>783</v>
      </c>
      <c r="G30" s="437" t="s">
        <v>767</v>
      </c>
    </row>
    <row r="31" spans="1:7" x14ac:dyDescent="0.25">
      <c r="A31" s="347">
        <v>210</v>
      </c>
      <c r="B31" s="508" t="s">
        <v>787</v>
      </c>
      <c r="C31" s="347"/>
      <c r="D31" s="288" t="s">
        <v>101</v>
      </c>
      <c r="E31" s="347"/>
      <c r="F31" s="508" t="s">
        <v>783</v>
      </c>
      <c r="G31" s="347"/>
    </row>
    <row r="32" spans="1:7" x14ac:dyDescent="0.25">
      <c r="B32" s="437" t="s">
        <v>788</v>
      </c>
      <c r="D32" s="181" t="s">
        <v>102</v>
      </c>
      <c r="G32" s="437" t="s">
        <v>767</v>
      </c>
    </row>
    <row r="33" spans="1:7" x14ac:dyDescent="0.25">
      <c r="A33">
        <v>211</v>
      </c>
      <c r="B33" s="437" t="s">
        <v>786</v>
      </c>
      <c r="D33" s="181" t="s">
        <v>409</v>
      </c>
      <c r="F33" s="437" t="s">
        <v>783</v>
      </c>
      <c r="G33" s="437" t="s">
        <v>767</v>
      </c>
    </row>
    <row r="34" spans="1:7" x14ac:dyDescent="0.25">
      <c r="D34" s="181" t="s">
        <v>410</v>
      </c>
    </row>
    <row r="35" spans="1:7" x14ac:dyDescent="0.25">
      <c r="A35" s="347">
        <v>210</v>
      </c>
      <c r="B35" s="508" t="s">
        <v>660</v>
      </c>
      <c r="C35" s="347"/>
      <c r="D35" s="288" t="s">
        <v>365</v>
      </c>
      <c r="E35" s="347"/>
      <c r="F35" s="508" t="s">
        <v>783</v>
      </c>
      <c r="G35" s="347"/>
    </row>
    <row r="36" spans="1:7" x14ac:dyDescent="0.25">
      <c r="B36" s="437" t="s">
        <v>784</v>
      </c>
      <c r="D36" s="181" t="s">
        <v>366</v>
      </c>
      <c r="F36" s="437" t="s">
        <v>770</v>
      </c>
    </row>
    <row r="37" spans="1:7" x14ac:dyDescent="0.25">
      <c r="B37" s="437" t="s">
        <v>785</v>
      </c>
      <c r="D37" s="181" t="s">
        <v>367</v>
      </c>
      <c r="G37" s="437" t="s">
        <v>767</v>
      </c>
    </row>
    <row r="38" spans="1:7" x14ac:dyDescent="0.25">
      <c r="A38">
        <v>211</v>
      </c>
      <c r="B38" s="437" t="s">
        <v>786</v>
      </c>
      <c r="D38" s="181" t="s">
        <v>368</v>
      </c>
      <c r="F38" s="437" t="s">
        <v>783</v>
      </c>
      <c r="G38" s="437" t="s">
        <v>767</v>
      </c>
    </row>
    <row r="39" spans="1:7" x14ac:dyDescent="0.25">
      <c r="A39" s="347">
        <v>210</v>
      </c>
      <c r="B39" s="508" t="s">
        <v>787</v>
      </c>
      <c r="C39" s="347"/>
      <c r="D39" s="288" t="s">
        <v>369</v>
      </c>
      <c r="E39" s="347"/>
      <c r="F39" s="508" t="s">
        <v>783</v>
      </c>
      <c r="G39" s="347"/>
    </row>
    <row r="40" spans="1:7" x14ac:dyDescent="0.25">
      <c r="B40" s="437" t="s">
        <v>788</v>
      </c>
      <c r="D40" s="181" t="s">
        <v>370</v>
      </c>
      <c r="G40" s="437" t="s">
        <v>767</v>
      </c>
    </row>
    <row r="41" spans="1:7" x14ac:dyDescent="0.25">
      <c r="A41">
        <v>211</v>
      </c>
      <c r="B41" s="437" t="s">
        <v>786</v>
      </c>
      <c r="D41" s="181" t="s">
        <v>371</v>
      </c>
      <c r="F41" s="437" t="s">
        <v>783</v>
      </c>
      <c r="G41" s="437" t="s">
        <v>767</v>
      </c>
    </row>
    <row r="42" spans="1:7" x14ac:dyDescent="0.25">
      <c r="D42" s="181" t="s">
        <v>372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96"/>
  <sheetViews>
    <sheetView workbookViewId="0">
      <selection activeCell="B36" sqref="B36"/>
    </sheetView>
  </sheetViews>
  <sheetFormatPr defaultRowHeight="15" x14ac:dyDescent="0.25"/>
  <cols>
    <col min="3" max="3" width="21.140625" bestFit="1" customWidth="1"/>
    <col min="4" max="4" width="16.7109375" bestFit="1" customWidth="1"/>
    <col min="11" max="11" width="11.5703125" bestFit="1" customWidth="1"/>
    <col min="12" max="12" width="19.42578125" bestFit="1" customWidth="1"/>
  </cols>
  <sheetData>
    <row r="1" spans="3:24" x14ac:dyDescent="0.25">
      <c r="L1" t="s">
        <v>676</v>
      </c>
    </row>
    <row r="2" spans="3:24" x14ac:dyDescent="0.25">
      <c r="K2" t="s">
        <v>674</v>
      </c>
      <c r="L2" t="s">
        <v>675</v>
      </c>
    </row>
    <row r="3" spans="3:24" x14ac:dyDescent="0.25">
      <c r="D3" t="s">
        <v>54</v>
      </c>
      <c r="G3" t="s">
        <v>672</v>
      </c>
      <c r="J3" t="s">
        <v>204</v>
      </c>
      <c r="K3" t="s">
        <v>205</v>
      </c>
    </row>
    <row r="5" spans="3:24" x14ac:dyDescent="0.25">
      <c r="C5" t="s">
        <v>668</v>
      </c>
      <c r="E5">
        <v>2</v>
      </c>
      <c r="K5">
        <v>0</v>
      </c>
      <c r="L5">
        <v>2</v>
      </c>
    </row>
    <row r="6" spans="3:24" x14ac:dyDescent="0.25">
      <c r="C6" t="s">
        <v>413</v>
      </c>
      <c r="E6">
        <v>4</v>
      </c>
      <c r="K6">
        <v>0</v>
      </c>
      <c r="L6">
        <v>0</v>
      </c>
    </row>
    <row r="10" spans="3:24" x14ac:dyDescent="0.25">
      <c r="C10" t="s">
        <v>397</v>
      </c>
      <c r="D10" t="s">
        <v>661</v>
      </c>
      <c r="E10">
        <v>4</v>
      </c>
      <c r="K10">
        <v>0</v>
      </c>
      <c r="L10">
        <v>0</v>
      </c>
    </row>
    <row r="11" spans="3:24" x14ac:dyDescent="0.25">
      <c r="D11" t="s">
        <v>662</v>
      </c>
      <c r="E11">
        <v>2</v>
      </c>
      <c r="K11">
        <v>2</v>
      </c>
      <c r="L11">
        <v>2</v>
      </c>
    </row>
    <row r="12" spans="3:24" x14ac:dyDescent="0.25">
      <c r="D12" t="s">
        <v>179</v>
      </c>
      <c r="E12">
        <v>4</v>
      </c>
      <c r="K12">
        <v>3</v>
      </c>
      <c r="L12">
        <v>3</v>
      </c>
      <c r="W12">
        <v>0.69199999999999995</v>
      </c>
      <c r="X12">
        <v>0.25</v>
      </c>
    </row>
    <row r="13" spans="3:24" x14ac:dyDescent="0.25">
      <c r="D13" t="s">
        <v>663</v>
      </c>
      <c r="E13">
        <v>2</v>
      </c>
      <c r="K13">
        <v>2</v>
      </c>
      <c r="L13">
        <v>2</v>
      </c>
      <c r="W13">
        <v>0.70299999999999996</v>
      </c>
      <c r="X13">
        <v>0.29199999999999998</v>
      </c>
    </row>
    <row r="14" spans="3:24" x14ac:dyDescent="0.25">
      <c r="C14" t="s">
        <v>178</v>
      </c>
      <c r="E14">
        <v>3</v>
      </c>
      <c r="K14">
        <v>0</v>
      </c>
      <c r="L14">
        <v>3</v>
      </c>
      <c r="W14">
        <v>0.69199999999999995</v>
      </c>
      <c r="X14">
        <v>0.23799999999999999</v>
      </c>
    </row>
    <row r="15" spans="3:24" x14ac:dyDescent="0.25">
      <c r="C15" t="s">
        <v>664</v>
      </c>
      <c r="E15">
        <v>5</v>
      </c>
      <c r="K15">
        <v>2</v>
      </c>
      <c r="L15">
        <v>4</v>
      </c>
      <c r="W15">
        <v>1</v>
      </c>
      <c r="X15">
        <v>0.24199999999999999</v>
      </c>
    </row>
    <row r="16" spans="3:24" x14ac:dyDescent="0.25">
      <c r="C16" t="s">
        <v>665</v>
      </c>
      <c r="E16">
        <v>2</v>
      </c>
      <c r="K16">
        <v>2</v>
      </c>
      <c r="L16">
        <v>2</v>
      </c>
      <c r="W16">
        <v>0.32500000000000001</v>
      </c>
      <c r="X16">
        <v>0.24299999999999999</v>
      </c>
    </row>
    <row r="17" spans="3:24" x14ac:dyDescent="0.25">
      <c r="C17" t="s">
        <v>666</v>
      </c>
      <c r="E17">
        <v>2</v>
      </c>
      <c r="K17">
        <v>2</v>
      </c>
      <c r="L17">
        <v>2</v>
      </c>
      <c r="T17">
        <v>109</v>
      </c>
      <c r="W17">
        <v>0.39700000000000002</v>
      </c>
      <c r="X17">
        <v>0.23799999999999999</v>
      </c>
    </row>
    <row r="18" spans="3:24" x14ac:dyDescent="0.25">
      <c r="C18" t="s">
        <v>591</v>
      </c>
      <c r="E18">
        <v>2</v>
      </c>
      <c r="K18">
        <v>2</v>
      </c>
      <c r="L18">
        <v>2</v>
      </c>
      <c r="P18">
        <v>12</v>
      </c>
      <c r="Q18">
        <v>18</v>
      </c>
      <c r="T18">
        <v>156</v>
      </c>
      <c r="W18">
        <v>0.42299999999999999</v>
      </c>
      <c r="X18">
        <v>0.24299999999999999</v>
      </c>
    </row>
    <row r="19" spans="3:24" x14ac:dyDescent="0.25">
      <c r="C19" t="s">
        <v>413</v>
      </c>
      <c r="D19" t="s">
        <v>662</v>
      </c>
      <c r="E19">
        <v>2</v>
      </c>
      <c r="K19">
        <v>2</v>
      </c>
      <c r="L19">
        <v>2</v>
      </c>
      <c r="P19">
        <v>18</v>
      </c>
      <c r="Q19">
        <v>18</v>
      </c>
      <c r="T19">
        <f>T17+T18</f>
        <v>265</v>
      </c>
      <c r="W19">
        <v>0.92100000000000004</v>
      </c>
      <c r="X19">
        <v>0.75</v>
      </c>
    </row>
    <row r="20" spans="3:24" x14ac:dyDescent="0.25">
      <c r="C20" t="s">
        <v>592</v>
      </c>
      <c r="E20">
        <v>2</v>
      </c>
      <c r="K20">
        <v>2</v>
      </c>
      <c r="L20">
        <v>2</v>
      </c>
      <c r="P20">
        <f>P18*P19</f>
        <v>216</v>
      </c>
      <c r="Q20">
        <f>Q18*Q19</f>
        <v>324</v>
      </c>
      <c r="T20">
        <v>5.2</v>
      </c>
      <c r="W20">
        <v>0.93300000000000005</v>
      </c>
      <c r="X20">
        <v>0.55000000000000004</v>
      </c>
    </row>
    <row r="21" spans="3:24" x14ac:dyDescent="0.25">
      <c r="C21" t="s">
        <v>673</v>
      </c>
      <c r="E21">
        <v>2</v>
      </c>
      <c r="K21">
        <v>0</v>
      </c>
      <c r="L21">
        <v>2</v>
      </c>
      <c r="T21">
        <f>T19/T20</f>
        <v>50.96153846153846</v>
      </c>
      <c r="W21">
        <v>0.36599999999999999</v>
      </c>
      <c r="X21">
        <v>0.56100000000000005</v>
      </c>
    </row>
    <row r="22" spans="3:24" x14ac:dyDescent="0.25">
      <c r="C22" t="s">
        <v>667</v>
      </c>
      <c r="E22">
        <v>2</v>
      </c>
      <c r="K22">
        <v>0</v>
      </c>
      <c r="L22">
        <v>2</v>
      </c>
      <c r="W22">
        <v>0.32500000000000001</v>
      </c>
      <c r="X22">
        <v>0.59399999999999997</v>
      </c>
    </row>
    <row r="23" spans="3:24" x14ac:dyDescent="0.25">
      <c r="C23" t="s">
        <v>179</v>
      </c>
      <c r="E23">
        <v>5</v>
      </c>
      <c r="K23">
        <v>3</v>
      </c>
      <c r="L23">
        <v>5</v>
      </c>
      <c r="W23">
        <v>0.39600000000000002</v>
      </c>
      <c r="X23">
        <v>0.68200000000000005</v>
      </c>
    </row>
    <row r="24" spans="3:24" x14ac:dyDescent="0.25">
      <c r="C24" t="s">
        <v>671</v>
      </c>
      <c r="E24">
        <v>12</v>
      </c>
      <c r="F24">
        <f>SUM(E10:E24)</f>
        <v>51</v>
      </c>
      <c r="G24">
        <v>5.2</v>
      </c>
      <c r="H24">
        <f>F24*G24</f>
        <v>265.2</v>
      </c>
      <c r="K24">
        <v>0</v>
      </c>
      <c r="L24">
        <v>8</v>
      </c>
      <c r="W24">
        <v>0.39600000000000002</v>
      </c>
      <c r="X24">
        <v>0.70299999999999996</v>
      </c>
    </row>
    <row r="25" spans="3:24" x14ac:dyDescent="0.25">
      <c r="W25">
        <v>0.92800000000000005</v>
      </c>
      <c r="X25">
        <v>0.69199999999999995</v>
      </c>
    </row>
    <row r="26" spans="3:24" x14ac:dyDescent="0.25">
      <c r="C26" t="s">
        <v>670</v>
      </c>
      <c r="E26">
        <v>4</v>
      </c>
      <c r="W26">
        <v>0.73499999999999999</v>
      </c>
      <c r="X26">
        <v>1</v>
      </c>
    </row>
    <row r="27" spans="3:24" x14ac:dyDescent="0.25">
      <c r="C27" t="s">
        <v>400</v>
      </c>
      <c r="E27">
        <v>4</v>
      </c>
      <c r="W27">
        <v>0.96399999999999997</v>
      </c>
      <c r="X27">
        <v>0.32500000000000001</v>
      </c>
    </row>
    <row r="28" spans="3:24" x14ac:dyDescent="0.25">
      <c r="C28" t="s">
        <v>401</v>
      </c>
      <c r="E28">
        <v>4</v>
      </c>
      <c r="W28">
        <v>0.80200000000000005</v>
      </c>
      <c r="X28">
        <v>0.39700000000000002</v>
      </c>
    </row>
    <row r="29" spans="3:24" x14ac:dyDescent="0.25">
      <c r="C29" t="s">
        <v>403</v>
      </c>
      <c r="E29">
        <v>4</v>
      </c>
      <c r="W29">
        <v>1.0409999999999999</v>
      </c>
      <c r="X29">
        <v>0.42299999999999999</v>
      </c>
    </row>
    <row r="30" spans="3:24" x14ac:dyDescent="0.25">
      <c r="C30" t="s">
        <v>402</v>
      </c>
      <c r="D30" t="s">
        <v>669</v>
      </c>
      <c r="E30">
        <v>4</v>
      </c>
      <c r="W30">
        <v>1.0249999999999999</v>
      </c>
      <c r="X30">
        <v>0.92100000000000004</v>
      </c>
    </row>
    <row r="31" spans="3:24" x14ac:dyDescent="0.25">
      <c r="D31" t="s">
        <v>662</v>
      </c>
      <c r="E31">
        <v>2</v>
      </c>
      <c r="L31">
        <v>2</v>
      </c>
      <c r="W31">
        <v>1.0309999999999999</v>
      </c>
      <c r="X31">
        <v>0.93300000000000005</v>
      </c>
    </row>
    <row r="32" spans="3:24" x14ac:dyDescent="0.25">
      <c r="K32">
        <f>SUM(K10:K31)</f>
        <v>22</v>
      </c>
      <c r="L32">
        <f>SUM(L10:L31)</f>
        <v>43</v>
      </c>
      <c r="W32">
        <v>0.77100000000000002</v>
      </c>
      <c r="X32">
        <v>0.36599999999999999</v>
      </c>
    </row>
    <row r="33" spans="2:24" x14ac:dyDescent="0.25">
      <c r="L33">
        <v>5.2</v>
      </c>
      <c r="W33">
        <v>0.76600000000000001</v>
      </c>
      <c r="X33">
        <v>0.32500000000000001</v>
      </c>
    </row>
    <row r="34" spans="2:24" x14ac:dyDescent="0.25">
      <c r="L34">
        <f>L32*L33</f>
        <v>223.6</v>
      </c>
      <c r="W34">
        <v>0.751</v>
      </c>
      <c r="X34">
        <v>0.39600000000000002</v>
      </c>
    </row>
    <row r="35" spans="2:24" x14ac:dyDescent="0.25">
      <c r="W35">
        <v>1</v>
      </c>
      <c r="X35">
        <v>0.39600000000000002</v>
      </c>
    </row>
    <row r="36" spans="2:24" x14ac:dyDescent="0.25">
      <c r="W36">
        <v>0.65400000000000003</v>
      </c>
      <c r="X36">
        <v>0.92800000000000005</v>
      </c>
    </row>
    <row r="37" spans="2:24" x14ac:dyDescent="0.25">
      <c r="W37">
        <v>0.93700000000000006</v>
      </c>
      <c r="X37">
        <v>0.73499999999999999</v>
      </c>
    </row>
    <row r="38" spans="2:24" x14ac:dyDescent="0.25">
      <c r="D38" t="s">
        <v>677</v>
      </c>
      <c r="E38" t="s">
        <v>678</v>
      </c>
      <c r="F38" t="s">
        <v>251</v>
      </c>
      <c r="W38">
        <v>0.54500000000000004</v>
      </c>
      <c r="X38">
        <v>0.96399999999999997</v>
      </c>
    </row>
    <row r="39" spans="2:24" x14ac:dyDescent="0.25">
      <c r="B39" t="s">
        <v>204</v>
      </c>
      <c r="C39" s="437" t="s">
        <v>115</v>
      </c>
      <c r="D39">
        <v>14.5</v>
      </c>
      <c r="E39">
        <v>10</v>
      </c>
      <c r="F39">
        <v>27</v>
      </c>
      <c r="W39">
        <v>1.0980000000000001</v>
      </c>
      <c r="X39">
        <v>0.8</v>
      </c>
    </row>
    <row r="40" spans="2:24" x14ac:dyDescent="0.25">
      <c r="C40" s="437" t="s">
        <v>120</v>
      </c>
      <c r="D40">
        <v>20</v>
      </c>
      <c r="E40">
        <v>14</v>
      </c>
      <c r="F40">
        <v>40</v>
      </c>
      <c r="N40">
        <f>780-455</f>
        <v>325</v>
      </c>
      <c r="W40">
        <v>0.83299999999999996</v>
      </c>
      <c r="X40">
        <v>1.0409999999999999</v>
      </c>
    </row>
    <row r="41" spans="2:24" x14ac:dyDescent="0.25">
      <c r="W41">
        <v>0.505</v>
      </c>
      <c r="X41">
        <v>1.0249999999999999</v>
      </c>
    </row>
    <row r="42" spans="2:24" x14ac:dyDescent="0.25">
      <c r="B42" t="s">
        <v>205</v>
      </c>
      <c r="D42">
        <v>4.3</v>
      </c>
      <c r="E42">
        <v>9</v>
      </c>
      <c r="F42">
        <v>16</v>
      </c>
      <c r="W42">
        <v>0.32</v>
      </c>
      <c r="X42">
        <v>1.0309999999999999</v>
      </c>
    </row>
    <row r="43" spans="2:24" x14ac:dyDescent="0.25">
      <c r="W43">
        <v>0.33</v>
      </c>
      <c r="X43">
        <v>0.77100000000000002</v>
      </c>
    </row>
    <row r="44" spans="2:24" x14ac:dyDescent="0.25">
      <c r="C44" t="s">
        <v>679</v>
      </c>
      <c r="D44" t="s">
        <v>680</v>
      </c>
      <c r="F44">
        <v>60</v>
      </c>
      <c r="W44">
        <v>0.54600000000000004</v>
      </c>
      <c r="X44">
        <v>0.76600000000000001</v>
      </c>
    </row>
    <row r="45" spans="2:24" x14ac:dyDescent="0.25">
      <c r="D45" t="s">
        <v>681</v>
      </c>
      <c r="F45">
        <v>70</v>
      </c>
      <c r="W45">
        <v>0.30599999999999999</v>
      </c>
      <c r="X45">
        <v>0.751</v>
      </c>
    </row>
    <row r="46" spans="2:24" x14ac:dyDescent="0.25">
      <c r="W46">
        <v>0.28100000000000003</v>
      </c>
      <c r="X46">
        <v>1</v>
      </c>
    </row>
    <row r="47" spans="2:24" x14ac:dyDescent="0.25">
      <c r="W47">
        <v>0.53100000000000003</v>
      </c>
      <c r="X47">
        <v>0.63400000000000001</v>
      </c>
    </row>
    <row r="48" spans="2:24" x14ac:dyDescent="0.25">
      <c r="W48">
        <v>0.58699999999999997</v>
      </c>
      <c r="X48">
        <v>1.0980000000000001</v>
      </c>
    </row>
    <row r="49" spans="23:24" x14ac:dyDescent="0.25">
      <c r="W49">
        <v>0.56699999999999995</v>
      </c>
      <c r="X49">
        <v>0.93700000000000006</v>
      </c>
    </row>
    <row r="50" spans="23:24" x14ac:dyDescent="0.25">
      <c r="W50">
        <v>0.69899999999999995</v>
      </c>
      <c r="X50">
        <v>0.54500000000000004</v>
      </c>
    </row>
    <row r="51" spans="23:24" x14ac:dyDescent="0.25">
      <c r="W51">
        <v>1.054</v>
      </c>
      <c r="X51">
        <v>0.83299999999999996</v>
      </c>
    </row>
    <row r="52" spans="23:24" x14ac:dyDescent="0.25">
      <c r="W52">
        <v>0.88100000000000001</v>
      </c>
      <c r="X52">
        <v>0.505</v>
      </c>
    </row>
    <row r="53" spans="23:24" x14ac:dyDescent="0.25">
      <c r="W53">
        <v>0.871</v>
      </c>
      <c r="X53">
        <v>0.32</v>
      </c>
    </row>
    <row r="54" spans="23:24" x14ac:dyDescent="0.25">
      <c r="W54">
        <v>0.84799999999999998</v>
      </c>
      <c r="X54">
        <v>0.33</v>
      </c>
    </row>
    <row r="55" spans="23:24" x14ac:dyDescent="0.25">
      <c r="W55">
        <v>0.94699999999999995</v>
      </c>
      <c r="X55">
        <v>0.54600000000000004</v>
      </c>
    </row>
    <row r="56" spans="23:24" x14ac:dyDescent="0.25">
      <c r="W56">
        <v>1.0620000000000001</v>
      </c>
      <c r="X56">
        <v>0.33</v>
      </c>
    </row>
    <row r="57" spans="23:24" x14ac:dyDescent="0.25">
      <c r="W57">
        <v>0.82799999999999996</v>
      </c>
      <c r="X57">
        <v>0.53600000000000003</v>
      </c>
    </row>
    <row r="58" spans="23:24" x14ac:dyDescent="0.25">
      <c r="W58">
        <v>0.81399999999999995</v>
      </c>
      <c r="X58">
        <v>0.58699999999999997</v>
      </c>
    </row>
    <row r="59" spans="23:24" x14ac:dyDescent="0.25">
      <c r="W59">
        <v>1.1180000000000001</v>
      </c>
      <c r="X59">
        <v>0.56699999999999995</v>
      </c>
    </row>
    <row r="60" spans="23:24" x14ac:dyDescent="0.25">
      <c r="W60">
        <v>0.69899999999999995</v>
      </c>
      <c r="X60">
        <v>0.7</v>
      </c>
    </row>
    <row r="61" spans="23:24" x14ac:dyDescent="0.25">
      <c r="W61">
        <v>0.76200000000000001</v>
      </c>
      <c r="X61">
        <v>1.054</v>
      </c>
    </row>
    <row r="62" spans="23:24" x14ac:dyDescent="0.25">
      <c r="W62">
        <v>1.1080000000000001</v>
      </c>
      <c r="X62">
        <v>0.88100000000000001</v>
      </c>
    </row>
    <row r="63" spans="23:24" x14ac:dyDescent="0.25">
      <c r="W63">
        <v>0.86399999999999999</v>
      </c>
      <c r="X63">
        <v>0.871</v>
      </c>
    </row>
    <row r="64" spans="23:24" x14ac:dyDescent="0.25">
      <c r="W64">
        <v>0.40899999999999997</v>
      </c>
      <c r="X64">
        <v>0.84799999999999998</v>
      </c>
    </row>
    <row r="65" spans="23:24" x14ac:dyDescent="0.25">
      <c r="W65">
        <v>0.51800000000000002</v>
      </c>
      <c r="X65">
        <v>0.28100000000000003</v>
      </c>
    </row>
    <row r="66" spans="23:24" x14ac:dyDescent="0.25">
      <c r="W66">
        <v>1.0720000000000001</v>
      </c>
      <c r="X66">
        <v>0.94699999999999995</v>
      </c>
    </row>
    <row r="67" spans="23:24" x14ac:dyDescent="0.25">
      <c r="W67">
        <v>0.39600000000000002</v>
      </c>
      <c r="X67">
        <v>0.82799999999999996</v>
      </c>
    </row>
    <row r="68" spans="23:24" x14ac:dyDescent="0.25">
      <c r="W68">
        <v>0.39600000000000002</v>
      </c>
      <c r="X68">
        <v>0.81399999999999995</v>
      </c>
    </row>
    <row r="69" spans="23:24" x14ac:dyDescent="0.25">
      <c r="W69">
        <v>0.31</v>
      </c>
      <c r="X69">
        <v>1.1180000000000001</v>
      </c>
    </row>
    <row r="70" spans="23:24" x14ac:dyDescent="0.25">
      <c r="W70">
        <v>0.34</v>
      </c>
      <c r="X70">
        <v>0.7</v>
      </c>
    </row>
    <row r="71" spans="23:24" x14ac:dyDescent="0.25">
      <c r="W71">
        <v>0.72</v>
      </c>
      <c r="X71">
        <v>0.76200000000000001</v>
      </c>
    </row>
    <row r="72" spans="23:24" x14ac:dyDescent="0.25">
      <c r="W72">
        <v>1.1299999999999999</v>
      </c>
      <c r="X72">
        <v>1.1100000000000001</v>
      </c>
    </row>
    <row r="73" spans="23:24" x14ac:dyDescent="0.25">
      <c r="W73">
        <v>0.9</v>
      </c>
      <c r="X73">
        <v>0.86399999999999999</v>
      </c>
    </row>
    <row r="74" spans="23:24" x14ac:dyDescent="0.25">
      <c r="W74">
        <v>0.94</v>
      </c>
      <c r="X74">
        <v>0.41</v>
      </c>
    </row>
    <row r="75" spans="23:24" x14ac:dyDescent="0.25">
      <c r="W75">
        <v>0.9</v>
      </c>
      <c r="X75">
        <v>0.52</v>
      </c>
    </row>
    <row r="76" spans="23:24" x14ac:dyDescent="0.25">
      <c r="W76">
        <v>0.63</v>
      </c>
      <c r="X76">
        <v>1.0720000000000001</v>
      </c>
    </row>
    <row r="77" spans="23:24" x14ac:dyDescent="0.25">
      <c r="W77">
        <v>1.07</v>
      </c>
      <c r="X77">
        <v>0.4</v>
      </c>
    </row>
    <row r="78" spans="23:24" x14ac:dyDescent="0.25">
      <c r="W78">
        <v>0.7</v>
      </c>
      <c r="X78">
        <v>0.4</v>
      </c>
    </row>
    <row r="79" spans="23:24" x14ac:dyDescent="0.25">
      <c r="W79">
        <v>0.9</v>
      </c>
      <c r="X79">
        <v>0.30599999999999999</v>
      </c>
    </row>
    <row r="80" spans="23:24" x14ac:dyDescent="0.25">
      <c r="W80">
        <v>0.31</v>
      </c>
      <c r="X80">
        <v>0.4</v>
      </c>
    </row>
    <row r="81" spans="23:24" x14ac:dyDescent="0.25">
      <c r="W81">
        <v>0.3</v>
      </c>
      <c r="X81">
        <v>0.72099999999999997</v>
      </c>
    </row>
    <row r="82" spans="23:24" x14ac:dyDescent="0.25">
      <c r="W82">
        <v>0.7</v>
      </c>
      <c r="X82">
        <v>1.131</v>
      </c>
    </row>
    <row r="83" spans="23:24" x14ac:dyDescent="0.25">
      <c r="W83">
        <v>0.4</v>
      </c>
      <c r="X83">
        <v>0.88200000000000001</v>
      </c>
    </row>
    <row r="84" spans="23:24" x14ac:dyDescent="0.25">
      <c r="X84">
        <v>0.88200000000000001</v>
      </c>
    </row>
    <row r="85" spans="23:24" x14ac:dyDescent="0.25">
      <c r="X85">
        <v>0.93799999999999994</v>
      </c>
    </row>
    <row r="86" spans="23:24" x14ac:dyDescent="0.25">
      <c r="W86">
        <f>SUM(W12:W85)</f>
        <v>51.019000000000005</v>
      </c>
      <c r="X86">
        <v>0.9</v>
      </c>
    </row>
    <row r="87" spans="23:24" x14ac:dyDescent="0.25">
      <c r="X87">
        <v>0.625</v>
      </c>
    </row>
    <row r="88" spans="23:24" x14ac:dyDescent="0.25">
      <c r="X88">
        <v>1.0629999999999999</v>
      </c>
    </row>
    <row r="89" spans="23:24" x14ac:dyDescent="0.25">
      <c r="X89">
        <v>0.70599999999999996</v>
      </c>
    </row>
    <row r="90" spans="23:24" x14ac:dyDescent="0.25">
      <c r="X90">
        <v>0.9</v>
      </c>
    </row>
    <row r="91" spans="23:24" x14ac:dyDescent="0.25">
      <c r="X91">
        <v>0.30599999999999999</v>
      </c>
    </row>
    <row r="92" spans="23:24" x14ac:dyDescent="0.25">
      <c r="X92">
        <v>0.28499999999999998</v>
      </c>
    </row>
    <row r="93" spans="23:24" x14ac:dyDescent="0.25">
      <c r="X93">
        <v>0.66</v>
      </c>
    </row>
    <row r="94" spans="23:24" x14ac:dyDescent="0.25">
      <c r="X94">
        <v>0.315</v>
      </c>
    </row>
    <row r="96" spans="23:24" x14ac:dyDescent="0.25">
      <c r="X96">
        <f>SUM(X12:X95)</f>
        <v>54.939999999999984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4</vt:i4>
      </vt:variant>
    </vt:vector>
  </HeadingPairs>
  <TitlesOfParts>
    <vt:vector size="14" baseType="lpstr">
      <vt:lpstr>Главная</vt:lpstr>
      <vt:lpstr>Рекомендации</vt:lpstr>
      <vt:lpstr>Расчет</vt:lpstr>
      <vt:lpstr>Расчет_ЭК</vt:lpstr>
      <vt:lpstr>Материалы</vt:lpstr>
      <vt:lpstr>Цена</vt:lpstr>
      <vt:lpstr>Общее</vt:lpstr>
      <vt:lpstr>Спецификация</vt:lpstr>
      <vt:lpstr>Лист1</vt:lpstr>
      <vt:lpstr>Лист2</vt:lpstr>
      <vt:lpstr>Общее!Критерии</vt:lpstr>
      <vt:lpstr>СУ</vt:lpstr>
      <vt:lpstr>Ф100</vt:lpstr>
      <vt:lpstr>Ф101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М. Кабаев</dc:creator>
  <cp:lastModifiedBy>Овчинников Александр Николаевич</cp:lastModifiedBy>
  <cp:lastPrinted>2023-01-16T12:05:05Z</cp:lastPrinted>
  <dcterms:created xsi:type="dcterms:W3CDTF">2022-02-28T13:00:34Z</dcterms:created>
  <dcterms:modified xsi:type="dcterms:W3CDTF">2023-01-16T14:42:24Z</dcterms:modified>
</cp:coreProperties>
</file>